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requisite Checklist" sheetId="1" r:id="rId4"/>
    <sheet state="visible" name="VCF &amp; VVF Planning" sheetId="2" r:id="rId5"/>
    <sheet state="visible" name="Management Domain Sizing" sheetId="3" r:id="rId6"/>
    <sheet state="visible" name="Deploy Management Domain" sheetId="4" r:id="rId7"/>
    <sheet state="visible" name="Configure Management Domain" sheetId="5" r:id="rId8"/>
    <sheet state="visible" name="Deploy Fleet Management Day-N" sheetId="6" r:id="rId9"/>
    <sheet state="visible" name="Deploy Workload Domain" sheetId="7" r:id="rId10"/>
    <sheet state="hidden" name="Arkham" sheetId="8" r:id="rId11"/>
    <sheet state="visible" name="Configure Workload Domain" sheetId="9" r:id="rId12"/>
    <sheet state="visible" name="Deploy Cluster" sheetId="10" r:id="rId13"/>
    <sheet state="hidden" name="Change Control" sheetId="11" r:id="rId14"/>
    <sheet state="hidden" name="Value Reference Tables - MR" sheetId="12" r:id="rId15"/>
    <sheet state="hidden" name="Value Reference Tables" sheetId="13" r:id="rId16"/>
    <sheet state="hidden" name="Static Reference Tables" sheetId="14" r:id="rId17"/>
    <sheet state="hidden" name="Dumping Ground" sheetId="15" r:id="rId18"/>
    <sheet state="visible" name="Additional Racks" sheetId="16" r:id="rId19"/>
    <sheet state="visible" name="Site Protection &amp; DR" sheetId="17" r:id="rId20"/>
    <sheet state="visible" name="On-Premises Ransomware Recovery" sheetId="18" r:id="rId21"/>
    <sheet state="visible" name="Management Domain As Built" sheetId="19" r:id="rId22"/>
    <sheet state="visible" name="Workload Domain As Built" sheetId="20" r:id="rId23"/>
    <sheet state="hidden" name="Public Reference Sheet" sheetId="21" r:id="rId24"/>
    <sheet state="visible" name="Version History" sheetId="22" r:id="rId25"/>
    <sheet state="hidden" name="Private AI Ready Infrastructure" sheetId="23" r:id="rId26"/>
    <sheet state="hidden" name="Cloud-Based Ransomware Recovery" sheetId="24" r:id="rId27"/>
    <sheet state="hidden" name="Cross Cloud Mobility" sheetId="25" r:id="rId28"/>
    <sheet state="hidden" name="Active Directory Inputs" sheetId="26" r:id="rId29"/>
  </sheets>
  <definedNames>
    <definedName name="valuevx">42.314159</definedName>
    <definedName name="wld_az1_rack2_child_dns_zone">'Value Reference Tables - MR'!#REF!</definedName>
    <definedName name="wld_az1_rack3_child_dns_zone">'Value Reference Tables - MR'!#REF!</definedName>
    <definedName name="wld_az1_rack4_child_dns_zone">'Value Reference Tables - MR'!#REF!</definedName>
    <definedName name="wld_az1_rack5_child_dns_zone">'Value Reference Tables - MR'!#REF!</definedName>
    <definedName name="wld_az1_rack6_child_dns_zone">'Value Reference Tables - MR'!#REF!</definedName>
    <definedName name="wld_az1_rack7_child_dns_zone">'Value Reference Tables - MR'!#REF!</definedName>
    <definedName name="wld_az1_rack8_child_dns_zone">'Value Reference Tables - MR'!#REF!</definedName>
    <definedName name="mgmt_stretched_cluster_result">'Configure Management Domain'!$D$15</definedName>
    <definedName name="input_flt_custom_network_auto_nodeb_ip">'Deploy Fleet Management Day-N'!$D$54</definedName>
    <definedName name="sample_wld_az1_rack4_host_overlay_vlan">'Additional Racks'!$C$277</definedName>
    <definedName name="input_mgmt_ec01_en02_host_group_affinity_rule_name">'Configure Management Domain'!$D$129</definedName>
    <definedName name="sizing_w01_vcenter_storage_size">'Management Domain Sizing'!$F$36</definedName>
    <definedName name="input_mgmt_az1_uplink02_gateway_ip">'Configure Management Domain'!$D$198</definedName>
    <definedName name="wld_az1_rack4_en1_uplink01_interface_ip">'Value Reference Tables - MR'!$R$242</definedName>
    <definedName name="storage_autopolicy">'Static Reference Tables'!$B$379</definedName>
    <definedName name="sample_wld_az1_rack6_edge_overlay_vlan">Arkham!$N$58</definedName>
    <definedName name="input_flt_auto_node_pool_end_ip">Arkham!$Q$35</definedName>
    <definedName name="wld_az1_rack3_edge_overlay_gateway_ip">'Value Reference Tables - MR'!$O$94</definedName>
    <definedName name="input_wld_az1_rack6_pool_name">'Additional Racks'!$D$406</definedName>
    <definedName name="sample_flt_logs_nodeb_fqdn">'Deploy Fleet Management Day-N'!$C$226</definedName>
    <definedName name="input_wld_az1_rack5_mgmt_vm_gateway_ip">'Value Reference Tables - MR'!$P$262</definedName>
    <definedName name="wld_az1_rack7_pool_name">'Value Reference Tables - MR'!$AA$166</definedName>
    <definedName name="sample_wld_az1_rack2_edge_overlay_network">Arkham!$B$61</definedName>
    <definedName name="input_mgmt_witness_vm_folder">'Configure Management Domain'!$D$314</definedName>
    <definedName name="input_ccm_hcx_service_mesh">'Cross Cloud Mobility'!$D$39</definedName>
    <definedName name="input_wld_az2_vmotion_gateway_ip">'Configure Workload Domain'!$D$201</definedName>
    <definedName name="wld_az1_rack3_host1_hostname">'Value Reference Tables - MR'!$O$202</definedName>
    <definedName name="input_wld_az1_rack8_vmotion_pool_start_ip">'Additional Racks'!$D$599</definedName>
    <definedName name="sample_wld_az1_rack5_host3_mgmt_ip">'Additional Racks'!$C$295</definedName>
    <definedName name="nsxt_gm_root_password">'Value Reference Tables'!$L$21</definedName>
    <definedName name="input_ca_country">'Configure Management Domain'!$D$61</definedName>
    <definedName name="wld_az1_rack8_host7_mgmt_ip">'Value Reference Tables - MR'!$AD$189</definedName>
    <definedName name="mgmt_vrms_site_name">'Value Reference Tables'!$U$68</definedName>
    <definedName name="sample_wld_vrms_mgmt_ip">'Dumping Ground'!$F$10</definedName>
    <definedName name="sample_mgmt_srm_recovery_sddc_manager_domain">'Dumping Ground'!$C$58</definedName>
    <definedName name="input_wld_az1_rack5_host_overlay_vlan">'Additional Racks'!$D$370</definedName>
    <definedName name="sample_wld_rwr_recovery_site_nsx_fqdn">'On-Premises Ransomware Recovery'!$C$118</definedName>
    <definedName name="input_wld_az1_rack6_secondary_storage_pool_start_ip">'Dumping Ground'!$D$545</definedName>
    <definedName name="wld_az1_rack3_rtep_overlay_cidr">'Value Reference Tables - MR'!$O$33</definedName>
    <definedName name="wld_az1_en1_mgmt_ip">Arkham!$R$19</definedName>
    <definedName name="input_mgmt_avilb_mgrb_ip">'Configure Management Domain'!$D$214</definedName>
    <definedName name="input_cluster_esx_root_username">'Deploy Cluster'!$D$104</definedName>
    <definedName name="input_wld_az2_storage_cluster_mask">'Configure Workload Domain'!$D$224</definedName>
    <definedName name="input_mgmt_az2_host1_sddc_id">'Configure Management Domain'!$D$345</definedName>
    <definedName name="input_wld_az2_vmotion_pool_end_ip">'Configure Workload Domain'!$D$203</definedName>
    <definedName name="flt_custom_network_chosen">'Deploy Fleet Management Day-N'!$B$7</definedName>
    <definedName name="mgmt_srm_days">'Value Reference Tables'!$U$83</definedName>
    <definedName name="mgmt_cl01_vds02_lacp_mode_chosen">'Deploy Management Domain'!$L$203</definedName>
    <definedName name="input_ccm_aws_management_subnet">'Cross Cloud Mobility'!$D$26</definedName>
    <definedName name="ca_administrator_username">'Value Reference Tables'!$L$8</definedName>
    <definedName name="sample_wld_witness_cluster">'Configure Workload Domain'!$C$268</definedName>
    <definedName name="input_wld_az1_rack8_host16_fqdn">'Additional Racks'!$D$627</definedName>
    <definedName name="sample_wld_az1_principal_storage_mtu">'Deploy Workload Domain'!$C$94</definedName>
    <definedName name="input_wld_az1_rack4_vmotion_pool_end_ip">'Additional Racks'!$D$228</definedName>
    <definedName name="sample_mgmt_az2_vsan_cidr">'Management Domain As Built'!$C$80</definedName>
    <definedName name="sizing_w24_nsxt_gm_appliance_size">'Management Domain Sizing'!$M$59</definedName>
    <definedName name="wld_az1_rack3_rtep_ip_pool_name">'Value Reference Tables - MR'!$O$173</definedName>
    <definedName name="wld_az2_host12_mgmt_ip">'Value Reference Tables - MR'!$I$434</definedName>
    <definedName name="sample_wld_tier0_name">'Configure Workload Domain'!$C$96</definedName>
    <definedName name="cluster_witness_hostname">'Value Reference Tables'!$I$265</definedName>
    <definedName name="group_gg_vc_admins">'Value Reference Tables'!$L$155</definedName>
    <definedName name="wld_az1_rack7_host11_mgmt_ip">'Value Reference Tables - MR'!$AA$193</definedName>
    <definedName name="input_wld_az1_rack8_mgmt_vm_vlan">'Value Reference Tables - MR'!$L$265</definedName>
    <definedName name="sample_cluster_az1_host8_mgmt_ip">'Deploy Cluster'!$C$36</definedName>
    <definedName name="mgmt_az1_edge_overlay_vlan">'Value Reference Tables - MR'!$F$17</definedName>
    <definedName name="wld_az1_rack6_host_overlay_new_pool_chosen">'Additional Racks'!$D$451</definedName>
    <definedName name="flt_vidb_cert_state">'Value Reference Tables'!$C$155</definedName>
    <definedName name="input_mgmt_nsxt_global_mgra_hostname">'Configure Management Domain'!$D$400</definedName>
    <definedName name="mgmt_srm_vrslcm_wsa_pg">'Value Reference Tables'!$U$84</definedName>
    <definedName name="input_wld_az1_rack2_host3_mgmt_ip">'Additional Racks'!$D$16</definedName>
    <definedName name="wld_az1_rack6_principal_storage_network">'Value Reference Tables - MR'!$X$41</definedName>
    <definedName name="input_wld_az1_rack2_host5_fqdn">'Additional Racks'!$D$58</definedName>
    <definedName name="mgmt_az1_secondary_storage_pool_start_ip">'Value Reference Tables - MR'!$F$155</definedName>
    <definedName name="input_wld_az1_host11_fqdn">'Deploy Workload Domain'!$D$130</definedName>
    <definedName name="wld_az1_rack6_host16_fqdn">'Value Reference Tables - MR'!$X$236</definedName>
    <definedName name="wld_vrms_p12_password">'Value Reference Tables'!$U$109</definedName>
    <definedName name="cluster_vds01_lacp_timeout_chosen">'Deploy Cluster'!$D$173</definedName>
    <definedName name="sample_wld_az1_rack8_secondary_storage_vlan">'Dumping Ground'!$C$556</definedName>
    <definedName name="sample_cbr_vcdr_ova">'Cloud-Based Ransomware Recovery'!$C$31</definedName>
    <definedName name="mgmt_nsxt_global_mgr_vmca_signed_thumbprint">'Value Reference Tables'!$O$19</definedName>
    <definedName name="rwr_vlr_replication_password">'Value Reference Tables'!$U$200</definedName>
    <definedName name="sample_mgmt_az1_en2_uplink01_interface_cidr">'Configure Management Domain'!$C$174</definedName>
    <definedName name="sample_cluster_az2_host2_mgmt_ip">'Deploy Cluster'!$C$262</definedName>
    <definedName name="flt_custom_network_vcf_ops_automation_result">'Deploy Fleet Management Day-N'!$D$8</definedName>
    <definedName name="sample_flt_custom_network_flt_fqdn">'Deploy Fleet Management Day-N'!$C$26</definedName>
    <definedName name="wld_az1_rack7_edge_overlay_mask">'Value Reference Tables - MR'!$AA$62</definedName>
    <definedName name="sample_wld_az1_rack4_host_overlay_mask">'Additional Racks'!$C$280</definedName>
    <definedName name="wld_az2_edge_overlay_mtu">'Value Reference Tables - MR'!$I$362</definedName>
    <definedName name="input_mgmt_az1_vsan_cidr">'Deploy Management Domain'!$L$168</definedName>
    <definedName name="input_mgmt_az2_host15_vrms_ip">'Site Protection &amp; DR'!$D$207</definedName>
    <definedName name="mgmt_az1_host5_mgmt_ip">'Value Reference Tables - MR'!$F$187</definedName>
    <definedName name="wld_az2_host6_mgmt_ip">'Value Reference Tables - MR'!$I$428</definedName>
    <definedName name="sample_gg_vrops_content_admins_group">'Active Directory Inputs'!$D$85</definedName>
    <definedName name="mgmt_az2_host12_mgmt_ip">'Value Reference Tables - MR'!$F$426</definedName>
    <definedName name="wld_az1_host12_hostname">'Value Reference Tables - MR'!$I$229</definedName>
    <definedName name="wld_az1_rack5_uplink02_gateway_ip">'Value Reference Tables - MR'!$U$93</definedName>
    <definedName name="mgmt_ec_rp_name">'Value Reference Tables'!$C$131</definedName>
    <definedName name="input_wld_bf_sddc_domain">'Deploy Workload Domain'!$D$23</definedName>
    <definedName name="sizing_w23_nsxt_model">'Management Domain Sizing'!$H$58</definedName>
    <definedName name="input_wld_rwr_cl02_cluster">'On-Premises Ransomware Recovery'!$D$78</definedName>
    <definedName name="wld_az2_reuse_vcf_networkpool_chosen">'Configure Workload Domain'!$D$194</definedName>
    <definedName name="sample_wld_az1_rack5_tor2_peer_asn">Arkham!$K$78</definedName>
    <definedName name="cluster_az2_vmotion_network">'Value Reference Tables'!$I$225</definedName>
    <definedName name="wld_az1_rack5_uplink02_cidr">'Value Reference Tables - MR'!$U$31</definedName>
    <definedName name="wld_az1_rack5_host6_fqdn">'Value Reference Tables - MR'!$U$226</definedName>
    <definedName name="mgmt_cl01_az1_nsx_uplink2_chosen">'Deploy Management Domain'!$L$250</definedName>
    <definedName name="sample_wld_az2_host1_fqdn">'Configure Workload Domain'!$C$232</definedName>
    <definedName name="input_flt_sr_fqdn">Arkham!$Q$29</definedName>
    <definedName name="mgmt_nsxt_en_root_password">'Value Reference Tables'!$C$233</definedName>
    <definedName name="cluster_az2_host13_fqdn">'Value Reference Tables'!$I$304</definedName>
    <definedName name="sample_wld_az1_rack2_mgmt_gateway_ip">'Additional Racks'!$C$10</definedName>
    <definedName name="sample_wld_az1_rack7_host4_mgmt_ip">'Additional Racks'!$C$482</definedName>
    <definedName name="sample_wld_az1_rack8_principal_storage_pool_start_ip">'Additional Racks'!$C$607</definedName>
    <definedName name="mgmt_avilb_hostname">'Value Reference Tables'!$C$48</definedName>
    <definedName name="wld_az1_en2_edge_overlay_interface_ip_2_ip">'Value Reference Tables - MR'!$I$273</definedName>
    <definedName name="input_vvs_dr_mgmt_az1_mgmt_vm_pg">'Site Protection &amp; DR'!$D$104</definedName>
    <definedName name="sample_flt_auto_node_pool_end_ip">Arkham!$P$35</definedName>
    <definedName name="dri_k8s_server_address">'Value Reference Tables'!$U$37</definedName>
    <definedName name="wld_az1_vmotion_pool_end_ip">'Value Reference Tables - MR'!$I$150</definedName>
    <definedName name="wld_bf_vc_sso_username">'Value Reference Tables'!$I$181</definedName>
    <definedName name="input_wld_az1_rack3_edge_overlay_pool_end_ip">Arkham!$F$72</definedName>
    <definedName name="sample_wld_az1_rack3_secondary_storage_pool_end_ip">'Dumping Ground'!$C$522</definedName>
    <definedName name="input_wld_az1_rack3_uplink01_network">Arkham!$F$59</definedName>
    <definedName name="sample_cluster_az2_host2_fqdn">'Deploy Cluster'!$C$318</definedName>
    <definedName name="input_mgmt_az1_edge_overlay_pool_start_ip">'Configure Management Domain'!$D$118</definedName>
    <definedName name="input_cluster_az2_principal_storage_pool_start_ip">'Deploy Cluster'!$D$297</definedName>
    <definedName name="sample_wld_az1_rack8_principal_storage_cidr">Arkham!$B$45</definedName>
    <definedName name="sample_wld_az1_rack2_uplink02_network">Arkham!$B$60</definedName>
    <definedName name="sample_wld_az1_rack5_host8_fqdn">'Additional Racks'!$C$340</definedName>
    <definedName name="mgmt_az1_host6_fqdn">'Value Reference Tables - MR'!$F$242</definedName>
    <definedName name="wld_az2_uplink01_mask">'Value Reference Tables - MR'!$I$330</definedName>
    <definedName name="sample_wld_az1_rack5_host5_fqdn">'Additional Racks'!$C$337</definedName>
    <definedName name="wld_az1_rack2_uplink01_mask">'Value Reference Tables - MR'!$L$60</definedName>
    <definedName name="input_cluster_az2_vmotion_pool_end_ip">'Deploy Cluster'!$D$289</definedName>
    <definedName name="input_wld_az1_rack2_vmotion_gateway_ip">'Additional Racks'!$D$40</definedName>
    <definedName name="sample_gg_vra_service_broker_admins_group">'Active Directory Inputs'!$D$98</definedName>
    <definedName name="mgmt_az1_secondary_storage_pool_end_ip">'Value Reference Tables - MR'!$F$156</definedName>
    <definedName name="sizing_w19_chosen">'Management Domain Sizing'!$C$54</definedName>
    <definedName name="sample_ccm_aws_management_subnet">'Cross Cloud Mobility'!$C$26</definedName>
    <definedName name="region_dns1_ip">'Value Reference Tables'!$L$51</definedName>
    <definedName name="input_cluster_az1_vmotion_pool_start_ip">'Deploy Cluster'!$D$55</definedName>
    <definedName name="input_wld_witness_ntp1_server">'Configure Workload Domain'!$D$281</definedName>
    <definedName name="sizing_w07_nsxt_model">'Management Domain Sizing'!$H$42</definedName>
    <definedName name="sample_wld_az1_rack2_secondary_storage_mtu">'Dumping Ground'!$C$509</definedName>
    <definedName name="sample_wld_vrms_recovery_replication_cidr">'Dumping Ground'!$C$88</definedName>
    <definedName name="wld_az1_rack3_host15_mgmt_ip">'Value Reference Tables - MR'!$O$197</definedName>
    <definedName name="input_wld_az2_vmotion_mtu">'Configure Workload Domain'!$D$198</definedName>
    <definedName name="mgmt_ec01_en02_host_group_affinity_rule_name">'Value Reference Tables'!$C$134</definedName>
    <definedName name="input_cluster_az2_mgmt_cidr">'Deploy Cluster'!$D$258</definedName>
    <definedName name="input_wld_az1_rack4_host8_mgmt_ip">'Additional Racks'!$D$207</definedName>
    <definedName name="input_wld_az2_vmotion_pool_start_ip">'Configure Workload Domain'!$D$202</definedName>
    <definedName name="sample_svc_ccm_hcx_nsx_user">'Active Directory Inputs'!$D$49</definedName>
    <definedName name="sizing_w07_chosen">'Management Domain Sizing'!$C$42</definedName>
    <definedName name="input_mgmt_az2_host8_fqdn">'Configure Management Domain'!$D$286</definedName>
    <definedName name="wld_cl01_az1_principal_storage_pg">'Value Reference Tables - MR'!$I$113</definedName>
    <definedName name="wld_srm_recovery_vcenter_fqdn">'Value Reference Tables'!$U$118</definedName>
    <definedName name="input_wld_az1_rack6_host8_mgmt_ip">'Additional Racks'!$D$393</definedName>
    <definedName name="wld_az1_rack6_principal_storage_gateway_ip">'Value Reference Tables - MR'!$X$88</definedName>
    <definedName name="sample_wld_az1_rack2_mgmt_vm_mtu">'Value Reference Tables - MR'!$Q$259</definedName>
    <definedName name="flt_vidb_nodec_ip">'Value Reference Tables'!$C$32</definedName>
    <definedName name="mgmt_az1_vm_vlan">'Value Reference Tables'!$AD$8</definedName>
    <definedName name="vcf_version_chosen">'VCF &amp; VVF Planning'!$J$16</definedName>
    <definedName name="wld_en01_bfd_chosen">'Configure Workload Domain'!$D$104</definedName>
    <definedName name="wld_az1_rack5_vmotion_mtu">'Value Reference Tables - MR'!$U$71</definedName>
    <definedName name="input_mgmt_az2_secondary_storage_network">'Configure Management Domain'!$D$270</definedName>
    <definedName name="ccm_hcx_root_password">'Value Reference Tables'!$U$180</definedName>
    <definedName name="sample_flt_net_admin_password">'Deploy Fleet Management Day-N'!$C$329</definedName>
    <definedName name="mgmt_nsx_operation_mode_chosen">'Deploy Management Domain'!$L$247</definedName>
    <definedName name="sample_wld_az1_rack7_vmotion_mask">'Additional Racks'!$C$504</definedName>
    <definedName name="wld_az1_rack6_uplink02_network">'Value Reference Tables - MR'!$X$46</definedName>
    <definedName name="input_cluster_az1_vmotion_vlan">'Deploy Cluster'!$D$50</definedName>
    <definedName name="sample_mgmt_internet_proxy_address">'Deploy Management Domain'!$K$15</definedName>
    <definedName name="flt_custom_network_ops_nodeb_fqdn">'Value Reference Tables'!$L$299</definedName>
    <definedName name="wld_az1_rack8_vmotion_pool_end_ip">'Value Reference Tables - MR'!$AD$150</definedName>
    <definedName name="certificate_authority_name">'Value Reference Tables'!$L$59</definedName>
    <definedName name="input_wld_az1_rack5_mgmt_vm_cidr">'Value Reference Tables - MR'!$N$262</definedName>
    <definedName name="input_cluster_az1_host10_fqdn">'Deploy Cluster'!$D$93</definedName>
    <definedName name="input_wld_az1_rack6_uplink02_vlan">Arkham!$O$57</definedName>
    <definedName name="sample_flt_net_prxy_ip">'Deploy Fleet Management Day-N'!$C$309</definedName>
    <definedName name="input_wld_az1_rack5_principal_storage_vlan">'Additional Racks'!$D$323</definedName>
    <definedName name="sample_wld_az1_host_overlay_network_pool_name">'Deploy Workload Domain'!$C$306</definedName>
    <definedName name="input_wld_az1_host6_vrms_ip">'Dumping Ground'!$D$298</definedName>
    <definedName name="sample_wld_az2_host1_mgmt_ip">'Configure Workload Domain'!$C$174</definedName>
    <definedName name="sizing_w06_ssp_chosen">'Management Domain Sizing'!$V$41</definedName>
    <definedName name="sample_flt_vcfms_node_pool_end_ip">Arkham!$P$41</definedName>
    <definedName name="input_wld_az1_mgmt_vlan">'Deploy Workload Domain'!$D$58</definedName>
    <definedName name="wld_az1_rack4_vrms_gateway_ip">'Value Reference Tables - MR'!$R$96</definedName>
    <definedName name="input_mgmt_rtep_overlay_pool_start_ip">'Configure Management Domain'!$D$492</definedName>
    <definedName name="sample_nsxt_gm_admin_password">'Configure Management Domain'!$C$407</definedName>
    <definedName name="wld_az1_rack5_mgmt_mtu">'Value Reference Tables - MR'!$U$70</definedName>
    <definedName name="sample_xreg_vrops_vrms_sso_password">'Site Protection &amp; DR'!$C$479</definedName>
    <definedName name="input_cluster_az2_vmotion_mtu">'Deploy Cluster'!$D$284</definedName>
    <definedName name="wld_az2_mgmt_gateway_ip">'Value Reference Tables - MR'!$I$339</definedName>
    <definedName name="sample_wld_vpc_ext_ip_blocks">'Configure Workload Domain'!$C$131</definedName>
    <definedName name="input_wld_az1_rack7_mgmt_mtu">'Additional Racks'!$D$477</definedName>
    <definedName name="sample_mgmt_az1_host1_fqdn">'Deploy Management Domain'!$K$128</definedName>
    <definedName name="wld_az1_rack3_edge_overlay_network">'Value Reference Tables - MR'!$O$47</definedName>
    <definedName name="sample_air_license">'Private AI Ready Infrastructure'!$C$9</definedName>
    <definedName name="sample_wld_az1_rack4_pool_name">'Additional Racks'!$C$220</definedName>
    <definedName name="sample_wld_cl01_vds03_pnics">'Deploy Workload Domain'!$C$269</definedName>
    <definedName name="sample_wld_az1_en1_uplink01_interface_cidr">'Configure Workload Domain'!$C$102</definedName>
    <definedName name="mgmt_srm_vrops_pg">'Value Reference Tables'!$U$86</definedName>
    <definedName name="wld_az1_rack4_host6_hostname">'Value Reference Tables - MR'!$R$207</definedName>
    <definedName name="input_mgmt_witness_ntp1_server">'Configure Management Domain'!$D$326</definedName>
    <definedName name="input_cluster_az1_host_overlay_network_pool_description">'Deploy Cluster'!$D$235</definedName>
    <definedName name="sample_domain_controller_hostname">Arkham!$B$15</definedName>
    <definedName name="input_cluster_az1_storage_cluster_pool_start_ip">'Deploy Cluster'!$D$79</definedName>
    <definedName name="sample_wld_az2_secondary_storage_vlan">'Configure Workload Domain'!$C$213</definedName>
    <definedName name="wld_az1_rack3_en2_fqdn">'Value Reference Tables - MR'!$O$250</definedName>
    <definedName name="sizing_w24_vcenter_appliance_size">'Management Domain Sizing'!$D$59</definedName>
    <definedName name="sample_cluster_az1_host10_fqdn">'Deploy Cluster'!$C$93</definedName>
    <definedName name="sample_wld_az1_rack6_host_overlay_mtu">'Additional Racks'!$C$464</definedName>
    <definedName name="sample_wld_az1_vmotion_network">'Deploy Workload Domain'!$C$87</definedName>
    <definedName name="input_wld_az1_rack7_uplink01_mtu">Arkham!$R$71</definedName>
    <definedName name="k8s_mgmt_pool_start_ip">'Value Reference Tables'!$U$31</definedName>
    <definedName name="sample_wld_az1_host7_vrms_ip">'Dumping Ground'!$C$299</definedName>
    <definedName name="input_wld_az1_rack7_vmotion_gateway_ip">'Additional Racks'!$D$505</definedName>
    <definedName name="wld_az1_rack5_host14_fqdn">'Value Reference Tables - MR'!$U$234</definedName>
    <definedName name="mgmt_cl01_vds_profile_chosen">'Deploy Management Domain'!$L$183</definedName>
    <definedName name="sample_wld_az1_rack8_mgmt_cidr">'Additional Racks'!$C$569</definedName>
    <definedName name="cbr_recovery_management_subnet">'Value Reference Tables'!$U$137</definedName>
    <definedName name="wld_az2_host9_mgmt_ip">'Value Reference Tables - MR'!$I$431</definedName>
    <definedName name="wld_az1_principal_storage_vlan">'Value Reference Tables - MR'!$I$11</definedName>
    <definedName name="wld_az1_rack7_principal_storage_network">'Value Reference Tables - MR'!$AA$41</definedName>
    <definedName name="wld_nsx_default_operation_mode_chosen">'Deploy Workload Domain'!$D$297</definedName>
    <definedName name="mgmt_nsxt_global_mgrb_hostname">'Value Reference Tables'!$C$46</definedName>
    <definedName name="input_wld_az1_rack5_host9_mgmt_ip">'Additional Racks'!$D$301</definedName>
    <definedName name="input_wld_az1_rack1_host_overlay_network_profile_name">'Deploy Workload Domain'!$D$314</definedName>
    <definedName name="input_mgmt_az1_tor2_peer_ip">'Configure Management Domain'!$D$167</definedName>
    <definedName name="input_ca_template_name">'Configure Management Domain'!$D$45</definedName>
    <definedName name="input_wld_az1_rack6_host10_fqdn">'Additional Racks'!$D$435</definedName>
    <definedName name="vvs_dr_flt_logs_nodec_fqdn">'Value Reference Tables'!$O$103</definedName>
    <definedName name="wld_az1_vm_vlan">'Value Reference Tables'!$AD$29</definedName>
    <definedName name="wld_principal_storage_result">'Deploy Workload Domain'!$D$14</definedName>
    <definedName name="sample_wld_az1_rack5_edge_overlay_network_pool_name">'Additional Racks'!$C$361</definedName>
    <definedName name="wld_az1_rack5_edge_overlay_network_pool_name">'Value Reference Tables - MR'!$U$172</definedName>
    <definedName name="input_wld_az1_host7_mgmt_ip">'Deploy Workload Domain'!$D$69</definedName>
    <definedName name="sample_cluster_az2_storage_cluster_pool_start_ip">'Deploy Cluster'!$C$312</definedName>
    <definedName name="wld_az2_vrms_vlan">'Value Reference Tables - MR'!$I$289</definedName>
    <definedName name="sample_cluster_az1_mgmt_cidr">'Deploy Cluster'!$C$26</definedName>
    <definedName name="wld_az1_rack5_host1_mgmt_ip">'Value Reference Tables - MR'!$U$183</definedName>
    <definedName name="mgmt_cl01_vds03_link_type_chosen">'Deploy Management Domain'!$L$211</definedName>
    <definedName name="flt_logs_result">'Deploy Fleet Management Day-N'!$D$10</definedName>
    <definedName name="sample_wld_cl01_supervisor_vpc_profile">'Deploy Workload Domain'!$C$332</definedName>
    <definedName name="sample_wld_az1_rack7_vmotion_pool_start_ip">'Additional Racks'!$C$506</definedName>
    <definedName name="wld_az1_rtep_overlay_mtu">'Value Reference Tables - MR'!$I$79</definedName>
    <definedName name="group_gg_vra_project_admins_sample">'Value Reference Tables'!$L$150</definedName>
    <definedName name="sample_wld_witness_hostname">'Configure Workload Domain'!$C$267</definedName>
    <definedName name="input_wld_az1_rack2_host8_mgmt_ip">'Additional Racks'!$D$21</definedName>
    <definedName name="input_wld_az1_rack4_tor1_peer_asn">Arkham!$I$75</definedName>
    <definedName name="input_wld_az1_en2_eth1_uplink1">'Configure Workload Domain'!$D$83</definedName>
    <definedName name="wld_vrms_admin_email">'Value Reference Tables'!$U$107</definedName>
    <definedName name="cluster_az2_host8_fqdn">'Value Reference Tables'!$I$299</definedName>
    <definedName name="sample_wld_az1_rack4_host_overlay_network_profile_name">'Additional Racks'!$C$264</definedName>
    <definedName name="sample_wld_az1_rack6_host2_fqdn">'Additional Racks'!$C$427</definedName>
    <definedName name="sample_mgmt_az1_host2_fqdn">'Deploy Management Domain'!$K$129</definedName>
    <definedName name="sample_flt_vidb_system_user_password">'Deploy Fleet Management Day-N'!$C$157</definedName>
    <definedName name="sizing_w05_vcenter_storage_size">'Management Domain Sizing'!$F$40</definedName>
    <definedName name="mgmt_srm_recovery_datastore">'Value Reference Tables'!$U$97</definedName>
    <definedName name="wld_az1_rack3_mgmt_gateway_ip">'Value Reference Tables - MR'!$O$86</definedName>
    <definedName name="cbr_vcdr_orchestrator_fqdn">'Value Reference Tables'!$U$146</definedName>
    <definedName name="wld_az1_vrms_network">'Value Reference Tables - MR'!$I$49</definedName>
    <definedName name="sample_wld_srm_admin_password">'Dumping Ground'!$C$79</definedName>
    <definedName name="sample_wld_az1_rack8_vmotion_vlan">'Additional Racks'!$C$594</definedName>
    <definedName name="sample_vcf_automation_nodec_ip">'Deploy Fleet Management Day-N'!$C$115</definedName>
    <definedName name="input_xreg_vra_virtual_ip">'Deploy Management Domain'!$L$315</definedName>
    <definedName name="sample_wld_az1_rack6_host6_fqdn">'Additional Racks'!$C$431</definedName>
    <definedName name="input_cluster_az1_nsx_uplink1">'Deploy Cluster'!$D$244</definedName>
    <definedName name="cluster_az1_host2_mgmt_ip">'Value Reference Tables'!$I$54</definedName>
    <definedName name="mgmt_az1_host13_hostname">'Value Reference Tables - MR'!$F$230</definedName>
    <definedName name="vvs_dr_ntp1_server">'Value Reference Tables'!$O$93</definedName>
    <definedName name="sample_wld_az1_rack6_host_overlay_pool_end_ip">'Additional Racks'!$C$469</definedName>
    <definedName name="input_wld_az1_host7_fqdn">'Deploy Workload Domain'!$D$126</definedName>
    <definedName name="mgmt_az1_host2_vrms_ip">'Value Reference Tables - MR'!$F$200</definedName>
    <definedName name="wld_az1_rack2_host2_mgmt_ip">'Value Reference Tables - MR'!$L$184</definedName>
    <definedName name="sizing_w10_nsxt_gm_appliance_size">'Management Domain Sizing'!$M$45</definedName>
    <definedName name="wld_az1_host12_mgmt_ip">'Value Reference Tables - MR'!$I$194</definedName>
    <definedName name="wld_az1_rack4_vrms_vlan">'Value Reference Tables - MR'!$R$19</definedName>
    <definedName name="input_k8s_vcenter_content_library">'Private AI Ready Infrastructure'!$D$95</definedName>
    <definedName name="xreg_vrops_collector_fqdn">'Value Reference Tables'!$R$97</definedName>
    <definedName name="input_wld_az1_rack5_principal_storage_network">'Additional Racks'!$D$325</definedName>
    <definedName name="cbr_vm_folder">'Value Reference Tables'!$U$130</definedName>
    <definedName name="cluster_az1_secondary_storage_mask">'Value Reference Tables'!$I$38</definedName>
    <definedName name="input_wld_az1_rack2_host_overlay_pool_start_ip">'Additional Racks'!$D$96</definedName>
    <definedName name="sample_wld_witness_vm_folder">'Configure Workload Domain'!$C$269</definedName>
    <definedName name="wld_az1_rack8_host_overlay_cidr">'Value Reference Tables - MR'!$AD$27</definedName>
    <definedName name="sizing_w05_nsxt_model">'Management Domain Sizing'!$H$40</definedName>
    <definedName name="wld_az1_rack2_secondary_storage_vlan">'Value Reference Tables - MR'!$L$13</definedName>
    <definedName name="sample_wld_az1_rack6_tor2_peer_ip">Arkham!$N$77</definedName>
    <definedName name="sample_cluster_az1_host_overlay_pool_end_ip">'Deploy Cluster'!$C$238</definedName>
    <definedName name="input_wld_az1_rack7_host_overlay_mtu">'Additional Racks'!$D$557</definedName>
    <definedName name="wld_az2_host16_fqdn">'Value Reference Tables - MR'!$I$492</definedName>
    <definedName name="mgmt_nsxt_mgr_formfactor">'Value Reference Tables'!$O$14</definedName>
    <definedName name="mgmt_az1_mgmt_network">'Value Reference Tables - MR'!$F$39</definedName>
    <definedName name="wld_az1_edge_overlay_cidr">'Value Reference Tables - MR'!$I$32</definedName>
    <definedName name="sample_cluster_az1_host12_fqdn">'Deploy Cluster'!$C$95</definedName>
    <definedName name="sample_wld_az1_vmotion_pool_start_ip">'Deploy Workload Domain'!$C$90</definedName>
    <definedName name="sizing_w23_spr_chosen">'Management Domain Sizing'!$P$58</definedName>
    <definedName name="sample_wld_az1_rack7_mgmt_cidr">'Additional Racks'!$C$476</definedName>
    <definedName name="cluster_vds_profile_chosen">'Deploy Cluster'!$D$161</definedName>
    <definedName name="wld_az1_rack6_host11_fqdn">'Value Reference Tables - MR'!$X$231</definedName>
    <definedName name="wld_vrms_site_name">'Value Reference Tables'!$U$106</definedName>
    <definedName name="wld_az1_rack2_mgmt_gateway_ip">'Value Reference Tables - MR'!$L$86</definedName>
    <definedName name="input_wld_az1_rack8_tor1_peer_ip">Arkham!$U$74</definedName>
    <definedName name="sample_wld_az1_rack2_mgmt_vlan">'Additional Racks'!$C$9</definedName>
    <definedName name="sample_vcf_automation_cert_common_name">'Deploy Fleet Management Day-N'!$C$70</definedName>
    <definedName name="mgmt_az1_en1_eth0_uplink0">'Value Reference Tables'!$C$244</definedName>
    <definedName name="input_wld_az1_uplink01_vlan">'Configure Workload Domain'!$D$101</definedName>
    <definedName name="sample_wld_az1_rack6_vsan_fault_domain">'Additional Racks'!$C$458</definedName>
    <definedName name="input_mgmt_cl01_vsan_datastore">'Deploy Management Domain'!$L$117</definedName>
    <definedName name="sample_wld_az1_rack8_host14_fqdn">'Additional Racks'!$C$625</definedName>
    <definedName name="wld_az2_host_overlay_network">'Value Reference Tables - MR'!$I$312</definedName>
    <definedName name="svc_vro_vsphere_password">'Value Reference Tables'!$L$122</definedName>
    <definedName name="sample_wld_az1_mgmt_vm_vlan">'Deploy Workload Domain'!$C$346</definedName>
    <definedName name="sample_ca_administrator_username">'Configure Management Domain'!$C$34</definedName>
    <definedName name="sample_wld_az1_rack7_mgmt_vm_gateway_ip">'Value Reference Tables - MR'!$O$264</definedName>
    <definedName name="local_vcf_aware_wsa_root_password">'Value Reference Tables'!$AA$27</definedName>
    <definedName name="cluster_witness_dns1_ip">'Value Reference Tables'!$I$275</definedName>
    <definedName name="input_cluster_az2_host_overlay_network_profile_name">'Deploy Cluster'!$D$405</definedName>
    <definedName name="input_svc_inv_vrops_user">'Active Directory Inputs'!$E$34</definedName>
    <definedName name="input_wld_az2_secondary_storage_vlan">'Configure Workload Domain'!$D$213</definedName>
    <definedName name="input_wld_az1_rack6_mgmt_vlan">'Additional Racks'!$D$381</definedName>
    <definedName name="wld_az2_host3_sddc_id">'Value Reference Tables'!$F$113</definedName>
    <definedName name="input_wld_az1_rack8_host_overlay_gateway_ip">'Additional Racks'!$D$653</definedName>
    <definedName name="input_wld_nsxt_gm_vip_fqdn">'Configure Workload Domain'!$D$443</definedName>
    <definedName name="mgmt_az2_uplink02_gateway_ip">'Value Reference Tables - MR'!$F$341</definedName>
    <definedName name="VMware_Cloud_Foundation">'Static Reference Tables'!$F$11:$F$12</definedName>
    <definedName name="input_wld_az1_rack3_vmotion_mask">'Additional Racks'!$D$132</definedName>
    <definedName name="input_wld_az1_rack5_uplink01_mtu">Arkham!$L$68</definedName>
    <definedName name="flt_vidb_datastore">'Value Reference Tables'!$C$164</definedName>
    <definedName name="table_nsxt_edge_disk_gb">'Static Reference Tables'!$B$92:$C$95</definedName>
    <definedName name="wld_vlr_replication_user">'Value Reference Tables'!$U$198</definedName>
    <definedName name="wld_az1_rack6_host1_fqdn">'Value Reference Tables - MR'!$X$221</definedName>
    <definedName name="input_wld_nsxt_global_mgrc_fqdn">'Configure Workload Domain'!$D$404</definedName>
    <definedName name="sample_wld_az1_rack2_host16_mgmt_ip">'Additional Racks'!$C$29</definedName>
    <definedName name="mgmt_az2_host9_fqdn">'Value Reference Tables - MR'!$F$477</definedName>
    <definedName name="input_cluster_az1_host14_fqdn">'Deploy Cluster'!$D$97</definedName>
    <definedName name="input_vrslcm_root_password">'Deploy Management Domain'!$L$68</definedName>
    <definedName name="k8s_vcenter_tag">'Value Reference Tables'!$U$25</definedName>
    <definedName name="input_wld_az1_rack5_mgmt_vm_vlan">'Value Reference Tables - MR'!$L$262</definedName>
    <definedName name="sample_sddc_mgr_root_password">'Deploy Management Domain'!$K$267</definedName>
    <definedName name="input_wld_az1_rack4_edge_overlay_gateway_ip">Arkham!$I$64</definedName>
    <definedName name="sample_ccm_aws_host_type">'Cross Cloud Mobility'!$C$22</definedName>
    <definedName name="input_wld_az1_rack5_mgmt_mtu">'Additional Racks'!$D$291</definedName>
    <definedName name="sample_administrator_vsphere_local_password">'Deploy Management Domain'!$K$97</definedName>
    <definedName name="wld_az1_host12_vrms_ip">'Value Reference Tables - MR'!$I$210</definedName>
    <definedName name="wld_az1_rack3_host5_fqdn">'Value Reference Tables - MR'!$O$225</definedName>
    <definedName name="sample_mgmt_az1_host10_vrms_ip">'Site Protection &amp; DR'!$C$185</definedName>
    <definedName name="table_vcenter_appliance_ram">'Static Reference Tables'!$B$40:$C$44</definedName>
    <definedName name="wld_az1_rack4_host_hostnames">'Value Reference Tables - MR'!$R$202:$R$217</definedName>
    <definedName name="input_wld_az1_rack6_host12_mgmt_ip">'Additional Racks'!$D$397</definedName>
    <definedName name="wld_az1_rack3_vmotion_mask">'Value Reference Tables - MR'!$O$55</definedName>
    <definedName name="wld_az1_rack5_host1_hostname">'Value Reference Tables - MR'!$U$202</definedName>
    <definedName name="sample_wld_az1_rack7_host1_mgmt_ip">'Additional Racks'!$C$479</definedName>
    <definedName name="flt_custom_network_ops_vip_ip">'Value Reference Tables'!$L$301</definedName>
    <definedName name="certificate_authority_model">'Value Reference Tables'!$O$9</definedName>
    <definedName name="input_mgmt_existing_cross_instance_t0_name">'Configure Management Domain'!$D$532</definedName>
    <definedName name="sample_wld_az1_rack7_uplink01_mask">Arkham!$Q$68</definedName>
    <definedName name="input_wld_az1_rack4_host_overlay_gateway_ip">'Additional Racks'!$D$281</definedName>
    <definedName name="sizing_m01_vcenter_storage_size_chosen">'Deploy Management Domain'!$L$92</definedName>
    <definedName name="sample_wld_az1_rack2_tor2_peer_ip">Arkham!$B$77</definedName>
    <definedName name="wld_az1_rack2_uplink01_network">'Value Reference Tables - MR'!$L$45</definedName>
    <definedName name="input_wld_az1_mgmt_vm_gateway_ip">'Deploy Workload Domain'!$D$347</definedName>
    <definedName name="sample_wld_az1_en2_hostname">'Configure Workload Domain'!$C$532</definedName>
    <definedName name="sample_cluster_vds03_uplink_count">'Deploy Cluster'!$C$196</definedName>
    <definedName name="sample_wld_az1_rack8_tor1_peer_ip">Arkham!$T$74</definedName>
    <definedName name="input_wld_az1_vmotion_mtu">'Deploy Workload Domain'!$D$86</definedName>
    <definedName name="ccm_hcx_mgmt_network_ip_range">'Value Reference Tables'!$U$185</definedName>
    <definedName name="sample_wld_az1_rack6_mgmt_vm_vlan">'Value Reference Tables - MR'!$K$263</definedName>
    <definedName name="wld_nsxt_mgra_hostname">'Value Reference Tables'!$F$32</definedName>
    <definedName name="input_mgmt_srm_net_rp">'Site Protection &amp; DR'!$D$308</definedName>
    <definedName name="cluster_az2_host_overlay_uplink_profile_name">'Value Reference Tables'!$I$284</definedName>
    <definedName name="sample_wld_az2_pool_name">'Configure Workload Domain'!$C$195</definedName>
    <definedName name="flt_net_ha_mode_chosen">'Deploy Fleet Management Day-N'!$D$290</definedName>
    <definedName name="mgmt_az2_rtep_overlay_pg">'Value Reference Tables - MR'!$F$381</definedName>
    <definedName name="wld_az1_rack7_rtep_overlay_cidr">'Value Reference Tables - MR'!$AA$33</definedName>
    <definedName name="wld_az1_rack5_host4_fqdn">'Value Reference Tables - MR'!$U$224</definedName>
    <definedName name="sample_cbr_recovery_host_type">'Cloud-Based Ransomware Recovery'!$C$20</definedName>
    <definedName name="table_vcfa_appliance_disk">'Static Reference Tables'!$B$135:$C$137</definedName>
    <definedName name="flt_vidb_resource_pool">'Value Reference Tables'!$C$160</definedName>
    <definedName name="navlink_input_ca_values">'Configure Management Domain'!$B$57</definedName>
    <definedName name="sample_wld_az1_host_overlay_cidr">'Deploy Workload Domain'!$C$308</definedName>
    <definedName name="mgmt_az2_host5_hostname">'Value Reference Tables - MR'!$F$454</definedName>
    <definedName name="ccm_hcx_service_mesh">'Value Reference Tables'!$U$188</definedName>
    <definedName name="wld_az1_host_overlay_gateway_ip">'Value Reference Tables - MR'!$I$89</definedName>
    <definedName name="cluster_az1_host11_mgmt_ip">'Value Reference Tables'!$I$63</definedName>
    <definedName name="sample_wld_ec01_en02_host_group_affinity_rule_name">'Configure Workload Domain'!$C$72</definedName>
    <definedName name="input_wld_az1_rack7_host3_mgmt_ip">'Additional Racks'!$D$481</definedName>
    <definedName name="sddc_mgr_admin_local_password">'Value Reference Tables'!$L$29</definedName>
    <definedName name="sample_ccm_firewall_rule_vcenter">'Cross Cloud Mobility'!$C$27</definedName>
    <definedName name="input_wld_az1_rack4_host15_mgmt_ip">'Additional Racks'!$D$214</definedName>
    <definedName name="mgmt_cl01_vds02_uplink1">'Value Reference Tables'!$C$100</definedName>
    <definedName name="sample_flt_vidb_additional_vips">'Deploy Fleet Management Day-N'!$C$169</definedName>
    <definedName name="sample_mgmt_srm_admin_email">'Dumping Ground'!$C$41</definedName>
    <definedName name="input_wld_az1_host_overlay_cidr">'Deploy Workload Domain'!$D$308</definedName>
    <definedName name="wld_az1_rack8_secondary_storage_gateway_ip">'Value Reference Tables - MR'!$AD$90</definedName>
    <definedName name="sample_wld_az1_rack4_tor2_peer_ip">Arkham!$H$77</definedName>
    <definedName name="sample_mgmt_az2_host13_vrms_ip">'Site Protection &amp; DR'!$C$205</definedName>
    <definedName name="sample_wld_vrms_p12_password">'Dumping Ground'!$C$75</definedName>
    <definedName name="wld_az1_rack8_uplink01_gateway_ip">'Value Reference Tables - MR'!$AD$92</definedName>
    <definedName name="input_wld_az1_rack8_uplink01_vlan">Arkham!$U$56</definedName>
    <definedName name="wld_az1_rack4_en1_uplink02_interface_ip">'Value Reference Tables - MR'!$R$243</definedName>
    <definedName name="sample_wld_az1_rack5_pool_name">'Additional Racks'!$C$313</definedName>
    <definedName name="sample_mgmt_srm_vrslcm_wsa_pg">'Dumping Ground'!$C$46</definedName>
    <definedName name="wld_az1_rack3_host1_mgmt_ip">'Value Reference Tables - MR'!$O$183</definedName>
    <definedName name="sample_mgmt_datacenter">'Deploy Management Domain'!$K$93</definedName>
    <definedName name="wld_az2_host7_mgmt_ip">'Value Reference Tables - MR'!$I$429</definedName>
    <definedName name="input_mgmt_az1_host10_fqdn">'Deploy Management Domain'!$L$137</definedName>
    <definedName name="input_wld_avilb_cluster_version">'Configure Workload Domain'!$D$151</definedName>
    <definedName name="sizing_vcls_disk">'Static Reference Tables'!$C$104</definedName>
    <definedName name="sample_xreg_vrops_nodea_fqdn">'Deploy Management Domain'!$K$57</definedName>
    <definedName name="sample_wld_az1_rack2_vmotion_gateway_ip">'Additional Racks'!$C$40</definedName>
    <definedName name="input_flt_vidb_last_name">'Deploy Fleet Management Day-N'!$D$196</definedName>
    <definedName name="sample_wld_witness_vsan_datastore">'Configure Workload Domain'!$C$270</definedName>
    <definedName name="wld_az1_rack2_host3_hostname">'Value Reference Tables - MR'!$L$204</definedName>
    <definedName name="mgmt_ceip_status_chosen">'Deploy Management Domain'!$L$50</definedName>
    <definedName name="input_wld_az1_rack7_mgmt_vm_cidr">'Value Reference Tables - MR'!$N$264</definedName>
    <definedName name="cluster_az1_host_overlay_network_pool_description">'Value Reference Tables'!$I$162</definedName>
    <definedName name="region_vrli_nodea_fqdn">'Value Reference Tables'!$R$71</definedName>
    <definedName name="input_wld_az2_host3_fqdn">'Configure Workload Domain'!$D$234</definedName>
    <definedName name="wld_az1_rack4_en1_edge_overlay_interface_ip_1_ip">'Value Reference Tables - MR'!$R$244</definedName>
    <definedName name="wld_az1_rack2_host_overlay_mtu">'Value Reference Tables - MR'!$L$73</definedName>
    <definedName name="sample_wld_az1_host10_fqdn">'Deploy Workload Domain'!$C$129</definedName>
    <definedName name="mgmt_az1_vsan_mask">'Value Reference Tables - MR'!$F$56</definedName>
    <definedName name="input_wld_az1_rack2_host6_fqdn">'Additional Racks'!$D$59</definedName>
    <definedName name="sizing_w13_spr_chosen">'Management Domain Sizing'!$P$48</definedName>
    <definedName name="wld_az1_rack2_edge_overlay_network_pool_name">'Value Reference Tables - MR'!$L$172</definedName>
    <definedName name="nsxt_lm_audit_password">'Value Reference Tables'!$L$18</definedName>
    <definedName name="input_child_svc_vsphere_ad_password">'Active Directory Inputs'!$G$18</definedName>
    <definedName name="cluster_vds01_lacp_mode_chosen">'Deploy Cluster'!$D$171</definedName>
    <definedName name="sample_wld_nsxt_gm_root_password">'Configure Workload Domain'!$C$367</definedName>
    <definedName name="wld_az1_rack7_host9_hostname">'Value Reference Tables - MR'!$AA$210</definedName>
    <definedName name="sample_mgmt_az2_host12_fqdn">'Configure Management Domain'!$C$290</definedName>
    <definedName name="sample_wld_az1_rack2_host10_fqdn">'Additional Racks'!$C$63</definedName>
    <definedName name="sample_svc_vra_vrops_user">'Active Directory Inputs'!$D$41</definedName>
    <definedName name="sizing_w22_vcenter_storage_size">'Management Domain Sizing'!$F$57</definedName>
    <definedName name="input_administrator_vsphere_local_password">'Deploy Management Domain'!$L$97</definedName>
    <definedName name="mgmt_az2_mgmt_vlan">'Value Reference Tables - MR'!$F$279</definedName>
    <definedName name="wld_az1_rack5_mgmt_mask">'Value Reference Tables - MR'!$U$179</definedName>
    <definedName name="sample_flt_logs_vcenter_fqdn">'Deploy Fleet Management Day-N'!$C$234</definedName>
    <definedName name="mgmt_nsxt_federation_result">'Configure Management Domain'!$D$16</definedName>
    <definedName name="wld_az1_rack6_host13_mgmt_ip">'Value Reference Tables - MR'!$X$195</definedName>
    <definedName name="sample_wld_az1_rack2_host7_fqdn">'Additional Racks'!$C$60</definedName>
    <definedName name="input_wld_az1_rack3_host5_mgmt_ip">'Additional Racks'!$D$111</definedName>
    <definedName name="input_wld_az1_rack8_vmotion_gateway_ip">'Additional Racks'!$D$598</definedName>
    <definedName name="input_cluster_az2_host_overlay_cidr">'Deploy Cluster'!$D$410</definedName>
    <definedName name="input_wld_az1_rack8_mgmt_gateway_ip">'Additional Racks'!$D$568</definedName>
    <definedName name="wld_az1_rack8_host13_fqdn">'Value Reference Tables - MR'!$AD$233</definedName>
    <definedName name="input_cluster_az2_storage_cluster_pool_end_ip">'Deploy Cluster'!$D$313</definedName>
    <definedName name="wld_az1_rack3_host_overlay_network">'Value Reference Tables - MR'!$O$42</definedName>
    <definedName name="sample_wld_az1_storage_cluster_mask">'Deploy Workload Domain'!$C$112</definedName>
    <definedName name="table_nsxt_deployment_model_dedicated">'Static Reference Tables'!$C$304</definedName>
    <definedName name="sample_mgmt_vrms_admin_email">'Site Protection &amp; DR'!$C$153</definedName>
    <definedName name="this_instance">'Value Reference Tables'!$AA$59</definedName>
    <definedName name="input_wld_az1_rack2_host3_fqdn">'Additional Racks'!$D$56</definedName>
    <definedName name="wld_az1_rack8_reuse_vcf_networkpool_chosen">'Additional Racks'!$D$591</definedName>
    <definedName name="wld_srm_hostname">'Value Reference Tables'!$R$120</definedName>
    <definedName name="sample_wld_bf_vc_sso_username">'Deploy Workload Domain'!$C$31</definedName>
    <definedName name="input_wld_az1_rack5_host15_fqdn">'Additional Racks'!$D$347</definedName>
    <definedName name="wld_az1_rack7_host14_hostname">'Value Reference Tables - MR'!$AA$215</definedName>
    <definedName name="input_mgmt_az1_en1_eth0_uplink0">'Configure Management Domain'!$D$111</definedName>
    <definedName name="wld_az1_storage_cluster_pool_start_ip">'Value Reference Tables - MR'!$I$157</definedName>
    <definedName name="input_flt_custom_network_ops_collector_root_password">'Deploy Fleet Management Day-N'!$D$48</definedName>
    <definedName name="wld_az1_host7_mgmt_ip">'Value Reference Tables - MR'!$I$189</definedName>
    <definedName name="input_cluster_az2_host5_fqdn">'Deploy Cluster'!$D$321</definedName>
    <definedName name="mgmt_az1_host_overlay_transport_zone">'Value Reference Tables - MR'!$F$170</definedName>
    <definedName name="table_vcfo_appliance_cpu">'Static Reference Tables'!$B$153:$C$155</definedName>
    <definedName name="cluster_vds03_lacp_timeout_chosen">'Deploy Cluster'!$D$195</definedName>
    <definedName name="xreg_vrops_vrms_sso_password">'Value Reference Tables'!$U$58</definedName>
    <definedName name="input_cluster_az2_host14_fqdn">'Deploy Cluster'!$D$330</definedName>
    <definedName name="sample_wld_az2_host8_mgmt_ip">'Configure Workload Domain'!$C$181</definedName>
    <definedName name="input_cluster_vds01_uplink_count">'Deploy Cluster'!$D$174</definedName>
    <definedName name="sample_wld_cl01_vmfs_datastore_name">'Deploy Workload Domain'!$C$205</definedName>
    <definedName name="mgmt_cl01_az1_mgmt_uplink2_chosen">'Deploy Management Domain'!$L$224</definedName>
    <definedName name="sample_wld_az1_rack4_host8_mgmt_ip">'Additional Racks'!$C$207</definedName>
    <definedName name="input_mgmt_az1_host13_fqdn">'Deploy Management Domain'!$L$140</definedName>
    <definedName name="sizing_w05_vcenter_appliance_size">'Management Domain Sizing'!$D$40</definedName>
    <definedName name="input_flt_auto_sr_ip">Arkham!$Q$26</definedName>
    <definedName name="wld_az2_host6_hostname">'Value Reference Tables - MR'!$I$463</definedName>
    <definedName name="sizing_w15_ssp_chosen">'Management Domain Sizing'!$V$50</definedName>
    <definedName name="wld_witnessaz_mgmt_mtu">'Value Reference Tables'!$X$68</definedName>
    <definedName name="region_vrli_nodea_hostname">'Value Reference Tables'!$R$64</definedName>
    <definedName name="input_wld_az1_host5_mgmt_ip">'Deploy Workload Domain'!$D$67</definedName>
    <definedName name="input_wld_az2_secondary_storage_mask">'Configure Workload Domain'!$D$216</definedName>
    <definedName name="wld_cl01_supervisor_dns">'Value Reference Tables'!$F$181</definedName>
    <definedName name="input_wld_az1_rack5_tor2_peer_asn">Arkham!$L$78</definedName>
    <definedName name="sample_wld_az2_vmotion_pool_end_ip">'Configure Workload Domain'!$C$203</definedName>
    <definedName name="wld_az1_rack3_uplink02_cidr">'Value Reference Tables - MR'!$O$31</definedName>
    <definedName name="input_wld_az1_rack6_tor2_peer_asn">Arkham!$O$78</definedName>
    <definedName name="wld_az1_rack6_vrms_cidr">'Value Reference Tables - MR'!$X$34</definedName>
    <definedName name="input_wld_az2_host13_mgmt_ip">'Configure Workload Domain'!$D$186</definedName>
    <definedName name="wld_az2_rtep_overlay_vlan">'Value Reference Tables - MR'!$I$288</definedName>
    <definedName name="input_wld_az1_rack5_principal_storage_mask">'Additional Racks'!$D$326</definedName>
    <definedName name="wld_az1_rack7_secondary_storage_pool_end_ip">'Value Reference Tables - MR'!$AA$156</definedName>
    <definedName name="sizing_w06_nsxt_gm_appliance_size">'Management Domain Sizing'!$M$41</definedName>
    <definedName name="input_wld_az1_rack7_host7_mgmt_ip">'Additional Racks'!$D$485</definedName>
    <definedName name="cluster_az2_storage_cluster_pool_start_ip">'Value Reference Tables'!$I$255</definedName>
    <definedName name="sample_wld_az1_rack6_tor1_peer_asn">Arkham!$N$75</definedName>
    <definedName name="input_wld_az1_rack4_host_overlay_vlan">'Additional Racks'!$D$277</definedName>
    <definedName name="sample_wld_az1_rack4_host2_fqdn">'Additional Racks'!$C$241</definedName>
    <definedName name="input_flt_custom_network_ops_vip_fqdn">'Deploy Fleet Management Day-N'!$D$32</definedName>
    <definedName name="sample_ccm_hcx_admin_password">'Cross Cloud Mobility'!$C$33</definedName>
    <definedName name="mgmt_nsxt_global_mgr_anti_affinity_rule_name">'Value Reference Tables'!$O$21</definedName>
    <definedName name="input_cluster_az2_secondary_storage_pool_end_ip">'Deploy Cluster'!$D$305</definedName>
    <definedName name="wld_az2_host_overlay_uplink_profile_name">'Value Reference Tables - MR'!$I$409</definedName>
    <definedName name="pnp_version_history">Arkham!$B$2</definedName>
    <definedName name="input_wld_az1_rack8_mgmt_mtu">'Additional Racks'!$D$570</definedName>
    <definedName name="wld_witness_cluster">'Value Reference Tables'!$F$121</definedName>
    <definedName name="wld_bgp_chosen">'Configure Workload Domain'!$B$12</definedName>
    <definedName name="sample_wld_az1_rack5_uplink02_mask">Arkham!$K$66</definedName>
    <definedName name="input_cluster_az1_principal_storage_gateway_ip">'Deploy Cluster'!$D$62</definedName>
    <definedName name="sample_wld_bf_vc_sso_password">'Deploy Workload Domain'!$C$32</definedName>
    <definedName name="input_flt_logs_cert_locality">'Deploy Fleet Management Day-N'!$D$221</definedName>
    <definedName name="witness_dns2_ip">'Value Reference Tables'!$L$56</definedName>
    <definedName name="input_wld_az1_rack3_tor1_peer_bgp_password">Arkham!$F$76</definedName>
    <definedName name="input_sddc_mgr_fqdn">'Deploy Management Domain'!$L$266</definedName>
    <definedName name="input_gg_vra_orchestrator_designers_group">'Active Directory Inputs'!$E$102</definedName>
    <definedName name="input_mgmt_srm_vra_rp">'Dumping Ground'!$D$51</definedName>
    <definedName name="sizing_w11_nsxt_gm_appliance_size">'Management Domain Sizing'!$M$46</definedName>
    <definedName name="sample_wld_az1_rack5_secondary_storage_gateway_ip">'Dumping Ground'!$C$536</definedName>
    <definedName name="sample_mgmt_az2_host7_fqdn">'Configure Management Domain'!$C$285</definedName>
    <definedName name="input_mgmt_cl01_az1_mgmt_vm_pg">'Deploy Management Domain'!$L$226</definedName>
    <definedName name="wld_az2_principal_storage_pool_end_ip">'Value Reference Tables - MR'!$I$394</definedName>
    <definedName name="sample_wld_az1_rack4_secondary_storage_mask">'Dumping Ground'!$C$527</definedName>
    <definedName name="sizing_vcfops_net_collector_chosen">'Management Domain Sizing'!$E$26</definedName>
    <definedName name="input_wld_az1_rack7_uplink01_network">Arkham!$R$62</definedName>
    <definedName name="sample_xreg_vra_nodec_ip">'Deploy Management Domain'!$K$82</definedName>
    <definedName name="sample_wld_nsx_vlan_transport_zone_name">'Deploy Workload Domain'!$C$312</definedName>
    <definedName name="wld_cl01_az1_vsan_uplink2_chosen">'Deploy Workload Domain'!$D$290</definedName>
    <definedName name="cluster_az1_host12_fqdn">'Value Reference Tables'!$I$82</definedName>
    <definedName name="input_ccm_aws_vpc">'Cross Cloud Mobility'!$D$24</definedName>
    <definedName name="xreg_vra_k8s_cluster_cidr_chosen">'Deploy Management Domain'!$L$85</definedName>
    <definedName name="cluster_vds02_lag_lbt_chosen">'Deploy Cluster'!$D$183</definedName>
    <definedName name="sample_wld_az1_en2_uplink01_interface_cidr">'Configure Workload Domain'!$C$117</definedName>
    <definedName name="input_mgmt_az1_host3_mgmt_ip">'Deploy Management Domain'!$L$332</definedName>
    <definedName name="wld_az1_rack8_host13_mgmt_ip">'Value Reference Tables - MR'!$AD$195</definedName>
    <definedName name="input_mgmt_az1_en1_mgmt_cidr">'Configure Management Domain'!$D$107</definedName>
    <definedName name="sample_mgmt_az2_host7_mgmt_ip">'Configure Management Domain'!$C$236</definedName>
    <definedName name="input_flt_net_admin_password">'Deploy Fleet Management Day-N'!$D$329</definedName>
    <definedName name="wld_az2_host15_mgmt_ip">'Value Reference Tables - MR'!$I$437</definedName>
    <definedName name="sample_wld_vrms_vrms_ip">'Dumping Ground'!$F$11</definedName>
    <definedName name="wld_az2_host_fqdns">'Value Reference Tables - MR'!$I$477:$I$492</definedName>
    <definedName name="mgmt_az1_vsan_pool_end_ip">'Value Reference Tables - MR'!$F$152</definedName>
    <definedName name="sample_flt_vidb_cert_organisation">'Deploy Fleet Management Day-N'!$C$131</definedName>
    <definedName name="sample_air_GPU_VM_class">'Private AI Ready Infrastructure'!$C$59</definedName>
    <definedName name="wld_az2_host_overlay_pool_start_ip">'Value Reference Tables - MR'!$I$395</definedName>
    <definedName name="wld_az1_rack7_host5_hostname">'Value Reference Tables - MR'!$AA$206</definedName>
    <definedName name="sizing_storage_type">'Management Domain Sizing'!$R$13</definedName>
    <definedName name="user_svc_vrops_vsan">'Value Reference Tables'!$L$98</definedName>
    <definedName name="sample_wld_az1_rack5_host13_mgmt_ip">'Additional Racks'!$C$305</definedName>
    <definedName name="sample_wld_az1_en2_fqdn">'Configure Workload Domain'!$C$68</definedName>
    <definedName name="wld_az1_rack3_uplink02_network">'Value Reference Tables - MR'!$O$46</definedName>
    <definedName name="wld_az1_rack3_tor1_peer_ip">'Value Reference Tables - MR'!$O$101</definedName>
    <definedName name="input_cluster_az1_principal_storage_mask">'Deploy Cluster'!$D$61</definedName>
    <definedName name="input_xreg_vrops_root_password">'Deploy Management Domain'!$L$61</definedName>
    <definedName name="input_wld_cl01_supervisor_name">'Deploy Workload Domain'!$D$326</definedName>
    <definedName name="input_wld_az1_rack5_tor2_peer_ip">Arkham!$L$77</definedName>
    <definedName name="wld_az1_rack7_uplink01_cidr">'Value Reference Tables - MR'!$AA$30</definedName>
    <definedName name="input_flt_vidb_user_base_dn">'Deploy Fleet Management Day-N'!$D$204</definedName>
    <definedName name="sample_flt_vidb_system_user_alias">'Deploy Fleet Management Day-N'!$C$156</definedName>
    <definedName name="input_mgmt_az2_host2_fqdn">'Configure Management Domain'!$D$280</definedName>
    <definedName name="wld_az1_rack7_en2_fqdn">'Value Reference Tables - MR'!$AA$250</definedName>
    <definedName name="cluster_az1_host_overlay_uplink_profile_name">'Value Reference Tables'!$I$171</definedName>
    <definedName name="input_wld_az1_mgmt_mtu">'Deploy Workload Domain'!$D$61</definedName>
    <definedName name="input_wld_az1_rack7_uplink01_vlan">Arkham!$R$59</definedName>
    <definedName name="mgmt_az1_uplink01_gateway_ip">'Value Reference Tables - MR'!$F$92</definedName>
    <definedName name="sample_xreg_vra_nodef_ip">Arkham!$P$9</definedName>
    <definedName name="wld_az1_rack4_en1_hostname">'Value Reference Tables - MR'!$R$239</definedName>
    <definedName name="sample_wld_az1_rack2_edge_overlay_vlan">Arkham!$B$58</definedName>
    <definedName name="sample_wld_az1_en2_eth1_uplink0">'Configure Workload Domain'!$C$82</definedName>
    <definedName name="nsxt_gm_admin_password">'Value Reference Tables'!$L$22</definedName>
    <definedName name="mgmt_cl01_vds01_name">'Value Reference Tables'!$C$92</definedName>
    <definedName name="sample_wld_az1_rack6_vmotion_vlan">'Additional Racks'!$C$408</definedName>
    <definedName name="mgmt_offline_depot_port">'Value Reference Tables'!$O$59</definedName>
    <definedName name="mgmt_witness_zone_vc_hostname">'Value Reference Tables'!$L$169</definedName>
    <definedName name="input_wld_vc_ip">'Deploy Workload Domain'!$D$373</definedName>
    <definedName name="sample_wld_az1_rack4_host7_mgmt_ip">'Additional Racks'!$C$206</definedName>
    <definedName name="wld_vlr_hostname">'Value Reference Tables'!$U$193</definedName>
    <definedName name="input_wld_az1_rack5_mgmt_vlan">'Additional Racks'!$D$288</definedName>
    <definedName name="sizing_w21_ssp_chosen">'Management Domain Sizing'!$V$56</definedName>
    <definedName name="sample_wld_az2_host_overlay_network_pool_name">'Configure Workload Domain'!$C$321</definedName>
    <definedName name="sizing_estimated_growth">'Management Domain Sizing'!$E$9</definedName>
    <definedName name="wld_cl01_vds03_uplink_count">'Value Reference Tables'!$F$89</definedName>
    <definedName name="input_wld_az1_rack3_host5_fqdn">'Additional Racks'!$D$151</definedName>
    <definedName name="mgmt_az1_host_overlay_network_pool_description">'Value Reference Tables - MR'!$F$168</definedName>
    <definedName name="svc_cbr_vcdr_vsphere_password">'Value Reference Tables'!$U$129</definedName>
    <definedName name="input_wld_en_asn">'Configure Workload Domain'!$D$99</definedName>
    <definedName name="sample_wld_az1_rack6_edge_overlay_gateway_ip">Arkham!$N$64</definedName>
    <definedName name="wld_az1_rack8_vmotion_cidr">'Value Reference Tables - MR'!$AD$25</definedName>
    <definedName name="sample_mgmt_az1_host2_mgmt_ip">'Deploy Management Domain'!$K$331</definedName>
    <definedName name="sample_wld_az1_rack2_principal_storage_cidr">Arkham!$B$21</definedName>
    <definedName name="sample_wld_az1_rack6_uplink02_network">Arkham!$N$60</definedName>
    <definedName name="wld_cl01_az1_vsan_storage_client_lbt_chosen">'Deploy Workload Domain'!$D$293</definedName>
    <definedName name="sample_wld_az1_rack6_host13_fqdn">'Additional Racks'!$C$438</definedName>
    <definedName name="wld_multirack_result">'Value Reference Tables'!$F$10</definedName>
    <definedName name="sample_wld_az1_rack7_host_overlay_pool_end_ip">'Additional Racks'!$C$562</definedName>
    <definedName name="sample_mgmt_az2_host10_mgmt_ip">'Configure Management Domain'!$C$239</definedName>
    <definedName name="mgmt_az2_host4_fqdn">'Value Reference Tables - MR'!$F$472</definedName>
    <definedName name="wld_az1_rack2_en1_uplink02_interface_ip">'Value Reference Tables - MR'!$L$243</definedName>
    <definedName name="wld_az2_vmotion_cidr">'Value Reference Tables - MR'!$I$295</definedName>
    <definedName name="wld_az2_host1_vrms_ip">'Value Reference Tables - MR'!$I$439</definedName>
    <definedName name="cluster_az1_mgmt_vm_uplink2_chosen">'Deploy Cluster'!$D$208</definedName>
    <definedName name="cluster_vsan_compute_fault_domain_mapping_chosen">'Deploy Cluster'!$D$404</definedName>
    <definedName name="input_wld_az2_host14_mgmt_ip">'Configure Workload Domain'!$D$187</definedName>
    <definedName name="wld_az1_rack4_host6_mgmt_ip">'Value Reference Tables - MR'!$R$188</definedName>
    <definedName name="input_wld_az1_rack4_uplink02_mask">Arkham!$I$66</definedName>
    <definedName name="input_wld_az1_rack7_tor2_peer_asn">Arkham!$R$81</definedName>
    <definedName name="input_mgmt_srm_recovery_nsx_location">'Dumping Ground'!$D$59</definedName>
    <definedName name="input_mgmt_az1_host9_fqdn">'Deploy Management Domain'!$L$136</definedName>
    <definedName name="sample_cluster_nfs_datastore_name">'Deploy Cluster'!$C$134</definedName>
    <definedName name="input_wld_esx_root_password">'Deploy Workload Domain'!$D$141</definedName>
    <definedName name="input_flt_net_node_portgroup">'Deploy Fleet Management Day-N'!$D$316</definedName>
    <definedName name="wld_az1_rack8_host14_mgmt_ip">'Value Reference Tables - MR'!$AD$196</definedName>
    <definedName name="mgmt_az1_host4_fqdn">'Value Reference Tables - MR'!$F$240</definedName>
    <definedName name="input_mgmt_srm_recovery_vcenter_password">'Site Protection &amp; DR'!$D$219</definedName>
    <definedName name="xreg_vrops_root_password">'Value Reference Tables'!$C$227</definedName>
    <definedName name="input_wld_az1_rack4_host_overlay_mtu">'Additional Racks'!$D$278</definedName>
    <definedName name="wld_az1_rack8_host12_mgmt_ip">'Value Reference Tables - MR'!$AD$194</definedName>
    <definedName name="mgmt_az1_host10_hostname">'Value Reference Tables - MR'!$F$227</definedName>
    <definedName name="input_wld_az1_rack7_vmotion_cidr">Arkham!$C$40</definedName>
    <definedName name="input_gg_vrni_auditor_group">'Active Directory Inputs'!$E$91</definedName>
    <definedName name="sample_wld_cl01_nfs_share_path">'Deploy Workload Domain'!$C$207</definedName>
    <definedName name="wld_witness_zone_vc_fqdn">'Value Reference Tables'!$F$133</definedName>
    <definedName name="cluster_az2_host3_mgmt_ip">'Value Reference Tables'!$I$207</definedName>
    <definedName name="sample_wld_az1_rack7_principal_storage_gateway_ip">'Additional Racks'!$C$513</definedName>
    <definedName name="input_cluster_az1_host13_mgmt_ip">'Deploy Cluster'!$D$41</definedName>
    <definedName name="wld_az1_host14_fqdn">'Value Reference Tables - MR'!$I$250</definedName>
    <definedName name="wld_az1_rack7_host7_fqdn">'Value Reference Tables - MR'!$AA$227</definedName>
    <definedName name="mgmt_srm_logs_rp">'Value Reference Tables'!$O$124</definedName>
    <definedName name="input_mgmt_az1_tor1_peer_asn">'Configure Management Domain'!$D$163</definedName>
    <definedName name="input_mgmt_az2_pool_name">'Configure Management Domain'!$D$250</definedName>
    <definedName name="sizing_w07_nsxt_gm_appliance_size">'Management Domain Sizing'!$M$42</definedName>
    <definedName name="input_wld_az1_rack6_host9_mgmt_ip">'Additional Racks'!$D$394</definedName>
    <definedName name="sample_cluster_az1_storage_cluster_gateway_ip">'Deploy Cluster'!$C$78</definedName>
    <definedName name="input_mgmt_az2_secondary_storage_gateway_ip">'Configure Management Domain'!$D$272</definedName>
    <definedName name="sample_flt_net_node_portgroup">'Deploy Fleet Management Day-N'!$C$316</definedName>
    <definedName name="wld_az1_rack5_host9_hostname">'Value Reference Tables - MR'!$U$210</definedName>
    <definedName name="sample_wld_az1_rack7_host_overlay_cidr">Arkham!$B$43</definedName>
    <definedName name="input_flt_vidb_directory_name">'Deploy Fleet Management Day-N'!$D$179</definedName>
    <definedName name="sample_mgmt_az2_vmotion_mask">'Configure Management Domain'!$C$255</definedName>
    <definedName name="mgmt_mgmt_vm_folder">'Value Reference Tables'!$O$34</definedName>
    <definedName name="wld_az1_rack7_principal_storage_mask">'Value Reference Tables - MR'!$AA$56</definedName>
    <definedName name="sample_wld_az1_rack5_host_overlay_gateway_ip">'Additional Racks'!$C$374</definedName>
    <definedName name="input_cluster_vds02_uplink_count">'Deploy Cluster'!$D$185</definedName>
    <definedName name="sample_wld_vc_fqdn">'Deploy Workload Domain'!$C$157</definedName>
    <definedName name="input_ccm_hcx_license">'Cross Cloud Mobility'!$D$31</definedName>
    <definedName name="wld_witnessaz_gateway_ip">'Value Reference Tables'!$X$64</definedName>
    <definedName name="wld_az1_rack7_vmotion_network">'Value Reference Tables - MR'!$AA$40</definedName>
    <definedName name="input_mgmt_srm_admin_password">'Dumping Ground'!$D$38</definedName>
    <definedName name="sample_wld_cl01_vds01_lag_name">'Deploy Workload Domain'!$C$242</definedName>
    <definedName name="wld_az1_rack8_host14_hostname">'Value Reference Tables - MR'!$AD$215</definedName>
    <definedName name="input_flt_logs_vcenter_fqdn">'Deploy Fleet Management Day-N'!$D$234</definedName>
    <definedName name="input_mgmt_az1_host11_mgmt_ip">'Deploy Management Domain'!$L$340</definedName>
    <definedName name="sample_wld_az1_en1_eth1_uplink1">'Configure Workload Domain'!$C$57</definedName>
    <definedName name="input_svc_vcf_bck_user">'Configure Management Domain'!$D$24</definedName>
    <definedName name="input_wld_nsxt_global_mgr_cluster_id">'Configure Workload Domain'!$D$416</definedName>
    <definedName name="sample_cluster_witness_ip">'Deploy Cluster'!$C$358</definedName>
    <definedName name="wld_az2_secondary_storage_vlan">'Value Reference Tables - MR'!$I$283</definedName>
    <definedName name="input_mgmt_az2_mgmt_cidr">'Configure Management Domain'!$D$227</definedName>
    <definedName name="input_xregion_dns2_ip">Arkham!$C$14</definedName>
    <definedName name="sample_wld_az1_rack7_host11_fqdn">'Additional Racks'!$C$529</definedName>
    <definedName name="flt_vidb_mail">'Value Reference Tables'!$C$185</definedName>
    <definedName name="wld_az1_mgmt_network">'Value Reference Tables - MR'!$I$39</definedName>
    <definedName name="wld_cl01_vds02_traffic_type">'Value Reference Tables'!$F$83</definedName>
    <definedName name="sample_wld_az1_rack7_principal_storage_pool_start_ip">'Additional Racks'!$C$514</definedName>
    <definedName name="mgmt_cl01_az1_mgmt_vm_lbt_chosen">'Deploy Management Domain'!$L$227</definedName>
    <definedName name="sample_wld_az1_rack3_host14_mgmt_ip">'Additional Racks'!$C$120</definedName>
    <definedName name="input_svc_vra_nsx_password">'Active Directory Inputs'!$G$38</definedName>
    <definedName name="input_mgmt_az1_en2_eth1_uplink1">'Configure Management Domain'!$D$140</definedName>
    <definedName name="sample_wld_cl01_az1_principal_storage_pg">'Deploy Workload Domain'!$C$287</definedName>
    <definedName name="input_wld_az2_host15_mgmt_ip">'Configure Workload Domain'!$D$188</definedName>
    <definedName name="wld_az1_rack7_uplink01_gateway_ip">'Value Reference Tables - MR'!$AA$92</definedName>
    <definedName name="sample_wld_az1_rack5_secondary_storage_network">'Dumping Ground'!$C$534</definedName>
    <definedName name="sample_cluster_az2_host10_fqdn">'Deploy Cluster'!$C$326</definedName>
    <definedName name="sample_svc_vrops_vra_user">'Active Directory Inputs'!$D$29</definedName>
    <definedName name="sample_mgmt_tier1_name">'Value Reference Tables'!$T$212</definedName>
    <definedName name="cluster_az2_tor1_peer_ip">'Value Reference Tables'!$I$309</definedName>
    <definedName name="sample_wld_az1_rack3_secondary_storage_gateway_ip">'Dumping Ground'!$C$520</definedName>
    <definedName name="ccm_aws_region">'Value Reference Tables'!$U$166</definedName>
    <definedName name="wld_az1_rack7_principal_storage_pg">'Value Reference Tables - MR'!$AA$113</definedName>
    <definedName name="wld_az1_rack6_host12_fqdn">'Value Reference Tables - MR'!$X$232</definedName>
    <definedName name="input_wld_az1_rack7_host14_fqdn">'Additional Racks'!$D$532</definedName>
    <definedName name="table_vcfo_appliance_disk">'Static Reference Tables'!$B$165:$C$167</definedName>
    <definedName name="input_wld_az1_rack7_vmotion_mtu">'Additional Racks'!$D$502</definedName>
    <definedName name="sample_mgmt_az1_host1_vrms_ip">'Site Protection &amp; DR'!$C$176</definedName>
    <definedName name="sample_wld_az2_storage_cluster_network">'Configure Workload Domain'!$C$223</definedName>
    <definedName name="sample_cluster_az2_host7_fqdn">'Deploy Cluster'!$C$323</definedName>
    <definedName name="mgmt_az2_host7_vrms_ip">'Value Reference Tables - MR'!$F$437</definedName>
    <definedName name="input_wld_az1_rack6_host3_mgmt_ip">'Additional Racks'!$D$388</definedName>
    <definedName name="wld_az1_rack3_en2_mgmt_ip">'Value Reference Tables - MR'!$O$251</definedName>
    <definedName name="sample_flt_net_ou_cert">'Deploy Fleet Management Day-N'!$C$297</definedName>
    <definedName name="sample_cluster_az2_host9_mgmt_ip">'Deploy Cluster'!$C$269</definedName>
    <definedName name="input_wld_az1_storage_cluster_network">'Deploy Workload Domain'!$D$111</definedName>
    <definedName name="sample_wld_az1_rack4_host9_fqdn">'Additional Racks'!$C$248</definedName>
    <definedName name="input_wld_cl01_supervisor_private_cidr">'Deploy Workload Domain'!$D$334</definedName>
    <definedName name="wld_az1_rack7_host6_fqdn">'Value Reference Tables - MR'!$AA$226</definedName>
    <definedName name="sample_wld_az1_rack6_host15_mgmt_ip">'Additional Racks'!$C$400</definedName>
    <definedName name="sample_wld_az1_rack7_secondary_storage_pool_end_ip">'Dumping Ground'!$C$554</definedName>
    <definedName name="sample_flt_logs_nodea_fqdn">'Deploy Fleet Management Day-N'!$C$225</definedName>
    <definedName name="sample_wld_az1_rack4_host16_fqdn">'Additional Racks'!$C$255</definedName>
    <definedName name="sizing_vcenter_storage_size_list">'Static Reference Tables'!$C$13:$C$15</definedName>
    <definedName name="wld_cl01_vds03_link_type_chosen">'Deploy Workload Domain'!$D$263</definedName>
    <definedName name="input_wld_az1_mgmt_vm_vlan">'Deploy Workload Domain'!$D$346</definedName>
    <definedName name="wld_az1_rack5_edge_overlay_mask">'Value Reference Tables - MR'!$U$62</definedName>
    <definedName name="wld_az1_rack3_host6_fqdn">'Value Reference Tables - MR'!$O$226</definedName>
    <definedName name="sample_wld_nsxt_global_mgra_fqdn">'Configure Workload Domain'!$C$370</definedName>
    <definedName name="input_wld_cl01_az1_mgmt_pg">'Deploy Workload Domain'!$D$272</definedName>
    <definedName name="sample_mgmt_az2_host12_mgmt_ip">'Configure Management Domain'!$C$241</definedName>
    <definedName name="input_wld_az1_rack8_mgmt_cidr">'Additional Racks'!$D$569</definedName>
    <definedName name="wld_az1_rack8_host1_fqdn">'Value Reference Tables - MR'!$AD$221</definedName>
    <definedName name="nsxt_lm_admin_password">'Value Reference Tables'!$L$17</definedName>
    <definedName name="wld_az1_rack4_rtep_overlay_pool_end_ip">'Value Reference Tables - MR'!$R$162</definedName>
    <definedName name="wld_az1_reuse_vcf_networkpool_result">'Deploy Workload Domain'!$D$15</definedName>
    <definedName name="sample_gg_vrni_admin_group">'Active Directory Inputs'!$D$89</definedName>
    <definedName name="input_wld_az1_en1_eth0_uplink1">'Configure Workload Domain'!$D$55</definedName>
    <definedName name="sample_svc_hrm_vcf_password">'Active Directory Inputs'!$F$44</definedName>
    <definedName name="wld_az1_rack5_reuse_vcf_networkpool_chosen">'Additional Racks'!$D$312</definedName>
    <definedName name="sample_wld_az1_rack4_host_overlay_gateway_ip">'Additional Racks'!$C$281</definedName>
    <definedName name="input_wld_witness_vsan_datastore">'Configure Workload Domain'!$D$270</definedName>
    <definedName name="sizing_vcfops_collector_chosen">'Management Domain Sizing'!$E$22</definedName>
    <definedName name="mgmt_witnessaz_mtu">'Value Reference Tables'!$L$170</definedName>
    <definedName name="cbr_result">'Management Domain Sizing'!$I$65</definedName>
    <definedName name="wld_az1_rack3_en2_uplink02_interface_ip">'Value Reference Tables - MR'!$O$253</definedName>
    <definedName name="table_srm_cpu">'Static Reference Tables'!$B$187:$C$188</definedName>
    <definedName name="wld_bf_nsxt_root_password">'Value Reference Tables'!$I$195</definedName>
    <definedName name="input_wld_az1_rack8_host1_fqdn">'Additional Racks'!$D$612</definedName>
    <definedName name="sample_mgmt_az2_tor1_peer_asn">'Configure Management Domain'!$C$385</definedName>
    <definedName name="input_wld_az1_rack7_uplink02_mask">Arkham!$R$69</definedName>
    <definedName name="input_wld_az1_rack8_uplink02_vlan">Arkham!$U$57</definedName>
    <definedName name="sample_vcf_automation_portgroup">'Deploy Fleet Management Day-N'!$C$85</definedName>
    <definedName name="wld_az1_rack2_host2_fqdn">'Value Reference Tables - MR'!$L$222</definedName>
    <definedName name="cluster_vds02_lacp_mode_chosen">'Deploy Cluster'!$D$182</definedName>
    <definedName name="wld_az1_principal_storage_pool_end_ip">'Value Reference Tables - MR'!$I$152</definedName>
    <definedName name="input_k8s_ip_prefixlist">'Private AI Ready Infrastructure'!$D$20</definedName>
    <definedName name="ccm_aws_management_subnet">'Value Reference Tables'!$U$171</definedName>
    <definedName name="wld_az1_rack4_secondary_storage_network">'Value Reference Tables - MR'!$R$44</definedName>
    <definedName name="cluster_az1_host1_mgmt_ip">'Value Reference Tables'!$I$53</definedName>
    <definedName name="input_mgmt_srm_sso_domain_membership">'Dumping Ground'!$D$64</definedName>
    <definedName name="input_wld_az1_rack8_host1_mgmt_ip">'Additional Racks'!$D$572</definedName>
    <definedName name="sample_vvs_dr_mgmt_cl01_datastore">'Site Protection &amp; DR'!$C$103</definedName>
    <definedName name="sample_cluster_az2_host1_fqdn">'Deploy Cluster'!$C$317</definedName>
    <definedName name="sample_mgmt_az2_tor2_peer_asn">'Configure Management Domain'!$C$392</definedName>
    <definedName name="sample_wld_az2_host14_vrms_ip">'Dumping Ground'!$C$323</definedName>
    <definedName name="table_vcf_version5x_mgmt_vsan_type">'Static Reference Tables'!$B$332:$B$333</definedName>
    <definedName name="sample_cluster_az1_host8_fqdn">'Deploy Cluster'!$C$91</definedName>
    <definedName name="wld_az1_rack5_host_overlay_network_profile_name">'Value Reference Tables - MR'!$U$167</definedName>
    <definedName name="sample_wld_az1_host6_fqdn">'Deploy Workload Domain'!$C$125</definedName>
    <definedName name="wld_az1_rack6_edge_overlay_mask">'Value Reference Tables - MR'!$X$62</definedName>
    <definedName name="svc_my_vmware_password">'Value Reference Tables'!$L$30</definedName>
    <definedName name="wld_az1_rack2_host15_mgmt_ip">'Value Reference Tables - MR'!$L$197</definedName>
    <definedName name="input_nsxt_gm_root_password">'Configure Management Domain'!$D$406</definedName>
    <definedName name="xreg_vra_node_pool_start_ip">Arkham!$R$37</definedName>
    <definedName name="sample_vcf_automation_admin_password_description">'Deploy Fleet Management Day-N'!$C$98</definedName>
    <definedName name="wld_domain_chosen">'Deploy Workload Domain'!$B$10</definedName>
    <definedName name="flt_vidb_base_dn">'Value Reference Tables'!$C$177</definedName>
    <definedName name="input_mgmt_srm_days">'Site Protection &amp; DR'!$D$255</definedName>
    <definedName name="input_gg_vcf_viewers_group">'Active Directory Inputs'!$E$66</definedName>
    <definedName name="mgmt_ec_api_chosen">'Configure Management Domain'!$D$191</definedName>
    <definedName name="sample_wld_az1_rack2_uplink02_gateway_ip">Arkham!$B$63</definedName>
    <definedName name="input_wld_az1_rack5_host_overlay_mask">'Additional Racks'!$D$373</definedName>
    <definedName name="wld_az1_rack2_principal_storage_mtu">'Value Reference Tables - MR'!$L$72</definedName>
    <definedName name="sample_cluster_az1_host15_mgmt_ip">'Deploy Cluster'!$C$43</definedName>
    <definedName name="sizing_w03_chosen">'Management Domain Sizing'!$C$38</definedName>
    <definedName name="sample_wld_az1_rack8_host_overlay_network">'Additional Racks'!$C$651</definedName>
    <definedName name="sample_rwr_cert_state">'On-Premises Ransomware Recovery'!$C$33</definedName>
    <definedName name="wld_az2_host_overlay_vlan">'Value Reference Tables - MR'!$I$282</definedName>
    <definedName name="input_wld_cl01_vds03_uplink_count">'Deploy Workload Domain'!$D$268</definedName>
    <definedName name="region_vrli_nodec_fqdn">'Value Reference Tables'!$R$73</definedName>
    <definedName name="wld_az1_rack5_host_overlay_mask">'Value Reference Tables - MR'!$U$57</definedName>
    <definedName name="input_mgmt_az2_mgmt_mtu">'Configure Management Domain'!$D$228</definedName>
    <definedName name="wld_az1_rack4_rtep_ip_pool_name">'Value Reference Tables - MR'!$R$173</definedName>
    <definedName name="sample_wld_bf_nsxt_mgrc_fqdn">'Deploy Workload Domain'!$C$43</definedName>
    <definedName name="wld_cl01_vds02_lag_name">'Value Reference Tables'!$F$84</definedName>
    <definedName name="wld_az1_mgmt_vlan">'Value Reference Tables - MR'!$I$9</definedName>
    <definedName name="input_wld_cl01_vsan_datastore">'Deploy Workload Domain'!$D$201</definedName>
    <definedName name="sample_wld_az1_rack3_host6_mgmt_ip">'Additional Racks'!$C$112</definedName>
    <definedName name="wld_az1_rack4_host10_hostname">'Value Reference Tables - MR'!$R$211</definedName>
    <definedName name="cbr_vcdr_timezone">'Value Reference Tables'!$U$140</definedName>
    <definedName name="input_wld_az1_rack5_uplink02_mtu">Arkham!$L$69</definedName>
    <definedName name="sample_mgmt_vrms_admin_password">'Dumping Ground'!$C$30</definedName>
    <definedName name="sample_flt_logs_cert_country_code">'Deploy Fleet Management Day-N'!$C$220</definedName>
    <definedName name="input_ccm_aws_admin_ssouser">'Cross Cloud Mobility'!$D$36</definedName>
    <definedName name="mgmt_az1_vrms_mtu">'Value Reference Tables - MR'!$F$80</definedName>
    <definedName name="mgmt_az2_uplink02_mtu">'Value Reference Tables - MR'!$F$355</definedName>
    <definedName name="input_wld_az1_rack2_host10_fqdn">'Additional Racks'!$D$63</definedName>
    <definedName name="input_cbr_vcdr_passcode">'Cloud-Based Ransomware Recovery'!$D$33</definedName>
    <definedName name="wld_az1_rack2_host4_fqdn">'Value Reference Tables - MR'!$L$224</definedName>
    <definedName name="wld_az1_rack8_en2_mgmt_ip">'Value Reference Tables - MR'!$AD$251</definedName>
    <definedName name="wld_cl01_vds02_lag_lbt_chosen">'Deploy Workload Domain'!$D$255</definedName>
    <definedName name="input_flt_net_prxy_gateway_ip">'Deploy Fleet Management Day-N'!$D$356</definedName>
    <definedName name="sample_wld_az1_rack5_host2_mgmt_ip">'Additional Racks'!$C$294</definedName>
    <definedName name="sample_wld_az1_rack4_vmotion_mtu">'Additional Racks'!$C$223</definedName>
    <definedName name="sample_ccm_hcx_mgmt_network_ip_range">'Cross Cloud Mobility'!$D$11</definedName>
    <definedName name="sample_wld_az1_rack5_uplink01_vlan">Arkham!$K$56</definedName>
    <definedName name="input_cluster_az2_vmotion_vlan">'Deploy Cluster'!$D$283</definedName>
    <definedName name="sample_mgmt_az2_vmotion_pool_end_ip">'Configure Management Domain'!$C$258</definedName>
    <definedName name="wld_az1_rack4_vsan_fault_domain">'Value Reference Tables - MR'!$R$174</definedName>
    <definedName name="sizing_w24_nsxt_appliance_size">'Management Domain Sizing'!$I$59</definedName>
    <definedName name="wld_az1_rack7_host16_fqdn">'Value Reference Tables - MR'!$AA$236</definedName>
    <definedName name="input_vcf_automation_admin_password">'Deploy Fleet Management Day-N'!$D$97</definedName>
    <definedName name="sample_wld_az1_rack6_host8_mgmt_ip">'Additional Racks'!$C$393</definedName>
    <definedName name="wld_az1_rack8_host6_fqdn">'Value Reference Tables - MR'!$AD$226</definedName>
    <definedName name="wld_rwr_recovery_site_az1_vrms_cidr">'Value Reference Tables'!$U$207</definedName>
    <definedName name="input_wld_az2_host16_vrms_ip">'Dumping Ground'!$D$325</definedName>
    <definedName name="sample_wld_az1_rack5_vmotion_cidr">Arkham!$B$32</definedName>
    <definedName name="input_wld_az1_rack5_edge_overlay_mtu">Arkham!$L$70</definedName>
    <definedName name="mgmt_az1_host9_hostname">'Value Reference Tables - MR'!$F$226</definedName>
    <definedName name="group_gg_vrslcm_admins">'Value Reference Tables'!$L$136</definedName>
    <definedName name="sizing_w20_vcenter_storage_size">'Management Domain Sizing'!$F$55</definedName>
    <definedName name="sample_wld_az1_rack5_edge_overlay_pool_end_ip">Arkham!$K$72</definedName>
    <definedName name="input_flt_fc_fqdn">Arkham!$Q$31</definedName>
    <definedName name="wld_az1_rack8_en1_uplink01_interface_ip">'Value Reference Tables - MR'!$AD$242</definedName>
    <definedName name="first_domain_mgmt_vi_viable">'Value Reference Tables'!$AA$101</definedName>
    <definedName name="input_wld_az1_rack8_host6_fqdn">'Additional Racks'!$D$617</definedName>
    <definedName name="input_cbr_firewall_group">'Cloud-Based Ransomware Recovery'!$D$26</definedName>
    <definedName name="sizing_w16_gm_chosen">'Management Domain Sizing'!$L$51</definedName>
    <definedName name="sizing_w21_avi_appliance_size">'Management Domain Sizing'!$S$56</definedName>
    <definedName name="sample_wld_az1_rack5_vmotion_pool_end_ip">'Additional Racks'!$C$321</definedName>
    <definedName name="wld_az1_rack8_secondary_storage_pool_end_ip">'Value Reference Tables - MR'!$AD$156</definedName>
    <definedName name="input_mgmt_az2_vmotion_network">'Configure Management Domain'!$D$254</definedName>
    <definedName name="wld_az1_rack2_rtep_overlay_vlan">'Value Reference Tables - MR'!$L$18</definedName>
    <definedName name="sample_xreg_vra_virtual_ip">'Deploy Management Domain'!$K$315</definedName>
    <definedName name="sample_region_ntp2_server">'Deploy Management Domain'!$K$48</definedName>
    <definedName name="input_wld_az1_rack8_uplink02_gateway_ip">Arkham!$U$63</definedName>
    <definedName name="sample_wld_vpc_transit_gateway_ip_blocks">'Configure Workload Domain'!$C$132</definedName>
    <definedName name="wld_ec01_en01_host_group_affinity_rule_name">'Value Reference Tables'!$F$155</definedName>
    <definedName name="vcf_automation_cert_organisation">'Value Reference Tables'!$L$337</definedName>
    <definedName name="sample_wld_az1_rack4_host_overlay_pool_start_ip">'Additional Racks'!$C$282</definedName>
    <definedName name="input_wld_nsxt_gm_fingerprint">'Configure Workload Domain'!$D$480</definedName>
    <definedName name="sample_wld_az2_tor2_peer_ip">'Configure Workload Domain'!$C$350</definedName>
    <definedName name="sample_mgmt_cl01_vds03_lag_name">'Deploy Management Domain'!$K$213</definedName>
    <definedName name="sample_mgmt_sddc_domain">'Deploy Management Domain'!$K$39</definedName>
    <definedName name="wld_az1_rack5_principal_storage_mtu">'Value Reference Tables - MR'!$U$72</definedName>
    <definedName name="input_mgmt_nsxt_federation_global_manager_name">'Configure Management Domain'!$D$498</definedName>
    <definedName name="sample_xreg_vrops_root_password">'Deploy Management Domain'!$K$61</definedName>
    <definedName name="sample_wld_az1_rack7_vsan_fault_domain">'Additional Racks'!$C$551</definedName>
    <definedName name="sample_vvs_dr_flt_ops_nodeb_hostname">'Site Protection &amp; DR'!$C$250</definedName>
    <definedName name="mgmt_srm_recovery_pg">'Value Reference Tables'!$O$125</definedName>
    <definedName name="sizing_w13_nsxt_appliance_size">'Management Domain Sizing'!$I$48</definedName>
    <definedName name="wld_az1_rack8_principal_storage_vlan">'Value Reference Tables - MR'!$AD$11</definedName>
    <definedName name="flt_custom_network_local_reg_mask">'Value Reference Tables'!$L$326</definedName>
    <definedName name="wld_az1_rack4_host14_mgmt_ip">'Value Reference Tables - MR'!$R$196</definedName>
    <definedName name="input_cluster_az1_secondary_storage_vlan">'Deploy Cluster'!$D$66</definedName>
    <definedName name="wld_az1_rack3_host_hostnames">'Value Reference Tables - MR'!$O$202:$O$217</definedName>
    <definedName name="sample_flt_custom_network_ops_collector_root_password">'Deploy Fleet Management Day-N'!$C$48</definedName>
    <definedName name="input_wld_az1_rack6_host6_fqdn">'Additional Racks'!$D$431</definedName>
    <definedName name="region_ad_child_netbios">'Value Reference Tables'!$L$78</definedName>
    <definedName name="input_wld_nsxt_global_mgra_hostname">'Configure Workload Domain'!$D$361</definedName>
    <definedName name="flt_net_cert_organisation">'Value Reference Tables'!$L$235</definedName>
    <definedName name="input_wld_az1_rack2_host4_mgmt_ip">'Additional Racks'!$D$17</definedName>
    <definedName name="sample_flt_net_node_mask">'Deploy Fleet Management Day-N'!$C$326</definedName>
    <definedName name="input_wld_az1_host6_fqdn">'Deploy Workload Domain'!$D$125</definedName>
    <definedName name="mgmt_nsxt_global_mgr_cluster_id">'Value Reference Tables'!$O$20</definedName>
    <definedName name="mgmt_az1_host6_vrms_ip">'Value Reference Tables - MR'!$F$204</definedName>
    <definedName name="wld_az1_rack6_vmotion_pg">'Value Reference Tables - MR'!$X$112</definedName>
    <definedName name="wld_az2_host_overlay_pool_end_ip">'Value Reference Tables - MR'!$I$396</definedName>
    <definedName name="input_wld_az1_rack6_vsan_fault_domain">'Additional Racks'!$D$458</definedName>
    <definedName name="sample_wld_vrms_root_password">'Dumping Ground'!$C$70</definedName>
    <definedName name="sample_wld_ec01_en01_host_group_affinity_rule_name">'Configure Workload Domain'!$C$46</definedName>
    <definedName name="wld_az1_rack8_host7_fqdn">'Value Reference Tables - MR'!$AD$227</definedName>
    <definedName name="region_vrli_nodeb_hostname">'Value Reference Tables'!$R$65</definedName>
    <definedName name="sample_child_dns_zone">Arkham!$B$11</definedName>
    <definedName name="input_gg_vrops_content_admins_group">'Active Directory Inputs'!$E$85</definedName>
    <definedName name="wld_az2_tor2_peer_asn">'Value Reference Tables - MR'!$I$373</definedName>
    <definedName name="wld_srm_ip">'Value Reference Tables'!$R$110</definedName>
    <definedName name="sample_wld_az2_host10_mgmt_ip">'Configure Workload Domain'!$C$183</definedName>
    <definedName name="wld_az1_rack5_host3_fqdn">'Value Reference Tables - MR'!$U$223</definedName>
    <definedName name="input_wld_az1_rack5_tor1_peer_asn">Arkham!$L$75</definedName>
    <definedName name="sample_wld_az1_rack7_host_overlay_mtu">'Additional Racks'!$C$557</definedName>
    <definedName name="region_vrni_nodea_ip">'Value Reference Tables'!$R$135</definedName>
    <definedName name="flt_net_vcenter_list">'Value Reference Tables'!$L$277</definedName>
    <definedName name="wld_az1_rack2_rtep_overlay_mtu">'Value Reference Tables - MR'!$L$79</definedName>
    <definedName name="cluster_az1_secondary_storage_pool_start_ip">'Value Reference Tables'!$I$41</definedName>
    <definedName name="sample_cluster_az1_host13_mgmt_ip">'Deploy Cluster'!$C$41</definedName>
    <definedName name="flt_vidb_cert_common_name">'Value Reference Tables'!$C$150</definedName>
    <definedName name="sizing_w14_gm_chosen">'Management Domain Sizing'!$L$49</definedName>
    <definedName name="sample_mgmt_witness_fqdn">'Configure Management Domain'!$C$371</definedName>
    <definedName name="input_wld_az1_rack7_host4_fqdn">'Additional Racks'!$D$522</definedName>
    <definedName name="input_wld_az2_secondary_storage_mtu">'Configure Workload Domain'!$D$214</definedName>
    <definedName name="cluster_az2_host9_fqdn">'Value Reference Tables'!$I$300</definedName>
    <definedName name="table_vcf_version5x_mgmt_vlcm_type">'Static Reference Tables'!$B$342:$B$343</definedName>
    <definedName name="wld_az2_host_overlay_mask">'Value Reference Tables - MR'!$I$327</definedName>
    <definedName name="sample_wld_bf_vc_fqdn">'Deploy Workload Domain'!$C$29</definedName>
    <definedName name="input_mgmt_az1_rtep_overlay_vlan">'Configure Management Domain'!$D$518</definedName>
    <definedName name="wld_az1_rack6_en2_mgmt_ip">'Value Reference Tables - MR'!$X$251</definedName>
    <definedName name="sizing_w11_gm_chosen">'Management Domain Sizing'!$L$46</definedName>
    <definedName name="wld_az2_edge_overlay_pg">'Value Reference Tables - MR'!$I$386</definedName>
    <definedName name="sample_wld_az1_secondary_storage_pool_start_ip">'Deploy Workload Domain'!$C$106</definedName>
    <definedName name="flt_net_datastore">'Value Reference Tables'!$L$257</definedName>
    <definedName name="wld_az1_host9_mgmt_ip">'Value Reference Tables - MR'!$I$191</definedName>
    <definedName name="input_wld_az1_rack7_host_overlay_mask">'Additional Racks'!$D$559</definedName>
    <definedName name="wld_az1_rack2_mgmt_vm_pg">'Value Reference Tables - MR'!$L$110</definedName>
    <definedName name="sample_wld_az2_host7_vrms_ip">'Dumping Ground'!$C$316</definedName>
    <definedName name="sample_mgmt_az2_host_overlay_pool_start_ip">'Configure Management Domain'!$C$369</definedName>
    <definedName name="sample_wld_az1_rack4_secondary_storage_vlan">'Dumping Ground'!$C$524</definedName>
    <definedName name="input_wld_rack8_en_asn">Arkham!$U$73</definedName>
    <definedName name="wld_az1_rack5_host8_fqdn">'Value Reference Tables - MR'!$U$228</definedName>
    <definedName name="sample_flt_logs_vip_ip">'Deploy Fleet Management Day-N'!$C$228</definedName>
    <definedName name="wld_az1_rack3_host_mgmt_ips">'Value Reference Tables - MR'!$O$183:$O$198</definedName>
    <definedName name="wld_az1_rack3_host16_mgmt_ip">'Value Reference Tables - MR'!$O$198</definedName>
    <definedName name="sample_wld_az1_vmotion_pool_end_ip">'Deploy Workload Domain'!$C$91</definedName>
    <definedName name="wld_az1_rack8_secondary_storage_network">'Value Reference Tables - MR'!$AD$44</definedName>
    <definedName name="flt_net_nodeb_hostname">'Value Reference Tables'!$L$250</definedName>
    <definedName name="input_mgmt_srm_vrslcm_wsa_rp">'Dumping Ground'!$D$47</definedName>
    <definedName name="input_wld_az1_rack4_host16_mgmt_ip">'Additional Racks'!$D$215</definedName>
    <definedName name="wld_az1_rack4_host10_fqdn">'Value Reference Tables - MR'!$R$230</definedName>
    <definedName name="mgmt_az1_host11_hostname">'Value Reference Tables - MR'!$F$228</definedName>
    <definedName name="input_flt_vidb_user_principal_name">'Deploy Fleet Management Day-N'!$D$200</definedName>
    <definedName name="ca_locality">'Value Reference Tables'!$O$42</definedName>
    <definedName name="wld_az2_host1_sddc_id">'Value Reference Tables'!$F$111</definedName>
    <definedName name="sample_cluster_az1_pool_name">'Deploy Cluster'!$C$48</definedName>
    <definedName name="wld_az1_rack7_vrms_vlan">'Value Reference Tables - MR'!$AA$19</definedName>
    <definedName name="input_mgmt_vrms_vrms_ip">'Dumping Ground'!$G$5</definedName>
    <definedName name="cluster_az2_host_overlay_new_pool_chosen">'Deploy Cluster'!$D$406</definedName>
    <definedName name="wld_az1_rack7_host_mgmt_ips">'Value Reference Tables - MR'!$AA$183:$AA$198</definedName>
    <definedName name="mgmt_vrms_vrms_ip">'Value Reference Tables'!$R$102</definedName>
    <definedName name="wld_az1_principal_storage_cidr">'Value Reference Tables - MR'!$I$26</definedName>
    <definedName name="sample_wld_az1_tor1_peer_bgp_password">'Configure Workload Domain'!$C$107</definedName>
    <definedName name="wld_az1_rack6_mgmt_vm_cidr">'Value Reference Tables - MR'!$X$23</definedName>
    <definedName name="input_wld_az1_rack4_host7_fqdn">'Additional Racks'!$D$246</definedName>
    <definedName name="input_wld_az1_rack4_principal_storage_pool_start_ip">'Additional Racks'!$D$235</definedName>
    <definedName name="input_mgmt_witness_root_password">'Configure Management Domain'!$D$318</definedName>
    <definedName name="wld_az1_rtep_ip_pool_name">'Value Reference Tables - MR'!$I$173</definedName>
    <definedName name="cluster_nfs_datastore_name">'Value Reference Tables'!$I$102</definedName>
    <definedName name="input_wld_az1_rack6_host11_mgmt_ip">'Additional Racks'!$D$396</definedName>
    <definedName name="input_flt_custom_network_ops_collector_version">'Deploy Fleet Management Day-N'!$D$46</definedName>
    <definedName name="input_wld_az1_rack5_secondary_storage_mtu">'Dumping Ground'!$D$533</definedName>
    <definedName name="input_mgmt_az1_host1_vrms_ip">'Site Protection &amp; DR'!$D$176</definedName>
    <definedName name="sample_gg_vra_orchestrator_admins_group">'Active Directory Inputs'!$D$101</definedName>
    <definedName name="sample_wld_az1_rack3_secondary_storage_network">'Dumping Ground'!$C$518</definedName>
    <definedName name="wld_az1_rack7_en1_edge_overlay_interface_ip_1_ip">'Value Reference Tables - MR'!$AA$244</definedName>
    <definedName name="prefix_mgmt_witness_cidr">'Value Reference Tables'!$AA$71</definedName>
    <definedName name="input_wld_az1_rack8_host9_mgmt_ip">'Additional Racks'!$D$580</definedName>
    <definedName name="wld_witness_ntp1_server">'Value Reference Tables'!$F$125</definedName>
    <definedName name="sample_wld_az1_rack5_host4_fqdn">'Additional Racks'!$C$336</definedName>
    <definedName name="input_vvs_dr_dns1_ip">'Site Protection &amp; DR'!$D$69</definedName>
    <definedName name="sample_vvs_dr_flt_ops_nodec_fqdn">'Site Protection &amp; DR'!$C$34</definedName>
    <definedName name="cluster_az1_storage_cluster_vlan">'Value Reference Tables'!$I$44</definedName>
    <definedName name="sample_region_ntp1_server">'Deploy Management Domain'!$K$47</definedName>
    <definedName name="sample_wld_az1_rack3_host_overlay_mask">'Additional Racks'!$C$187</definedName>
    <definedName name="input_wld_az2_principal_storage_pool_end_ip">'Configure Workload Domain'!$D$211</definedName>
    <definedName name="wld_az1_rack2_host10_fqdn">'Value Reference Tables - MR'!$L$230</definedName>
    <definedName name="input_wld_az1_host13_vrms_ip">'Dumping Ground'!$D$305</definedName>
    <definedName name="protected_mgmt_result">'Value Reference Tables'!$AA$97</definedName>
    <definedName name="sample_mgmt_srm_database_password">'Dumping Ground'!$C$39</definedName>
    <definedName name="mgmt_nsxt_lm_fingerprint">'Value Reference Tables'!$O$25</definedName>
    <definedName name="prefix_mgmt_az2_cidr">'Value Reference Tables'!$AA$65</definedName>
    <definedName name="sample_wld_az2_host2_vrms_ip">'Dumping Ground'!$C$311</definedName>
    <definedName name="input_cbr_vcdr_vsphere_role">'Cloud-Based Ransomware Recovery'!$D$14</definedName>
    <definedName name="wld_az1_rack8_host13_hostname">'Value Reference Tables - MR'!$AD$214</definedName>
    <definedName name="vcf_automation_cert_state">'Value Reference Tables'!$L$341</definedName>
    <definedName name="wld_az2_host16_vrms_ip">'Value Reference Tables - MR'!$I$454</definedName>
    <definedName name="input_wld_az1_en2_uplink02_interface_cidr">'Configure Workload Domain'!$D$124</definedName>
    <definedName name="mgmt_az1_host_mgmt_ips">'Value Reference Tables - MR'!$F$183:$F$198</definedName>
    <definedName name="mgmt_az1_host16_vrms_ip">'Value Reference Tables - MR'!$F$214</definedName>
    <definedName name="input_wld_rwr_az1_vrms_gateway_mask">'On-Premises Ransomware Recovery'!$D$82</definedName>
    <definedName name="sample_wld_az1_rack7_uplink01_network">Arkham!$Q$62</definedName>
    <definedName name="input_wld_az1_rack8_host3_fqdn">'Additional Racks'!$D$614</definedName>
    <definedName name="sample_wld_az1_host13_fqdn">'Deploy Workload Domain'!$C$132</definedName>
    <definedName name="wld_az1_rack5_edge_overlay_gateway_ip">'Value Reference Tables - MR'!$U$94</definedName>
    <definedName name="wld_nsxt_gm_admin_password">'Value Reference Tables'!$L$25</definedName>
    <definedName name="sample_wld_az1_en2_eth1_uplink1">'Configure Workload Domain'!$C$83</definedName>
    <definedName name="input_cluster_witnessaz_mgmt_mtu">'Deploy Cluster'!$D$345</definedName>
    <definedName name="sample_mgmt_az1_tor1_peer_ip">'Configure Management Domain'!$C$160</definedName>
    <definedName name="wld_az1_rack6_mgmt_mask">'Value Reference Tables - MR'!$X$179</definedName>
    <definedName name="input_wld_az1_rack6_principal_storage_pool_end_ip">'Additional Racks'!$D$422</definedName>
    <definedName name="wld_az1_rack4_principal_storage_network">'Value Reference Tables - MR'!$R$41</definedName>
    <definedName name="sizing_w14_nsxt_model">'Management Domain Sizing'!$H$49</definedName>
    <definedName name="flt_custom_network_auto_nodee_ip">Arkham!$R$11</definedName>
    <definedName name="input_wld_vrms_admin_password">'Dumping Ground'!$D$71</definedName>
    <definedName name="wld_az1_rack2_vmotion_mask">'Value Reference Tables - MR'!$L$55</definedName>
    <definedName name="sample_cluster_az1_nsx_uplink1">'Deploy Cluster'!$C$244</definedName>
    <definedName name="wld_az1_rack2_principal_storage_pg">'Value Reference Tables - MR'!$L$113</definedName>
    <definedName name="wld_cl01_vds03_name">'Value Reference Tables'!$F$86</definedName>
    <definedName name="input_flt_vidb_additional_vips">'Deploy Fleet Management Day-N'!$D$169</definedName>
    <definedName name="wld_az1_rack3_host_overlay_mtu">'Value Reference Tables - MR'!$O$73</definedName>
    <definedName name="sample_ca_state">'Configure Management Domain'!$C$62</definedName>
    <definedName name="input_wld_az1_rack2_host7_fqdn">'Additional Racks'!$D$60</definedName>
    <definedName name="sample_flt_vidb_secondary_domain_controller_port">'Deploy Fleet Management Day-N'!$C$187</definedName>
    <definedName name="input_wld_az1_mgmt_vm_mtu">'Deploy Workload Domain'!$D$349</definedName>
    <definedName name="sample_wld_az1_rack8_host13_mgmt_ip">'Additional Racks'!$C$584</definedName>
    <definedName name="mgmt_az1_host3_vrms_ip">'Value Reference Tables - MR'!$F$201</definedName>
    <definedName name="sample_wld_nsxt_global_mgrc_hostname">'Configure Workload Domain'!$C$395</definedName>
    <definedName name="sample_cluster_vds02_mtu">'Deploy Cluster'!$C$179</definedName>
    <definedName name="wld_az1_rack4_host_overlay_uplink_profile_name">'Value Reference Tables - MR'!$R$171</definedName>
    <definedName name="wld_az1_rack7_mgmt_vm_gateway_ip">'Value Reference Tables - MR'!$AA$85</definedName>
    <definedName name="wld_az1_rack7_mgmt_vlan">'Value Reference Tables - MR'!$AA$9</definedName>
    <definedName name="mgmt_az1_host16_hostname">'Value Reference Tables - MR'!$F$233</definedName>
    <definedName name="mgmt_az1_en1_ip_allocation_chosen">'Configure Management Domain'!$D$105</definedName>
    <definedName name="wld_az1_rack6_en2_hostname">'Value Reference Tables - MR'!$X$249</definedName>
    <definedName name="wld_az1_rack6_uplink01_mask">'Value Reference Tables - MR'!$X$60</definedName>
    <definedName name="wld_az1_rack7_host4_mgmt_ip">'Value Reference Tables - MR'!$AA$186</definedName>
    <definedName name="wld_az1_rack4_host9_mgmt_ip">'Value Reference Tables - MR'!$R$191</definedName>
    <definedName name="wld_az1_rack4_principal_storage_mtu">'Value Reference Tables - MR'!$R$72</definedName>
    <definedName name="mgmt_nsxt_enable_edge_sync_chosen">'Deploy Management Domain'!$L$111</definedName>
    <definedName name="wld_az1_rack2_rtep_overlay_gateway_ip">'Value Reference Tables - MR'!$L$95</definedName>
    <definedName name="input_wld_az1_rack4_host7_mgmt_ip">'Additional Racks'!$D$206</definedName>
    <definedName name="wld_administrator_vsphere_local_password">'Value Reference Tables'!$C$230</definedName>
    <definedName name="input_wld_az2_host8_mgmt_ip">'Configure Workload Domain'!$D$181</definedName>
    <definedName name="wld_az1_principal_storage_mask">'Value Reference Tables - MR'!$I$56</definedName>
    <definedName name="input_mgmt_nsxt_global_mgr_vmca_signed_thumbprint">'Configure Management Domain'!$D$454</definedName>
    <definedName name="wld_az1_rack6_host_overlay_gateway_ip">'Value Reference Tables - MR'!$X$89</definedName>
    <definedName name="sample_wld_az1_rack8_host9_fqdn">'Additional Racks'!$C$620</definedName>
    <definedName name="sample_wld_az1_rack3_host_overlay_pool_start_ip">'Additional Racks'!$C$189</definedName>
    <definedName name="cluster_az1_host7_fqdn">'Value Reference Tables'!$I$77</definedName>
    <definedName name="wld_az1_rack7_host_overlay_new_pool_chosen">'Additional Racks'!$D$544</definedName>
    <definedName name="wld_az1_rack5_host11_fqdn">'Value Reference Tables - MR'!$U$231</definedName>
    <definedName name="input_wld_az1_storage_cluster_gateway_ip">'Deploy Workload Domain'!$D$113</definedName>
    <definedName name="vvs_dr_dns2_ip">'Value Reference Tables'!$O$95</definedName>
    <definedName name="mgmt_az2_host14_fqdn">'Value Reference Tables - MR'!$F$482</definedName>
    <definedName name="input_flt_vidb_encrypted_cert">'Deploy Fleet Management Day-N'!$D$183</definedName>
    <definedName name="input_wld_az1_rack2_vmotion_cidr">Arkham!$C$20</definedName>
    <definedName name="sample_gg_vra_project_admins_sample_group">'Active Directory Inputs'!$D$104</definedName>
    <definedName name="sample_wld_az1_rack6_principal_storage_vlan">'Additional Racks'!$C$416</definedName>
    <definedName name="input_wld_az1_host_overlay_mtu">'Deploy Workload Domain'!$D$368</definedName>
    <definedName name="mgmt_az1_vmotion_mask">'Value Reference Tables - MR'!$F$55</definedName>
    <definedName name="input_ccm_aws_region">'Cross Cloud Mobility'!$D$21</definedName>
    <definedName name="input_sftp_server_sshfingerprint">'Configure Management Domain'!$D$27</definedName>
    <definedName name="input_wld_az1_rack5_edge_overlay_pool_start_ip">Arkham!$L$71</definedName>
    <definedName name="vcenter_root_password">'Value Reference Tables'!$L$15</definedName>
    <definedName name="input_wld_avilb_cluster_fqdn">'Configure Workload Domain'!$D$160</definedName>
    <definedName name="wld_az1_rack2_en2_mgmt_ip">'Value Reference Tables - MR'!$L$251</definedName>
    <definedName name="table_vcfo_p_ram">'Static Reference Tables'!$B$172:$C$173</definedName>
    <definedName name="sample_wld_az1_host5_fqdn">'Deploy Workload Domain'!$C$124</definedName>
    <definedName name="sample_mgmt_az1_uplink01_vlan">'Configure Management Domain'!$C$158</definedName>
    <definedName name="wld_az1_rack8_uplink01_network">'Value Reference Tables - MR'!$AD$45</definedName>
    <definedName name="vvs_dr_flt_fleet_manager_fqdn">'Value Reference Tables'!$O$97</definedName>
    <definedName name="wld_az2_host14_vrms_ip">'Value Reference Tables - MR'!$I$452</definedName>
    <definedName name="input_wld_az1_rack3_host_overlay_mtu">'Additional Racks'!$D$185</definedName>
    <definedName name="cluster_vds02_link_type_chosen">'Deploy Cluster'!$D$180</definedName>
    <definedName name="sample_wld_az1_host13_mgmt_ip">'Deploy Workload Domain'!$C$75</definedName>
    <definedName name="input_mgmt_az2_host_overlay_gateway_ip">'Configure Management Domain'!$D$366</definedName>
    <definedName name="cbr_vcdr_cdp1_ip">'Value Reference Tables'!$U$142</definedName>
    <definedName name="flt_vidb_cert_country_code">'Value Reference Tables'!$C$153</definedName>
    <definedName name="wld_az1_rack8_host3_fqdn">'Value Reference Tables - MR'!$AD$223</definedName>
    <definedName name="input_flt_vidb_cert_organisation">'Deploy Fleet Management Day-N'!$D$131</definedName>
    <definedName name="input_wld_az1_rack5_host_overlay_gateway_ip">'Additional Racks'!$D$374</definedName>
    <definedName name="sample_wld_az1_principal_storage_cidr">'Deploy Workload Domain'!$C$360</definedName>
    <definedName name="wld_az1_rack8_mgmt_gateway_ip">'Value Reference Tables - MR'!$AD$86</definedName>
    <definedName name="sample_flt_vidb_nodec_ip">'Deploy Fleet Management Day-N'!$C$172</definedName>
    <definedName name="input_wld_az1_en1_uplink02_interface_cidr">'Configure Workload Domain'!$D$109</definedName>
    <definedName name="input_wld_az1_rack4_mgmt_cidr">'Additional Racks'!$D$197</definedName>
    <definedName name="wld_az1_rack6_host14_hostname">'Value Reference Tables - MR'!$X$215</definedName>
    <definedName name="mgmt_cl01_vds02_lacp_timeout_chosen">'Deploy Management Domain'!$L$205</definedName>
    <definedName name="sample_flt_custom_network_ops_admin_password">'Deploy Fleet Management Day-N'!$C$42</definedName>
    <definedName name="sample_mgmt_az2_host12_vrms_ip">'Site Protection &amp; DR'!$C$204</definedName>
    <definedName name="sample_wld_az1_en1_eth0_uplink0">'Configure Workload Domain'!$C$54</definedName>
    <definedName name="wld_az1_rack7_host15_mgmt_ip">'Value Reference Tables - MR'!$AA$197</definedName>
    <definedName name="input_wld_az1_rack7_secondary_storage_pool_end_ip">'Dumping Ground'!$D$554</definedName>
    <definedName name="wld_iaas_result">'Deploy Workload Domain'!$D$18</definedName>
    <definedName name="input_wld_az1_rack3_host3_mgmt_ip">'Additional Racks'!$D$109</definedName>
    <definedName name="sample_svc_vra_vcf_user">'Active Directory Inputs'!$D$39</definedName>
    <definedName name="sample_wld_az2_storage_cluster_mask">'Configure Workload Domain'!$C$224</definedName>
    <definedName name="sample_wld_az1_rack8_tor1_peer_asn">Arkham!$T$75</definedName>
    <definedName name="sample_wld_az1_vrms_cidr">'Dumping Ground'!$C$270</definedName>
    <definedName name="cluster_az2_host5_fqdn">'Value Reference Tables'!$I$296</definedName>
    <definedName name="sample_xreg_vra_node_pool_start_ip">Arkham!$P$37</definedName>
    <definedName name="mgmt_az1_host7_vrms_ip">'Value Reference Tables - MR'!$F$205</definedName>
    <definedName name="input_wld_az1_rack5_host_overlay_network">'Additional Racks'!$D$372</definedName>
    <definedName name="mgmt_az2_vrms_cidr">'Value Reference Tables - MR'!$F$302</definedName>
    <definedName name="input_wld_az2_pool_name">'Configure Workload Domain'!$D$195</definedName>
    <definedName name="mgmt_ec_gateway_type">'Value Reference Tables'!$C$128</definedName>
    <definedName name="sample_wld_az1_rack7_rtep_ip_pool_name">'Additional Racks'!$C$548</definedName>
    <definedName name="sample_vcf_automation_cert_locality">'Deploy Fleet Management Day-N'!$C$74</definedName>
    <definedName name="input_vcf_automation_cert_country_code">'Deploy Fleet Management Day-N'!$D$73</definedName>
    <definedName name="wld_az2_host4_vrms_ip">'Value Reference Tables - MR'!$I$442</definedName>
    <definedName name="wld_az1_rack4_host11_mgmt_ip">'Value Reference Tables - MR'!$R$193</definedName>
    <definedName name="mgmt_tier0_ha_chosen">'Configure Management Domain'!$D$154</definedName>
    <definedName name="input_sftp_server">'Configure Management Domain'!$D$21</definedName>
    <definedName name="sample_mgmt_az1_host10_mgmt_ip">'Deploy Management Domain'!$K$339</definedName>
    <definedName name="input_k8s_namepsace">'Private AI Ready Infrastructure'!$D$15</definedName>
    <definedName name="cluster_az1_vmotion_uplink1_chosen">'Deploy Cluster'!$D$212</definedName>
    <definedName name="sample_wld_nsxt_global_mgrc_fqdn">'Configure Workload Domain'!$C$404</definedName>
    <definedName name="sample_wld_nsxt_mgrb_ip">'Deploy Workload Domain'!$C$178</definedName>
    <definedName name="mgmt_cl01_vds03_lacp_timeout_chosen">'Deploy Management Domain'!$L$216</definedName>
    <definedName name="wld_az1_uplink01_network">'Value Reference Tables - MR'!$I$45</definedName>
    <definedName name="input_wld_az1_vrms_cidr">'Dumping Ground'!$D$270</definedName>
    <definedName name="sample_ccm_hcx_service_mesh">'Cross Cloud Mobility'!$C$39</definedName>
    <definedName name="input_svc_ila_ad_password">'Active Directory Inputs'!$G$24</definedName>
    <definedName name="input_wld_az1_rack3_host1_fqdn">'Additional Racks'!$D$147</definedName>
    <definedName name="sample_mgmt_az2_host14_fqdn">'Configure Management Domain'!$C$292</definedName>
    <definedName name="input_mgmt_ec_name">'Configure Management Domain'!$D$95</definedName>
    <definedName name="sample_wld_cl01_vds01_mtu">'Deploy Workload Domain'!$C$240</definedName>
    <definedName name="dri_overlay_transport_zone">'Value Reference Tables'!$U$17</definedName>
    <definedName name="sample_flt_vidb_cluster">'Deploy Fleet Management Day-N'!$C$142</definedName>
    <definedName name="wld_cl01_supervisor_vpc_profile">'Value Reference Tables'!$F$189</definedName>
    <definedName name="sizing_inv_ram">'Static Reference Tables'!$C$209</definedName>
    <definedName name="flt_logs_cert_state">'Value Reference Tables'!$L$189</definedName>
    <definedName name="mgmt_az2_host_overlay_gateway_ip">'Value Reference Tables - MR'!$F$338</definedName>
    <definedName name="sample_wld_az1_vrms_gateway_ip">'Dumping Ground'!$C$269</definedName>
    <definedName name="mgmt_nsxt_mgra_fqdn">'Value Reference Tables'!$C$57</definedName>
    <definedName name="svc_vrli_vrops_password">'Value Reference Tables'!$L$117</definedName>
    <definedName name="input_wld_az1_host_overlay_uplink_profile_name">'Deploy Workload Domain'!$D$318</definedName>
    <definedName name="input_wld_az2_host6_mgmt_ip">'Configure Workload Domain'!$D$179</definedName>
    <definedName name="input_wld_az1_rack4_host15_fqdn">'Additional Racks'!$D$254</definedName>
    <definedName name="sample_wld_witnessaz_mgmt_mtu">'Workload Domain As Built'!$C$114</definedName>
    <definedName name="sample_wld_az1_rack8_uplink02_mtu">Arkham!$T$69</definedName>
    <definedName name="mgmt_vns_result">'Configure Management Domain'!$D$13</definedName>
    <definedName name="wld_az1_rack2_host_hostnames">'Value Reference Tables - MR'!$L$202:$L$217</definedName>
    <definedName name="input_wld_az1_rack3_edge_overlay_pool_start_ip">Arkham!$F$71</definedName>
    <definedName name="sizing_w18_vcenter_storage_size">'Management Domain Sizing'!$F$53</definedName>
    <definedName name="input_mgmt_vrms_hostname">'Dumping Ground'!$E$4</definedName>
    <definedName name="sample_wld_az2_host16_mgmt_ip">'Configure Workload Domain'!$C$189</definedName>
    <definedName name="wld_az1_rack8_host11_hostname">'Value Reference Tables - MR'!$AD$212</definedName>
    <definedName name="wld_az1_rack3_host2_hostname">'Value Reference Tables - MR'!$O$203</definedName>
    <definedName name="wld_cl01_cluster">'Value Reference Tables'!$F$63</definedName>
    <definedName name="sizing_nsxt_manager_size_list">'Static Reference Tables'!$C$17:$C$20</definedName>
    <definedName name="wld_az1_host2_hostname">'Value Reference Tables - MR'!$I$219</definedName>
    <definedName name="wld_az1_rack7_mgmt_mask">'Value Reference Tables - MR'!$AA$179</definedName>
    <definedName name="sample_wld_az1_rack7_mgmt_mtu">'Additional Racks'!$C$477</definedName>
    <definedName name="sample_wld_az1_rack7_tor1_peer_asn">Arkham!$Q$78</definedName>
    <definedName name="vcf_automation_root_username">'Value Reference Tables'!$L$361</definedName>
    <definedName name="sizing_w22_spr_chosen">'Management Domain Sizing'!$P$57</definedName>
    <definedName name="wld_az1_rack2_vmotion_cidr">'Value Reference Tables - MR'!$L$25</definedName>
    <definedName name="sample_wld_az1_rack7_principal_storage_mtu">'Additional Racks'!$C$510</definedName>
    <definedName name="wld_az1_rack3_host3_mgmt_ip">'Value Reference Tables - MR'!$O$185</definedName>
    <definedName name="cluster_az1_host_overlay_transport_zone">'Value Reference Tables'!$I$157</definedName>
    <definedName name="flt_logs_root_password_description">'Value Reference Tables'!$L$213</definedName>
    <definedName name="input_vcf_automation_folder">'Deploy Fleet Management Day-N'!$D$83</definedName>
    <definedName name="sample_wld_az1_vrms_mask">'Dumping Ground'!$E$269</definedName>
    <definedName name="input_wld_nsxt_lm_admin_password">'Deploy Workload Domain'!$D$183</definedName>
    <definedName name="sample_sftp_server_backup_dir">'Configure Management Domain'!$C$26</definedName>
    <definedName name="sample_wld_az1_rack3_host_overlay_network">'Additional Racks'!$C$186</definedName>
    <definedName name="wld_az1_host5_vrms_ip">'Value Reference Tables - MR'!$I$203</definedName>
    <definedName name="input_flt_net_folder">'Deploy Fleet Management Day-N'!$D$314</definedName>
    <definedName name="input_wld_az1_rack7_host10_mgmt_ip">'Additional Racks'!$D$488</definedName>
    <definedName name="sample_wld_nsxt_gm_vip_fqdn">'Configure Workload Domain'!$C$443</definedName>
    <definedName name="sample_mgmt_witness_ntp2_server">'Configure Management Domain'!$C$327</definedName>
    <definedName name="wld_nsxt_xreg_t1_name">'Value Reference Tables'!$O$84</definedName>
    <definedName name="sample_cluster_witness_hostname">'Deploy Cluster'!$C$351</definedName>
    <definedName name="mgmt_nsxt_mgrb_fqdn">'Value Reference Tables'!$C$58</definedName>
    <definedName name="ca_key_size">'Value Reference Tables'!$O$40</definedName>
    <definedName name="input_wld_az1_vmotion_pool_start_ip">'Deploy Workload Domain'!$D$90</definedName>
    <definedName name="sizing_w05_gm_chosen">'Management Domain Sizing'!$L$40</definedName>
    <definedName name="sizing_w23_nsxt_appliance_size">'Management Domain Sizing'!$I$58</definedName>
    <definedName name="sample_wld_az1_rack5_principal_storage_pool_end_ip">'Additional Racks'!$C$329</definedName>
    <definedName name="wld_witness_vc_fqdn">'Value Reference Tables'!$F$58</definedName>
    <definedName name="input_mgmt_az2_host10_mgmt_ip">'Configure Management Domain'!$D$239</definedName>
    <definedName name="sample_cbr_vcdr_label">'Cloud-Based Ransomware Recovery'!$C$34</definedName>
    <definedName name="mgmt_witness_vsan_datastore">'Value Reference Tables'!$C$207</definedName>
    <definedName name="input_wld_az1_rack4_principal_storage_cidr">Arkham!$C$29</definedName>
    <definedName name="sample_wld_cl01_az1_uplink01_pg">'Configure Workload Domain'!$C$136</definedName>
    <definedName name="sample_svc_vcf_bck_password">'Configure Management Domain'!$C$25</definedName>
    <definedName name="sample_wld_az1_rack2_host_overlay_network_profile_name">'Additional Racks'!$C$78</definedName>
    <definedName name="mgmt_nsxt_gm_hostname">'Value Reference Tables'!$C$44</definedName>
    <definedName name="wld_az1_rack7_host8_mgmt_ip">'Value Reference Tables - MR'!$AA$190</definedName>
    <definedName name="mgmt_vc_storage_size">'Value Reference Tables'!$O$12</definedName>
    <definedName name="mgmt_ec01_use_host_overlay_chosen">'Configure Management Domain'!$D$109</definedName>
    <definedName name="input_cluster_az1_host2_fqdn">'Deploy Cluster'!$D$85</definedName>
    <definedName name="wld_vcenter_root_password">'Value Reference Tables'!$C$224</definedName>
    <definedName name="sample_mgmt_az1_en2_edge_overlay_interface_ip_1_ip">'Configure Management Domain'!$C$144</definedName>
    <definedName name="input_wld_cl01_vds01_uplink_count">'Deploy Workload Domain'!$D$246</definedName>
    <definedName name="input_wld_witness_hostname">'Configure Workload Domain'!$D$267</definedName>
    <definedName name="wld_az1_rack2_host6_hostname">'Value Reference Tables - MR'!$L$207</definedName>
    <definedName name="input_vcf_automation_nodef_ip">Arkham!$Q$15</definedName>
    <definedName name="input_xreg_vra_virtual_fqdn">'Deploy Management Domain'!$L$78</definedName>
    <definedName name="wld_az2_host15_vrms_ip">'Value Reference Tables - MR'!$I$453</definedName>
    <definedName name="wld_az1_rack2_host4_mgmt_ip">'Value Reference Tables - MR'!$L$186</definedName>
    <definedName name="mgmt_az2_host16_vrms_ip">'Value Reference Tables - MR'!$F$446</definedName>
    <definedName name="wld_host_overlay_addressing_chosen">'Deploy Workload Domain'!$D$304</definedName>
    <definedName name="input_wld_az1_vmotion_mask">'Deploy Workload Domain'!$D$88</definedName>
    <definedName name="sample_wld_az1_rack8_host5_fqdn">'Additional Racks'!$C$616</definedName>
    <definedName name="input_mgmt_az2_host_overlay_network_profile_name">'Configure Management Domain'!$D$361</definedName>
    <definedName name="wld_az2_host4_fqdn">'Value Reference Tables - MR'!$I$480</definedName>
    <definedName name="cluster_az1_host11_fqdn">'Value Reference Tables'!$I$81</definedName>
    <definedName name="input_wld_az2_host3_mgmt_ip">'Configure Workload Domain'!$D$176</definedName>
    <definedName name="sample_wld_az1_rack2_host8_fqdn">'Additional Racks'!$C$61</definedName>
    <definedName name="mgmt_rwr_recovery_site_az1_mgmt_cidr">'Value Reference Tables'!$U$209</definedName>
    <definedName name="input_wld_witness_cluster">'Configure Workload Domain'!$D$268</definedName>
    <definedName name="wld_az1_rack5_en1_fqdn">'Value Reference Tables - MR'!$U$240</definedName>
    <definedName name="sample_wld_az1_mgmt_vm_cidr">'Deploy Workload Domain'!$C$348</definedName>
    <definedName name="input_wld_az2_host_overlay_gateway_ip">'Configure Workload Domain'!$D$324</definedName>
    <definedName name="wld_az1_mgmt_vm_cidr">'Value Reference Tables - MR'!$I$23</definedName>
    <definedName name="sample_wld_az1_rack5_host3_fqdn">'Additional Racks'!$C$335</definedName>
    <definedName name="sample_wld_az1_rack6_secondary_storage_network">'Dumping Ground'!$C$542</definedName>
    <definedName name="input_mgmt_az1_vmotion_cidr">'Deploy Management Domain'!$L$161</definedName>
    <definedName name="input_domain_controller_hostname">Arkham!$C$15</definedName>
    <definedName name="wld_az1_rack8_uplink02_mask">'Value Reference Tables - MR'!$AD$61</definedName>
    <definedName name="input_mgmt_az1_host4_fqdn">'Deploy Management Domain'!$L$131</definedName>
    <definedName name="wld_az1_rack2_uplink02_cidr">'Value Reference Tables - MR'!$L$31</definedName>
    <definedName name="sample_wld_az2_host9_vrms_ip">'Dumping Ground'!$C$318</definedName>
    <definedName name="wld_nsxt_lm_admin_password">'Value Reference Tables'!$F$150</definedName>
    <definedName name="input_xreg_vrops_nodea_fqdn">'Deploy Management Domain'!$L$57</definedName>
    <definedName name="sample_mgmt_srm_site_name">'Dumping Ground'!$C$40</definedName>
    <definedName name="sample_wld_az1_host_overlay_pool_end_ip">'Deploy Workload Domain'!$C$310</definedName>
    <definedName name="mgmt_az1_en2_mgmt_cidr">'Value Reference Tables - MR'!$F$269</definedName>
    <definedName name="input_wld_az1_host1_mgmt_ip">'Deploy Workload Domain'!$D$63</definedName>
    <definedName name="input_wld_az2_host9_vrms_ip">'Dumping Ground'!$D$318</definedName>
    <definedName name="mgmt_nsxt_mgra_ip">'Value Reference Tables'!$C$18</definedName>
    <definedName name="wld_az1_rack4_uplink01_pg">'Value Reference Tables - MR'!$R$114</definedName>
    <definedName name="wld_az1_rack3_uplink01_network">'Value Reference Tables - MR'!$O$45</definedName>
    <definedName name="wld_az1_rack3_host14_fqdn">'Value Reference Tables - MR'!$O$234</definedName>
    <definedName name="flt_custom_network_ops_nodea_ip">'Value Reference Tables'!$L$302</definedName>
    <definedName name="wld_az1_en2_mgmt_cidr">'Value Reference Tables - MR'!$I$269</definedName>
    <definedName name="input_svc_inv_vsphere_user">'Active Directory Inputs'!$E$33</definedName>
    <definedName name="input_wld_avilb_mgrc_ip">'Configure Workload Domain'!$D$158</definedName>
    <definedName name="input_gg_sso_admins_group">'Active Directory Inputs'!$E$69</definedName>
    <definedName name="input_wld_rack3_en_asn">Arkham!$F$73</definedName>
    <definedName name="sample_vvs_dr_flt_auto_fqdn">'Site Protection &amp; DR'!$C$67</definedName>
    <definedName name="sample_mgmt_witness_dns1_ip">'Configure Management Domain'!$C$324</definedName>
    <definedName name="sample_vcf_instance_name">'Deploy Management Domain'!$K$38</definedName>
    <definedName name="sample_wld_az1_rack8_secondary_storage_gateway_ip">'Dumping Ground'!$C$560</definedName>
    <definedName name="cluster_az1_mgmt_lbt_chosen">'Deploy Cluster'!$D$201</definedName>
    <definedName name="mgmt_az1_vmotion_network">'Value Reference Tables - MR'!$F$40</definedName>
    <definedName name="input_cluster_witnessaz_mgmt_vlan">'Deploy Cluster'!$D$342</definedName>
    <definedName name="sample_cluster_az1_vmotion_vlan">'Deploy Cluster'!$C$50</definedName>
    <definedName name="input_cluster_vds03_lag_name">'Deploy Cluster'!$D$192</definedName>
    <definedName name="wld_az1_host16_fqdn">'Value Reference Tables - MR'!$I$252</definedName>
    <definedName name="wld_az1_rack8_tor2_peer_asn">'Value Reference Tables - MR'!$AD$105</definedName>
    <definedName name="wld_az1_rack5_host7_fqdn">'Value Reference Tables - MR'!$U$227</definedName>
    <definedName name="wld_nsxt_vip_fqdn">'Value Reference Tables'!$F$44</definedName>
    <definedName name="wld_az1_rack3_host13_fqdn">'Value Reference Tables - MR'!$O$233</definedName>
    <definedName name="wld_az1_rack8_host3_mgmt_ip">'Value Reference Tables - MR'!$AD$185</definedName>
    <definedName name="input_wld_az1_rack3_host_overlay_network_pool_name">'Additional Racks'!$D$173</definedName>
    <definedName name="sample_vrslcm_root_password">'Deploy Management Domain'!$K$68</definedName>
    <definedName name="sample_mgmt_az2_mgmt_mtu">'Configure Management Domain'!$C$228</definedName>
    <definedName name="prefix_wld_az1_rack_vlan">'Value Reference Tables - MR'!$AH$7</definedName>
    <definedName name="sample_wld_rtep_overlay_pool_end_ip">'Configure Workload Domain'!$C$468</definedName>
    <definedName name="sample_wld_az1_rack4_host11_mgmt_ip">'Additional Racks'!$C$210</definedName>
    <definedName name="wld_az1_host11_mgmt_ip">'Value Reference Tables - MR'!$I$193</definedName>
    <definedName name="input_wld_az1_rack4_mgmt_vm_cidr">'Value Reference Tables - MR'!$N$261</definedName>
    <definedName name="sample_mgmt_az2_tor1_peer_ip">'Configure Management Domain'!$C$384</definedName>
    <definedName name="input_wld_az1_rack2_host14_fqdn">'Additional Racks'!$D$67</definedName>
    <definedName name="sample_mgmt_nsxt_global_mgr_cluster_id">'Configure Management Domain'!$C$453</definedName>
    <definedName name="k8s_mgmt_seg">'Value Reference Tables'!$U$18</definedName>
    <definedName name="sample_cluster_esx_root_username">'Deploy Cluster'!$C$104</definedName>
    <definedName name="mgmt_az2_host_overlay_uplink_profile_name">'Value Reference Tables - MR'!$F$401</definedName>
    <definedName name="input_mgmt_srm_admin_email">'Dumping Ground'!$D$41</definedName>
    <definedName name="sample_vvs_dr_flt_logs_nodec_fqdn">'Site Protection &amp; DR'!$C$37</definedName>
    <definedName name="input_xreg_vrslcm_ip">'Deploy Management Domain'!$L$306</definedName>
    <definedName name="wld_az1_rack7_host16_mgmt_ip">'Value Reference Tables - MR'!$AA$198</definedName>
    <definedName name="sddc_mgr_ip">'Value Reference Tables'!$C$15</definedName>
    <definedName name="sample_wld_az1_rack4_host1_fqdn">'Additional Racks'!$C$240</definedName>
    <definedName name="mgmt_avilb_mgrb_ip">'Value Reference Tables'!$C$27</definedName>
    <definedName name="wld_az2_vmotion_pool_end_ip">'Value Reference Tables - MR'!$I$392</definedName>
    <definedName name="wld_cl01_supervisor_private_cidr">'Value Reference Tables'!$F$185</definedName>
    <definedName name="sample_wld_ec_name">'Configure Workload Domain'!$C$38</definedName>
    <definedName name="wld_az1_rack2_mgmt_pg">'Value Reference Tables - MR'!$L$111</definedName>
    <definedName name="cluster_az1_storage_cluster_gateway_ip">'Value Reference Tables'!$I$49</definedName>
    <definedName name="input_wld_nsxt_mgra_fqdn">'Deploy Workload Domain'!$D$175</definedName>
    <definedName name="sample_cluster_az1_host14_fqdn">'Deploy Cluster'!$C$97</definedName>
    <definedName name="sample_mgmt_witness_ip">'Configure Management Domain'!$C$319</definedName>
    <definedName name="wld_az1_edge_overlay_mtu">'Value Reference Tables - MR'!$I$78</definedName>
    <definedName name="sizing_m01_nsxt_gm_appliance_size">'Management Domain Sizing'!$O$32</definedName>
    <definedName name="flt_logs_configure_vip_chosen">'Deploy Fleet Management Day-N'!$D$263</definedName>
    <definedName name="input_wld_az1_host15_mgmt_ip">'Deploy Workload Domain'!$D$77</definedName>
    <definedName name="wld_bf_vc_fqdn">'Value Reference Tables'!$I$179</definedName>
    <definedName name="sample_gg_vc_admins_group">'Active Directory Inputs'!$D$67</definedName>
    <definedName name="mgmt_domain_chosen">'VCF &amp; VVF Planning'!$J$18</definedName>
    <definedName name="dri_sddc_domain">'Value Reference Tables'!$U$8</definedName>
    <definedName name="wld_bf_nsx_join_manager_chosen">'Deploy Workload Domain'!$D$38</definedName>
    <definedName name="input_wld_rwr_recoverysite_fd">'On-Premises Ransomware Recovery'!$D$144</definedName>
    <definedName name="sftp_server_port">'Value Reference Tables'!$O$46</definedName>
    <definedName name="sample_wld_az1_rack7_host12_mgmt_ip">'Additional Racks'!$C$490</definedName>
    <definedName name="input_wld_az1_rtep_overlay_vlan">'Configure Workload Domain'!$D$499</definedName>
    <definedName name="region_dns2_ip">'Value Reference Tables'!$L$52</definedName>
    <definedName name="input_mgmt_sso_domain_username">'Deploy Management Domain'!$L$96</definedName>
    <definedName name="sample_wld_az1_rack2_vmotion_cidr">Arkham!$B$20</definedName>
    <definedName name="input_wld_vrms_recovery_replication_cidr">'Dumping Ground'!$D$88</definedName>
    <definedName name="input_wld_az1_rack5_host16_fqdn">'Additional Racks'!$D$348</definedName>
    <definedName name="cluster_az2_mgmt_gateway_ip">'Value Reference Tables'!$I$202</definedName>
    <definedName name="sample_wld_witnessaz_mgmt_vlan">'Configure Workload Domain'!$C$257</definedName>
    <definedName name="cluster_vds01_lag_name">'Value Reference Tables'!$I$113</definedName>
    <definedName name="input_wld_az1_rack4_host9_mgmt_ip">'Additional Racks'!$D$208</definedName>
    <definedName name="wld_az1_host13_vrms_ip">'Value Reference Tables - MR'!$I$211</definedName>
    <definedName name="sample_wld_nsxt_lm_audit_password">'Deploy Workload Domain'!$C$184</definedName>
    <definedName name="input_flt_custom_network_ops_nodea_fqdn">'Deploy Fleet Management Day-N'!$D$33</definedName>
    <definedName name="mgmt_cl01_vds01_lacp_mode_chosen">'Deploy Management Domain'!$L$192</definedName>
    <definedName name="sample_vcf_automation_vip_ip">'Deploy Fleet Management Day-N'!$C$78</definedName>
    <definedName name="input_wld_az1_rack5_uplink02_vlan">Arkham!$L$57</definedName>
    <definedName name="wld_az1_rack8_mgmt_vlan">'Value Reference Tables - MR'!$AD$9</definedName>
    <definedName name="wld_az1_rack4_edge_overlay_pool_start_ip">'Value Reference Tables - MR'!$R$159</definedName>
    <definedName name="wld_az1_rack8_edge_overlay_cidr">'Value Reference Tables - MR'!$AD$32</definedName>
    <definedName name="input_wld_az1_rack2_edge_overlay_pool_start_ip">Arkham!$C$71</definedName>
    <definedName name="input_wld_az2_host1_mgmt_ip">'Configure Workload Domain'!$D$174</definedName>
    <definedName name="wld_vrms_mask">'Value Reference Tables'!$AA$50</definedName>
    <definedName name="sample_wld_az1_rack6_host_overlay_uplink_profile_name">'Additional Racks'!$C$453</definedName>
    <definedName name="wld_az1_host_overlay_mtu">'Value Reference Tables - MR'!$I$73</definedName>
    <definedName name="wld_nsxt_global_mgrc_ip">'Value Reference Tables'!$F$22</definedName>
    <definedName name="mgmt_vpc_transit_gateway_ip_blocks">'Value Reference Tables'!$O$33</definedName>
    <definedName name="wld_az1_vrms_cidr">'Value Reference Tables - MR'!$I$34</definedName>
    <definedName name="sample_mgmt_az1_secondary_storage_mtu">'Deploy Management Domain'!$K$176</definedName>
    <definedName name="wld_az1_rack2_uplink02_vlan">'Value Reference Tables - MR'!$L$16</definedName>
    <definedName name="input_gg_vc_read_only_group">'Active Directory Inputs'!$E$68</definedName>
    <definedName name="wld_az1_host_overlay_pg">'Value Reference Tables - MR'!$I$114</definedName>
    <definedName name="input_xreg_vrops_virtual_fqdn">'Deploy Management Domain'!$L$63</definedName>
    <definedName name="sample_wld_az2_host14_fqdn">'Configure Workload Domain'!$C$245</definedName>
    <definedName name="mgmt_vns_chosen">'Configure Management Domain'!$B$13</definedName>
    <definedName name="input_wld_vpc_ext_ip_blocks">'Configure Workload Domain'!$D$131</definedName>
    <definedName name="cluster_az2_storage_cluster_vlan">'Value Reference Tables'!$I$249</definedName>
    <definedName name="wld_az1_host1_vrms_ip">'Value Reference Tables - MR'!$I$199</definedName>
    <definedName name="sample_mgmt_az2_host4_sddc_id">'Configure Management Domain'!$C$348</definedName>
    <definedName name="wld_az1_rack2_host16_mgmt_ip">'Value Reference Tables - MR'!$L$198</definedName>
    <definedName name="input_wld_rwr_vcfops_vlsr_username">'On-Premises Ransomware Recovery'!$D$203</definedName>
    <definedName name="sample_cluster_storage_cluster_name">'Deploy Cluster'!$C$128</definedName>
    <definedName name="wld_cl01_vds01_lag_name">'Value Reference Tables'!$F$76</definedName>
    <definedName name="wld_az1_rack3_host12_mgmt_ip">'Value Reference Tables - MR'!$O$194</definedName>
    <definedName name="storage_ftt">'Static Reference Tables'!$B$376:$B$378</definedName>
    <definedName name="sample_mgmt_az2_vsan_mask">'Configure Management Domain'!$C$263</definedName>
    <definedName name="sample_flt_vidb_user_name">'Deploy Fleet Management Day-N'!$C$194</definedName>
    <definedName name="sample_svc_ccm_hcx_vsphere_password">'Active Directory Inputs'!$F$48</definedName>
    <definedName name="sample_wld_az2_host1_vrms_ip">'Dumping Ground'!$C$310</definedName>
    <definedName name="wld_az1_rack4_secondary_storage_mtu">'Value Reference Tables - MR'!$R$74</definedName>
    <definedName name="input_wld_az1_rack7_edge_overlay_gateway_ip">Arkham!$R$67</definedName>
    <definedName name="input_wld_az2_tor2_peer_ip">'Configure Workload Domain'!$D$350</definedName>
    <definedName name="sample_wld_az1_rack6_host_overlay_pool_start_ip">'Additional Racks'!$C$468</definedName>
    <definedName name="sample_wld_az1_rack3_vmotion_mask">'Additional Racks'!$C$132</definedName>
    <definedName name="wld_az1_rack5_edge_overlay_pool_start_ip">'Value Reference Tables - MR'!$U$159</definedName>
    <definedName name="sample_cbr_recovery_sddc_name">'Cloud-Based Ransomware Recovery'!$C$18</definedName>
    <definedName name="wld_az1_rack6_secondary_storage_pool_start_ip">'Value Reference Tables - MR'!$X$155</definedName>
    <definedName name="xreg_vra_nodea_ip">'Value Reference Tables'!$R$39</definedName>
    <definedName name="input_cluster_az2_host8_mgmt_ip">'Deploy Cluster'!$D$268</definedName>
    <definedName name="wld_az1_rack2_host9_fqdn">'Value Reference Tables - MR'!$L$229</definedName>
    <definedName name="wld_az1_rack5_principal_storage_network">'Value Reference Tables - MR'!$U$41</definedName>
    <definedName name="wld_az1_rack4_host13_fqdn">'Value Reference Tables - MR'!$R$233</definedName>
    <definedName name="wld_az1_rack2_host_overlay_cidr">'Value Reference Tables - MR'!$L$27</definedName>
    <definedName name="sample_flt_vidb_password">'Deploy Fleet Management Day-N'!$C$160</definedName>
    <definedName name="flt_logs_common_name">'Value Reference Tables'!$L$184</definedName>
    <definedName name="input_mgmt_az1_vmotion_pool_end_ip">'Deploy Management Domain'!$L$164</definedName>
    <definedName name="input_flt_custom_network_flt_fqdn">'Deploy Fleet Management Day-N'!$D$26</definedName>
    <definedName name="vcf_automation_root_password">'Value Reference Tables'!$L$359</definedName>
    <definedName name="sample_wld_az1_rack6_host4_mgmt_ip">'Additional Racks'!$C$389</definedName>
    <definedName name="sample_cluster_az2_host4_fqdn">'Deploy Cluster'!$C$320</definedName>
    <definedName name="input_wld_az2_host5_fqdn">'Configure Workload Domain'!$D$236</definedName>
    <definedName name="sample_gg_vcf_admins_group">'Active Directory Inputs'!$D$64</definedName>
    <definedName name="input_wld_cl01_cluster_zn_name">'Deploy Workload Domain'!$D$164</definedName>
    <definedName name="sizing_w07_ssp_chosen">'Management Domain Sizing'!$V$42</definedName>
    <definedName name="sizing_w08_ssp_chosen">'Management Domain Sizing'!$V$43</definedName>
    <definedName name="input_gg_vra_cloud_assembly_viewers_group">'Active Directory Inputs'!$E$97</definedName>
    <definedName name="sample_wld_az1_rack5_mgmt_vm_gateway_ip">'Value Reference Tables - MR'!$O$262</definedName>
    <definedName name="wld_az1_rack6_host10_hostname">'Value Reference Tables - MR'!$X$211</definedName>
    <definedName name="input_cluster_az2_host2_fqdn">'Deploy Cluster'!$D$318</definedName>
    <definedName name="sizing_w17_ssp_chosen">'Management Domain Sizing'!$V$52</definedName>
    <definedName name="sample_wld_az1_mgmt_gateway_ip">'Deploy Workload Domain'!$C$59</definedName>
    <definedName name="table_vcfa_appliance_cpu">'Static Reference Tables'!$B$127:$C$129</definedName>
    <definedName name="input_flt_net_vcenter_fqdn">'Deploy Fleet Management Day-N'!$D$312</definedName>
    <definedName name="ccm_firewall_ip_addresses">'Value Reference Tables'!$U$175</definedName>
    <definedName name="wld_az1_rack3_secondary_storage_cidr">'Value Reference Tables - MR'!$O$28</definedName>
    <definedName name="flt_logs_cert_locality">'Value Reference Tables'!$L$188</definedName>
    <definedName name="wld_az1_rack2_rtep_ip_pool_name">'Value Reference Tables - MR'!$L$173</definedName>
    <definedName name="cluster_az1_mgmt_cidr">'Value Reference Tables'!$I$14</definedName>
    <definedName name="sample_wld_az1_en2_eth0_uplink0">'Configure Workload Domain'!$C$80</definedName>
    <definedName name="sample_wld_sddc_domain">'Deploy Workload Domain'!$C$148</definedName>
    <definedName name="input_wld_az1_rack3_edge_overlay_vlan">Arkham!$F$58</definedName>
    <definedName name="wld_nsxt_mgrb_ip">'Value Reference Tables'!$F$17</definedName>
    <definedName name="input_mgmt_az1_host8_vrms_ip">'Site Protection &amp; DR'!$D$183</definedName>
    <definedName name="input_cbr_vcdr_email_recipient">'Cloud-Based Ransomware Recovery'!$D$36</definedName>
    <definedName name="sample_mgmt_az1_vrms_mtu">'Site Protection &amp; DR'!$C$174</definedName>
    <definedName name="input_wld_az1_rack3_host_overlay_mask">'Additional Racks'!$D$187</definedName>
    <definedName name="mgmt_vpc_ext_ip_blocks">'Value Reference Tables'!$O$32</definedName>
    <definedName name="sample_cluster_az1_host_overlay_network_pool_name">'Deploy Cluster'!$C$234</definedName>
    <definedName name="sample_wld_az1_rack6_principal_storage_gateway_ip">'Additional Racks'!$C$420</definedName>
    <definedName name="xregion_dns1_ip">'Value Reference Tables'!$L$53</definedName>
    <definedName name="wld_az1_rack2_mgmt_vm_gateway_ip">'Value Reference Tables - MR'!$L$85</definedName>
    <definedName name="wld_az1_rack7_host11_fqdn">'Value Reference Tables - MR'!$AA$231</definedName>
    <definedName name="sample_wld_az1_rack8_pool_name">'Additional Racks'!$C$592</definedName>
    <definedName name="wld_ec01_use_host_overlay_chosen">'Configure Workload Domain'!$D$52</definedName>
    <definedName name="sample_ccm_hcx_license">'Cross Cloud Mobility'!$C$31</definedName>
    <definedName name="wld_az1_vmotion_gateway_ip">'Value Reference Tables - MR'!$I$87</definedName>
    <definedName name="input_wld_az1_rack7_edge_overlay_mask">Arkham!$R$70</definedName>
    <definedName name="cbr_vcdr_passcode">'Value Reference Tables'!$U$147</definedName>
    <definedName name="sample_ccm_hcx_vsphere_role">'Cross Cloud Mobility'!$C$16</definedName>
    <definedName name="input_cluster_az1_host_overlay_network_profile_name">'Deploy Cluster'!$D$242</definedName>
    <definedName name="mgmt_witness_hostname">'Value Reference Tables'!$C$193</definedName>
    <definedName name="wld_az1_rack8_host15_mgmt_ip">'Value Reference Tables - MR'!$AD$197</definedName>
    <definedName name="wld_bf_nsxt_admin_password">'Value Reference Tables'!$I$194</definedName>
    <definedName name="navigation_nsx_federation_for_management_domain">'Configure Management Domain'!$B$395</definedName>
    <definedName name="input_svc_iom_vsphere_password">'Active Directory Inputs'!$G$28</definedName>
    <definedName name="cluster_az1_host5_mgmt_ip">'Value Reference Tables'!$I$57</definedName>
    <definedName name="sample_wld_cl01_vds02_uplink_count">'Deploy Workload Domain'!$C$257</definedName>
    <definedName name="wld_az2_host15_hostname">'Value Reference Tables - MR'!$I$472</definedName>
    <definedName name="input_svc_ila_ad_user">'Active Directory Inputs'!$E$24</definedName>
    <definedName name="sample_wld_az1_rack3_uplink02_mask">Arkham!$E$66</definedName>
    <definedName name="sizing_vcls_ram">'Static Reference Tables'!$C$103</definedName>
    <definedName name="sample_wld_az1_rack2_host12_mgmt_ip">'Additional Racks'!$C$25</definedName>
    <definedName name="wld_az1_rack3_mgmt_vm_pg">'Value Reference Tables - MR'!$O$110</definedName>
    <definedName name="input_vcf_automation_root_password_alias">'Deploy Fleet Management Day-N'!$D$100</definedName>
    <definedName name="sample_wld_cl01_az1_mgmt_pg">'Deploy Workload Domain'!$C$272</definedName>
    <definedName name="sample_vcf_automation_root_password_description">'Deploy Fleet Management Day-N'!$C$102</definedName>
    <definedName name="input_gg_vra_cloud_assembly_admins_group">'Active Directory Inputs'!$E$95</definedName>
    <definedName name="xreg_vrops_nodec_fqdn">'Value Reference Tables'!$R$96</definedName>
    <definedName name="wld_az1_rack2_rtep_overlay_pool_start_ip">'Value Reference Tables - MR'!$L$161</definedName>
    <definedName name="wld_az2_uplink02_network">'Value Reference Tables - MR'!$I$316</definedName>
    <definedName name="sample_k8s_kubectl_path">'Private AI Ready Infrastructure'!$C$26</definedName>
    <definedName name="input_wld_az1_rack4_tor1_peer_ip">Arkham!$I$74</definedName>
    <definedName name="cluster_vsan_compute_network_topology_chosen">'Deploy Cluster'!$D$403</definedName>
    <definedName name="sample_mgmt_az2_vmotion_gateway_ip">'Configure Management Domain'!$C$256</definedName>
    <definedName name="input_wld_az1_rack2_host8_fqdn">'Additional Racks'!$D$61</definedName>
    <definedName name="input_vvs_dr_vr_password">'Site Protection &amp; DR'!$D$135</definedName>
    <definedName name="sample_mgmt_cl01_az1_vcf_mgmt_pg">Arkham!$A$9</definedName>
    <definedName name="air_GPU_VM_class">'Value Reference Tables'!$U$45</definedName>
    <definedName name="sample_flt_net_nodeb_ip">'Deploy Fleet Management Day-N'!$C$307</definedName>
    <definedName name="input_k8s_mgmt_seg">'Private AI Ready Infrastructure'!$D$19</definedName>
    <definedName name="input_mgmt_vpc_transit_gateway_ip_blocks">'Configure Management Domain'!$D$189</definedName>
    <definedName name="wld_az1_rack8_mgmt_vm_mask">'Value Reference Tables - MR'!$AD$178</definedName>
    <definedName name="input_wld_existing_active_nsx_gm">'Configure Workload Domain'!$D$512</definedName>
    <definedName name="sample_wld_az1_rack5_uplink01_mask">Arkham!$K$65</definedName>
    <definedName name="wld_az1_host8_fqdn">'Value Reference Tables - MR'!$I$244</definedName>
    <definedName name="wld_cl01_az1_vmotion_pg">'Value Reference Tables - MR'!$I$112</definedName>
    <definedName name="wld_az1_rack5_host7_mgmt_ip">'Value Reference Tables - MR'!$U$189</definedName>
    <definedName name="input_wld_az1_rack7_host_overlay_network_pool_name">'Additional Racks'!$D$545</definedName>
    <definedName name="dri_network_mode">'Value Reference Tables'!$U$29</definedName>
    <definedName name="sample_wld_az1_rack5_mgmt_cidr">'Additional Racks'!$C$290</definedName>
    <definedName name="sample_mgmt_az1_host3_mgmt_ip">'Deploy Management Domain'!$K$332</definedName>
    <definedName name="input_wld_az1_rack5_mgmt_vm_mtu">'Value Reference Tables - MR'!$R$262</definedName>
    <definedName name="sample_wld_srm_recovery_vcenter_fqdn">'Dumping Ground'!$C$85</definedName>
    <definedName name="wld_sddc_domain">'Value Reference Tables'!$O$63</definedName>
    <definedName name="input_mgmt_az1_mgmt_vm_cidr">'Deploy Management Domain'!$L$156</definedName>
    <definedName name="flt_net_affinty_rule_chosen">'Deploy Fleet Management Day-N'!$D$334</definedName>
    <definedName name="mgmt_sso_domain_username">'Value Reference Tables'!$C$85</definedName>
    <definedName name="sample_mgmt_avilb_cluster_version">'Configure Management Domain'!$C$208</definedName>
    <definedName name="input_ccm_hcx_vmotion_network_ip_range">'Cross Cloud Mobility'!$F$12</definedName>
    <definedName name="sample_wld_az1_rack6_host16_mgmt_ip">'Additional Racks'!$C$401</definedName>
    <definedName name="sizing_cbr_ram">'Static Reference Tables'!$C$237</definedName>
    <definedName name="wld_az1_rack6_pool_name">'Value Reference Tables - MR'!$X$166</definedName>
    <definedName name="input_mgmt_az1_vmotion_mtu">'Deploy Management Domain'!$L$162</definedName>
    <definedName name="cluster_name">'Value Reference Tables'!$I$93</definedName>
    <definedName name="input_cluster_az1_host_overlay_gateway_ip">'Deploy Cluster'!$D$239</definedName>
    <definedName name="input_flt_net_node_mask">'Deploy Fleet Management Day-N'!$D$326</definedName>
    <definedName name="mgmt_cl01_vsan_ftt_chosen">'Deploy Management Domain'!$L$118</definedName>
    <definedName name="wld_az1_rack6_rtep_overlay_pool_end_ip">'Value Reference Tables - MR'!$X$162</definedName>
    <definedName name="input_wld_srm_sso_domain_membership">'Dumping Ground'!$D$89</definedName>
    <definedName name="wld_az1_rack3_uplink01_gateway_ip">'Value Reference Tables - MR'!$O$92</definedName>
    <definedName name="input_wld_az1_rack5_host3_fqdn">'Additional Racks'!$D$335</definedName>
    <definedName name="mgmt_az1_host8_hostname">'Value Reference Tables - MR'!$F$225</definedName>
    <definedName name="sample_mgmt_ec_name">'Configure Management Domain'!$C$95</definedName>
    <definedName name="sample_flt_custom_network_auto_nodec_ip">'Deploy Fleet Management Day-N'!$C$55</definedName>
    <definedName name="cluster_az1_vmotion_network">'Value Reference Tables'!$I$19</definedName>
    <definedName name="wld_az1_vmotion_mtu">'Value Reference Tables - MR'!$I$71</definedName>
    <definedName name="input_cbr_recovery_management_subnet">'Cloud-Based Ransomware Recovery'!$D$24</definedName>
    <definedName name="sample_flt_sr_fqdn">Arkham!$P$29</definedName>
    <definedName name="input_vcf_automation_vip_fqdn">'Deploy Fleet Management Day-N'!$D$77</definedName>
    <definedName name="wld_az1_en1_hostname">'Value Reference Tables - MR'!$I$255</definedName>
    <definedName name="input_cluster_vds02_pnics">'Deploy Cluster'!$D$186</definedName>
    <definedName name="sample_wld_az1_rack8_secondary_storage_cidr">Arkham!$B$46</definedName>
    <definedName name="wld_az1_rack2_secondary_storage_cidr">'Value Reference Tables - MR'!$L$28</definedName>
    <definedName name="input_wld_az1_rack6_uplink01_network">Arkham!$O$59</definedName>
    <definedName name="input_wld_az1_rack3_secondary_storage_gateway_ip">'Dumping Ground'!$D$520</definedName>
    <definedName name="sample_wld_az2_host7_mgmt_ip">'Configure Workload Domain'!$C$180</definedName>
    <definedName name="sample_wld_az1_rack4_uplink01_vlan">Arkham!$H$56</definedName>
    <definedName name="input_wld_az1_rack3_edge_overlay_network">Arkham!$F$61</definedName>
    <definedName name="wld_signed_certs_chosen">'Configure Workload Domain'!$B$11</definedName>
    <definedName name="cluster_az1_host9_fqdn">'Value Reference Tables'!$I$79</definedName>
    <definedName name="input_wld_az1_edge_overlay_mask">'Configure Workload Domain'!$D$66</definedName>
    <definedName name="sample_cbr_vcdr_cdp1_hostname">'Cloud-Based Ransomware Recovery'!$D$9</definedName>
    <definedName name="input_mgmt_nsxt_global_mgr_anti_affinity_rule_name">'Configure Management Domain'!$D$469</definedName>
    <definedName name="input_cluster_az2_host4_fqdn">'Deploy Cluster'!$D$320</definedName>
    <definedName name="table_vcfopsnet_appliance_ram">'Static Reference Tables'!$B$206:$C$210</definedName>
    <definedName name="sample_sftp_server_passphrase">'Configure Management Domain'!$C$28</definedName>
    <definedName name="input_mgmt_az1_host7_fqdn">'Deploy Management Domain'!$L$134</definedName>
    <definedName name="wld_az1_host13_mgmt_ip">'Value Reference Tables - MR'!$I$195</definedName>
    <definedName name="input_wld_cl01_vds02_lag_name">'Deploy Workload Domain'!$D$253</definedName>
    <definedName name="wld_az2_host11_hostname">'Value Reference Tables - MR'!$I$468</definedName>
    <definedName name="input_cluster_az2_tor2_peer_asn">'Deploy Cluster'!$D$439</definedName>
    <definedName name="sample_wld_az1_rack7_edge_overlay_pool_start_ip">Arkham!$Q$74</definedName>
    <definedName name="sample_rwr_datacenter">'On-Premises Ransomware Recovery'!$C$143</definedName>
    <definedName name="mgmt_az1_host13_vrms_ip">'Value Reference Tables - MR'!$F$211</definedName>
    <definedName name="sample_mgmt_az1_en1_hostname">'Configure Management Domain'!$C$539</definedName>
    <definedName name="sample_mgmt_az2_vsan_gateway_ip">'Configure Management Domain'!$C$264</definedName>
    <definedName name="input_cbr_recovery_host_type">'Cloud-Based Ransomware Recovery'!$D$20</definedName>
    <definedName name="input_wld_az1_rack4_host10_fqdn">'Additional Racks'!$D$249</definedName>
    <definedName name="input_wld_az1_rack8_host4_fqdn">'Additional Racks'!$D$615</definedName>
    <definedName name="vvs_dr_mgmt_cl01_datastore">'Value Reference Tables'!$O$122</definedName>
    <definedName name="wld_az1_rack5_host16_mgmt_ip">'Value Reference Tables - MR'!$U$198</definedName>
    <definedName name="wld_az1_rack3_secondary_storage_pool_start_ip">'Value Reference Tables - MR'!$O$155</definedName>
    <definedName name="cluster_vds03_traffic_type">'Value Reference Tables'!$I$124</definedName>
    <definedName name="sample_wld_az1_rack3_uplink01_mask">Arkham!$E$65</definedName>
    <definedName name="wld_az1_rack5_en1_hostname">'Value Reference Tables - MR'!$U$239</definedName>
    <definedName name="wld_az1_rack6_mgmt_mtu">'Value Reference Tables - MR'!$X$70</definedName>
    <definedName name="nsx_sizing_limits">'Static Reference Tables'!$E$34:$G$38</definedName>
    <definedName name="wld_az1_rack8_rtep_overlay_cidr">'Value Reference Tables - MR'!$AD$33</definedName>
    <definedName name="sample_wld_az2_tor1_peer_ip">'Configure Workload Domain'!$C$345</definedName>
    <definedName name="input_wld_az1_edge_overlay_cidr">'Configure Workload Domain'!$D$144</definedName>
    <definedName name="input_flt_net_vcenter_list">'Deploy Fleet Management Day-N'!$D$340</definedName>
    <definedName name="input_wld_az1_rack8_host4_mgmt_ip">'Additional Racks'!$D$575</definedName>
    <definedName name="prefix_xreg_cidr">'Value Reference Tables'!$AA$69</definedName>
    <definedName name="input_mgmt_az2_host3_fqdn">'Configure Management Domain'!$D$281</definedName>
    <definedName name="wld_az1_rack7_uplink02_pg">'Value Reference Tables - MR'!$AA$115</definedName>
    <definedName name="sample_cluster_nsxt_vip_fqdn">'Deploy Cluster'!$C$423</definedName>
    <definedName name="mgmt_az1_en1_mgmt_cidr">'Value Reference Tables - MR'!$F$258</definedName>
    <definedName name="sizing_w01_spr_chosen">'Management Domain Sizing'!$P$36</definedName>
    <definedName name="wld_az2_host4_hostname">'Value Reference Tables - MR'!$I$461</definedName>
    <definedName name="input_flt_vidb_folder">'Deploy Fleet Management Day-N'!$D$143</definedName>
    <definedName name="input_wld_az1_rack5_host2_fqdn">'Additional Racks'!$D$334</definedName>
    <definedName name="sample_mgmt_az2_host15_fqdn">'Configure Management Domain'!$C$293</definedName>
    <definedName name="input_mgmt_cl01_vds01_mtu">'Deploy Management Domain'!$L$189</definedName>
    <definedName name="sample_wld_vlr_replication_user">'On-Premises Ransomware Recovery'!$C$44</definedName>
    <definedName name="sample_sddc_mgr_fqdn">'Deploy Management Domain'!$K$266</definedName>
    <definedName name="mgmt_az1_host4_mgmt_ip">'Value Reference Tables - MR'!$F$186</definedName>
    <definedName name="wld_az1_rack5_host_overlay_uplink_profile_name">'Value Reference Tables - MR'!$U$171</definedName>
    <definedName name="mgmt_cl01_az1_mgmt_vm_uplink1_chosen">'Deploy Management Domain'!$L$228</definedName>
    <definedName name="sample_cluster_witnessaz_mask">'Deploy Cluster'!$C$359</definedName>
    <definedName name="input_mgmt_az1_host11_vrms_ip">'Site Protection &amp; DR'!$D$186</definedName>
    <definedName name="flt_custom_network_ops_collector_ip">'Value Reference Tables'!$L$309</definedName>
    <definedName name="mgmt_az2_host6_fqdn">'Value Reference Tables - MR'!$F$474</definedName>
    <definedName name="input_flt_logs_gateway_ip">'Deploy Fleet Management Day-N'!$D$247</definedName>
    <definedName name="wld_az1_rack4_host8_fqdn">'Value Reference Tables - MR'!$R$228</definedName>
    <definedName name="sample_wld_az1_rack2_vmotion_pool_end_ip">'Additional Racks'!$C$42</definedName>
    <definedName name="sample_cluster_az2_mgmt_mtu">'Deploy Cluster'!$C$259</definedName>
    <definedName name="sample_wld_az1_rack6_host4_fqdn">'Additional Racks'!$C$429</definedName>
    <definedName name="input_air_license">'Private AI Ready Infrastructure'!$D$9</definedName>
    <definedName name="mgmt_srm_recovery_t1_si_ip">'Value Reference Tables'!$R$104</definedName>
    <definedName name="sample_mgmt_srm_recovery_mask">'Site Protection &amp; DR'!$C$383</definedName>
    <definedName name="sample_wld_az1_rack6_principal_storage_cidr">Arkham!$B$37</definedName>
    <definedName name="sample_wld_srm_site_name">'Dumping Ground'!$C$81</definedName>
    <definedName name="input_cluster_az1_vmotion_mask">'Deploy Cluster'!$D$53</definedName>
    <definedName name="input_mgmt_az2_host11_fqdn">'Configure Management Domain'!$D$289</definedName>
    <definedName name="sample_flt_vidb_version">'Deploy Fleet Management Day-N'!$C$124</definedName>
    <definedName name="sizing_w18_spr_chosen">'Management Domain Sizing'!$P$53</definedName>
    <definedName name="wld_az1_rack2_host13_hostname">'Value Reference Tables - MR'!$L$214</definedName>
    <definedName name="wld_cl01_az1_vm_pg">'Value Reference Tables'!$AD$33</definedName>
    <definedName name="local_vcf_aware_wsa_root_password_alias">'Value Reference Tables'!$AA$26</definedName>
    <definedName name="sizing_w20_vcenter_appliance_size">'Management Domain Sizing'!$D$55</definedName>
    <definedName name="wld_az1_rack3_vmotion_vlan">'Value Reference Tables - MR'!$O$10</definedName>
    <definedName name="sample_wld_az1_rack3_mgmt_vm_vlan">'Value Reference Tables - MR'!$K$260</definedName>
    <definedName name="sizing_nsxt_edge_sizing_list">'Static Reference Tables'!$C$21:$C$25</definedName>
    <definedName name="sample_wld_az1_rack4_rtep_ip_pool_name">'Additional Racks'!$C$269</definedName>
    <definedName name="wld_az1_edge_overlay_mask">'Value Reference Tables - MR'!$I$62</definedName>
    <definedName name="flt_vcfms_node_pool_end_ip">Arkham!$R$41</definedName>
    <definedName name="sample_wld_az1_host_overlay_pool_start_ip">'Deploy Workload Domain'!$C$309</definedName>
    <definedName name="mgmt_cl01_az2_vmotion_pg">'Value Reference Tables - MR'!$F$374</definedName>
    <definedName name="wld_nsxt_gm_vip_fqdn">'Value Reference Tables'!$F$48</definedName>
    <definedName name="sample_wld_az1_rack2_principal_storage_network">'Additional Racks'!$C$46</definedName>
    <definedName name="mgmt_az2_uplink02_cidr">'Value Reference Tables - MR'!$F$299</definedName>
    <definedName name="input_wld_az1_en2_uplink01_interface_cidr">'Configure Workload Domain'!$D$117</definedName>
    <definedName name="sample_sftp_server">'Configure Management Domain'!$C$21</definedName>
    <definedName name="wld_az1_secondary_storage_mask">'Value Reference Tables - MR'!$I$58</definedName>
    <definedName name="mgmt_az2_vm_mtu">'Value Reference Tables'!$AE$25</definedName>
    <definedName name="input_wld_az1_rack4_tor2_peer_ip">Arkham!$I$77</definedName>
    <definedName name="input_wld_az1_rack7_tor2_peer_ip">Arkham!$R$80</definedName>
    <definedName name="wld_az1_rack5_host_hostnames">'Value Reference Tables - MR'!$U$202:$U$217</definedName>
    <definedName name="wld_az1_rack3_edge_overlay_network_pool_name">'Value Reference Tables - MR'!$O$172</definedName>
    <definedName name="wld_az2_rtep_overlay_pg">'Value Reference Tables - MR'!$I$387</definedName>
    <definedName name="input_cluster_az2_host11_mgmt_ip">'Deploy Cluster'!$D$271</definedName>
    <definedName name="sample_cluster_vds03_pnics">'Deploy Cluster'!$C$197</definedName>
    <definedName name="sample_mgmt_vrms_root_password">'Dumping Ground'!$C$29</definedName>
    <definedName name="wld_az1_rack6_en1_edge_overlay_interface_ip_1_ip">'Value Reference Tables - MR'!$X$244</definedName>
    <definedName name="sample_wld_az1_rack3_tor1_peer_ip">Arkham!$E$74</definedName>
    <definedName name="xreg_vra_nodef_ip">Arkham!$R$9</definedName>
    <definedName name="sample_cbr_recovery_host_count">'Cloud-Based Ransomware Recovery'!$C$21</definedName>
    <definedName name="sample_wld_az1_rack5_edge_overlay_pool_start_ip">Arkham!$K$71</definedName>
    <definedName name="sizing_w03_nsxt_gm_appliance_size">'Management Domain Sizing'!$M$38</definedName>
    <definedName name="cluster_az1_host16_fqdn">'Value Reference Tables'!$I$86</definedName>
    <definedName name="input_wld_az1_rack5_host11_mgmt_ip">'Additional Racks'!$D$303</definedName>
    <definedName name="wld_az1_rack2_mgmt_vlan">'Value Reference Tables - MR'!$L$9</definedName>
    <definedName name="wld_az1_host9_fqdn">'Value Reference Tables - MR'!$I$245</definedName>
    <definedName name="input_wld_az1_rack6_uplink01_gateway_ip">Arkham!$O$62</definedName>
    <definedName name="input_wld_nsx_vlan_transport_zone_name">'Deploy Workload Domain'!$D$312</definedName>
    <definedName name="sample_flt_logs_root_username">'Deploy Fleet Management Day-N'!$C$257</definedName>
    <definedName name="input_wld_az1_host15_vrms_ip">'Dumping Ground'!$D$307</definedName>
    <definedName name="sample_wld_az1_principal_storage_vlan">'Deploy Workload Domain'!$C$93</definedName>
    <definedName name="wld_az1_rack5_host10_hostname">'Value Reference Tables - MR'!$U$211</definedName>
    <definedName name="cluster_vds02_lag_name">'Value Reference Tables'!$I$119</definedName>
    <definedName name="child_ad_users_ou">'Value Reference Tables'!$L$88</definedName>
    <definedName name="sizing_w22_chosen">'Management Domain Sizing'!$C$57</definedName>
    <definedName name="input_mgmt_az1_host5_mgmt_ip">'Deploy Management Domain'!$L$334</definedName>
    <definedName name="k8s_harbor_ip">'Value Reference Tables'!$R$28</definedName>
    <definedName name="input_wld_az1_rack3_tor2_peer_asn">Arkham!$F$78</definedName>
    <definedName name="cluster_az1_host6_mgmt_ip">'Value Reference Tables'!$I$58</definedName>
    <definedName name="group_gg_vra_orchestrator_viewers">'Value Reference Tables'!$L$149</definedName>
    <definedName name="input_cluster_az1_host16_fqdn">'Deploy Cluster'!$D$99</definedName>
    <definedName name="wld_az1_en1_edge_overlay_interface_ip_2_ip">'Value Reference Tables - MR'!$I$262</definedName>
    <definedName name="cluster_az2_secondary_storage_pool_end_ip">'Value Reference Tables'!$I$247</definedName>
    <definedName name="input_wld_az1_rack7_edge_overlay_pool_start_ip">Arkham!$R$74</definedName>
    <definedName name="input_xreg_vrops_collector_fqdn">'Deploy Management Domain'!$L$70</definedName>
    <definedName name="sample_flt_custom_network_local_reg_mask">'Deploy Fleet Management Day-N'!$C$18</definedName>
    <definedName name="sample_flt_vidb_gateway_ip">'Deploy Fleet Management Day-N'!$C$153</definedName>
    <definedName name="wld_az1_rack6_host8_fqdn">'Value Reference Tables - MR'!$X$228</definedName>
    <definedName name="sample_wld_az1_rack8_host4_mgmt_ip">'Additional Racks'!$C$575</definedName>
    <definedName name="sample_wld_az1_rack2_principal_storage_pool_start_ip">'Additional Racks'!$C$49</definedName>
    <definedName name="input_wld_nsxt_gm_root_password">'Configure Workload Domain'!$D$367</definedName>
    <definedName name="sample_mgmt_az2_mgmt_gateway_ip">'Configure Management Domain'!$C$226</definedName>
    <definedName name="input_vcf_automation_cert_organisation">'Deploy Fleet Management Day-N'!$D$71</definedName>
    <definedName name="wld_dedicated_edge_cluster_chosen_exclude">'Static Reference Tables'!$B$386</definedName>
    <definedName name="mgmt_az2_vsan_mtu">'Value Reference Tables - MR'!$F$351</definedName>
    <definedName name="input_cluster_az2_storage_cluster_vlan">'Deploy Cluster'!$D$307</definedName>
    <definedName name="wld_az1_rack8_uplink02_mtu">'Value Reference Tables - MR'!$AD$77</definedName>
    <definedName name="sample_wld_cl01_vds01_uplink_count">'Deploy Workload Domain'!$C$246</definedName>
    <definedName name="sample_mgmt_az1_host9_fqdn">'Deploy Management Domain'!$K$136</definedName>
    <definedName name="wld_az1_rack2_edge_overlay_mtu">'Value Reference Tables - MR'!$L$78</definedName>
    <definedName name="sample_k8s_namepsace">'Private AI Ready Infrastructure'!$C$15</definedName>
    <definedName name="sample_wld_az1_rack3_host13_fqdn">'Additional Racks'!$C$159</definedName>
    <definedName name="input_mgmt_datacenter">'Deploy Management Domain'!$L$93</definedName>
    <definedName name="sample_cluster_az2_tor1_peer_asn">'Deploy Cluster'!$C$432</definedName>
    <definedName name="sample_flt_custom_network_local_reg_pg">'Deploy Fleet Management Day-N'!$C$17</definedName>
    <definedName name="flt_vidb_employeeID">'Value Reference Tables'!$C$184</definedName>
    <definedName name="sizing_w19_vcenter_storage_size">'Management Domain Sizing'!$F$54</definedName>
    <definedName name="input_cluster_az1_host14_mgmt_ip">'Deploy Cluster'!$D$42</definedName>
    <definedName name="sample_mgmt_srm_root_password">'Dumping Ground'!$C$37</definedName>
    <definedName name="sample_mgmt_vrms_vrms_ip">'Dumping Ground'!$F$5</definedName>
    <definedName name="sample_cluster_az2_host14_fqdn">'Deploy Cluster'!$C$330</definedName>
    <definedName name="sizing_m01_nsxt_appliance_size">'Management Domain Sizing'!$I$32</definedName>
    <definedName name="flt_logs_nodea_fqdn">'Value Reference Tables'!$L$192</definedName>
    <definedName name="sample_cluster_az1_mgmt_vm_pg">'Deploy Cluster'!$C$205</definedName>
    <definedName name="wld_az1_rack5_mgmt_vm_vlan">'Value Reference Tables - MR'!$U$8</definedName>
    <definedName name="input_flt_custom_network_ops_nodeb_ip">'Deploy Fleet Management Day-N'!$D$38</definedName>
    <definedName name="input_wld_nsxt_gm_vip_ip">'Configure Workload Domain'!$D$442</definedName>
    <definedName name="input_gg_kub_admins_group">'Active Directory Inputs'!$E$75</definedName>
    <definedName name="input_wld_az1_rack2_host14_mgmt_ip">'Additional Racks'!$D$27</definedName>
    <definedName name="wld_az2_host16_mgmt_ip">'Value Reference Tables - MR'!$I$438</definedName>
    <definedName name="wld_en_asn">'Value Reference Tables - MR'!$I$100</definedName>
    <definedName name="sample_wld_az1_rack6_principal_storage_pool_start_ip">'Additional Racks'!$C$421</definedName>
    <definedName name="cluster_witness_mgmt_pg">'Value Reference Tables'!$I$269</definedName>
    <definedName name="input_cluster_az2_host7_mgmt_ip">'Deploy Cluster'!$D$267</definedName>
    <definedName name="wld_az1_tor1_peer_bgp_password">'Value Reference Tables - MR'!$I$103</definedName>
    <definedName name="input_wld_cl01_vds02_uplink_count">'Deploy Workload Domain'!$D$257</definedName>
    <definedName name="sample_wld_cl01_az1_uplink02_pg">'Configure Workload Domain'!$C$140</definedName>
    <definedName name="mgmt_az2_host11_vrms_ip">'Value Reference Tables - MR'!$F$441</definedName>
    <definedName name="sample_wld_az1_rack8_mgmt_gateway_ip">'Additional Racks'!$C$568</definedName>
    <definedName name="input_wld_az2_principal_storage_mtu">'Configure Workload Domain'!$D$206</definedName>
    <definedName name="sample_cluster_az2_host_overlay_uplink_profile_name">'Deploy Cluster'!$C$408</definedName>
    <definedName name="input_wld_az1_rack2_mgmt_vlan">'Additional Racks'!$D$9</definedName>
    <definedName name="input_ca_administrator_password">'Configure Management Domain'!$D$35</definedName>
    <definedName name="mgmt_cl01_az1_mgmt_uplink1_chosen">'Deploy Management Domain'!$L$223</definedName>
    <definedName name="cluster_az2_host5_mgmt_ip">'Value Reference Tables'!$I$209</definedName>
    <definedName name="input_cluster_az2_host9_fqdn">'Deploy Cluster'!$D$325</definedName>
    <definedName name="sizing_w01_vcenter_appliance_size">'Management Domain Sizing'!$D$36</definedName>
    <definedName name="sample_flt_custom_network_ops_vip_ip">'Deploy Fleet Management Day-N'!$C$36</definedName>
    <definedName name="input_wld_az1_rack6_host6_mgmt_ip">'Additional Racks'!$D$391</definedName>
    <definedName name="input_cluster_az1_host8_mgmt_ip">'Deploy Cluster'!$D$36</definedName>
    <definedName name="wld_az1_rack3_en1_hostname">'Value Reference Tables - MR'!$O$239</definedName>
    <definedName name="input_cluster_az1_nsx_uplink2">'Deploy Cluster'!$D$245</definedName>
    <definedName name="sample_mgmt_srm_logs_pg">'Site Protection &amp; DR'!$C$282</definedName>
    <definedName name="wld_dpg_separation_chosen">'Deploy Workload Domain'!$B$13</definedName>
    <definedName name="sizing_w19_spr_chosen">'Management Domain Sizing'!$P$54</definedName>
    <definedName name="sample_mgmt_az1_host15_mgmt_ip">'Deploy Management Domain'!$K$344</definedName>
    <definedName name="input_vvs_dr_flt_logs_nodeb_fqdn">'Site Protection &amp; DR'!$D$36</definedName>
    <definedName name="sample_wld_az1_rack8_vmotion_cidr">Arkham!$B$44</definedName>
    <definedName name="wld_az2_host_vrms_ips">'Value Reference Tables - MR'!$I$439:$I$454</definedName>
    <definedName name="input_vvs_dr_flt_net_nodeb_fqdn">'Site Protection &amp; DR'!$D$39</definedName>
    <definedName name="wld_vc_fqdn">'Value Reference Tables'!$F$43</definedName>
    <definedName name="sample_mgmt_az1_host11_fqdn">'Deploy Management Domain'!$K$138</definedName>
    <definedName name="cluster_az2_vmotion_pool_start_ip">'Value Reference Tables'!$I$229</definedName>
    <definedName name="mgmt_internet_proxy_address">'Value Reference Tables'!$O$55</definedName>
    <definedName name="sizing_w03_gm_chosen">'Management Domain Sizing'!$L$38</definedName>
    <definedName name="input_wld_az1_rack2_tor1_peer_ip">Arkham!$C$74</definedName>
    <definedName name="sample_cluster_az2_host4_mgmt_ip">'Deploy Cluster'!$C$264</definedName>
    <definedName name="wld_az1_rack2_host_overlay_new_pool_chosen">'Additional Racks'!$D$79</definedName>
    <definedName name="wld_nsx_ha_mode_chosen">'Deploy Workload Domain'!$D$173</definedName>
    <definedName name="mgmt_domain_vcf_automation_later_chosen">'Deploy Management Domain'!$L$77</definedName>
    <definedName name="wld_az2_uplink02_gateway_ip">'Value Reference Tables - MR'!$I$346</definedName>
    <definedName name="input_wld_az1_rack7_host10_fqdn">'Additional Racks'!$D$528</definedName>
    <definedName name="input_wld_az1_rack3_tor2_peer_ip">Arkham!$F$77</definedName>
    <definedName name="wld_az2_uplink02_vlan">'Value Reference Tables - MR'!$I$286</definedName>
    <definedName name="wld_az1_rack6_en1_fqdn">'Value Reference Tables - MR'!$X$240</definedName>
    <definedName name="user_svc_vro_vsphere">'Value Reference Tables'!$L$106</definedName>
    <definedName name="wld_az1_rack3_host13_hostname">'Value Reference Tables - MR'!$O$214</definedName>
    <definedName name="sample_vvs_dr_flt_ops_nodeb_fqdn">'Site Protection &amp; DR'!$C$33</definedName>
    <definedName name="sizing_w18_chosen">'Management Domain Sizing'!$C$53</definedName>
    <definedName name="region_ad_parent_fqdn">'Value Reference Tables'!$L$72</definedName>
    <definedName name="input_cbr_firewall_ip_addresses">'Cloud-Based Ransomware Recovery'!$D$27</definedName>
    <definedName name="wld_az1_rack8_en2_uplink02_interface_ip">'Value Reference Tables - MR'!$AD$253</definedName>
    <definedName name="input_region_dns1_ip">'Deploy Management Domain'!$L$44</definedName>
    <definedName name="wld_az1_host10_hostname">'Value Reference Tables - MR'!$I$227</definedName>
    <definedName name="sample_wld_az1_rack2_vmotion_vlan">'Additional Racks'!$C$36</definedName>
    <definedName name="sample_wld_az1_host14_fqdn">'Deploy Workload Domain'!$C$133</definedName>
    <definedName name="input_wld_az1_rack7_host9_mgmt_ip">'Additional Racks'!$D$487</definedName>
    <definedName name="sizing_w13_chosen">'Management Domain Sizing'!$C$48</definedName>
    <definedName name="flt_custom_management_mtu">Arkham!$B$7</definedName>
    <definedName name="mgmt_az2_host7_mgmt_ip">'Value Reference Tables - MR'!$F$421</definedName>
    <definedName name="input_wld_bf_vc_root_password">'Deploy Workload Domain'!$D$30</definedName>
    <definedName name="sizing_w04_nsxt_model">'Management Domain Sizing'!$H$39</definedName>
    <definedName name="sample_flt_vidb_cert_common_name">'Deploy Fleet Management Day-N'!$C$130</definedName>
    <definedName name="input_wld_az2_secondary_storage_pool_end_ip">'Configure Workload Domain'!$D$219</definedName>
    <definedName name="sample_cluster_vds02_name">'Deploy Cluster'!$C$178</definedName>
    <definedName name="wld_az1_uplink02_network">'Value Reference Tables - MR'!$I$46</definedName>
    <definedName name="wld_az2_host1_mgmt_ip">'Value Reference Tables - MR'!$I$423</definedName>
    <definedName name="sample_mgmt_nsxt_mgrb_fqdn">'Deploy Management Domain'!$K$106</definedName>
    <definedName name="input_wld_az1_rack2_host9_fqdn">'Additional Racks'!$D$62</definedName>
    <definedName name="wld_cl01_vds03_traffic_type">'Value Reference Tables'!$F$91</definedName>
    <definedName name="sample_wld_az1_rack3_principal_storage_pool_start_ip">'Additional Racks'!$C$142</definedName>
    <definedName name="wld_gateway_routing_type_chosen">'Configure Workload Domain'!$D$98</definedName>
    <definedName name="wld_az1_rack8_uplink02_network">'Value Reference Tables - MR'!$AD$46</definedName>
    <definedName name="input_wld_witness_root_password">'Configure Workload Domain'!$D$273</definedName>
    <definedName name="mgmt_az2_rtep_overlay_mask">'Value Reference Tables - MR'!$F$329</definedName>
    <definedName name="input_vvs_dr_flt_net_nodec_fqdn">'Site Protection &amp; DR'!$D$40</definedName>
    <definedName name="sample_gg_sso_admins_group">'Active Directory Inputs'!$D$69</definedName>
    <definedName name="flt_logs_fips_mode_chosen">'Deploy Fleet Management Day-N'!$D$260</definedName>
    <definedName name="sample_wld_az1_rack5_secondary_storage_mask">'Dumping Ground'!$C$535</definedName>
    <definedName name="wld_az1_rack2_mgmt_network">'Value Reference Tables - MR'!$L$39</definedName>
    <definedName name="wld_az1_edge_overlay_network">'Value Reference Tables - MR'!$I$47</definedName>
    <definedName name="input_wld_az1_rack5_host13_mgmt_ip">'Additional Racks'!$D$305</definedName>
    <definedName name="mgmt_cl01_vds02_pnics">'Value Reference Tables'!$C$100:$C$101</definedName>
    <definedName name="input_wld_az1_rack3_host11_mgmt_ip">'Additional Racks'!$D$117</definedName>
    <definedName name="wld_az1_rack8_edge_overlay_mtu">'Value Reference Tables - MR'!$AD$78</definedName>
    <definedName name="sizing_w16_ssp_chosen">'Management Domain Sizing'!$V$51</definedName>
    <definedName name="input_cluster_az1_storage_cluster_mask">'Deploy Cluster'!$D$77</definedName>
    <definedName name="input_wld_az1_rack6_host1_fqdn">'Additional Racks'!$D$426</definedName>
    <definedName name="wld_az1_rack8_vsan_fault_domain">'Value Reference Tables - MR'!$AD$174</definedName>
    <definedName name="cluster_az1_host15_mgmt_ip">'Value Reference Tables'!$I$67</definedName>
    <definedName name="wld_az1_rack6_tor1_peer_ip">'Value Reference Tables - MR'!$X$101</definedName>
    <definedName name="sample_cluster_az1_mgmt_pg">'Deploy Cluster'!$C$200</definedName>
    <definedName name="sample_mgmt_az1_mgmt_vm_cidr">'Deploy Management Domain'!$K$156</definedName>
    <definedName name="sample_wld_cl01_vds01_pnics">'Deploy Workload Domain'!$C$247</definedName>
    <definedName name="wld_az1_rack7_host5_mgmt_ip">'Value Reference Tables - MR'!$AA$187</definedName>
    <definedName name="wld_az1_rack7_edge_overlay_network_pool_name">'Value Reference Tables - MR'!$AA$172</definedName>
    <definedName name="ccm_hcx_vmotion_network_ip_range">'Value Reference Tables'!$U$186</definedName>
    <definedName name="sample_ca_algorithm">'Configure Management Domain'!$C$58</definedName>
    <definedName name="sample_flt_net_cluster">'Deploy Fleet Management Day-N'!$C$313</definedName>
    <definedName name="input_sddc_mgr_root_password">'Deploy Management Domain'!$L$267</definedName>
    <definedName name="wld_az1_rack7_host11_hostname">'Value Reference Tables - MR'!$AA$212</definedName>
    <definedName name="sample_wld_az1_rack7_mgmt_vlan">'Additional Racks'!$C$474</definedName>
    <definedName name="wld_az1_en2_hostname">'Value Reference Tables - MR'!$I$266</definedName>
    <definedName name="sample_wld_az2_principal_storage_pool_end_ip">'Configure Workload Domain'!$C$211</definedName>
    <definedName name="wld_az1_rack6_secondary_storage_network">'Value Reference Tables - MR'!$X$44</definedName>
    <definedName name="xreg_vra_nodec_ip">'Value Reference Tables'!$R$41</definedName>
    <definedName name="wld_az1_rack2_tor1_peer_ip">'Value Reference Tables - MR'!$L$101</definedName>
    <definedName name="input_wld_az1_rack4_pool_name">'Additional Racks'!$D$220</definedName>
    <definedName name="xreg_vrops_vrms_sso_username">'Value Reference Tables'!$U$57</definedName>
    <definedName name="wld_az1_en1_ip_allocation_chosen">'Configure Workload Domain'!$D$48</definedName>
    <definedName name="wld_az1_rack3_principal_storage_network">'Value Reference Tables - MR'!$O$41</definedName>
    <definedName name="input_wld_az1_rack2_principal_storage_network">'Additional Racks'!$D$46</definedName>
    <definedName name="ccm_vm_folder">'Value Reference Tables'!$U$160</definedName>
    <definedName name="sample_wld_az1_rack4_uplink01_network">Arkham!$H$59</definedName>
    <definedName name="sample_mgmt_az1_en1_fqdn">'Configure Management Domain'!$C$99</definedName>
    <definedName name="wld_az2_host7_hostname">'Value Reference Tables - MR'!$I$464</definedName>
    <definedName name="input_flt_logs_nodec_fqdn">'Deploy Fleet Management Day-N'!$D$227</definedName>
    <definedName name="input_wld_az1_rack8_edge_overlay_pool_start_ip">Arkham!$U$71</definedName>
    <definedName name="wld_az1_host_overlay_network_pool_name">'Value Reference Tables - MR'!$I$169</definedName>
    <definedName name="sample_vcf_automation_resource_pool">'Deploy Fleet Management Day-N'!$C$84</definedName>
    <definedName name="sample_wld_az1_rack8_edge_overlay_pool_end_ip">Arkham!$T$72</definedName>
    <definedName name="input_wld_az1_rack5_edge_overlay_network">Arkham!$L$61</definedName>
    <definedName name="input_mgmt_cl01_vds03_mtu">'Deploy Management Domain'!$L$212</definedName>
    <definedName name="sample_wld_az1_rack8_principal_storage_gateway_ip">'Additional Racks'!$C$606</definedName>
    <definedName name="mgmt_nsxt_global_mgrc_ip">'Value Reference Tables'!$C$24</definedName>
    <definedName name="flt_vidb_group_base_dn">'Value Reference Tables'!$C$187</definedName>
    <definedName name="cluster_az1_reuse_vcf_networkpool_chosen">'Deploy Cluster'!$B$13</definedName>
    <definedName name="sample_sddc_mgr_ip">'Deploy Management Domain'!$K$322</definedName>
    <definedName name="wld_az2_principal_storage_pool_start_ip">'Value Reference Tables - MR'!$I$393</definedName>
    <definedName name="sample_flt_auto_node_pool_start_ip">Arkham!$P$34</definedName>
    <definedName name="wld_witness_zone_vc_hostname">'Value Reference Tables'!$F$106</definedName>
    <definedName name="mgmt_vcfops_appliance_size_chosen">'Deploy Management Domain'!$L$56</definedName>
    <definedName name="mgmt_az1_host_overlay_pool_start_ip">'Value Reference Tables - MR'!$F$153</definedName>
    <definedName name="sample_flt_vidb_pg">'Deploy Fleet Management Day-N'!$C$145</definedName>
    <definedName name="mgmt_az1_secondary_storage_mask">'Value Reference Tables - MR'!$F$59</definedName>
    <definedName name="input_wld_az1_rack3_uplink01_gateway_ip">Arkham!$F$62</definedName>
    <definedName name="dri_nsxt_vip_fqdn">'Value Reference Tables'!$U$14</definedName>
    <definedName name="wld_az1_rack8_vmotion_mask">'Value Reference Tables - MR'!$AD$55</definedName>
    <definedName name="mgmt_az2_secondary_storage_pool_end_ip">'Value Reference Tables - MR'!$F$392</definedName>
    <definedName name="sizing_w08_nsxt_gm_appliance_size">'Management Domain Sizing'!$M$43</definedName>
    <definedName name="wld_az1_rack5_en2_mgmt_ip">'Value Reference Tables - MR'!$U$251</definedName>
    <definedName name="wld_az1_rack6_tor1_peer_bgp_password">'Value Reference Tables - MR'!$X$103</definedName>
    <definedName name="mgmt_az2_vmotion_gateway_ip">'Value Reference Tables - MR'!$F$336</definedName>
    <definedName name="wld_witness_ntp2_server">'Value Reference Tables'!$F$126</definedName>
    <definedName name="input_mgmt_srm_recovery_vcenter_fqdn">'Site Protection &amp; DR'!$D$217</definedName>
    <definedName name="ccm_aws_subnet">'Value Reference Tables'!$U$170</definedName>
    <definedName name="sample_air_GPU_operator_namespace">'Private AI Ready Infrastructure'!$C$77</definedName>
    <definedName name="sample_flt_vidb_nodeb_ip">'Deploy Fleet Management Day-N'!$C$171</definedName>
    <definedName name="sample_wld_nsxt_mgrc_fqdn">'Deploy Workload Domain'!$C$179</definedName>
    <definedName name="sample_wld_az1_rack8_tor2_peer_bgp_password">Arkham!$T$79</definedName>
    <definedName name="sample_cluster_az1_secondary_storage_gateway_ip">'Deploy Cluster'!$C$70</definedName>
    <definedName name="wld_bf_nsxt_configure_overlay_on_mgmt_pg_chosen">'Deploy Workload Domain'!$D$46</definedName>
    <definedName name="sample_ca_administrator_password">'Configure Management Domain'!$C$35</definedName>
    <definedName name="input_flt_logs_nodec_ip">'Deploy Fleet Management Day-N'!$D$231</definedName>
    <definedName name="flt_net_prxy_gateway_ip">'Value Reference Tables'!$L$280</definedName>
    <definedName name="mgmt_vcf_installer_location_chosen">'Deploy Management Domain'!$L$265</definedName>
    <definedName name="sample_wld_az1_rack8_uplink01_mtu">Arkham!$T$68</definedName>
    <definedName name="sample_k8s_ip_prefixlist">'Private AI Ready Infrastructure'!$C$20</definedName>
    <definedName name="cluster_az2_host15_fqdn">'Value Reference Tables'!$I$306</definedName>
    <definedName name="input_wld_az1_rack2_host_overlay_mtu">'Additional Racks'!$D$92</definedName>
    <definedName name="input_cluster_az2_storage_cluster_network">'Deploy Cluster'!$D$309</definedName>
    <definedName name="air_GPU_operator_namespace">'Value Reference Tables'!$U$46</definedName>
    <definedName name="sample_wld_az1_rack2_host_overlay_network_pool_name">'Additional Racks'!$C$80</definedName>
    <definedName name="wld_az1_rack6_host8_hostname">'Value Reference Tables - MR'!$X$209</definedName>
    <definedName name="sample_cluster_az1_host9_fqdn">'Deploy Cluster'!$C$92</definedName>
    <definedName name="input_flt_vidb_ou_cert">'Deploy Fleet Management Day-N'!$D$132</definedName>
    <definedName name="dri_tier0_name">'Value Reference Tables'!$U$16</definedName>
    <definedName name="wld_cl01_evc_mode">'Value Reference Tables'!$F$64</definedName>
    <definedName name="input_wld_az1_rack3_vmotion_vlan">'Additional Racks'!$D$129</definedName>
    <definedName name="sample_wld_az1_rack6_host12_fqdn">'Additional Racks'!$C$437</definedName>
    <definedName name="flt_net_prxy_size_chosen">'Deploy Fleet Management Day-N'!$D$359</definedName>
    <definedName name="mgmt_az2_host10_hostname">'Value Reference Tables - MR'!$F$459</definedName>
    <definedName name="input_wld_vrms_hostname">'Dumping Ground'!$E$10</definedName>
    <definedName name="sample_wld_az1_rack8_mgmt_mtu">'Additional Racks'!$C$570</definedName>
    <definedName name="input_wld_az1_host10_fqdn">'Deploy Workload Domain'!$D$129</definedName>
    <definedName name="input_wld_az1_rack7_host4_mgmt_ip">'Additional Racks'!$D$482</definedName>
    <definedName name="input_wld_nsxt_global_mgrb_fqdn">'Configure Workload Domain'!$D$387</definedName>
    <definedName name="wld_cl01_nfs_datastore_name">'Value Reference Tables'!$F$100</definedName>
    <definedName name="sizing_w16_vcenter_storage_size">'Management Domain Sizing'!$F$51</definedName>
    <definedName name="sample_wld_az1_host9_mgmt_ip">'Deploy Workload Domain'!$C$71</definedName>
    <definedName name="cluster_vds03_lag_name">'Value Reference Tables'!$I$125</definedName>
    <definedName name="wld_az1_rack5_mgmt_vlan">'Value Reference Tables - MR'!$U$9</definedName>
    <definedName name="sample_wld_az1_rack6_mgmt_vlan">'Additional Racks'!$C$381</definedName>
    <definedName name="input_vvs_dr_flt_fleet_manager_fqdn">'Site Protection &amp; DR'!$D$13</definedName>
    <definedName name="k8s_ip_prefixlist">'Value Reference Tables'!$U$19</definedName>
    <definedName name="input_mgmt_nsxt_global_mgr_certificate_id">'Configure Management Domain'!$D$481</definedName>
    <definedName name="input_wld_az1_rack4_uplink01_vlan">Arkham!$I$56</definedName>
    <definedName name="wld_az1_rack7_host10_hostname">'Value Reference Tables - MR'!$AA$211</definedName>
    <definedName name="navigation_stretched_cluster_wld_domain">'Configure Workload Domain'!$B$163</definedName>
    <definedName name="sample_wld_az1_rack6_vmotion_mask">'Additional Racks'!$C$411</definedName>
    <definedName name="sample_svc_vrops_vra_password">'Active Directory Inputs'!$F$29</definedName>
    <definedName name="table_vrli_appliance_ram">'Static Reference Tables'!$B$143:$C$145</definedName>
    <definedName name="flt_vidb_server_location_chosen">'Deploy Fleet Management Day-N'!$D$180</definedName>
    <definedName name="sizing_hrm_hvm_cpu">'Static Reference Tables'!$C$196</definedName>
    <definedName name="input_wld_az1_storage_cluster_pool_start_ip">'Deploy Workload Domain'!$D$114</definedName>
    <definedName name="wld_az1_rack7_mgmt_vm_cidr">'Value Reference Tables - MR'!$AA$23</definedName>
    <definedName name="sample_wld_az1_rack4_tor1_peer_bgp_password">Arkham!$H$76</definedName>
    <definedName name="sample_wld_az1_rtep_overlay_vlan">'Configure Workload Domain'!$C$499</definedName>
    <definedName name="wld_az1_rack4_host1_hostname">'Value Reference Tables - MR'!$R$202</definedName>
    <definedName name="mgmt_az1_en2_edge_overlay_interface_ip_1_ip">'Value Reference Tables - MR'!$F$272</definedName>
    <definedName name="wld_az1_rack7_host15_fqdn">'Value Reference Tables - MR'!$AA$235</definedName>
    <definedName name="sample_wld_az1_rack2_secondary_storage_cidr">Arkham!$B$22</definedName>
    <definedName name="wld_az1_rack3_edge_overlay_cidr">'Value Reference Tables - MR'!$O$32</definedName>
    <definedName name="sizing_w21_nsxt_gm_appliance_size">'Management Domain Sizing'!$M$56</definedName>
    <definedName name="mgmt_az1_host10_mgmt_ip">'Value Reference Tables - MR'!$F$192</definedName>
    <definedName name="input_mgmt_az1_secondary_storage_pool_start_ip">'Deploy Management Domain'!$L$177</definedName>
    <definedName name="sample_vcf_automation_cert_file">'Deploy Fleet Management Day-N'!$C$69</definedName>
    <definedName name="sample_xreg_vrops_admin_password">'Deploy Management Domain'!$K$60</definedName>
    <definedName name="wld_az2_host10_fqdn">'Value Reference Tables - MR'!$I$486</definedName>
    <definedName name="wld_az1_rack6_host2_fqdn">'Value Reference Tables - MR'!$X$222</definedName>
    <definedName name="sample_mgmt_nsxt_mgra_ip">'Deploy Management Domain'!$K$326</definedName>
    <definedName name="input_mgmt_host_overlay_transportzone">'Deploy Management Domain'!$L$252</definedName>
    <definedName name="input_flt_vidb_cluster">'Deploy Fleet Management Day-N'!$D$142</definedName>
    <definedName name="sample_mgmt_az2_host15_vrms_ip">'Site Protection &amp; DR'!$C$207</definedName>
    <definedName name="sample_wld_az1_en1_mgmt_ip">Arkham!$P$19</definedName>
    <definedName name="input_wld_az1_rack7_secondary_storage_mask">'Dumping Ground'!$D$551</definedName>
    <definedName name="flt_custom_network_ops_nodeb_ip">'Value Reference Tables'!$L$303</definedName>
    <definedName name="input_mgmt_witness_ntp2_server">'Configure Management Domain'!$D$327</definedName>
    <definedName name="sample_wld_az1_rack8_vmotion_network">'Additional Racks'!$C$596</definedName>
    <definedName name="wld_az1_rack4_rtep_overlay_pool_start_ip">'Value Reference Tables - MR'!$R$161</definedName>
    <definedName name="input_wld_az1_rack8_edge_overlay_vlan">Arkham!$U$58</definedName>
    <definedName name="sample_xregion_ntp2_server">Arkham!$B$19</definedName>
    <definedName name="spr_mo_result">'Value Reference Tables'!$AA$94</definedName>
    <definedName name="input_wld_az2_host15_fqdn">'Configure Workload Domain'!$D$246</definedName>
    <definedName name="spr_wo_result">'Value Reference Tables'!$AA$95</definedName>
    <definedName name="wld_az1_rack3_host5_hostname">'Value Reference Tables - MR'!$O$206</definedName>
    <definedName name="table_wsa_appliance_cpu">'Static Reference Tables'!$B$106:$C$111</definedName>
    <definedName name="sample_wld_az1_rack6_host15_fqdn">'Additional Racks'!$C$440</definedName>
    <definedName name="sample_sftp_server_port">'Configure Management Domain'!$C$22</definedName>
    <definedName name="sample_gg_nsx_network_admins_group">'Active Directory Inputs'!$D$71</definedName>
    <definedName name="sample_flt_vidb_cert_country_code">'Deploy Fleet Management Day-N'!$C$133</definedName>
    <definedName name="sample_cluster_az2_host1_mgmt_ip">'Deploy Cluster'!$C$261</definedName>
    <definedName name="input_wld_az1_rack2_host15_mgmt_ip">'Additional Racks'!$D$28</definedName>
    <definedName name="mgmt_az2_secondary_storage_pool_start_ip">'Value Reference Tables - MR'!$F$391</definedName>
    <definedName name="input_wld_srm_database_password">'Dumping Ground'!$D$80</definedName>
    <definedName name="cluster_az1_vsan_storage_client_uplink2">'Deploy Cluster'!$D$223</definedName>
    <definedName name="input_wld_az1_rack6_host12_fqdn">'Additional Racks'!$D$437</definedName>
    <definedName name="sample_wld_az1_rack6_secondary_storage_pool_end_ip">'Dumping Ground'!$C$546</definedName>
    <definedName name="input_mgmt_cl01_az1_vmotion_pg">'Deploy Management Domain'!$L$231</definedName>
    <definedName name="mgmt_az2_secondary_storage_mask">'Value Reference Tables - MR'!$F$325</definedName>
    <definedName name="mgmt_az2_vmotion_pool_start_ip">'Value Reference Tables - MR'!$F$385</definedName>
    <definedName name="cluster_az2_host_mgmt_ips">'Value Reference Tables'!$I$205:$I$220</definedName>
    <definedName name="wld_az1_rack6_uplink02_vlan">'Value Reference Tables - MR'!$X$16</definedName>
    <definedName name="wld_az1_rack3_secondary_storage_gateway_ip">'Value Reference Tables - MR'!$O$90</definedName>
    <definedName name="sample_mgmt_srm_recovery_t1_si_ip">'Dumping Ground'!$F$7</definedName>
    <definedName name="sample_mgmt_az1_host11_mgmt_ip">'Deploy Management Domain'!$K$340</definedName>
    <definedName name="sample_mgmt_az1_host13_vrms_ip">'Site Protection &amp; DR'!$C$188</definedName>
    <definedName name="sample_wld_az2_tor2_peer_asn">'Configure Workload Domain'!$C$351</definedName>
    <definedName name="input_wld_az1_rack5_tor1_peer_ip">Arkham!$L$74</definedName>
    <definedName name="sample_wld_az1_rack7_uplink01_gateway_ip">Arkham!$Q$65</definedName>
    <definedName name="sample_wld_nsxt_federation_global_manager_name">'Configure Workload Domain'!$C$482</definedName>
    <definedName name="input_wld_cl01_az1_uplink02_pg">'Configure Workload Domain'!$D$140</definedName>
    <definedName name="mgmt_az1_uplink02_cidr">'Value Reference Tables - MR'!$F$31</definedName>
    <definedName name="sample_svc_vcf_ca_vcf_user">'Configure Management Domain'!$C$50</definedName>
    <definedName name="wld_az1_rack8_host11_mgmt_ip">'Value Reference Tables - MR'!$AD$193</definedName>
    <definedName name="input_wld_az1_en1_edge_overlay_interface_ip_2_ip">'Configure Workload Domain'!$D$64</definedName>
    <definedName name="wld_az1_rack2_host_overlay_network">'Value Reference Tables - MR'!$L$42</definedName>
    <definedName name="input_cluster_az2_host_overlay_pool_end_ip">'Deploy Cluster'!$D$414</definedName>
    <definedName name="input_wld_az1_rack6_host_overlay_mtu">'Additional Racks'!$D$464</definedName>
    <definedName name="input_cluster_az1_mgmt_cidr">'Deploy Cluster'!$D$26</definedName>
    <definedName name="vcf_automation_size_chosen">'Deploy Fleet Management Day-N'!$D$65</definedName>
    <definedName name="flt_custom_management_mask">Arkham!$B$6</definedName>
    <definedName name="ccm_aws_admin_password">'Value Reference Tables'!$U$184</definedName>
    <definedName name="cluster_az1_nsx_lbt_chosen">'Deploy Cluster'!$D$247</definedName>
    <definedName name="wld_az1_storage_cluster_network">'Value Reference Tables - MR'!$I$44</definedName>
    <definedName name="input_wld_az1_rack5_host2_mgmt_ip">'Additional Racks'!$D$294</definedName>
    <definedName name="input_wld_az1_rack6_principal_storage_mask">'Additional Racks'!$D$419</definedName>
    <definedName name="sample_wld_az1_rack5_host10_fqdn">'Additional Racks'!$C$342</definedName>
    <definedName name="input_xreg_vra_prefix">'Deploy Management Domain'!$L$84</definedName>
    <definedName name="wld_az1_rack7_mgmt_mtu">'Value Reference Tables - MR'!$AA$70</definedName>
    <definedName name="sample_mgmt_az2_vmotion_cidr">'Management Domain As Built'!$C$72</definedName>
    <definedName name="wld_rack2_en_asn">'Value Reference Tables - MR'!$L$100</definedName>
    <definedName name="sample_wld_az1_rack4_mgmt_cidr">'Additional Racks'!$C$197</definedName>
    <definedName name="vcf_granular_option_result">'VCF &amp; VVF Planning'!$L$19</definedName>
    <definedName name="mgmt_az1_host10_vrms_ip">'Value Reference Tables - MR'!$F$208</definedName>
    <definedName name="mgmt_nsxt_gm_fingerprint">'Value Reference Tables'!$O$26</definedName>
    <definedName name="input_wld_az1_rack8_host10_mgmt_ip">'Additional Racks'!$D$581</definedName>
    <definedName name="prefix_wld_k8s_cidr">'Value Reference Tables'!$AA$83</definedName>
    <definedName name="wld_az1_rack8_mgmt_cidr">'Value Reference Tables - MR'!$AD$24</definedName>
    <definedName name="sample_wld_az1_rack6_edge_overlay_mask">Arkham!$N$67</definedName>
    <definedName name="flt_vidb_encrypted_cert">'Value Reference Tables'!$C$171</definedName>
    <definedName name="wld_az1_rack4_host14_fqdn">'Value Reference Tables - MR'!$R$234</definedName>
    <definedName name="sample_flt_vidb_user_principal_name">'Deploy Fleet Management Day-N'!$C$200</definedName>
    <definedName name="sample_wld_az1_rack3_secondary_storage_vlan">'Dumping Ground'!$C$516</definedName>
    <definedName name="sample_mgmt_az2_vsan_mtu">'Configure Management Domain'!$C$261</definedName>
    <definedName name="input_wld_bf_vc_sso_password">'Deploy Workload Domain'!$D$32</definedName>
    <definedName name="sample_wld_az1_rack5_uplink02_network">Arkham!$K$60</definedName>
    <definedName name="sample_wld_az1_rack2_host11_mgmt_ip">'Additional Racks'!$C$24</definedName>
    <definedName name="wld_cl01_az2_uplink02_pg">'Value Reference Tables - MR'!$I$385</definedName>
    <definedName name="sample_flt_custom_network_x_reg_gateway_ip">'Deploy Fleet Management Day-N'!$C$23</definedName>
    <definedName name="sample_wld_az2_host_overlay_network_profile_name">'Configure Workload Domain'!$C$319</definedName>
    <definedName name="input_wld_witness_mgmt_pg">'Configure Workload Domain'!$D$271</definedName>
    <definedName name="wld_az2_host11_fqdn">'Value Reference Tables - MR'!$I$487</definedName>
    <definedName name="input_wld_az1_rack6_principal_storage_mtu">'Additional Racks'!$D$417</definedName>
    <definedName name="wld_az1_rack7_mgmt_cidr">'Value Reference Tables - MR'!$AA$24</definedName>
    <definedName name="mgmt_az1_vmotion_mtu">'Value Reference Tables - MR'!$F$71</definedName>
    <definedName name="sample_cluster_az2_vmotion_vlan">'Deploy Cluster'!$C$283</definedName>
    <definedName name="input_wld_srm_root_password">'Dumping Ground'!$D$78</definedName>
    <definedName name="input_k8s_ip_routemap">'Private AI Ready Infrastructure'!$D$21</definedName>
    <definedName name="wld_nsxt_mgrc_fqdn">'Value Reference Tables'!$F$47</definedName>
    <definedName name="input_wld_az1_rack7_tor2_peer_bgp_password">Arkham!$R$82</definedName>
    <definedName name="flt_net_prxy_mask">'Value Reference Tables'!$L$279</definedName>
    <definedName name="input_wld_az1_rack3_host7_mgmt_ip">'Additional Racks'!$D$113</definedName>
    <definedName name="wld_az1_rack5_host_overlay_new_pool_chosen">'Additional Racks'!$D$358</definedName>
    <definedName name="wld_az1_rack3_host14_mgmt_ip">'Value Reference Tables - MR'!$O$196</definedName>
    <definedName name="cluster_vds03_uplink_count">'Value Reference Tables'!$I$122</definedName>
    <definedName name="mgmt_az1_uplink02_gateway_ip">'Value Reference Tables - MR'!$F$93</definedName>
    <definedName name="wld_az1_rack4_secondary_storage_mask">'Value Reference Tables - MR'!$R$58</definedName>
    <definedName name="input_vcf_automation_cert_alias">'Deploy Fleet Management Day-N'!$D$68</definedName>
    <definedName name="sample_svc_vra_vrops_password">'Active Directory Inputs'!$F$41</definedName>
    <definedName name="flt_logs_admin_username">'Value Reference Tables'!$L$210</definedName>
    <definedName name="input_child_svc_nsx_ad_password">'Active Directory Inputs'!$G$19</definedName>
    <definedName name="wld_az1_rack8_vrms_cidr">'Value Reference Tables - MR'!$AD$34</definedName>
    <definedName name="sample_wld_az1_host_mgmt_ips">'Deploy Workload Domain'!$C$63:$C$78</definedName>
    <definedName name="input_vvs_dr_mgmt_vc_fqdn">'Site Protection &amp; DR'!$D$99</definedName>
    <definedName name="sample_cluster_az2_host16_fqdn">'Deploy Cluster'!$C$332</definedName>
    <definedName name="sample_wld_az1_host15_vrms_ip">'Dumping Ground'!$C$307</definedName>
    <definedName name="input_flt_vidb_cert_country_code">'Deploy Fleet Management Day-N'!$D$133</definedName>
    <definedName name="input_cluster_az2_secondary_storage_vlan">'Deploy Cluster'!$D$299</definedName>
    <definedName name="sample_cluster_name">'Deploy Cluster'!$C$117</definedName>
    <definedName name="sample_wld_az1_rack5_tor1_peer_asn">Arkham!$K$75</definedName>
    <definedName name="input_flt_logs_root_username">'Deploy Fleet Management Day-N'!$D$257</definedName>
    <definedName name="mgmt_signed_certs_chosen">'Configure Management Domain'!$B$12</definedName>
    <definedName name="wld_az1_rack3_edge_overlay_pool_start_ip">'Value Reference Tables - MR'!$O$159</definedName>
    <definedName name="vcf_pnp_result_excluded">'Static Reference Tables'!$F$8</definedName>
    <definedName name="input_flt_vidb_password">'Deploy Fleet Management Day-N'!$D$160</definedName>
    <definedName name="sizing_m01_nsxt_gm_appliance_size_chosen">'Configure Management Domain'!$D$403</definedName>
    <definedName name="sample_flt_lc_ip">Arkham!$P$22</definedName>
    <definedName name="mgmt_az2_vmotion_vlan">'Value Reference Tables - MR'!$F$280</definedName>
    <definedName name="sample_wld_srm_admin_email">'Dumping Ground'!$C$82</definedName>
    <definedName name="flt_net_prxy_fqdn">'Value Reference Tables'!$L$244</definedName>
    <definedName name="input_flt_custom_network_local_reg_pg">'Deploy Fleet Management Day-N'!$D$17</definedName>
    <definedName name="wld_az1_rack8_principal_storage_pool_end_ip">'Value Reference Tables - MR'!$AD$152</definedName>
    <definedName name="vi_only_viable">'Value Reference Tables'!$AA$104</definedName>
    <definedName name="input_cluster_az1_pool_name">'Deploy Cluster'!$D$48</definedName>
    <definedName name="flt_vidb_cert_organisation">'Value Reference Tables'!$C$151</definedName>
    <definedName name="flt_custom_network_auto_noded_ip">'Value Reference Tables'!$L$319</definedName>
    <definedName name="input_cluster_az1_principal_storage_pool_start_ip">'Deploy Cluster'!$D$63</definedName>
    <definedName name="sample_mgmt_az2_tor2_peer_bgp_password">'Configure Management Domain'!$C$393</definedName>
    <definedName name="wld_az1_rack8_tor2_peer_bgp_password">'Value Reference Tables - MR'!$AD$106</definedName>
    <definedName name="wld_az1_edge_overlay_vlan">'Value Reference Tables - MR'!$I$17</definedName>
    <definedName name="input_cluster_nsxt_vip_fqdn">'Deploy Cluster'!$D$423</definedName>
    <definedName name="input_mgmt_cl01_vds01_uplink_count">'Deploy Management Domain'!$L$195</definedName>
    <definedName name="sample_mgmt_offline_depot_fqdn">'Deploy Management Domain'!$K$10</definedName>
    <definedName name="input_k8s_vcenter_tag">'Private AI Ready Infrastructure'!$D$23</definedName>
    <definedName name="sddc_mgr_vcf_username">'Value Reference Tables'!$K$27</definedName>
    <definedName name="input_wld_nsxt_gm_admin_password">'Configure Workload Domain'!$D$368</definedName>
    <definedName name="wld_az1_rack8_edge_overlay_network">'Value Reference Tables - MR'!$AD$47</definedName>
    <definedName name="sizing_w04_nsxt_gm_appliance_size">'Management Domain Sizing'!$M$39</definedName>
    <definedName name="input_wld_az1_rack3_uplink02_gateway_ip">Arkham!$F$63</definedName>
    <definedName name="input_wld_az1_rack4_host13_fqdn">'Additional Racks'!$D$252</definedName>
    <definedName name="vcf_automation_admin_username">'Value Reference Tables'!$L$357</definedName>
    <definedName name="wld_az1_rack5_host14_mgmt_ip">'Value Reference Tables - MR'!$U$196</definedName>
    <definedName name="wld_az1_host11_vrms_ip">'Value Reference Tables - MR'!$I$209</definedName>
    <definedName name="sample_mgmt_cl01_vds03_mtu">'Deploy Management Domain'!$K$212</definedName>
    <definedName name="input_svc_vcf_ca_vcf_user">'Configure Management Domain'!$D$50</definedName>
    <definedName name="sample_gg_vra_orchestrator_designers_group">'Active Directory Inputs'!$D$102</definedName>
    <definedName name="input_wld_tier0_name">'Configure Workload Domain'!$D$96</definedName>
    <definedName name="wld_cl01_vds03_lacp_timeout_chosen">'Deploy Workload Domain'!$D$267</definedName>
    <definedName name="sample_wld_vlr_mgmt_ip">'On-Premises Ransomware Recovery'!$C$23</definedName>
    <definedName name="table_vcfopsnet_appliance_disk">'Static Reference Tables'!$B$212:$C$216</definedName>
    <definedName name="sizing_inv_cpu">'Static Reference Tables'!$C$208</definedName>
    <definedName name="ccm_hcx_remote_url">'Value Reference Tables'!$U$182</definedName>
    <definedName name="sample_wld_avilb_ip">'Configure Workload Domain'!$C$159</definedName>
    <definedName name="input_mgmt_az1_host5_vrms_ip">'Site Protection &amp; DR'!$D$180</definedName>
    <definedName name="wld_az1_host_overlay_pool_end_ip">'Value Reference Tables - MR'!$I$154</definedName>
    <definedName name="input_wld_az1_rack3_host14_mgmt_ip">'Additional Racks'!$D$120</definedName>
    <definedName name="wld_cl01_az1_vmotion_uplink1_chosen">'Deploy Workload Domain'!$D$284</definedName>
    <definedName name="input_wld_cl01_vds01_name">'Deploy Workload Domain'!$D$239</definedName>
    <definedName name="flt_auto_node_pool_end_ip">Arkham!$R$35</definedName>
    <definedName name="input_mgmt_witness_ip">'Configure Management Domain'!$D$319</definedName>
    <definedName name="input_cbr_recovery_subnet">'Cloud-Based Ransomware Recovery'!$D$23</definedName>
    <definedName name="wld_az1_rack7_host3_fqdn">'Value Reference Tables - MR'!$AA$223</definedName>
    <definedName name="sample_wld_az1_rack6_host_mgmt_ips">'Additional Racks'!$C$386:$C$401</definedName>
    <definedName name="workload_descriptor">'Value Reference Tables'!$AA$61</definedName>
    <definedName name="sample_flt_custom_network_ops_nodea_fqdn">'Deploy Fleet Management Day-N'!$C$33</definedName>
    <definedName name="mgmt_az1_uplink01_mtu">'Value Reference Tables - MR'!$F$76</definedName>
    <definedName name="wld_az1_rack2_en1_edge_overlay_interface_ip_2_ip">'Value Reference Tables - MR'!$L$245</definedName>
    <definedName name="mgmt_az1_edge_overlay_mtu">'Value Reference Tables - MR'!$F$78</definedName>
    <definedName name="wld_cl01_supervisor_name">'Value Reference Tables'!$F$182</definedName>
    <definedName name="wld_az1_rack8_host4_mgmt_ip">'Value Reference Tables - MR'!$AD$186</definedName>
    <definedName name="sample_vvs_dr_mgmt_cl01_cluster">'Site Protection &amp; DR'!$C$100</definedName>
    <definedName name="sample_cbr_vcdr_email_recipient">'Cloud-Based Ransomware Recovery'!$C$36</definedName>
    <definedName name="mgmt_az2_host6_vrms_ip">'Value Reference Tables - MR'!$F$436</definedName>
    <definedName name="sample_parent_gg_wsa_read_only_group">'Active Directory Inputs'!$D$61</definedName>
    <definedName name="sample_wld_az2_secondary_storage_pool_end_ip">'Configure Workload Domain'!$C$219</definedName>
    <definedName name="input_wld_az1_rack6_secondary_storage_mask">'Dumping Ground'!$D$543</definedName>
    <definedName name="wld_az2_host1_fqdn">'Value Reference Tables - MR'!$I$477</definedName>
    <definedName name="input_wld_az2_tor2_peer_asn">'Configure Workload Domain'!$D$351</definedName>
    <definedName name="sample_wld_az1_rack8_host_overlay_vlan">'Additional Racks'!$C$649</definedName>
    <definedName name="input_mgmt_cl01_nfs_share">'Deploy Management Domain'!$L$120</definedName>
    <definedName name="mgmt_avi_loadbalancer_result">'Configure Management Domain'!$D$14</definedName>
    <definedName name="input_wld_az1_rack8_vmotion_vlan">'Additional Racks'!$D$594</definedName>
    <definedName name="vcf_automation_version">'Value Reference Tables'!$L$331</definedName>
    <definedName name="input_gg_vra_project_admins_sample_group">'Active Directory Inputs'!$E$104</definedName>
    <definedName name="sample_wld_az1_rack7_host_overlay_gateway_ip">'Additional Racks'!$C$560</definedName>
    <definedName name="wld_domain_result">'Deploy Workload Domain'!$D$10</definedName>
    <definedName name="wld_az1_rack3_host10_fqdn">'Value Reference Tables - MR'!$O$230</definedName>
    <definedName name="input_vvs_mgmt_dr_vlr_hostname">'Site Protection &amp; DR'!$D$101</definedName>
    <definedName name="sample_flt_logs_admin_email">'Deploy Fleet Management Day-N'!$C$266</definedName>
    <definedName name="wld_az1_rack2_vrms_gateway_ip">'Value Reference Tables - MR'!$L$96</definedName>
    <definedName name="input_mgmt_az1_host7_vrms_ip">'Site Protection &amp; DR'!$D$182</definedName>
    <definedName name="sample_cluster_az1_host11_mgmt_ip">'Deploy Cluster'!$C$39</definedName>
    <definedName name="input_wld_az1_rack6_host_overlay_vlan">'Additional Racks'!$D$463</definedName>
    <definedName name="input_wld_az2_host3_sddc_id">'Configure Workload Domain'!$D$305</definedName>
    <definedName name="wld_az1_rack3_host10_hostname">'Value Reference Tables - MR'!$O$211</definedName>
    <definedName name="sample_wld_az2_host_overlay_gateway_ip">'Configure Workload Domain'!$C$324</definedName>
    <definedName name="cbr_recovery_host_type">'Value Reference Tables'!$U$133</definedName>
    <definedName name="sample_flt_lc_fqdn">Arkham!$P$28</definedName>
    <definedName name="wld_az1_rack7_host3_mgmt_ip">'Value Reference Tables - MR'!$AA$185</definedName>
    <definedName name="sample_mgmt_az1_vmotion_cidr">'Deploy Management Domain'!$K$161</definedName>
    <definedName name="wld_az1_host10_mgmt_ip">'Value Reference Tables - MR'!$I$192</definedName>
    <definedName name="sample_xreg_vra_noded_ip">'Deploy Management Domain'!$K$83</definedName>
    <definedName name="sizing_sddc_manager_ram">'Static Reference Tables'!$C$31</definedName>
    <definedName name="wld_az1_rack6_mgmt_vm_gateway_ip">'Value Reference Tables - MR'!$X$85</definedName>
    <definedName name="wld_az1_rack4_vmotion_mtu">'Value Reference Tables - MR'!$R$71</definedName>
    <definedName name="sample_wld_az1_rack8_tor2_peer_ip">Arkham!$T$77</definedName>
    <definedName name="input_mgmt_az2_host9_mgmt_ip">'Configure Management Domain'!$D$238</definedName>
    <definedName name="input_wld_az1_rack4_uplink02_mtu">Arkham!$I$69</definedName>
    <definedName name="input_wld_az1_rack2_host_overlay_network">'Additional Racks'!$D$93</definedName>
    <definedName name="mgmt_az2_host3_vrms_ip">'Value Reference Tables - MR'!$F$433</definedName>
    <definedName name="wld_az1_rack6_host4_mgmt_ip">'Value Reference Tables - MR'!$X$186</definedName>
    <definedName name="sizing_w11_vcenter_appliance_size">'Management Domain Sizing'!$D$46</definedName>
    <definedName name="sample_wld_az2_vmotion_mtu">'Configure Workload Domain'!$C$198</definedName>
    <definedName name="input_wld_az1_rack8_host2_mgmt_ip">'Additional Racks'!$D$573</definedName>
    <definedName name="input_mgmt_avilb_fqdn">'Configure Management Domain'!$D$217</definedName>
    <definedName name="flt_net_platform_password">'Value Reference Tables'!$L$274</definedName>
    <definedName name="input_wld_nsxt_global_mgrb_hostname">'Configure Workload Domain'!$D$378</definedName>
    <definedName name="input_mgmt_cl01_az1_uplink01_pg">'Configure Management Domain'!$D$193</definedName>
    <definedName name="prefix_mgmt_witness_vlan">'Value Reference Tables'!$AA$70</definedName>
    <definedName name="sample_cluster_az2_secondary_storage_mtu">'Deploy Cluster'!$C$300</definedName>
    <definedName name="wld_az1_rack3_secondary_storage_mtu">'Value Reference Tables - MR'!$O$74</definedName>
    <definedName name="sample_wld_az2_principal_storage_mtu">'Configure Workload Domain'!$C$206</definedName>
    <definedName name="sample_vcf_automation_vip_fqdn">'Deploy Fleet Management Day-N'!$C$77</definedName>
    <definedName name="input_wld_az1_rack6_vmotion_pool_start_ip">'Additional Racks'!$D$413</definedName>
    <definedName name="mgmt_az2_host2_sddc_id">'Value Reference Tables'!$C$198</definedName>
    <definedName name="input_flt_vidb_resource_pool">'Deploy Fleet Management Day-N'!$D$144</definedName>
    <definedName name="sample_xreg_vrops_virtual_fqdn">'Deploy Management Domain'!$K$63</definedName>
    <definedName name="input_mgmt_srm_vm_folder">'Dumping Ground'!$D$36</definedName>
    <definedName name="wld_az1_rack7_en2_uplink02_interface_ip">'Value Reference Tables - MR'!$AA$253</definedName>
    <definedName name="input_wld_az1_rack6_mgmt_gateway_ip">'Additional Racks'!$D$382</definedName>
    <definedName name="sample_wld_az1_rack3_host4_fqdn">'Additional Racks'!$C$150</definedName>
    <definedName name="wld_az1_rack4_host_overlay_mask">'Value Reference Tables - MR'!$R$57</definedName>
    <definedName name="cluster_az1_storage_cluster_network">'Value Reference Tables'!$I$46</definedName>
    <definedName name="input_nsxt_lm_admin_password">'Deploy Management Domain'!$L$108</definedName>
    <definedName name="wld_az1_host7_hostname">'Value Reference Tables - MR'!$I$224</definedName>
    <definedName name="sample_mgmt_az1_vrms_cidr">'Site Protection &amp; DR'!$C$171</definedName>
    <definedName name="input_cluster_az1_host_overlay_pool_start_ip">'Deploy Cluster'!$D$237</definedName>
    <definedName name="input_mgmt_nsxt_global_mgra_fqdn">'Configure Management Domain'!$D$409</definedName>
    <definedName name="sizing_w12_gm_chosen">'Management Domain Sizing'!$L$47</definedName>
    <definedName name="input_cluster_az1_mgmt_mtu">'Deploy Cluster'!$D$27</definedName>
    <definedName name="mgmt_az1_mgmt_cidr">'Value Reference Tables - MR'!$F$24</definedName>
    <definedName name="wld_avi_loadbalancer_result">'Configure Workload Domain'!$D$13</definedName>
    <definedName name="sample_wld_az1_rack2_host1_mgmt_ip">'Additional Racks'!$C$14</definedName>
    <definedName name="sample_wld_az1_rack4_host_overlay_pool_end_ip">'Additional Racks'!$C$283</definedName>
    <definedName name="sample_wld_az1_rack7_host_mgmt_ips">'Additional Racks'!$C$479:$C$494</definedName>
    <definedName name="mgmt_az2_host15_fqdn">'Value Reference Tables - MR'!$F$483</definedName>
    <definedName name="mgmt_az2_uplink01_mask">'Value Reference Tables - MR'!$F$326</definedName>
    <definedName name="wld_az1_rack2_host16_fqdn">'Value Reference Tables - MR'!$L$236</definedName>
    <definedName name="input_wld_az1_rack3_uplink01_mtu">Arkham!$F$68</definedName>
    <definedName name="wld_az2_host13_vrms_ip">'Value Reference Tables - MR'!$I$451</definedName>
    <definedName name="input_cbr_vcdr_timezone">'Cloud-Based Ransomware Recovery'!$D$30</definedName>
    <definedName name="table_vcfo_p_cpu">'Static Reference Tables'!$B$169:$C$170</definedName>
    <definedName name="sample_cluster_witness_vsan_datastore">'Deploy Cluster'!$C$354</definedName>
    <definedName name="sample_wld_az1_rack6_principal_storage_mask">'Additional Racks'!$C$419</definedName>
    <definedName name="sample_mgmt_srm_logs_rp">'Site Protection &amp; DR'!$C$283</definedName>
    <definedName name="input_wld_az1_rack8_vmotion_pool_end_ip">'Additional Racks'!$D$600</definedName>
    <definedName name="wld_az1_vmotion_pool_start_ip">'Value Reference Tables - MR'!$I$149</definedName>
    <definedName name="input_mgmt_az1_vmotion_gateway_ip">'Deploy Management Domain'!$L$160</definedName>
    <definedName name="wld_az1_rack5_edge_overlay_vlan">'Value Reference Tables - MR'!$U$17</definedName>
    <definedName name="mgmt_vc_fqdn">'Value Reference Tables'!$C$55</definedName>
    <definedName name="wld_az1_rack8_host_overlay_vlan">'Value Reference Tables - MR'!$AD$12</definedName>
    <definedName name="input_wld_az1_rack2_principal_storage_mask">'Additional Racks'!$D$47</definedName>
    <definedName name="input_mgmt_vrms_admin_password">'Dumping Ground'!$D$30</definedName>
    <definedName name="sample_mgmt_internet_proxy_password">'Deploy Management Domain'!$K$19</definedName>
    <definedName name="sample_wld_az1_rack4_host7_fqdn">'Additional Racks'!$C$246</definedName>
    <definedName name="table_vcfopsnet_appliance_cpu">'Static Reference Tables'!$B$200:$C$204</definedName>
    <definedName name="input_vcf_automation_cert_file">'Deploy Fleet Management Day-N'!$D$69</definedName>
    <definedName name="input_gg_vrni_admin_group">'Active Directory Inputs'!$E$89</definedName>
    <definedName name="wld_az2_secondary_storage_mtu">'Value Reference Tables - MR'!$I$358</definedName>
    <definedName name="mgmt_az2_rtep_overlay_cidr">'Value Reference Tables - MR'!$F$301</definedName>
    <definedName name="prefix_other_region_az1_cidr">'Value Reference Tables'!$AA$84</definedName>
    <definedName name="sample_cluster_az1_secondary_storage_mtu">'Deploy Cluster'!$C$67</definedName>
    <definedName name="input_wld_az1_rack7_vmotion_mask">'Additional Racks'!$D$504</definedName>
    <definedName name="input_wld_az1_rack2_secondary_storage_vlan">'Dumping Ground'!$D$508</definedName>
    <definedName name="wld_az1_principal_storage_mtu">'Value Reference Tables - MR'!$I$72</definedName>
    <definedName name="sample_mgmt_az2_tor2_peer_ip">'Configure Management Domain'!$C$389</definedName>
    <definedName name="input_wld_az1_rack8_uplink02_mask">Arkham!$U$66</definedName>
    <definedName name="sample_wld_az1_vmotion_cidr">'Deploy Workload Domain'!$C$353</definedName>
    <definedName name="input_flt_net_prxy_fqdn">'Deploy Fleet Management Day-N'!$D$305</definedName>
    <definedName name="input_mgmt_az1_host15_vrms_ip">'Site Protection &amp; DR'!$D$190</definedName>
    <definedName name="wld_az1_rtep_overlay_pg">'Value Reference Tables - MR'!$I$119</definedName>
    <definedName name="wld_az2_uplink01_network">'Value Reference Tables - MR'!$I$315</definedName>
    <definedName name="input_wld_az1_rack3_principal_storage_pool_end_ip">'Additional Racks'!$D$143</definedName>
    <definedName name="input_wld_az1_rack5_vmotion_network">'Additional Racks'!$D$317</definedName>
    <definedName name="wld_az1_rack6_principal_storage_mtu">'Value Reference Tables - MR'!$X$72</definedName>
    <definedName name="sizing_mgmt_avi_lb_appliance_size">'Management Domain Sizing'!$Q$32</definedName>
    <definedName name="wld_az1_host4_mgmt_ip">'Value Reference Tables - MR'!$I$186</definedName>
    <definedName name="cluster_host_overlay_transportzone">'Value Reference Tables'!$I$312</definedName>
    <definedName name="cluster_az1_host4_mgmt_ip">'Value Reference Tables'!$I$56</definedName>
    <definedName name="input_cluster_az2_host4_mgmt_ip">'Deploy Cluster'!$D$264</definedName>
    <definedName name="mgmt_cl01_vds01_lag_lbt_chosen">'Deploy Management Domain'!$L$193</definedName>
    <definedName name="wld_az1_rack6_host2_hostname">'Value Reference Tables - MR'!$X$203</definedName>
    <definedName name="sample_wld_az1_rack7_host7_mgmt_ip">'Additional Racks'!$C$485</definedName>
    <definedName name="sizing_sddc_manager_disk">'Static Reference Tables'!$C$32</definedName>
    <definedName name="mgmt_az1_mgmt_mask">'Value Reference Tables - MR'!$F$54</definedName>
    <definedName name="sample_wld_az1_rack7_vmotion_network">'Additional Racks'!$C$503</definedName>
    <definedName name="sample_mgmt_witness_ntp1_server">'Configure Management Domain'!$C$326</definedName>
    <definedName name="input_wld_witness_zone_vc_ip">'Configure Workload Domain'!$D$266</definedName>
    <definedName name="wld_az1_rack2_host_overlay_uplink_profile_name">'Value Reference Tables - MR'!$L$171</definedName>
    <definedName name="wld_az1_rack6_host_overlay_network_pool_name">'Value Reference Tables - MR'!$X$169</definedName>
    <definedName name="mgmt_nsxt_gm_vip_ip">'Value Reference Tables'!$C$21</definedName>
    <definedName name="wld_az1_rack8_host_hostnames">'Value Reference Tables - MR'!$AD$202:$AD$217</definedName>
    <definedName name="mgmt_az2_host16_fqdn">'Value Reference Tables - MR'!$F$484</definedName>
    <definedName name="input_cluster_az2_mgmt_mtu">'Deploy Cluster'!$D$259</definedName>
    <definedName name="sample_wld_az1_rack2_host3_fqdn">'Additional Racks'!$C$56</definedName>
    <definedName name="wld_az2_uplink02_mtu">'Value Reference Tables - MR'!$I$361</definedName>
    <definedName name="mgmt_nsxt_global_mgrb_fqdn">'Value Reference Tables'!$C$62</definedName>
    <definedName name="input_flt_logs_admin_password">'Deploy Fleet Management Day-N'!$D$251</definedName>
    <definedName name="mgmt_datacenter">'Value Reference Tables'!$C$76</definedName>
    <definedName name="sample_wld_az1_rack8_secondary_storage_mtu">'Dumping Ground'!$C$557</definedName>
    <definedName name="sizing_w22_gm_chosen">'Management Domain Sizing'!$L$57</definedName>
    <definedName name="wld_az1_rack6_host11_hostname">'Value Reference Tables - MR'!$X$212</definedName>
    <definedName name="input_wld_az1_rack6_edge_overlay_mask">Arkham!$O$67</definedName>
    <definedName name="mgmt_srm_recovery_sddc_manager_username">'Value Reference Tables'!$U$53</definedName>
    <definedName name="xreg_vra_virtual_ip">'Value Reference Tables'!$R$38</definedName>
    <definedName name="input_wld_az1_rack2_host9_mgmt_ip">'Additional Racks'!$D$22</definedName>
    <definedName name="mgmt_cl01_vds03_uplink1">'Value Reference Tables'!$C$107</definedName>
    <definedName name="input_wld_az1_rack3_vmotion_network">'Additional Racks'!$D$131</definedName>
    <definedName name="mgmt_az1_secondary_storage_mtu">'Value Reference Tables - MR'!$F$74</definedName>
    <definedName name="mgmt_witnessaz_gateway_ip">'Value Reference Tables'!$X$44</definedName>
    <definedName name="sample_mgmt_az1_host14_vrms_ip">'Site Protection &amp; DR'!$C$189</definedName>
    <definedName name="vcf_automation_folder">'Value Reference Tables'!$L$349</definedName>
    <definedName name="wld_az1_rack7_host10_mgmt_ip">'Value Reference Tables - MR'!$AA$192</definedName>
    <definedName name="input_cluster_az2_host2_mgmt_ip">'Deploy Cluster'!$D$262</definedName>
    <definedName name="wld_az1_rack2_host7_hostname">'Value Reference Tables - MR'!$L$208</definedName>
    <definedName name="wld_az1_rack4_host11_hostname">'Value Reference Tables - MR'!$R$212</definedName>
    <definedName name="input_mgmt_az1_host16_fqdn">'Deploy Management Domain'!$L$143</definedName>
    <definedName name="sizing_w15_avi_appliance_size">'Management Domain Sizing'!$S$50</definedName>
    <definedName name="input_wld_az2_principal_storage_network">'Configure Workload Domain'!$D$207</definedName>
    <definedName name="sample_mgmt_az1_host_overlay_network_pool_name">'Deploy Management Domain'!$K$255</definedName>
    <definedName name="sample_wld_az1_storage_cluster_network">'Deploy Workload Domain'!$C$111</definedName>
    <definedName name="k8s_segment_pg">'Value Reference Tables'!$X$28</definedName>
    <definedName name="input_wld_az1_en2_eth0_uplink0">'Configure Workload Domain'!$D$80</definedName>
    <definedName name="sample_flt_custom_network_ops_nodeb_fqdn">'Deploy Fleet Management Day-N'!$C$34</definedName>
    <definedName name="mgmt_cl01_az2_mgmt_vm_pg">'Value Reference Tables - MR'!$F$372</definedName>
    <definedName name="wld_az1_rack7_host1_fqdn">'Value Reference Tables - MR'!$AA$221</definedName>
    <definedName name="sizing_w18_avi_appliance_size">'Management Domain Sizing'!$S$53</definedName>
    <definedName name="wld_az1_storage_cluster_gateway_ip">'Value Reference Tables - MR'!$I$91</definedName>
    <definedName name="sample_flt_net_cert_alias">'Deploy Fleet Management Day-N'!$C$293</definedName>
    <definedName name="wld_az1_rack5_mgmt_vm_mtu">'Value Reference Tables - MR'!$U$69</definedName>
    <definedName name="input_wld_az1_rack6_host_overlay_pool_end_ip">'Additional Racks'!$D$469</definedName>
    <definedName name="sample_wld_en_asn">'Configure Workload Domain'!$C$99</definedName>
    <definedName name="vvs_dr_mgmt_vc_fqdn">'Value Reference Tables'!$O$108</definedName>
    <definedName name="sample_cluster_vds02_lag_name">'Deploy Cluster'!$C$181</definedName>
    <definedName name="mgmt_az1_host10_fqdn">'Value Reference Tables - MR'!$F$246</definedName>
    <definedName name="input_wld_az1_rack5_uplink02_mask">Arkham!$L$66</definedName>
    <definedName name="wld_az1_rack7_host_overlay_mask">'Value Reference Tables - MR'!$AA$57</definedName>
    <definedName name="sample_wld_az1_rack2_host5_fqdn">'Additional Racks'!$C$58</definedName>
    <definedName name="cluster_az1_host_overlay_cidr">'Value Reference Tables'!$I$163</definedName>
    <definedName name="flt_logs_install_version">'Deploy Fleet Management Day-N'!$D$210</definedName>
    <definedName name="input_cluster_az1_host11_fqdn">'Deploy Cluster'!$D$94</definedName>
    <definedName name="input_cluster_az2_host6_fqdn">'Deploy Cluster'!$D$322</definedName>
    <definedName name="input_wld_az1_rack7_host11_fqdn">'Additional Racks'!$D$529</definedName>
    <definedName name="wld_az1_tor2_peer_bgp_password">'Value Reference Tables - MR'!$I$106</definedName>
    <definedName name="sample_mgmt_az1_en2_hostname">'Configure Management Domain'!$C$545</definedName>
    <definedName name="ccm_hcx_nsx_svc_user">'Value Reference Tables'!$U$163</definedName>
    <definedName name="mgmt_cl01_az1_vsan_lbt_chosen">'Deploy Management Domain'!$L$237</definedName>
    <definedName name="sample_wld_az1_rack2_host_overlay_vlan">'Additional Racks'!$C$91</definedName>
    <definedName name="prefix_wld_stretched_vlan">'Value Reference Tables'!$AA$78</definedName>
    <definedName name="mgmt_az2_host1_mgmt_ip">'Value Reference Tables - MR'!$F$415</definedName>
    <definedName name="sizing_w22_nsxt_appliance_size">'Management Domain Sizing'!$I$57</definedName>
    <definedName name="sample_mgmt_srm_days">'Site Protection &amp; DR'!$C$255</definedName>
    <definedName name="wld_az1_rack7_host_overlay_mtu">'Value Reference Tables - MR'!$AA$73</definedName>
    <definedName name="wld_az1_rack7_host9_fqdn">'Value Reference Tables - MR'!$AA$229</definedName>
    <definedName name="sizing_w08_gm_chosen">'Management Domain Sizing'!$L$43</definedName>
    <definedName name="cluster_az2_host4_fqdn">'Value Reference Tables'!$I$295</definedName>
    <definedName name="input_wld_existing_cross_instance_t0_name">'Configure Workload Domain'!$D$513</definedName>
    <definedName name="mgmt_witness_ntp2_server">'Value Reference Tables'!$C$218</definedName>
    <definedName name="flt_net_support_password">'Value Reference Tables'!$L$275</definedName>
    <definedName name="sample_wld_az1_host4_mgmt_ip">'Deploy Workload Domain'!$C$66</definedName>
    <definedName name="input_wld_nsxt_mgrc_fqdn">'Deploy Workload Domain'!$D$179</definedName>
    <definedName name="wld_bf_nsxt_mgrc_fqdn">'Value Reference Tables'!$I$189</definedName>
    <definedName name="cluster_az2_host_fqdns">'Value Reference Tables'!$I$292:$I$307</definedName>
    <definedName name="input_wld_rwr_vcfops_vr_username">'On-Premises Ransomware Recovery'!$D$205</definedName>
    <definedName name="input_wld_az1_rack3_host8_fqdn">'Additional Racks'!$D$154</definedName>
    <definedName name="table_ssp_disk">'Static Reference Tables'!$B$265:$C$267</definedName>
    <definedName name="input_mgmt_az1_uplink01_mtu">'Configure Management Domain'!$D$162</definedName>
    <definedName name="sample_wld_az1_rack5_host_overlay_network_profile_name">'Additional Racks'!$C$357</definedName>
    <definedName name="table_vrli_appliance_disk">'Static Reference Tables'!$B$147:$C$149</definedName>
    <definedName name="input_wld_az1_rack4_host13_mgmt_ip">'Additional Racks'!$D$212</definedName>
    <definedName name="wld_az1_rack8_vmotion_vlan">'Value Reference Tables - MR'!$AD$10</definedName>
    <definedName name="input_mgmt_az2_host3_vrms_ip">'Site Protection &amp; DR'!$D$195</definedName>
    <definedName name="mgmt_az2_host_overlay_vlan">'Value Reference Tables - MR'!$F$282</definedName>
    <definedName name="sample_ccm_firewall_ip_addresses">'Cross Cloud Mobility'!$C$30</definedName>
    <definedName name="mgmt_srm_vm_folder">'Value Reference Tables'!$U$73</definedName>
    <definedName name="wld_cl01_vds02_pnics">'Value Reference Tables'!$F$79</definedName>
    <definedName name="xreg_wsa_vm_folder">'Dumping Ground'!$D$105</definedName>
    <definedName name="sample_wld_az1_rack3_host9_mgmt_ip">'Additional Racks'!$C$115</definedName>
    <definedName name="sample_wld_az1_rack4_uplink02_mask">Arkham!$H$66</definedName>
    <definedName name="mgmt_az1_host2_fqdn">'Value Reference Tables - MR'!$F$238</definedName>
    <definedName name="sample_region_ad_child_netbios">'Active Directory Inputs'!$F$9</definedName>
    <definedName name="wld_az1_rack3_host11_mgmt_ip">'Value Reference Tables - MR'!$O$193</definedName>
    <definedName name="table_vcfo_p_disk">'Static Reference Tables'!$B$175:$C$176</definedName>
    <definedName name="sample_wld_az1_rack7_host5_mgmt_ip">'Additional Racks'!$C$483</definedName>
    <definedName name="sample_gg_nsx_enterprise_admins_group">'Active Directory Inputs'!$D$70</definedName>
    <definedName name="xreg_vrops_nodec_hostname">'Value Reference Tables'!$R$88</definedName>
    <definedName name="sample_wld_az1_rack7_host_overlay_vlan">'Additional Racks'!$C$556</definedName>
    <definedName name="sample_mgmt_az2_secondary_storage_network">'Configure Management Domain'!$C$270</definedName>
    <definedName name="wld_az1_rack5_uplink01_mtu">'Value Reference Tables - MR'!$U$76</definedName>
    <definedName name="sample_wld_az1_rack3_mgmt_vm_mtu">'Value Reference Tables - MR'!$Q$260</definedName>
    <definedName name="sample_wld_az1_rack7_uplink01_vlan">Arkham!$Q$59</definedName>
    <definedName name="cluster_result">'Deploy Cluster'!$D$8</definedName>
    <definedName name="sample_wld_az1_rack2_host_overlay_pool_start_ip">'Additional Racks'!$C$96</definedName>
    <definedName name="input_sftp_server_port">'Configure Management Domain'!$D$22</definedName>
    <definedName name="sample_wld_rwr_recovery_site_nsx_ec_name">'On-Premises Ransomware Recovery'!$C$123</definedName>
    <definedName name="sso_default_admin">'Value Reference Tables'!$O$52</definedName>
    <definedName name="input_wld_az1_rack2_host_overlay_network_pool_name">'Additional Racks'!$D$80</definedName>
    <definedName name="mgmt_witnessaz_mgmt_gateway_ip">'Value Reference Tables'!$L$178</definedName>
    <definedName name="sample_cluster_domain_name">'Deploy Cluster'!$C$19</definedName>
    <definedName name="wld_az1_rack7_edge_overlay_mtu">'Value Reference Tables - MR'!$AA$78</definedName>
    <definedName name="sample_wld_az1_rack8_host15_fqdn">'Additional Racks'!$C$626</definedName>
    <definedName name="input_wld_az1_tor1_peer_ip">'Configure Workload Domain'!$D$103</definedName>
    <definedName name="input_wld_az1_rack2_uplink02_gateway_ip">Arkham!$C$63</definedName>
    <definedName name="sample_mgmt_internet_proxy_email">'Deploy Management Domain'!$K$18</definedName>
    <definedName name="sample_cbr_vcdr_timezone">'Cloud-Based Ransomware Recovery'!$C$30</definedName>
    <definedName name="sample_ccm_aws_admin_ssouser">'Cross Cloud Mobility'!$C$36</definedName>
    <definedName name="wld_az2_host16_hostname">'Value Reference Tables - MR'!$I$473</definedName>
    <definedName name="sample_wld_az1_rack3_secondary_storage_cidr">Arkham!$B$26</definedName>
    <definedName name="input_wld_az1_rack3_host3_fqdn">'Additional Racks'!$D$149</definedName>
    <definedName name="cluster_az2_secondary_storage_gateway_ip">'Value Reference Tables'!$I$245</definedName>
    <definedName name="group_gg_vrli_admins">'Value Reference Tables'!$L$142</definedName>
    <definedName name="sample_wld_rwr_recovery_site_nsx_ec_t0_name">'On-Premises Ransomware Recovery'!$C$126</definedName>
    <definedName name="input_cluster_az1_host10_mgmt_ip">'Deploy Cluster'!$D$38</definedName>
    <definedName name="sample_vvs_dr_mgmt_vc_fqdn">'Site Protection &amp; DR'!$C$99</definedName>
    <definedName name="input_wld_az2_tor1_peer_asn">'Configure Workload Domain'!$D$346</definedName>
    <definedName name="wld_witnessaz_mgmt_gateway_ip">'Value Reference Tables'!$F$135</definedName>
    <definedName name="input_wld_az1_rack2_host12_mgmt_ip">'Additional Racks'!$D$25</definedName>
    <definedName name="shared_edge_and_compute">'Static Reference Tables'!$B$383</definedName>
    <definedName name="wld_az1_rack3_vrms_gateway_ip">'Value Reference Tables - MR'!$O$96</definedName>
    <definedName name="input_mgmt_nsxt_global_mgr_cluster_id">'Configure Management Domain'!$D$453</definedName>
    <definedName name="sample_cluster_az2_host_overlay_pool_start_ip">'Deploy Cluster'!$C$413</definedName>
    <definedName name="input_mgmt_az1_host14_mgmt_ip">'Deploy Management Domain'!$L$343</definedName>
    <definedName name="sample_wld_az1_rack4_host15_fqdn">'Additional Racks'!$C$254</definedName>
    <definedName name="sample_wld_az1_rack4_principal_storage_pool_start_ip">'Additional Racks'!$C$235</definedName>
    <definedName name="wld_az1_rack4_edge_overlay_gateway_ip">'Value Reference Tables - MR'!$R$94</definedName>
    <definedName name="cluster_az1_host8_mgmt_ip">'Value Reference Tables'!$I$60</definedName>
    <definedName name="input_wld_az1_rack3_host8_mgmt_ip">'Additional Racks'!$D$114</definedName>
    <definedName name="wld_cl01_cluster_sddc_id">'Value Reference Tables'!$O$65</definedName>
    <definedName name="vvs_dr_flt_net_nodec_hostname">'Value Reference Tables'!$O$121</definedName>
    <definedName name="sample_wld_az1_rack6_host9_fqdn">'Additional Racks'!$C$434</definedName>
    <definedName name="input_mgmt_az2_host5_fqdn">'Configure Management Domain'!$D$283</definedName>
    <definedName name="wld_bgp_result">'Configure Workload Domain'!$D$12</definedName>
    <definedName name="input_wld_az1_rack6_host7_mgmt_ip">'Additional Racks'!$D$392</definedName>
    <definedName name="input_wld_az1_host14_vrms_ip">'Dumping Ground'!$D$306</definedName>
    <definedName name="wld_vrms_vm_folder">'Value Reference Tables'!$U$103</definedName>
    <definedName name="wld_domain_number_chosen">'Value Reference Tables'!$F$7</definedName>
    <definedName name="sample_mgmt_az2_host8_mgmt_ip">'Configure Management Domain'!$C$237</definedName>
    <definedName name="input_wld_cl01_vds03_pnics">'Deploy Workload Domain'!$D$269</definedName>
    <definedName name="wld_az2_vm_cidr">'Value Reference Tables'!$AE$37</definedName>
    <definedName name="wld_az1_rack7_edge_overlay_pool_end_ip">'Value Reference Tables - MR'!$AA$160</definedName>
    <definedName name="sample_cluster_az2_storage_cluster_mtu">'Deploy Cluster'!$C$308</definedName>
    <definedName name="wld_az1_host_overlay_transport_zone">'Value Reference Tables - MR'!$I$170</definedName>
    <definedName name="wld_az1_rack8_secondary_storage_pool_start_ip">'Value Reference Tables - MR'!$AD$155</definedName>
    <definedName name="wld_az2_host13_mgmt_ip">'Value Reference Tables - MR'!$I$435</definedName>
    <definedName name="sample_wld_cl01_nfs_server_address">'Deploy Workload Domain'!$C$208</definedName>
    <definedName name="input_mgmt_az1_en2_eth0_uplink0">'Configure Management Domain'!$D$137</definedName>
    <definedName name="sample_wld_az1_rack4_mgmt_vm_cidr">'Value Reference Tables - MR'!$M$256</definedName>
    <definedName name="group_parent_gg_wsa_directory_admins">'Value Reference Tables'!$L$134</definedName>
    <definedName name="sample_wld_az2_host8_vrms_ip">'Dumping Ground'!$C$317</definedName>
    <definedName name="mgmt_cl01_nfs_server_bound_to_vmknic_chosen">'Deploy Management Domain'!$L$122</definedName>
    <definedName name="wld_compute_hosts_per_rack">'Value Reference Tables'!$F$8</definedName>
    <definedName name="sizing_w03_spr_chosen">'Management Domain Sizing'!$P$38</definedName>
    <definedName name="mgmt_cl01_az1_vmotion_uplink1_chosen">'Deploy Management Domain'!$L$233</definedName>
    <definedName name="mgmt_edge_vm_folder">'Value Reference Tables'!$O$36</definedName>
    <definedName name="input_cluster_az2_host13_fqdn">'Deploy Cluster'!$D$329</definedName>
    <definedName name="mgmt_srm_database_password">'Value Reference Tables'!$U$76</definedName>
    <definedName name="wld_az1_rack3_host4_fqdn">'Value Reference Tables - MR'!$O$224</definedName>
    <definedName name="input_cluster_witness_cluster">'Deploy Cluster'!$D$352</definedName>
    <definedName name="sizing_w04_vcenter_appliance_size">'Management Domain Sizing'!$D$39</definedName>
    <definedName name="wld_az1_rack7_host_overlay_gateway_ip">'Value Reference Tables - MR'!$AA$89</definedName>
    <definedName name="sample_mgmt_az2_vsan_pool_end_ip">'Configure Management Domain'!$C$266</definedName>
    <definedName name="sample_cluster_az2_host10_mgmt_ip">'Deploy Cluster'!$C$270</definedName>
    <definedName name="input_wld_az1_rack7_host6_fqdn">'Additional Racks'!$D$524</definedName>
    <definedName name="input_mgmt_az2_host8_vrms_ip">'Site Protection &amp; DR'!$D$200</definedName>
    <definedName name="input_rwr_vlr_replication_password">'On-Premises Ransomware Recovery'!$D$45</definedName>
    <definedName name="sample_wld_az1_rack8_principal_storage_pool_end_ip">'Additional Racks'!$C$608</definedName>
    <definedName name="sample_mgmt_az2_host13_mgmt_ip">'Configure Management Domain'!$C$242</definedName>
    <definedName name="input_ccm_hcx_resource_pool">'Cross Cloud Mobility'!$D$19</definedName>
    <definedName name="input_wld_az1_rack2_edge_overlay_gateway_ip">Arkham!$C$64</definedName>
    <definedName name="input_wld_az2_principal_storage_mask">'Configure Workload Domain'!$D$208</definedName>
    <definedName name="input_wld_az1_rack7_host14_mgmt_ip">'Additional Racks'!$D$492</definedName>
    <definedName name="cluster_az1_vmotion_pool_start_ip">'Value Reference Tables'!$I$23</definedName>
    <definedName name="sample_mgmt_offline_depot_port">'Deploy Management Domain'!$K$11</definedName>
    <definedName name="nsxt_en_admin_password">'Value Reference Tables'!$L$20</definedName>
    <definedName name="wld_az2_host9_fqdn">'Value Reference Tables - MR'!$I$485</definedName>
    <definedName name="wld_cluster_compute_edge">'Static Reference Tables'!$B$381:$B$382</definedName>
    <definedName name="region_vrni_nodea_hostname">'Value Reference Tables'!$R$140</definedName>
    <definedName name="sample_cluster_cluster_sddc_id">'Deploy Cluster'!$C$418</definedName>
    <definedName name="sample_wld_az1_rack7_host14_fqdn">'Additional Racks'!$C$532</definedName>
    <definedName name="cluster_az1_vmotion_vlan">'Value Reference Tables'!$I$17</definedName>
    <definedName name="sample_flt_custom_network_auto_noded_ip">'Deploy Fleet Management Day-N'!$C$56</definedName>
    <definedName name="cluster_az1_host7_mgmt_ip">'Value Reference Tables'!$I$59</definedName>
    <definedName name="input_cluster_az1_secondary_storage_mask">'Deploy Cluster'!$D$69</definedName>
    <definedName name="input_svc_inv_ad_user">'Active Directory Inputs'!$E$32</definedName>
    <definedName name="flt_net_nodeb_ip">'Value Reference Tables'!$L$246</definedName>
    <definedName name="input_wld_az1_rack4_secondary_storage_gateway_ip">'Dumping Ground'!$D$528</definedName>
    <definedName name="sample_wld_cl01_supervisor_nsx_project">'Deploy Workload Domain'!$C$331</definedName>
    <definedName name="input_wld_az1_rack8_principal_storage_gateway_ip">'Additional Racks'!$D$606</definedName>
    <definedName name="input_wld_az1_rack2_tor2_peer_asn">Arkham!$C$78</definedName>
    <definedName name="sample_wld_nsxt_gm_vip_ip">'Configure Workload Domain'!$C$442</definedName>
    <definedName name="wld_az1_rack6_host3_hostname">'Value Reference Tables - MR'!$X$204</definedName>
    <definedName name="input_wld_az1_rack6_host4_fqdn">'Additional Racks'!$D$429</definedName>
    <definedName name="mgmt_az2_host1_vrms_ip">'Value Reference Tables - MR'!$F$431</definedName>
    <definedName name="sizing_w14_chosen">'Management Domain Sizing'!$C$49</definedName>
    <definedName name="sddc_mgr_fqdn">'Value Reference Tables'!$C$54</definedName>
    <definedName name="input_mgmt_az1_vrms_vlan">'Site Protection &amp; DR'!$D$163</definedName>
    <definedName name="mgmt_dpg_reuse_result">'Value Reference Tables'!$C$136</definedName>
    <definedName name="wld_az1_rack2_host16_hostname">'Value Reference Tables - MR'!$L$217</definedName>
    <definedName name="wld_az2_host_overlay_new_pool_chosen">'Configure Workload Domain'!$D$320</definedName>
    <definedName name="input_wld_az1_en1_eth0_uplink0">'Configure Workload Domain'!$D$54</definedName>
    <definedName name="sample_wld_az1_rtep_ip_pool_name">'Configure Workload Domain'!$C$466</definedName>
    <definedName name="input_wld_cl01_supervisor_ntp">'Deploy Workload Domain'!$D$336</definedName>
    <definedName name="mgmt_az1_host_overlay_network_profile_name">'Value Reference Tables - MR'!$F$167</definedName>
    <definedName name="sizing_w24_avi_appliance_size">'Management Domain Sizing'!$S$59</definedName>
    <definedName name="input_wld_az1_rack2_principal_storage_gateway_ip">'Additional Racks'!$D$48</definedName>
    <definedName name="input_mgmt_az1_mgmt_gateway_ip">'Deploy Management Domain'!$L$149</definedName>
    <definedName name="flt_custom_network_auto_vip_fqdn">'Value Reference Tables'!$L$313</definedName>
    <definedName name="sample_flt_fc_fqdn">Arkham!$P$31</definedName>
    <definedName name="wld_witness_mgmt_pg">'Value Reference Tables'!$X$56</definedName>
    <definedName name="input_wld_az1_rack7_host_overlay_uplink_profile_name">'Additional Racks'!$D$546</definedName>
    <definedName name="wld_az1_rack7_secondary_storage_vlan">'Value Reference Tables - MR'!$AA$13</definedName>
    <definedName name="sample_mgmt_az1_host_overlay_vlan">'Deploy Management Domain'!$K$253</definedName>
    <definedName name="ccm_firewall_rule_hcx">'Value Reference Tables'!$U$173</definedName>
    <definedName name="sample_mgmt_sso_domain">'Deploy Management Domain'!$K$95</definedName>
    <definedName name="wld_az1_rack2_en1_uplink01_interface_ip">'Value Reference Tables - MR'!$L$242</definedName>
    <definedName name="cluster_az2_principal_storage_network">'Value Reference Tables'!$I$234</definedName>
    <definedName name="wld_az1_rack5_host8_hostname">'Value Reference Tables - MR'!$U$209</definedName>
    <definedName name="wld_az1_rack5_uplink01_pg">'Value Reference Tables - MR'!$U$114</definedName>
    <definedName name="input_flt_custom_network_ops_root_password">'Deploy Fleet Management Day-N'!$D$41</definedName>
    <definedName name="flt_custom_network_auto_nodef_ip">Arkham!$R$12</definedName>
    <definedName name="sample_flt_sr_ip">Arkham!$P$23</definedName>
    <definedName name="input_wld_az1_rack7_secondary_storage_vlan">'Dumping Ground'!$D$548</definedName>
    <definedName name="wld_az1_en2_eth0_uplink1">'Value Reference Tables'!$C$258</definedName>
    <definedName name="mgmt_az2_host15_vrms_ip">'Value Reference Tables - MR'!$F$445</definedName>
    <definedName name="sample_wld_az1_rack5_host7_fqdn">'Additional Racks'!$C$339</definedName>
    <definedName name="wld_az1_rack4_uplink02_pg">'Value Reference Tables - MR'!$R$115</definedName>
    <definedName name="sizing_w17_nsxt_gm_appliance_size">'Management Domain Sizing'!$M$52</definedName>
    <definedName name="input_flt_lc_ip">Arkham!$Q$22</definedName>
    <definedName name="nsxt_lm_root_password">'Value Reference Tables'!$L$16</definedName>
    <definedName name="vcf_automation_gateway_ip">'Value Reference Tables'!$L$352</definedName>
    <definedName name="sample_cluster_az1_storage_cluster_vlan">'Deploy Cluster'!$C$74</definedName>
    <definedName name="wld_az1_rack7_secondary_storage_mtu">'Value Reference Tables - MR'!$AA$74</definedName>
    <definedName name="input_wld_az1_rack4_mgmt_gateway_ip">'Additional Racks'!$D$196</definedName>
    <definedName name="mgmt_flt_fm_reuse_password_chosen">'Deploy Management Domain'!$L$66</definedName>
    <definedName name="input_wld_az2_host14_vrms_ip">'Dumping Ground'!$D$323</definedName>
    <definedName name="wld_az1_rack8_host9_fqdn">'Value Reference Tables - MR'!$AD$229</definedName>
    <definedName name="input_wld_az1_host9_mgmt_ip">'Deploy Workload Domain'!$D$71</definedName>
    <definedName name="input_wld_az2_tor1_peer_ip">'Configure Workload Domain'!$D$345</definedName>
    <definedName name="sample_mgmt_nsxt_mgrc_fqdn">'Deploy Management Domain'!$K$107</definedName>
    <definedName name="sample_mgmt_az1_mgmt_mtu">'Deploy Management Domain'!$K$151</definedName>
    <definedName name="sample_wld_az1_rack7_secondary_storage_cidr">Arkham!$B$42</definedName>
    <definedName name="input_cluster_az1_principal_storage_vlan">'Deploy Cluster'!$D$58</definedName>
    <definedName name="sample_wld_az1_rack3_vmotion_mtu">'Additional Racks'!$C$130</definedName>
    <definedName name="wld_az1_rack5_uplink02_pg">'Value Reference Tables - MR'!$U$115</definedName>
    <definedName name="sample_wld_bf_nsxt_mgrb_fqdn">'Deploy Workload Domain'!$C$42</definedName>
    <definedName name="input_wld_az1_rack2_host2_mgmt_ip">'Additional Racks'!$D$15</definedName>
    <definedName name="sample_cluster_az1_host2_mgmt_ip">'Deploy Cluster'!$C$30</definedName>
    <definedName name="input_vvs_dr_flt_net_nodea_fqdn">'Site Protection &amp; DR'!$D$38</definedName>
    <definedName name="user_svc_vcf_bck">'Value Reference Tables'!$O$48</definedName>
    <definedName name="sample_mgmt_az2_vsan_network">'Configure Management Domain'!$C$262</definedName>
    <definedName name="sample_wld_az1_rack8_mgmt_vm_mtu">'Value Reference Tables - MR'!$Q$265</definedName>
    <definedName name="wld_az1_rack7_host_overlay_pool_start_ip">'Value Reference Tables - MR'!$AA$153</definedName>
    <definedName name="input_cbr_vm_folder">'Cloud-Based Ransomware Recovery'!$D$17</definedName>
    <definedName name="sizing_w08_chosen">'Management Domain Sizing'!$C$43</definedName>
    <definedName name="input_cluster_az2_host14_mgmt_ip">'Deploy Cluster'!$D$274</definedName>
    <definedName name="wld_az1_rack4_host7_mgmt_ip">'Value Reference Tables - MR'!$R$189</definedName>
    <definedName name="sample_wld_az1_rack5_host16_fqdn">'Additional Racks'!$C$348</definedName>
    <definedName name="input_mgmt_az1_en1_eth1_uplink1">'Configure Management Domain'!$D$114</definedName>
    <definedName name="input_mgmt_vrms_mgmt_ip">'Site Protection &amp; DR'!$D$113</definedName>
    <definedName name="input_wld_az1_rack7_mgmt_vm_mtu">'Value Reference Tables - MR'!$R$264</definedName>
    <definedName name="input_wld_az1_secondary_storage_network">'Deploy Workload Domain'!$D$103</definedName>
    <definedName name="input_wld_rack4_en_asn">Arkham!$I$73</definedName>
    <definedName name="wld_az1_rack2_uplink01_cidr">'Value Reference Tables - MR'!$L$30</definedName>
    <definedName name="mgmt_cl01_vds03_uplink_count">'Value Reference Tables'!$C$109</definedName>
    <definedName name="input_k8s_cluster_name">'Private AI Ready Infrastructure'!$D$46</definedName>
    <definedName name="input_cluster_az1_storage_cluster_mtu">'Deploy Cluster'!$D$75</definedName>
    <definedName name="wld_az1_rack4_vmotion_pool_end_ip">'Value Reference Tables - MR'!$R$150</definedName>
    <definedName name="region_vrli_virtual_hostname">'Value Reference Tables'!$R$63</definedName>
    <definedName name="input_wld_az1_host16_fqdn">'Deploy Workload Domain'!$D$135</definedName>
    <definedName name="sample_wld_az1_rack4_vmotion_vlan">'Additional Racks'!$C$222</definedName>
    <definedName name="sample_mgmt_az1_host5_vrms_ip">'Site Protection &amp; DR'!$C$180</definedName>
    <definedName name="input_mgmt_az2_vsan_network">'Configure Management Domain'!$D$262</definedName>
    <definedName name="input_wld_az1_rack2_mgmt_gateway_ip">'Additional Racks'!$D$10</definedName>
    <definedName name="input_k8s_tanzu_k8s_cluster_pod_pool_cidr">'Private AI Ready Infrastructure'!$D$72</definedName>
    <definedName name="sample_mgmt_az1_en2_eth1_uplink0">'Configure Management Domain'!$C$139</definedName>
    <definedName name="input_wld_az1_rack4_secondary_storage_mtu">'Dumping Ground'!$D$525</definedName>
    <definedName name="mgmt_az1_vmotion_pool_start_ip">'Value Reference Tables - MR'!$F$149</definedName>
    <definedName name="sizing_w09_avi_appliance_size">'Management Domain Sizing'!$S$44</definedName>
    <definedName name="sample_wld_az1_host3_vrms_ip">'Dumping Ground'!$C$295</definedName>
    <definedName name="input_wld_az1_rack8_edge_overlay_network">Arkham!$U$61</definedName>
    <definedName name="input_wld_az1_rack3_mgmt_vm_gateway_ip">'Value Reference Tables - MR'!$P$260</definedName>
    <definedName name="input_wld_az1_uplink01_mtu">'Configure Workload Domain'!$D$105</definedName>
    <definedName name="sample_cluster_az1_principal_storage_pg">'Deploy Cluster'!$C$215</definedName>
    <definedName name="sample_mgmt_nsxt_gm_fingerprint">'Configure Management Domain'!$C$501</definedName>
    <definedName name="sample_wld_az1_host12_vrms_ip">'Dumping Ground'!$C$304</definedName>
    <definedName name="sample_cluster_az2_vmotion_pool_start_ip">'Deploy Cluster'!$C$288</definedName>
    <definedName name="mgmt_az1_en2_edge_overlay_interface_ip_2_ip">'Value Reference Tables - MR'!$F$273</definedName>
    <definedName name="sample_mgmt_srm_recovery_nsx_ec_name">'Dumping Ground'!$C$60</definedName>
    <definedName name="wld_az1_rack6_host9_mgmt_ip">'Value Reference Tables - MR'!$X$191</definedName>
    <definedName name="sizing_w06_vcenter_appliance_size">'Management Domain Sizing'!$D$41</definedName>
    <definedName name="sample_wld_cl01_vds02_mtu">'Deploy Workload Domain'!$C$251</definedName>
    <definedName name="wld_az2_principal_storage_cidr">'Value Reference Tables - MR'!$I$296</definedName>
    <definedName name="mgmt_witness_vm_folder">'Value Reference Tables'!$C$209</definedName>
    <definedName name="wld_az1_rack4_edge_overlay_network">'Value Reference Tables - MR'!$R$47</definedName>
    <definedName name="wld_az1_rack5_edge_overlay_mtu">'Value Reference Tables - MR'!$U$78</definedName>
    <definedName name="cluster_az2_mgmt_vlan">'Value Reference Tables'!$I$201</definedName>
    <definedName name="sample_wld_az1_rack5_host4_mgmt_ip">'Additional Racks'!$C$296</definedName>
    <definedName name="navigation_nsx_routing_mgmt_domain">'Configure Management Domain'!$B$86</definedName>
    <definedName name="cluster_az1_vmotion_pool_end_ip">'Value Reference Tables'!$I$24</definedName>
    <definedName name="input_wld_az2_storage_cluster_pool_start_ip">'Configure Workload Domain'!$D$226</definedName>
    <definedName name="sample_gg_vra_cloud_assembly_admins_group">'Active Directory Inputs'!$D$95</definedName>
    <definedName name="sample_wld_az1_rack8_secondary_storage_network">'Dumping Ground'!$C$558</definedName>
    <definedName name="k8s_namepsace">'Value Reference Tables'!$O$89</definedName>
    <definedName name="input_wld_az1_rack7_uplink02_vlan">Arkham!$R$60</definedName>
    <definedName name="sample_wld_az1_rack8_vmotion_mtu">'Additional Racks'!$C$595</definedName>
    <definedName name="wld_az1_rack7_vmotion_mask">'Value Reference Tables - MR'!$AA$55</definedName>
    <definedName name="vcf_automation_internal_cidr_chosen">'Deploy Fleet Management Day-N'!$D$111</definedName>
    <definedName name="sample_wld_az1_rack8_host12_fqdn">'Additional Racks'!$C$623</definedName>
    <definedName name="flt_net_admin_username">'Value Reference Tables'!$L$272</definedName>
    <definedName name="flt_custom_network_ops_root_password">'Value Reference Tables'!$L$306</definedName>
    <definedName name="sample_cluster_witness_ntp1_server">'Deploy Cluster'!$C$365</definedName>
    <definedName name="input_cluster_az1_mgmt_vm_pg">'Deploy Cluster'!$D$205</definedName>
    <definedName name="sample_wld_az1_rack2_vmotion_mtu">'Additional Racks'!$C$37</definedName>
    <definedName name="mgmt_az2_host15_hostname">'Value Reference Tables - MR'!$F$464</definedName>
    <definedName name="input_wld_az1_rack7_host15_mgmt_ip">'Additional Racks'!$D$493</definedName>
    <definedName name="sample_wld_az1_rack5_host14_fqdn">'Additional Racks'!$C$346</definedName>
    <definedName name="cluster_az1_host10_mgmt_ip">'Value Reference Tables'!$I$62</definedName>
    <definedName name="flt_logs_admin_email">'Value Reference Tables'!$L$216</definedName>
    <definedName name="sample_ccm_hcx_compute_profile">'Cross Cloud Mobility'!$C$38</definedName>
    <definedName name="sample_wld_az1_rack2_host_mgmt_ips">'Additional Racks'!$C$14:$C$29</definedName>
    <definedName name="wld_az1_host15_hostname">'Value Reference Tables - MR'!$I$232</definedName>
    <definedName name="sample_wld_az1_rack6_host_overlay_network_profile_name">'Additional Racks'!$C$450</definedName>
    <definedName name="input_wld_az1_rack4_mgmt_vm_vlan">'Value Reference Tables - MR'!$L$261</definedName>
    <definedName name="input_wld_az1_rack7_vsan_fault_domain">'Additional Racks'!$D$551</definedName>
    <definedName name="input_wld_az2_storage_cluster_pool_end_ip">'Configure Workload Domain'!$D$227</definedName>
    <definedName name="sample_cluster_image_name">'Deploy Cluster'!$C$122</definedName>
    <definedName name="sample_mgmt_az2_host16_mgmt_ip">'Configure Management Domain'!$C$245</definedName>
    <definedName name="wld_srm_site_name">'Value Reference Tables'!$U$114</definedName>
    <definedName name="sample_wld_az1_rack2_edge_overlay_pool_start_ip">Arkham!$B$71</definedName>
    <definedName name="wld_az2_rtep_overlay_mask">'Value Reference Tables - MR'!$I$333</definedName>
    <definedName name="sample_mgmt_az1_host6_vrms_ip">'Site Protection &amp; DR'!$C$181</definedName>
    <definedName name="input_flt_vidb_bind_password">'Deploy Fleet Management Day-N'!$D$191</definedName>
    <definedName name="sample_cluster_az1_principal_storage_pool_end_ip">'Deploy Cluster'!$C$64</definedName>
    <definedName name="input_wld_az1_rack5_host6_fqdn">'Additional Racks'!$D$338</definedName>
    <definedName name="sample_mgmt_nsxt_mgrc_ip">'Deploy Management Domain'!$K$328</definedName>
    <definedName name="input_flt_custom_network_auto_admin_password">'Deploy Fleet Management Day-N'!$D$58</definedName>
    <definedName name="input_wld_az1_rack3_rtep_ip_pool_name">'Additional Racks'!$D$176</definedName>
    <definedName name="input_wld_az1_storage_cluster_mtu">'Deploy Workload Domain'!$D$110</definedName>
    <definedName name="sample_wld_az1_rack2_host3_mgmt_ip">'Additional Racks'!$C$16</definedName>
    <definedName name="wld_az1_rack4_host3_mgmt_ip">'Value Reference Tables - MR'!$R$185</definedName>
    <definedName name="sample_wld_az1_rack3_host9_fqdn">'Additional Racks'!$C$155</definedName>
    <definedName name="sample_wld_az1_rack4_principal_storage_cidr">Arkham!$B$29</definedName>
    <definedName name="input_wld_az1_rack5_vmotion_mask">'Additional Racks'!$D$318</definedName>
    <definedName name="sample_cbw_hcx_cdp_fqdn">'Cross Cloud Mobility'!$C$112</definedName>
    <definedName name="wld_az1_rack4_host8_hostname">'Value Reference Tables - MR'!$R$209</definedName>
    <definedName name="flt_vidb_global_catalog_chosen">'Deploy Fleet Management Day-N'!$D$181</definedName>
    <definedName name="sizing_w07_nsxt_appliance_size">'Management Domain Sizing'!$I$42</definedName>
    <definedName name="input_ccm_hcx_admin_password">'Cross Cloud Mobility'!$D$33</definedName>
    <definedName name="sample_mgmt_az2_host5_vrms_ip">'Site Protection &amp; DR'!$C$197</definedName>
    <definedName name="input_wld_bf_nsxt_admin_password">'Deploy Workload Domain'!$D$48</definedName>
    <definedName name="mgmt_az1_en2_eth1_uplink0">'Value Reference Tables'!$C$250</definedName>
    <definedName name="wld_az1_rack6_host10_mgmt_ip">'Value Reference Tables - MR'!$X$192</definedName>
    <definedName name="wld_az1_rack4_mgmt_mask">'Value Reference Tables - MR'!$R$179</definedName>
    <definedName name="mgmt_cl01_vds02_uplink2">'Value Reference Tables'!$C$101</definedName>
    <definedName name="wld_az1_rack7_uplink02_cidr">'Value Reference Tables - MR'!$AA$31</definedName>
    <definedName name="mgmt_az2_host_overlay_network_profile_name">'Value Reference Tables - MR'!$F$399</definedName>
    <definedName name="vs_dr_site_pair">'Site Protection &amp; DR'!$D$235</definedName>
    <definedName name="sample_cluster_vds03_mtu">'Deploy Cluster'!$C$190</definedName>
    <definedName name="sample_region_dns2_ip">'Deploy Management Domain'!$K$45</definedName>
    <definedName name="wld_az1_rack5_secondary_storage_network">'Value Reference Tables - MR'!$U$44</definedName>
    <definedName name="input_wld_az1_rack7_tor1_peer_bgp_password">Arkham!$R$79</definedName>
    <definedName name="sample_wld_nsxt_global_mgra_hostname">'Configure Workload Domain'!$C$361</definedName>
    <definedName name="vcf_automation_ou_cert">'Value Reference Tables'!$L$338</definedName>
    <definedName name="region_vrli_nodeb_ip">'Value Reference Tables'!$R$58</definedName>
    <definedName name="cluster_az2_host7_mgmt_ip">'Value Reference Tables'!$I$211</definedName>
    <definedName name="wld_az1_rack6_en1_mgmt_ip">'Value Reference Tables - MR'!$X$241</definedName>
    <definedName name="input_gg_vrslcm_content_developers_group">'Active Directory Inputs'!$E$56</definedName>
    <definedName name="wld_az1_rack8_secondary_storage_mask">'Value Reference Tables - MR'!$AD$58</definedName>
    <definedName name="flt_net_chosen">'Deploy Fleet Management Day-N'!$B$11</definedName>
    <definedName name="flt_vidb_chosen">'Deploy Fleet Management Day-N'!$B$9</definedName>
    <definedName name="sample_wld_az1_rack7_host_overlay_network_profile_name">'Additional Racks'!$C$543</definedName>
    <definedName name="mgmt_az1_host6_mgmt_ip">'Value Reference Tables - MR'!$F$188</definedName>
    <definedName name="input_wld_az1_rack2_principal_storage_vlan">'Additional Racks'!$D$44</definedName>
    <definedName name="mgmt_az1_vsan_cidr">'Value Reference Tables - MR'!$F$26</definedName>
    <definedName name="sample_child_svc_vsphere_ad_password">'Active Directory Inputs'!$F$18</definedName>
    <definedName name="input_cbr_vcdr_site_name">'Cloud-Based Ransomware Recovery'!$D$29</definedName>
    <definedName name="wld_az1_rack4_host_overlay_pool_start_ip">'Value Reference Tables - MR'!$R$153</definedName>
    <definedName name="sample_mgmt_cl01_vds01_name">'Deploy Management Domain'!$K$188</definedName>
    <definedName name="wld_az1_host_overlay_vlan">'Value Reference Tables - MR'!$I$12</definedName>
    <definedName name="sample_flt_net_prxy_gateway_ip">'Deploy Fleet Management Day-N'!$C$356</definedName>
    <definedName name="wld_cl01_vsan_client_network">'Deploy Workload Domain'!$D$202</definedName>
    <definedName name="input_wld_az1_secondary_storage_gateway_ip">'Deploy Workload Domain'!$D$105</definedName>
    <definedName name="sample_air_GPU_network_operator_namespace">'Private AI Ready Infrastructure'!$C$82</definedName>
    <definedName name="input_mgmt_sddc_domain">'Deploy Management Domain'!$L$39</definedName>
    <definedName name="sftp_server_ip">'Value Reference Tables'!$L$60</definedName>
    <definedName name="sample_wld_az1_rack7_vmotion_cidr">Arkham!$B$40</definedName>
    <definedName name="input_wld_az1_rack8_host12_mgmt_ip">'Additional Racks'!$D$583</definedName>
    <definedName name="input_wld_az1_rack2_principal_storage_pool_start_ip">'Additional Racks'!$D$49</definedName>
    <definedName name="sample_mgmt_user_edge_rp">'Deploy Management Domain'!$K$352</definedName>
    <definedName name="sample_wld_nsxt_global_mgrc_ip">'Configure Workload Domain'!$C$405</definedName>
    <definedName name="flt_net_integrate_auth_chosen">'Deploy Fleet Management Day-N'!$D$335</definedName>
    <definedName name="cluster_az2_host16_mgmt_ip">'Value Reference Tables'!$I$220</definedName>
    <definedName name="sample_wld_az1_rack6_vmotion_pool_end_ip">'Additional Racks'!$C$414</definedName>
    <definedName name="air_GPU_network_operator_namespace">'Value Reference Tables'!$U$47</definedName>
    <definedName name="vcf_automation_mask">'Value Reference Tables'!$L$351</definedName>
    <definedName name="input_air_GPU_VM_class">'Private AI Ready Infrastructure'!$D$59</definedName>
    <definedName name="wld_rack6_en_asn">'Value Reference Tables - MR'!$X$100</definedName>
    <definedName name="cluster_az1_principal_storage_mask">'Value Reference Tables'!$I$29</definedName>
    <definedName name="cluster_az1_host4_fqdn">'Value Reference Tables'!$I$74</definedName>
    <definedName name="mgmt_az1_vrms_cidr">'Value Reference Tables - MR'!$F$34</definedName>
    <definedName name="input_svc_my_vmware_password">'Deploy Management Domain'!$L$12</definedName>
    <definedName name="sample_flt_vidb_vip_ip">'Deploy Fleet Management Day-N'!$C$138</definedName>
    <definedName name="input_wld_az1_rack8_uplink02_network">Arkham!$U$60</definedName>
    <definedName name="wld_az1_rack7_vsan_fault_domain">'Value Reference Tables - MR'!$AA$174</definedName>
    <definedName name="cbr_recovery_sddc_name">'Value Reference Tables'!$U$131</definedName>
    <definedName name="wld_az1_rack4_host13_hostname">'Value Reference Tables - MR'!$R$214</definedName>
    <definedName name="sample_cluster_witness_mgmt_pg">'Deploy Cluster'!$C$355</definedName>
    <definedName name="group_gg_nsx_network_admins">'Value Reference Tables'!$L$159</definedName>
    <definedName name="wld_vrms_hostname">'Value Reference Tables'!$R$119</definedName>
    <definedName name="mgmt_az2_vsan_gateway_ip">'Value Reference Tables - MR'!$F$337</definedName>
    <definedName name="input_flt_vidb_cert_state">'Deploy Fleet Management Day-N'!$D$135</definedName>
    <definedName name="wld_az1_rack7_host10_fqdn">'Value Reference Tables - MR'!$AA$230</definedName>
    <definedName name="mgmt_az1_host7_hostname">'Value Reference Tables - MR'!$F$224</definedName>
    <definedName name="wld_az1_rack8_host_fqdns">'Value Reference Tables - MR'!$AD$221:$AD$236</definedName>
    <definedName name="sample_wld_nsxt_en_root_password">'Configure Workload Domain'!$C$92</definedName>
    <definedName name="sample_cluster_az2_secondary_storage_gateway_ip">'Deploy Cluster'!$C$303</definedName>
    <definedName name="sample_wld_az1_rack3_host10_mgmt_ip">'Additional Racks'!$C$116</definedName>
    <definedName name="wld_az1_rack4_host_overlay_mtu">'Value Reference Tables - MR'!$R$73</definedName>
    <definedName name="input_cluster_az2_host16_mgmt_ip">'Deploy Cluster'!$D$276</definedName>
    <definedName name="sample_wld_az1_rack2_host_hostnames">'Additional Racks'!$C$54:$C$69</definedName>
    <definedName name="wld_signed_certs_result">'Configure Workload Domain'!$D$11</definedName>
    <definedName name="sample_wld_az1_pool_name">'Deploy Workload Domain'!$C$83</definedName>
    <definedName name="sample_wld_az1_vmotion_mtu">'Deploy Workload Domain'!$C$86</definedName>
    <definedName name="input_wld_az1_rack6_mgmt_vm_mtu">'Value Reference Tables - MR'!$R$263</definedName>
    <definedName name="wld_az1_rack3_edge_overlay_vlan">'Value Reference Tables - MR'!$O$17</definedName>
    <definedName name="xreg_vrops_nodea_fqdn">'Value Reference Tables'!$R$94</definedName>
    <definedName name="input_flt_vidb_user_name">'Deploy Fleet Management Day-N'!$D$194</definedName>
    <definedName name="cluster_witness_vsan_datastore">'Value Reference Tables'!$I$268</definedName>
    <definedName name="input_wld_az1_rack3_uplink02_mtu">Arkham!$F$69</definedName>
    <definedName name="input_cluster_az2_principal_storage_gateway_ip">'Deploy Cluster'!$D$295</definedName>
    <definedName name="sample_wld_az1_en1_edge_overlay_interface_ip_1_ip">'Configure Workload Domain'!$C$63</definedName>
    <definedName name="sample_mgmt_witnessaz_mgmt_mtu">'Configure Management Domain'!$C$308</definedName>
    <definedName name="vcf_automation_root_password_description">'Value Reference Tables'!$L$360</definedName>
    <definedName name="sample_mgmt_az1_mgmt_gateway_ip">'Deploy Management Domain'!$K$149</definedName>
    <definedName name="wld_az1_rack8_uplink02_pg">'Value Reference Tables - MR'!$AD$115</definedName>
    <definedName name="cluster_az1_nsx_uplink1_active">'Value Reference Tables'!$I$173</definedName>
    <definedName name="input_vcf_automation_nodeb_ip">'Deploy Fleet Management Day-N'!$D$114</definedName>
    <definedName name="mgmt_az1_tor2_peer_ip">'Value Reference Tables - MR'!$F$104</definedName>
    <definedName name="sample_wld_az2_host5_mgmt_ip">'Configure Workload Domain'!$C$178</definedName>
    <definedName name="sample_wld_az1_rack3_mgmt_vlan">'Additional Racks'!$C$102</definedName>
    <definedName name="sample_wld_az1_secondary_storage_gateway_ip">'Deploy Workload Domain'!$C$105</definedName>
    <definedName name="vvs_dr_flt_logs_nodea_fqdn">'Value Reference Tables'!$O$101</definedName>
    <definedName name="sizing_w20_avi_appliance_size">'Management Domain Sizing'!$S$55</definedName>
    <definedName name="sample_wld_az1_rack4_secondary_storage_pool_start_ip">'Dumping Ground'!$C$529</definedName>
    <definedName name="input_mgmt_nsxt_federation_location_name">'Configure Management Domain'!$D$512</definedName>
    <definedName name="sample_wld_az1_rack2_host2_mgmt_ip">'Additional Racks'!$C$15</definedName>
    <definedName name="flt_net_prxy_portgroup">'Value Reference Tables'!$L$278</definedName>
    <definedName name="sample_flt_vidb_nodea_ip">'Deploy Fleet Management Day-N'!$C$170</definedName>
    <definedName name="wld_az2_secondary_storage_network">'Value Reference Tables - MR'!$I$313</definedName>
    <definedName name="input_cluster_az1_principal_storage_mtu">'Deploy Cluster'!$D$59</definedName>
    <definedName name="sample_flt_net_folder">'Deploy Fleet Management Day-N'!$C$314</definedName>
    <definedName name="input_flt_custom_network_auto_nodee_ip">Arkham!$Q$11</definedName>
    <definedName name="wld_az1_rack3_vrms_cidr">'Value Reference Tables - MR'!$O$34</definedName>
    <definedName name="wld_az1_rack8_uplink01_pg">'Value Reference Tables - MR'!$AD$114</definedName>
    <definedName name="sample_mgmt_az2_vmotion_mtu">'Configure Management Domain'!$C$253</definedName>
    <definedName name="sizing_w17_vcenter_appliance_size">'Management Domain Sizing'!$D$52</definedName>
    <definedName name="sample_wld_az1_rack2_host6_fqdn">'Additional Racks'!$C$59</definedName>
    <definedName name="wld_az1_mgmt_mask">'Value Reference Tables - MR'!$I$54</definedName>
    <definedName name="mgmt_az1_tor1_peer_ip">'Value Reference Tables - MR'!$F$101</definedName>
    <definedName name="cluster_az2_host3_fqdn">'Value Reference Tables'!$I$294</definedName>
    <definedName name="wld_az2_host4_mgmt_ip">'Value Reference Tables - MR'!$I$426</definedName>
    <definedName name="sample_vcf_automation_nodee_ip">Arkham!$P$14</definedName>
    <definedName name="input_mgmt_az1_tor2_peer_asn">'Configure Management Domain'!$D$170</definedName>
    <definedName name="input_wld_nsxt_federation_location_name">'Configure Workload Domain'!$D$493</definedName>
    <definedName name="sample_cluster_az1_mgmt_mtu">'Deploy Cluster'!$C$27</definedName>
    <definedName name="flt_lc_fqdn">Arkham!$R$28</definedName>
    <definedName name="wld_az1_mgmt_gateway_ip">'Value Reference Tables - MR'!$I$86</definedName>
    <definedName name="table_vcfopsnet_collector_cpu">'Static Reference Tables'!$B$218:$C$222</definedName>
    <definedName name="input_mgmt_nsxt_mgrc_fqdn">'Deploy Management Domain'!$L$107</definedName>
    <definedName name="sample_wld_cl01_nfs_datastore_name">'Deploy Workload Domain'!$C$206</definedName>
    <definedName name="wld_az1_rack4_host4_fqdn">'Value Reference Tables - MR'!$R$224</definedName>
    <definedName name="input_ca_administrator_username">'Configure Management Domain'!$D$34</definedName>
    <definedName name="wld_az1_rack8_tor1_peer_ip">'Value Reference Tables - MR'!$AD$101</definedName>
    <definedName name="wld_az1_rack8_mgmt_vm_pg">'Value Reference Tables - MR'!$AD$110</definedName>
    <definedName name="sample_wld_cl01_cluster_sddc_id">'Configure Workload Domain'!$C$332</definedName>
    <definedName name="input_wld_az1_rack6_mgmt_cidr">'Additional Racks'!$D$383</definedName>
    <definedName name="mgmt_user_edge_rp">'Value Reference Tables'!$C$81</definedName>
    <definedName name="cluster_host_overlay_addressing_chosen">'Deploy Cluster'!$D$232</definedName>
    <definedName name="input_vvs_dr_parent_dns_zone">'Site Protection &amp; DR'!$D$17</definedName>
    <definedName name="flt_vidb_bind_username">'Value Reference Tables'!$C$178</definedName>
    <definedName name="wld_az1_rack8_host16_mgmt_ip">'Value Reference Tables - MR'!$AD$198</definedName>
    <definedName name="sample_flt_logs_admin_password_alias">'Deploy Fleet Management Day-N'!$C$250</definedName>
    <definedName name="wld_az1_rack5_vmotion_pg">'Value Reference Tables - MR'!$U$112</definedName>
    <definedName name="sample_wld_az1_rack4_edge_overlay_network">Arkham!$H$61</definedName>
    <definedName name="sample_gg_vcf_operators_group">'Active Directory Inputs'!$D$65</definedName>
    <definedName name="input_mgmt_en_asn">'Configure Management Domain'!$D$156</definedName>
    <definedName name="wld_az1_rack8_mgmt_vm_mtu">'Value Reference Tables - MR'!$AD$69</definedName>
    <definedName name="sample_wld_az1_en1_fqdn">'Configure Workload Domain'!$C$42</definedName>
    <definedName name="sample_wld_az1_rack4_vmotion_network">'Additional Racks'!$C$224</definedName>
    <definedName name="sample_wld_az1_rack7_principal_storage_mask">'Additional Racks'!$C$512</definedName>
    <definedName name="input_mgmt_srm_recovery_datastore">'Site Protection &amp; DR'!$D$252</definedName>
    <definedName name="sample_flt_vidb_password_description">'Deploy Fleet Management Day-N'!$C$161</definedName>
    <definedName name="sample_wld_az2_host4_sddc_id">'Configure Workload Domain'!$C$306</definedName>
    <definedName name="input_wld_vrms_site_name">'Dumping Ground'!$D$72</definedName>
    <definedName name="group_gg_vra_cloud_assembly_users">'Value Reference Tables'!$L$147</definedName>
    <definedName name="input_wld_az1_tor1_peer_asn">'Configure Workload Domain'!$D$106</definedName>
    <definedName name="input_wld_az1_rack8_host6_mgmt_ip">'Additional Racks'!$D$577</definedName>
    <definedName name="sample_cluster_az2_principal_storage_mtu">'Deploy Cluster'!$C$292</definedName>
    <definedName name="sample_wld_existing_cross_instance_t0_name">'Configure Workload Domain'!$C$513</definedName>
    <definedName name="sample_wld_az1_rack8_host_overlay_cidr">Arkham!$B$47</definedName>
    <definedName name="sample_wld_az1_rack7_mgmt_vm_mtu">'Value Reference Tables - MR'!$Q$264</definedName>
    <definedName name="sizing_w15_spr_chosen">'Management Domain Sizing'!$P$50</definedName>
    <definedName name="sample_wld_cl01_vsan_datastore">'Deploy Workload Domain'!$C$201</definedName>
    <definedName name="mgmt_az1_host15_vrms_ip">'Value Reference Tables - MR'!$F$213</definedName>
    <definedName name="mgmt_srm_site_name">'Value Reference Tables'!$U$77</definedName>
    <definedName name="wld_ec01_host_group_affinity_rule_chosen">'Configure Workload Domain'!$D$45</definedName>
    <definedName name="wld_sso_domain_administrator">'Value Reference Tables'!$F$146</definedName>
    <definedName name="mgmt_cl01_az1_nfs_pg">'Value Reference Tables - MR'!$F$120</definedName>
    <definedName name="sample_flt_net_nodea_fqdn">'Deploy Fleet Management Day-N'!$C$302</definedName>
    <definedName name="wld_nsxt_mgrc_hostname">'Value Reference Tables'!$F$34</definedName>
    <definedName name="sample_vcf_automation_ou_cert">'Deploy Fleet Management Day-N'!$C$72</definedName>
    <definedName name="input_vcf_instance_name">'Deploy Management Domain'!$L$38</definedName>
    <definedName name="wld_avilb_cluster_version">'Value Reference Tables'!$O$74</definedName>
    <definedName name="wld_az1_rack6_host_overlay_pool_start_ip">'Value Reference Tables - MR'!$X$153</definedName>
    <definedName name="sample_wld_az1_rack5_host14_mgmt_ip">'Additional Racks'!$C$306</definedName>
    <definedName name="wld_az1_rack5_host1_fqdn">'Value Reference Tables - MR'!$U$221</definedName>
    <definedName name="input_cluster_az2_host16_fqdn">'Deploy Cluster'!$D$332</definedName>
    <definedName name="sizing_w18_gm_chosen">'Management Domain Sizing'!$L$53</definedName>
    <definedName name="wld_az1_rack6_principal_storage_mask">'Value Reference Tables - MR'!$X$56</definedName>
    <definedName name="flt_custom_network_local_reg_pg">'Value Reference Tables'!$L$325</definedName>
    <definedName name="wld_az1_rack7_uplink02_network">'Value Reference Tables - MR'!$AA$46</definedName>
    <definedName name="input_wld_az1_rack3_mgmt_vm_cidr">'Value Reference Tables - MR'!$N$260</definedName>
    <definedName name="child_svc_vsphere_ad_user">'Value Reference Tables'!$L$126</definedName>
    <definedName name="wld_cl01_az1_vsan_lbt_chosen">'Deploy Workload Domain'!$D$288</definedName>
    <definedName name="sample_mgmt_az1_secondary_storage_cidr">'Deploy Management Domain'!$K$175</definedName>
    <definedName name="input_ccm_aws_subnet">'Cross Cloud Mobility'!$D$25</definedName>
    <definedName name="mgmt_az2_host_hostnames">'Value Reference Tables - MR'!$F$450:$F$465</definedName>
    <definedName name="sample_cbr_firewall_ip_addresses">'Cloud-Based Ransomware Recovery'!$C$27</definedName>
    <definedName name="sample_sddc_mgr_vcf_password">'Deploy Management Domain'!$K$268</definedName>
    <definedName name="input_wld_az1_rack2_vmotion_vlan">'Additional Racks'!$D$36</definedName>
    <definedName name="input_wld_az2_vmotion_mask">'Configure Workload Domain'!$D$200</definedName>
    <definedName name="input_wld_az1_mgmt_vm_cidr">'Deploy Workload Domain'!$D$348</definedName>
    <definedName name="sample_wld_az1_rack2_edge_overlay_network_pool_name">'Additional Racks'!$C$82</definedName>
    <definedName name="mgmt_az1_host3_mgmt_ip">'Value Reference Tables - MR'!$F$185</definedName>
    <definedName name="input_wld_az1_rack3_tor1_peer_asn">Arkham!$F$75</definedName>
    <definedName name="input_wld_az1_rack5_host_overlay_pool_end_ip">'Additional Racks'!$D$376</definedName>
    <definedName name="mgmt_az1_mgmt_vm_mask">'Value Reference Tables - MR'!$F$53</definedName>
    <definedName name="sample_wld_az1_en2_mgmt_cidr">'Configure Workload Domain'!$C$76</definedName>
    <definedName name="mgmt_cl01_vds03_pnics">'Value Reference Tables'!$C$107:$C$108</definedName>
    <definedName name="sample_vvs_dr_vr_password">'Site Protection &amp; DR'!$C$135</definedName>
    <definedName name="local_admin_username">'Value Reference Tables'!$AA$22</definedName>
    <definedName name="input_wld_az2_host_overlay_uplink_profile_name">'Configure Workload Domain'!$D$322</definedName>
    <definedName name="input_wld_az1_rack5_tor2_peer_bgp_password">Arkham!$L$79</definedName>
    <definedName name="sample_flt_logs_folder">'Deploy Fleet Management Day-N'!$C$236</definedName>
    <definedName name="wld_az1_rack5_host12_mgmt_ip">'Value Reference Tables - MR'!$U$194</definedName>
    <definedName name="sample_mgmt_az2_mgmt_vlan">'Configure Management Domain'!$C$225</definedName>
    <definedName name="input_mgmt_nsxt_mgrb_ip">'Deploy Management Domain'!$L$327</definedName>
    <definedName name="input_mgmt_nsxt_gm_vip_fqdn">'Configure Management Domain'!$D$450</definedName>
    <definedName name="input_wld_az1_rack5_secondary_storage_network">'Dumping Ground'!$D$534</definedName>
    <definedName name="input_wld_az2_host12_mgmt_ip">'Configure Workload Domain'!$D$185</definedName>
    <definedName name="sample_wld_rwr_vc_fqdn">'On-Premises Ransomware Recovery'!$C$42</definedName>
    <definedName name="prefix_reg_cidr">'Value Reference Tables'!$AA$68</definedName>
    <definedName name="sample_mgmt_vrms_pg">'Site Protection &amp; DR'!$C$162</definedName>
    <definedName name="dri_vcenter_cluster">'Value Reference Tables'!$U$11</definedName>
    <definedName name="input_mgmt_az1_uplink01_vlan">'Configure Management Domain'!$D$158</definedName>
    <definedName name="mgmt_srm_root_password">'Value Reference Tables'!$U$74</definedName>
    <definedName name="input_wld_witnessaz_mgmt_mtu">'Configure Workload Domain'!$D$260</definedName>
    <definedName name="dri_load_balancer_ge">'Value Reference Tables'!$U$22</definedName>
    <definedName name="sample_wld_az1_host6_mgmt_ip">'Deploy Workload Domain'!$C$68</definedName>
    <definedName name="cluster_az1_host10_fqdn">'Value Reference Tables'!$I$80</definedName>
    <definedName name="sample_mgmt_cl01_vds02_uplink2">'Deploy Management Domain'!$K$208</definedName>
    <definedName name="wld_az1_rack3_edge_overlay_pool_end_ip">'Value Reference Tables - MR'!$O$160</definedName>
    <definedName name="input_wld_az1_rack4_host_overlay_network">'Additional Racks'!$D$279</definedName>
    <definedName name="input_flt_net_prxy_ip">'Deploy Fleet Management Day-N'!$D$309</definedName>
    <definedName name="input_mgmt_vrms_root_password">'Dumping Ground'!$D$29</definedName>
    <definedName name="mgmt_az2_host1_sddc_id">'Value Reference Tables'!$C$197</definedName>
    <definedName name="sample_wld_nsxt_vip_fqdn">'Deploy Workload Domain'!$C$181</definedName>
    <definedName name="input_mgmt_az1_host9_vrms_ip">'Site Protection &amp; DR'!$D$184</definedName>
    <definedName name="sample_svc_ila_ad_password">'Active Directory Inputs'!$F$24</definedName>
    <definedName name="mgmt_az2_host2_mgmt_ip">'Value Reference Tables - MR'!$F$416</definedName>
    <definedName name="cluster_az2_storage_cluster_gateway_ip">'Value Reference Tables'!$I$254</definedName>
    <definedName name="sample_wld_az1_rack2_tor2_peer_bgp_password">Arkham!$B$79</definedName>
    <definedName name="sample_wld_az1_rack5_tor1_peer_bgp_password">Arkham!$K$76</definedName>
    <definedName name="mgmt_az2_host4_vrms_ip">'Value Reference Tables - MR'!$F$434</definedName>
    <definedName name="sample_wld_az1_host5_vrms_ip">'Dumping Ground'!$C$297</definedName>
    <definedName name="air_license">'Value Reference Tables'!$U$44</definedName>
    <definedName name="mgmt_az2_host16_hostname">'Value Reference Tables - MR'!$F$465</definedName>
    <definedName name="sample_wld_az2_host16_fqdn">'Configure Workload Domain'!$C$247</definedName>
    <definedName name="wld_az1_rack8_vmotion_mtu">'Value Reference Tables - MR'!$AD$71</definedName>
    <definedName name="wld_az1_rack6_host14_fqdn">'Value Reference Tables - MR'!$X$234</definedName>
    <definedName name="input_wld_az1_rack5_edge_overlay_gateway_ip">Arkham!$L$64</definedName>
    <definedName name="wld_az1_rack3_uplink01_pg">'Value Reference Tables - MR'!$O$114</definedName>
    <definedName name="input_mgmt_cl01_vds01_lag_name">'Deploy Management Domain'!$L$191</definedName>
    <definedName name="input_mgmt_nsxt_mgra_fqdn">'Deploy Management Domain'!$L$105</definedName>
    <definedName name="input_flt_logs_cluster">'Deploy Fleet Management Day-N'!$D$235</definedName>
    <definedName name="wld_az1_rack7_en2_hostname">'Value Reference Tables - MR'!$AA$249</definedName>
    <definedName name="sample_mgmt_az1_host7_fqdn">'Deploy Management Domain'!$K$134</definedName>
    <definedName name="input_wld_az1_rack6_uplink01_vlan">Arkham!$O$56</definedName>
    <definedName name="sample_wld_az1_tor1_peer_asn">'Configure Workload Domain'!$C$106</definedName>
    <definedName name="sample_wld_az1_host16_fqdn">'Deploy Workload Domain'!$C$135</definedName>
    <definedName name="sample_wld_az1_rack4_secondary_storage_mtu">'Dumping Ground'!$C$525</definedName>
    <definedName name="sample_wld_az1_rack2_uplink02_mtu">Arkham!$B$69</definedName>
    <definedName name="cluster_vds03_name">'Value Reference Tables'!$I$120</definedName>
    <definedName name="input_region_ad_child_netbios">'Active Directory Inputs'!$G$9</definedName>
    <definedName name="flt_vidb_folder">'Value Reference Tables'!$C$157</definedName>
    <definedName name="sample_gg_vra_cloud_assembly_viewers_group">'Active Directory Inputs'!$D$97</definedName>
    <definedName name="sizing_w11_vcenter_storage_size">'Management Domain Sizing'!$F$46</definedName>
    <definedName name="wld_az1_rack3_host_overlay_pool_end_ip">'Value Reference Tables - MR'!$O$154</definedName>
    <definedName name="sizing_w07_gm_chosen">'Management Domain Sizing'!$L$42</definedName>
    <definedName name="sample_mgmt_cl01_az1_vmotion_pg">'Deploy Management Domain'!$K$231</definedName>
    <definedName name="wld_rwr_az1_vrms_gateway_ip">'Value Reference Tables'!$U$206</definedName>
    <definedName name="wld_az1_rack2_host10_hostname">'Value Reference Tables - MR'!$L$211</definedName>
    <definedName name="cluster_az2_host14_fqdn">'Value Reference Tables'!$I$305</definedName>
    <definedName name="sample_wld_az1_rack7_secondary_storage_network">'Dumping Ground'!$C$550</definedName>
    <definedName name="input_wld_bf_nsxt_mgrb_fqdn">'Deploy Workload Domain'!$D$42</definedName>
    <definedName name="cluster_az2_tor2_peer_ip">'Value Reference Tables'!$I$311</definedName>
    <definedName name="sizing_w11_avi_appliance_size">'Management Domain Sizing'!$S$46</definedName>
    <definedName name="sample_mgmt_az1_host12_vrms_ip">'Site Protection &amp; DR'!$C$187</definedName>
    <definedName name="wld_az1_en2_eth1_uplink0">'Value Reference Tables'!$C$259</definedName>
    <definedName name="sample_svc_vra_vsphere_user">'Active Directory Inputs'!$D$37</definedName>
    <definedName name="wld_az1_rack8_uplink01_cidr">'Value Reference Tables - MR'!$AD$30</definedName>
    <definedName name="sample_cluster_vds02_pnics">'Deploy Cluster'!$C$186</definedName>
    <definedName name="wld_az1_rack6_en1_uplink01_interface_ip">'Value Reference Tables - MR'!$X$242</definedName>
    <definedName name="input_mgmt_witnessaz_mgmt_vlan">'Configure Management Domain'!$D$305</definedName>
    <definedName name="input_wld_az1_rack6_mgmt_vm_gateway_ip">'Value Reference Tables - MR'!$P$263</definedName>
    <definedName name="sizing_w17_spr_chosen">'Management Domain Sizing'!$P$52</definedName>
    <definedName name="wld_nsxt_mgrb_fqdn">'Value Reference Tables'!$F$46</definedName>
    <definedName name="cluster_az1_host3_fqdn">'Value Reference Tables'!$I$73</definedName>
    <definedName name="mgmt_az1_vsan_vlan">'Value Reference Tables - MR'!$F$11</definedName>
    <definedName name="wld_az1_rack2_mgmt_cidr">'Value Reference Tables - MR'!$L$24</definedName>
    <definedName name="wld_existing_cross_instance_t0_name">'Value Reference Tables'!$O$86</definedName>
    <definedName name="sample_mgmt_avilb_fqdn">'Configure Management Domain'!$C$217</definedName>
    <definedName name="input_mgmt_az2_vmotion_mtu">'Configure Management Domain'!$D$253</definedName>
    <definedName name="wld_az1_rack4_host2_mgmt_ip">'Value Reference Tables - MR'!$R$184</definedName>
    <definedName name="mgmt_az2_tor1_peer_asn">'Value Reference Tables - MR'!$F$364</definedName>
    <definedName name="wld_cl01_supervisor_nsx_project">'Value Reference Tables'!$F$183</definedName>
    <definedName name="input_wld_az1_rack3_uplink02_network">Arkham!$F$60</definedName>
    <definedName name="wld_az1_rack8_en1_edge_overlay_interface_ip_2_ip">'Value Reference Tables - MR'!$AD$245</definedName>
    <definedName name="sample_cluster_nsx_vlan_transport_zone_name">'Deploy Cluster'!$C$240</definedName>
    <definedName name="input_mgmt_az2_host2_vrms_ip">'Site Protection &amp; DR'!$D$194</definedName>
    <definedName name="cluster_az2_host2_mgmt_ip">'Value Reference Tables'!$I$206</definedName>
    <definedName name="mgmt_cl01_az1_vsan_uplink1_chosen">'Deploy Management Domain'!$L$238</definedName>
    <definedName name="sample_wld_az1_rack6_uplink01_mtu">Arkham!$N$68</definedName>
    <definedName name="sizing_cbr_cpu">'Static Reference Tables'!$C$236</definedName>
    <definedName name="vcf_pnp_result_include">'Static Reference Tables'!$E$7:$E$8</definedName>
    <definedName name="sample_wld_vrms_admin_password">'Dumping Ground'!$C$71</definedName>
    <definedName name="input_wld_az2_host6_fqdn">'Configure Workload Domain'!$D$237</definedName>
    <definedName name="input_mgmt_az1_tor1_peer_bgp_password">'Configure Management Domain'!$D$164</definedName>
    <definedName name="input_wld_rwr_az1_vrms_gateway_ip">'On-Premises Ransomware Recovery'!$D$99</definedName>
    <definedName name="input_wld_az1_rack3_uplink02_vlan">Arkham!$F$57</definedName>
    <definedName name="sample_wld_az1_rack4_principal_storage_pool_end_ip">'Additional Racks'!$C$236</definedName>
    <definedName name="group_gg_vra_cloud_assembly_viewers">'Value Reference Tables'!$L$148</definedName>
    <definedName name="input_wld_az1_rack6_vmotion_pool_end_ip">'Additional Racks'!$D$414</definedName>
    <definedName name="sample_wld_az2_host4_vrms_ip">'Dumping Ground'!$C$313</definedName>
    <definedName name="input_wld_az1_rack5_secondary_storage_vlan">'Dumping Ground'!$D$532</definedName>
    <definedName name="sample_wld_az1_rack7_host3_mgmt_ip">'Additional Racks'!$C$481</definedName>
    <definedName name="sample_flt_net_console_password">'Deploy Fleet Management Day-N'!$C$339</definedName>
    <definedName name="wld_az1_rack4_mgmt_pg">'Value Reference Tables - MR'!$R$111</definedName>
    <definedName name="sample_wld_az1_rack5_host12_mgmt_ip">'Additional Racks'!$C$304</definedName>
    <definedName name="sample_wld_az1_rack5_principal_storage_gateway_ip">'Additional Racks'!$C$327</definedName>
    <definedName name="local_vcf_aware_wsa_root_password_username">'Value Reference Tables'!$AA$28</definedName>
    <definedName name="wld_vlr_fqdn">'Value Reference Tables'!$U$194</definedName>
    <definedName name="sample_gg_vrni_member_group">'Active Directory Inputs'!$D$90</definedName>
    <definedName name="input_wld_az1_rack6_host1_mgmt_ip">'Additional Racks'!$D$386</definedName>
    <definedName name="sample_wld_az1_rack2_rtep_ip_pool_name">'Additional Racks'!$C$83</definedName>
    <definedName name="input_child_ad_groups_ou">'Active Directory Inputs'!$E$11</definedName>
    <definedName name="cluster_witness_dns2_ip">'Value Reference Tables'!$I$276</definedName>
    <definedName name="deployment_type_vvf">'Static Reference Tables'!$E$22:$E$24</definedName>
    <definedName name="input_xreg_vra_nodea_ip">'Deploy Management Domain'!$L$80</definedName>
    <definedName name="sample_ca_email_address">'Configure Management Domain'!$C$64</definedName>
    <definedName name="sample_wld_az1_host8_mgmt_ip">'Deploy Workload Domain'!$C$70</definedName>
    <definedName name="wld_az1_rack4_principal_storage_cidr">'Value Reference Tables - MR'!$R$26</definedName>
    <definedName name="mgmt_az2_host10_vrms_ip">'Value Reference Tables - MR'!$F$440</definedName>
    <definedName name="input_wld_az1_rack6_host5_fqdn">'Additional Racks'!$D$430</definedName>
    <definedName name="mgmt_srm_recovery_vcenter_username">'Value Reference Tables'!$U$91</definedName>
    <definedName name="wld_az1_rack6_host1_mgmt_ip">'Value Reference Tables - MR'!$X$183</definedName>
    <definedName name="wld_az1_rack6_principal_storage_vlan">'Value Reference Tables - MR'!$X$11</definedName>
    <definedName name="sample_mgmt_az2_host4_vrms_ip">'Site Protection &amp; DR'!$C$196</definedName>
    <definedName name="sizing_w09_chosen">'Management Domain Sizing'!$C$44</definedName>
    <definedName name="sample_wld_az1_principal_storage_pool_end_ip">'Deploy Workload Domain'!$C$99</definedName>
    <definedName name="input_vvs_dr_flt_ops_nodeb_fqdn">'Site Protection &amp; DR'!$D$33</definedName>
    <definedName name="sample_flt_net_node_gateway_ip">'Deploy Fleet Management Day-N'!$C$325</definedName>
    <definedName name="input_mgmt_az2_host1_fqdn">'Configure Management Domain'!$D$279</definedName>
    <definedName name="cluster_stretched_cluster_chosen">'Deploy Cluster'!$B$14</definedName>
    <definedName name="sample_wld_vlr_hostname">'On-Premises Ransomware Recovery'!$C$11</definedName>
    <definedName name="sample_wld_az2_vmotion_mask">'Configure Workload Domain'!$C$200</definedName>
    <definedName name="input_ca_key_size">'Configure Management Domain'!$D$65</definedName>
    <definedName name="sample_wld_az2_host11_mgmt_ip">'Configure Workload Domain'!$C$184</definedName>
    <definedName name="input_cluster_az1_host_overlay_pool_end_ip">'Deploy Cluster'!$D$238</definedName>
    <definedName name="sample_wld_az1_rack8_host13_fqdn">'Additional Racks'!$C$624</definedName>
    <definedName name="sample_vcf_automation_admin_password_alias">'Deploy Fleet Management Day-N'!$C$96</definedName>
    <definedName name="wld_az1_rack8_principal_storage_network">'Value Reference Tables - MR'!$AD$41</definedName>
    <definedName name="input_ccm_hcx_root_password">'Cross Cloud Mobility'!$D$34</definedName>
    <definedName name="input_mgmt_az2_host2_sddc_id">'Configure Management Domain'!$D$346</definedName>
    <definedName name="wld_nsxt_lm_audit_password">'Value Reference Tables'!$F$149</definedName>
    <definedName name="sample_wld_az1_rack4_host3_fqdn">'Additional Racks'!$C$242</definedName>
    <definedName name="input_wld_az1_rack3_host_overlay_gateway_ip">'Additional Racks'!$D$188</definedName>
    <definedName name="mgmt_az1_vmotion_vlan">'Value Reference Tables - MR'!$F$10</definedName>
    <definedName name="mgmt_internet_proxy_chosen">'Deploy Management Domain'!$L$13</definedName>
    <definedName name="asn_wld_az1">'Value Reference Tables - MR'!$AH$21</definedName>
    <definedName name="wld_az1_rack2_uplink01_mtu">'Value Reference Tables - MR'!$L$76</definedName>
    <definedName name="wld_az1_rack5_en1_edge_overlay_interface_ip_1_ip">'Value Reference Tables - MR'!$U$244</definedName>
    <definedName name="sample_ccm_hcx_vm_folder">'Cross Cloud Mobility'!$C$18</definedName>
    <definedName name="wld_az1_rack7_secondary_storage_mask">'Value Reference Tables - MR'!$AA$58</definedName>
    <definedName name="sample_nsxt_gm_audit_password">'Configure Management Domain'!$C$408</definedName>
    <definedName name="input_wld_cl01_nfs_datastore_name">'Deploy Workload Domain'!$D$206</definedName>
    <definedName name="sample_wld_az1_rack2_secondary_storage_pool_end_ip">'Dumping Ground'!$C$514</definedName>
    <definedName name="ccm_hcx_vsphere_role">'Value Reference Tables'!$U$157</definedName>
    <definedName name="mgmt_az1_uplink01_mask">'Value Reference Tables - MR'!$F$60</definedName>
    <definedName name="mgmt_en02_bfd_chosen">'Configure Management Domain'!$D$176</definedName>
    <definedName name="sample_child_ad_groups_ou">'Active Directory Inputs'!$D$11</definedName>
    <definedName name="input_wld_srm_recovery_vcenter_password">'Dumping Ground'!$D$87</definedName>
    <definedName name="mgmt_az1_host12_hostname">'Value Reference Tables - MR'!$F$229</definedName>
    <definedName name="wld_az1_rack8_secondary_storage_mtu">'Value Reference Tables - MR'!$AD$74</definedName>
    <definedName name="wld_az1_host6_hostname">'Value Reference Tables - MR'!$I$223</definedName>
    <definedName name="input_wld_az1_rack4_principal_storage_mask">'Additional Racks'!$D$233</definedName>
    <definedName name="wld_az1_rack6_secondary_storage_mask">'Value Reference Tables - MR'!$X$58</definedName>
    <definedName name="input_cluster_az1_vsan_storage_client_pg">'Deploy Cluster'!$D$220</definedName>
    <definedName name="flt_logs_nodea_hostname">'Value Reference Tables'!$L$217</definedName>
    <definedName name="input_flt_logs_root_password_alias">'Deploy Fleet Management Day-N'!$D$254</definedName>
    <definedName name="input_wld_az1_host8_mgmt_ip">'Deploy Workload Domain'!$D$70</definedName>
    <definedName name="wld_az1_rack2_edge_overlay_gateway_ip">'Value Reference Tables - MR'!$L$94</definedName>
    <definedName name="input_cluster_az1_secondary_storage_network">'Deploy Cluster'!$D$68</definedName>
    <definedName name="sizing_w01_avi_appliance_size">'Management Domain Sizing'!$S$36</definedName>
    <definedName name="sample_mgmt_az2_host3_sddc_id">'Configure Management Domain'!$C$347</definedName>
    <definedName name="sample_wld_az1_rack6_host6_mgmt_ip">'Additional Racks'!$C$391</definedName>
    <definedName name="wld_az2_storage_cluster_vlan">'Value Reference Tables - MR'!$I$284</definedName>
    <definedName name="sample_cluster_witnessaz_mgmt_cidr">'Deploy Cluster'!$C$344</definedName>
    <definedName name="sample_wld_az1_rack3_edge_overlay_pool_start_ip">Arkham!$E$71</definedName>
    <definedName name="wld_az1_rack8_host_overlay_mtu">'Value Reference Tables - MR'!$AD$73</definedName>
    <definedName name="input_mgmt_srm_p12_password">'Dumping Ground'!$D$42</definedName>
    <definedName name="vcf_automation_nodea_ip">'Value Reference Tables'!$L$345</definedName>
    <definedName name="wld_az1_rack5_host8_mgmt_ip">'Value Reference Tables - MR'!$U$190</definedName>
    <definedName name="input_wld_cl01_supervisor_control_plane_ip_range">'Deploy Workload Domain'!$D$329</definedName>
    <definedName name="sample_wld_cl01_cluster_zn_name">'Deploy Workload Domain'!$C$164</definedName>
    <definedName name="flt_vidb_first_name">'Value Reference Tables'!$C$181</definedName>
    <definedName name="wld_az1_vmotion_network">'Value Reference Tables - MR'!$I$40</definedName>
    <definedName name="wld_az1_rack7_host16_hostname">'Value Reference Tables - MR'!$AA$217</definedName>
    <definedName name="sample_mgmt_vrms_recovery_replication_cidr">'Dumping Ground'!$C$63</definedName>
    <definedName name="input_cluster_vsan_type_with_client_network">'Static Reference Tables'!$E$53</definedName>
    <definedName name="cluster_az1_mgmt_vlan">'Value Reference Tables'!$I$12</definedName>
    <definedName name="sample_wld_az1_rack8_principal_storage_mask">'Additional Racks'!$C$605</definedName>
    <definedName name="input_flt_custom_network_x_reg_mask">'Deploy Fleet Management Day-N'!$D$22</definedName>
    <definedName name="sample_mgmt_az1_host_overlay_cidr">'Deploy Management Domain'!$K$257</definedName>
    <definedName name="sizing_wld_avilb_cluster_formfactor_chosen">'Configure Workload Domain'!$D$153</definedName>
    <definedName name="input_mgmt_nsxt_lm_fingerprint">'Configure Management Domain'!$D$510</definedName>
    <definedName name="mgmt_witness_zone_vc_fqdn">'Value Reference Tables'!$L$168</definedName>
    <definedName name="input_mgmt_az2_mgmt_vlan">'Configure Management Domain'!$D$225</definedName>
    <definedName name="sample_wld_az1_rack3_secondary_storage_pool_start_ip">'Dumping Ground'!$C$521</definedName>
    <definedName name="sample_ccm_aws_sddc_name">'Cross Cloud Mobility'!$C$20</definedName>
    <definedName name="wld_sso_domain_administrator_password">'Value Reference Tables'!$F$145</definedName>
    <definedName name="wld_az1_rack4_uplink01_network">'Value Reference Tables - MR'!$R$45</definedName>
    <definedName name="prefix_wld_witness_vlan">'Value Reference Tables'!$AA$80</definedName>
    <definedName name="cluster_wld_domain_chosen">'Value Reference Tables'!$I$8</definedName>
    <definedName name="flt_logs_affinty_rule_chosen">'Deploy Fleet Management Day-N'!$D$262</definedName>
    <definedName name="input_mgmt_az1_mgmt_vm_mtu">'Deploy Management Domain'!$L$157</definedName>
    <definedName name="input_mgmt_az2_host14_vrms_ip">'Site Protection &amp; DR'!$D$206</definedName>
    <definedName name="sample_wld_az1_rack4_host11_fqdn">'Additional Racks'!$C$250</definedName>
    <definedName name="wld_az1_rack7_host5_fqdn">'Value Reference Tables - MR'!$AA$225</definedName>
    <definedName name="sample_wld_az1_en2_edge_overlay_interface_ip_1_ip">'Configure Workload Domain'!$C$87</definedName>
    <definedName name="cluster_vds02_lacp_timeout_chosen">'Deploy Cluster'!$D$184</definedName>
    <definedName name="sample_wld_az1_rack8_uplink01_gateway_ip">Arkham!$T$62</definedName>
    <definedName name="sample_wld_az1_rack3_edge_overlay_pool_end_ip">Arkham!$E$72</definedName>
    <definedName name="input_wld_az1_rack5_rtep_ip_pool_name">'Additional Racks'!$D$362</definedName>
    <definedName name="input_cluster_vds03_name">'Deploy Cluster'!$D$189</definedName>
    <definedName name="input_wld_az1_rack3_mgmt_cidr">'Additional Racks'!$D$104</definedName>
    <definedName name="sample_mgmt_az1_vmotion_gateway_ip">'Deploy Management Domain'!$K$160</definedName>
    <definedName name="input_flt_net_prxy_portgroup">'Deploy Fleet Management Day-N'!$D$358</definedName>
    <definedName name="sample_mgmt_cl01_vds01_mtu">'Deploy Management Domain'!$K$189</definedName>
    <definedName name="mgmt_az2_edge_overlay_pg">'Value Reference Tables - MR'!$F$380</definedName>
    <definedName name="sample_wld_az1_rack6_uplink01_vlan">Arkham!$N$56</definedName>
    <definedName name="input_wld_az1_rack3_principal_storage_cidr">Arkham!$C$25</definedName>
    <definedName name="sample_wld_rwr_cl02_cluster">'On-Premises Ransomware Recovery'!$C$78</definedName>
    <definedName name="wld_az1_rack4_host_overlay_vlan">'Value Reference Tables - MR'!$R$12</definedName>
    <definedName name="wld_az1_rack2_tor2_peer_asn">'Value Reference Tables - MR'!$L$105</definedName>
    <definedName name="sample_wld_az1_rack3_mgmt_gateway_ip">'Additional Racks'!$C$103</definedName>
    <definedName name="sample_wld_az1_rack3_mgmt_vm_gateway_ip">'Value Reference Tables - MR'!$O$260</definedName>
    <definedName name="table_vcf_version9x_cluster_storage_type">'Static Reference Tables'!$C$335:$C$340</definedName>
    <definedName name="sizing_w12_avi_appliance_size">'Management Domain Sizing'!$S$47</definedName>
    <definedName name="mgmt_az1_mgmt_gateway_ip">'Value Reference Tables - MR'!$F$86</definedName>
    <definedName name="wld_az1_rack3_secondary_storage_pool_end_ip">'Value Reference Tables - MR'!$O$156</definedName>
    <definedName name="input_gg_vc_admins_group">'Active Directory Inputs'!$E$67</definedName>
    <definedName name="sample_wld_rwr_recovery_site_vc_fqdn">'On-Premises Ransomware Recovery'!$C$153</definedName>
    <definedName name="sample_wld_az1_rack2_mgmt_mtu">'Additional Racks'!$C$12</definedName>
    <definedName name="sample_wld_az1_host7_mgmt_ip">'Deploy Workload Domain'!$C$69</definedName>
    <definedName name="sample_mgmt_avilb_cluster_name">'Configure Management Domain'!$C$218</definedName>
    <definedName name="flt_vidb_type_chosen">'Deploy Fleet Management Day-N'!$D$123</definedName>
    <definedName name="sample_xreg_vrops_vrms_sso_username">'Site Protection &amp; DR'!$C$478</definedName>
    <definedName name="sample_wld_az2_host1_sddc_id">'Configure Workload Domain'!$C$303</definedName>
    <definedName name="sample_wld_az1_rack8_host16_fqdn">'Additional Racks'!$C$627</definedName>
    <definedName name="input_mgmt_az1_vsan_mtu">'Deploy Management Domain'!$L$169</definedName>
    <definedName name="input_wld_az1_rack2_host_overlay_vlan">'Additional Racks'!$D$91</definedName>
    <definedName name="asn_instance">'Value Reference Tables - MR'!$AH$18</definedName>
    <definedName name="input_wld_witness_dns2_ip">'Configure Workload Domain'!$D$280</definedName>
    <definedName name="wld_az1_rack6_host15_fqdn">'Value Reference Tables - MR'!$X$235</definedName>
    <definedName name="sizing_w02_gm_chosen">'Management Domain Sizing'!$L$37</definedName>
    <definedName name="input_wld_az1_vmotion_pool_end_ip">'Deploy Workload Domain'!$D$91</definedName>
    <definedName name="mgmt_az2_secondary_storage_network">'Value Reference Tables - MR'!$F$311</definedName>
    <definedName name="table_mask_to_cidr">'Static Reference Tables'!$C$251:$D$295</definedName>
    <definedName name="mgmt_az2_host5_vrms_ip">'Value Reference Tables - MR'!$F$435</definedName>
    <definedName name="input_flt_ic_ip">Arkham!$Q$24</definedName>
    <definedName name="sample_wld_az1_principal_storage_pool_start_ip">'Deploy Workload Domain'!$C$98</definedName>
    <definedName name="vvs_dr_flt_ops_nodec_hostname">'Value Reference Tables'!$O$115</definedName>
    <definedName name="wld_az1_rack2_pool_name">'Value Reference Tables - MR'!$L$166</definedName>
    <definedName name="wld_az1_host4_vrms_ip">'Value Reference Tables - MR'!$I$202</definedName>
    <definedName name="wld_az1_rack5_uplink01_gateway_ip">'Value Reference Tables - MR'!$U$92</definedName>
    <definedName name="input_mgmt_ec_rp_name">'Configure Management Domain'!$D$101</definedName>
    <definedName name="mgmt_az2_rtep_overlay_mtu">'Value Reference Tables - MR'!$F$357</definedName>
    <definedName name="cluster_az1_mgmt_uplink2_chosen">'Deploy Cluster'!$D$203</definedName>
    <definedName name="witness_dns_zone">'Value Reference Tables'!$L$68</definedName>
    <definedName name="wld_az1_rack4_uplink02_gateway_ip">'Value Reference Tables - MR'!$R$93</definedName>
    <definedName name="wld_az1_rack5_uplink01_mask">'Value Reference Tables - MR'!$U$60</definedName>
    <definedName name="wld_az1_rack7_host6_mgmt_ip">'Value Reference Tables - MR'!$AA$188</definedName>
    <definedName name="input_wld_az1_vrms_gateway_ip">'Dumping Ground'!$D$269</definedName>
    <definedName name="vvs_dr_flt_ops_nodeb_fqdn">'Value Reference Tables'!$O$99</definedName>
    <definedName name="sample_mgmt_srm_vra_rp">'Dumping Ground'!$C$51</definedName>
    <definedName name="wld_az1_rack7_host1_mgmt_ip">'Value Reference Tables - MR'!$AA$183</definedName>
    <definedName name="wld_az1_rack3_en1_edge_overlay_interface_ip_2_ip">'Value Reference Tables - MR'!$O$245</definedName>
    <definedName name="vvs_dr_flt_fleet_manager_hostname">'Value Reference Tables'!$O$112</definedName>
    <definedName name="sample_mgmt_az2_pool_name">'Configure Management Domain'!$C$250</definedName>
    <definedName name="sample_wld_az1_rack7_uplink02_network">Arkham!$Q$63</definedName>
    <definedName name="input_mgmt_az1_host14_vrms_ip">'Site Protection &amp; DR'!$D$189</definedName>
    <definedName name="wld_az1_rack8_host10_hostname">'Value Reference Tables - MR'!$AD$211</definedName>
    <definedName name="mgmt_az2_uplink02_network">'Value Reference Tables - MR'!$F$313</definedName>
    <definedName name="sample_cluster_az2_vmotion_mask">'Deploy Cluster'!$C$286</definedName>
    <definedName name="sample_cluster_witnessaz_mgmt_gateway_ip">'Deploy Cluster'!$C$343</definedName>
    <definedName name="mgmt_witnessaz_mgmt_network">'Value Reference Tables'!$L$173</definedName>
    <definedName name="input_wld_az1_rack8_host2_fqdn">'Additional Racks'!$D$613</definedName>
    <definedName name="flt_logs_root_password">'Value Reference Tables'!$L$212</definedName>
    <definedName name="cluster_az1_host12_mgmt_ip">'Value Reference Tables'!$I$64</definedName>
    <definedName name="wld_cl01_az1_nsx_uplink_count">'Value Reference Tables'!$F$172</definedName>
    <definedName name="sample_mgmt_az1_rtep_overlay_cidr">'Configure Management Domain'!$C$494</definedName>
    <definedName name="input_cbr_vcdr_label">'Cloud-Based Ransomware Recovery'!$D$34</definedName>
    <definedName name="sample_flt_net_common_name">'Deploy Fleet Management Day-N'!$C$295</definedName>
    <definedName name="sample_wld_az1_host11_vrms_ip">'Dumping Ground'!$C$303</definedName>
    <definedName name="ccm_hcx_compute_profile">'Value Reference Tables'!$U$187</definedName>
    <definedName name="sample_wld_az1_tor2_peer_ip">'Configure Workload Domain'!$C$110</definedName>
    <definedName name="wld_witness_fqdn">'Value Reference Tables'!$F$59</definedName>
    <definedName name="ccm_hcx_cdp_hostname">'Value Reference Tables'!$U$178</definedName>
    <definedName name="input_wld_az1_rack8_host7_fqdn">'Additional Racks'!$D$618</definedName>
    <definedName name="sample_cluster_az2_secondary_storage_pool_start_ip">'Deploy Cluster'!$C$304</definedName>
    <definedName name="sample_wld_srm_recovery_vcenter_username">'Dumping Ground'!$C$86</definedName>
    <definedName name="sample_wld_az1_rack7_tor1_peer_ip">Arkham!$Q$77</definedName>
    <definedName name="sample_wld_nsxt_xreg_t1_name">'Configure Workload Domain'!$C$505</definedName>
    <definedName name="input_wld_az1_rack2_host4_fqdn">'Additional Racks'!$D$57</definedName>
    <definedName name="wld_nsxt_global_mgra_ip">'Value Reference Tables'!$F$20</definedName>
    <definedName name="wld_az1_rack5_vmotion_mask">'Value Reference Tables - MR'!$U$55</definedName>
    <definedName name="sample_mgmt_az1_rtep_ip_pool_name">'Configure Management Domain'!$C$491</definedName>
    <definedName name="sample_wld_az1_host2_fqdn">'Deploy Workload Domain'!$C$121</definedName>
    <definedName name="k8s_tanzu_k8s_cluster_pod_pool_cidr">'Value Reference Tables'!$R$24</definedName>
    <definedName name="flt_logs_portgroup">'Value Reference Tables'!$L$201</definedName>
    <definedName name="wld_az2_host10_vrms_ip">'Value Reference Tables - MR'!$I$448</definedName>
    <definedName name="wld_az1_rack2_edge_overlay_cidr">'Value Reference Tables - MR'!$L$32</definedName>
    <definedName name="prefix_mgmt_az1_vlan">'Value Reference Tables'!$AA$62</definedName>
    <definedName name="wld_az1_rack8_host9_hostname">'Value Reference Tables - MR'!$AD$210</definedName>
    <definedName name="sample_wld_az1_rack4_host_overlay_mtu">'Additional Racks'!$C$278</definedName>
    <definedName name="sample_wld_az1_rack6_host7_fqdn">'Additional Racks'!$C$432</definedName>
    <definedName name="mgmt_cl01_az1_mgmt_lbt_chosen">'Deploy Management Domain'!$L$222</definedName>
    <definedName name="wld_az1_rack7_vmotion_pool_end_ip">'Value Reference Tables - MR'!$AA$150</definedName>
    <definedName name="mgmt_az2_uplink01_mtu">'Value Reference Tables - MR'!$F$354</definedName>
    <definedName name="mgmt_srm_vrslcm_wsa_rp">'Value Reference Tables'!$U$85</definedName>
    <definedName name="input_cluster_witness_mgmt_pg">'Deploy Cluster'!$D$355</definedName>
    <definedName name="input_wld_az1_rack3_principal_storage_gateway_ip">'Additional Racks'!$D$141</definedName>
    <definedName name="wld_az1_en1_eth0_uplink0">'Value Reference Tables'!$C$253</definedName>
    <definedName name="wld_az1_rack2_mgmt_vm_cidr">'Value Reference Tables - MR'!$L$23</definedName>
    <definedName name="input_cluster_witness_ip">'Deploy Cluster'!$D$358</definedName>
    <definedName name="wld_az1_rack5_tor1_peer_bgp_password">'Value Reference Tables - MR'!$U$103</definedName>
    <definedName name="input_cluster_vds02_mtu">'Deploy Cluster'!$D$179</definedName>
    <definedName name="sample_wld_az1_host11_fqdn">'Deploy Workload Domain'!$C$130</definedName>
    <definedName name="mgmt_az2_host3_hostname">'Value Reference Tables - MR'!$F$452</definedName>
    <definedName name="wld_az2_vrms_network">'Value Reference Tables - MR'!$I$319</definedName>
    <definedName name="input_cluster_az1_host2_mgmt_ip">'Deploy Cluster'!$D$30</definedName>
    <definedName name="flt_logs_gateway_ip">'Value Reference Tables'!$L$202</definedName>
    <definedName name="input_wld_az1_rack3_host16_fqdn">'Additional Racks'!$D$162</definedName>
    <definedName name="sample_flt_fc_ip">Arkham!$P$25</definedName>
    <definedName name="sample_wld_az1_rack7_host8_fqdn">'Additional Racks'!$C$526</definedName>
    <definedName name="wld_az1_rack6_host5_hostname">'Value Reference Tables - MR'!$X$206</definedName>
    <definedName name="wld_az1_rack3_principal_storage_gateway_ip">'Value Reference Tables - MR'!$O$88</definedName>
    <definedName name="wld_az1_rack6_secondary_storage_gateway_ip">'Value Reference Tables - MR'!$X$90</definedName>
    <definedName name="input_wld_az1_rack2_uplink01_network">Arkham!$C$59</definedName>
    <definedName name="sample_ccm_hcx_resource_pool">'Cross Cloud Mobility'!$C$19</definedName>
    <definedName name="sample_mgmt_nsxt_vip_ip">'Deploy Management Domain'!$K$325</definedName>
    <definedName name="input_wld_az1_rack8_secondary_storage_pool_end_ip">'Dumping Ground'!$D$562</definedName>
    <definedName name="input_wld_witness_fqdn">'Configure Workload Domain'!$D$287</definedName>
    <definedName name="sample_wld_az1_rack8_host2_mgmt_ip">'Additional Racks'!$C$573</definedName>
    <definedName name="cluster_az2_host13_mgmt_ip">'Value Reference Tables'!$I$217</definedName>
    <definedName name="sizing_w16_vcenter_appliance_size">'Management Domain Sizing'!$D$51</definedName>
    <definedName name="vcf_automation_cert_file">'Value Reference Tables'!$L$335</definedName>
    <definedName name="wld_az2_uplink01_gateway_ip">'Value Reference Tables - MR'!$I$345</definedName>
    <definedName name="wld_az1_rack7_en1_uplink02_interface_ip">'Value Reference Tables - MR'!$AA$243</definedName>
    <definedName name="sample_wld_nsxt_mgra_ip">'Deploy Workload Domain'!$C$176</definedName>
    <definedName name="sizing_w15_gm_chosen">'Management Domain Sizing'!$L$50</definedName>
    <definedName name="sample_wld_az1_rack2_uplink01_mtu">Arkham!$B$68</definedName>
    <definedName name="input_wld_az1_rack7_uplink02_network">Arkham!$R$63</definedName>
    <definedName name="sample_flt_vcfms_node_pool_start_ip">Arkham!$P$40</definedName>
    <definedName name="input_wld_az2_host14_fqdn">'Configure Workload Domain'!$D$245</definedName>
    <definedName name="sample_wld_az1_rack8_host_overlay_gateway_ip">'Additional Racks'!$C$653</definedName>
    <definedName name="mgmt_az2_vrms_network">'Value Reference Tables - MR'!$F$316</definedName>
    <definedName name="flt_vidb_vip_fqdn">'Value Reference Tables'!$C$67</definedName>
    <definedName name="mgmt_nsxt_global_mgra_hostname">'Value Reference Tables'!$C$45</definedName>
    <definedName name="sample_mgmt_az1_vsan_pool_start_ip">'Deploy Management Domain'!$K$170</definedName>
    <definedName name="mgmt_az1_host16_fqdn">'Value Reference Tables - MR'!$F$252</definedName>
    <definedName name="sample_wld_az1_rack5_secondary_storage_vlan">'Dumping Ground'!$C$532</definedName>
    <definedName name="input_wld_az1_rack4_host11_fqdn">'Additional Racks'!$D$250</definedName>
    <definedName name="sample_wld_az1_rack8_edge_overlay_vlan">Arkham!$T$58</definedName>
    <definedName name="sample_wld_az1_rack3_host1_fqdn">'Additional Racks'!$C$147</definedName>
    <definedName name="input_mgmt_cl01_vds01_name">'Deploy Management Domain'!$L$188</definedName>
    <definedName name="input_cluster_az2_mgmt_vlan">'Deploy Cluster'!$D$256</definedName>
    <definedName name="wld_cl01_vds01_traffic_type">'Value Reference Tables'!$F$75</definedName>
    <definedName name="input_wld_az2_mgmt_mtu">'Configure Workload Domain'!$D$172</definedName>
    <definedName name="input_wld_az1_rack3_host16_mgmt_ip">'Additional Racks'!$D$122</definedName>
    <definedName name="wld_az1_rack3_host9_mgmt_ip">'Value Reference Tables - MR'!$O$191</definedName>
    <definedName name="sample_cbr_vcdr_passcode">'Cloud-Based Ransomware Recovery'!$C$33</definedName>
    <definedName name="sizing_w02_avi_appliance_size">'Management Domain Sizing'!$S$37</definedName>
    <definedName name="sample_mgmt_nsxt_global_mgr_vmca_signed_thumbprint">'Configure Management Domain'!$C$454</definedName>
    <definedName name="wld_rwr_vc_fqdn">'Value Reference Tables'!$U$192</definedName>
    <definedName name="sample_cluster_az1_host4_fqdn">'Deploy Cluster'!$C$87</definedName>
    <definedName name="input_mgmt_nsxt_vip_fqdn">'Deploy Management Domain'!$L$104</definedName>
    <definedName name="sample_wld_az1_rack6_rtep_ip_pool_name">'Additional Racks'!$C$455</definedName>
    <definedName name="input_wld_az1_rack4_mgmt_vm_mtu">'Value Reference Tables - MR'!$R$261</definedName>
    <definedName name="cluster_az1_storage_cluster_pool_start_ip">'Value Reference Tables'!$I$50</definedName>
    <definedName name="input_mgmt_mgmt_rp">'Deploy Management Domain'!$M$350</definedName>
    <definedName name="wld_az2_host5_fqdn">'Value Reference Tables - MR'!$I$481</definedName>
    <definedName name="sizing_w03_avi_appliance_size">'Management Domain Sizing'!$S$38</definedName>
    <definedName name="sample_wld_az1_rack3_vmotion_network">'Additional Racks'!$C$131</definedName>
    <definedName name="mgmt_srm_recovery_vcenter_fqdn">'Value Reference Tables'!$U$90</definedName>
    <definedName name="input_mgmt_az2_host7_vrms_ip">'Site Protection &amp; DR'!$D$199</definedName>
    <definedName name="input_ccm_hcx_mgmt_network_ip_range">'Cross Cloud Mobility'!$F$11</definedName>
    <definedName name="wld_az1_rack7_vmotion_cidr">'Value Reference Tables - MR'!$AA$25</definedName>
    <definedName name="sample_wld_az1_rack6_host_overlay_cidr">Arkham!$B$39</definedName>
    <definedName name="mgmt_az1_host_overlay_network_pool_name">'Value Reference Tables - MR'!$F$169</definedName>
    <definedName name="rwr_sso_domain_name">'Value Reference Tables'!$U$197</definedName>
    <definedName name="sample_mgmt_ec_rp_name">'Configure Management Domain'!$C$101</definedName>
    <definedName name="mgmt_az1_rtep_ip_pool_name">'Value Reference Tables - MR'!$F$173</definedName>
    <definedName name="input_svc_inv_vsphere_password">'Active Directory Inputs'!$G$33</definedName>
    <definedName name="sample_wld_az1_rack2_edge_overlay_mtu">Arkham!$B$70</definedName>
    <definedName name="cluster_cluster_sddc_id">'Value Reference Tables'!$I$313</definedName>
    <definedName name="input_wld_az1_rack5_vmotion_cidr">Arkham!$C$32</definedName>
    <definedName name="input_wld_az1_rack6_uplink02_network">Arkham!$O$60</definedName>
    <definedName name="input_wld_az1_rack2_host_overlay_uplink_profile_name">'Additional Racks'!$D$81</definedName>
    <definedName name="mgmt_srm_vrops_rp">'Value Reference Tables'!$U$87</definedName>
    <definedName name="wld_az1_rack2_host11_hostname">'Value Reference Tables - MR'!$L$212</definedName>
    <definedName name="input_svc_vrops_vra_user">'Active Directory Inputs'!$E$29</definedName>
    <definedName name="input_flt_custom_network_flt_ip">'Deploy Fleet Management Day-N'!$D$27</definedName>
    <definedName name="input_mgmt_srm_vrslcm_wsa_pg">'Dumping Ground'!$D$46</definedName>
    <definedName name="table_vrms_cpu">'Static Reference Tables'!$B$178:$C$179</definedName>
    <definedName name="mgmt_az1_en2_eth0_uplink1">'Value Reference Tables'!$C$249</definedName>
    <definedName name="prefix_mgmt_az1_cidr">'Value Reference Tables'!$AA$63</definedName>
    <definedName name="sample_wld_az1_rack4_host_overlay_network">'Additional Racks'!$C$279</definedName>
    <definedName name="vcf_automation_time_sync_mode_chosen">'Deploy Fleet Management Day-N'!$D$91</definedName>
    <definedName name="sample_wld_az1_rack8_host6_mgmt_ip">'Additional Racks'!$C$577</definedName>
    <definedName name="wld_az2_host2_mgmt_ip">'Value Reference Tables - MR'!$I$424</definedName>
    <definedName name="wld_az1_rack5_secondary_storage_pool_start_ip">'Value Reference Tables - MR'!$U$155</definedName>
    <definedName name="sample_wld_az1_rack5_host7_mgmt_ip">'Additional Racks'!$C$299</definedName>
    <definedName name="mgmt_witness_az_mgmt_mask">'Value Reference Tables'!$AA$37</definedName>
    <definedName name="wld_az2_secondary_storage_mask">'Value Reference Tables - MR'!$I$328</definedName>
    <definedName name="sample_mgmt_nsxt_global_mgrc_fqdn">'Configure Management Domain'!$C$443</definedName>
    <definedName name="wld_nsxt_global_mgrb_fqdn">'Value Reference Tables'!$F$50</definedName>
    <definedName name="wld_az1_rack2_host_overlay_gateway_ip">'Value Reference Tables - MR'!$L$89</definedName>
    <definedName name="wld_az1_rack7_en1_mgmt_ip">'Value Reference Tables - MR'!$AA$241</definedName>
    <definedName name="nsxt_en_root_password">'Value Reference Tables'!$L$19</definedName>
    <definedName name="wld_az1_rack8_host_overlay_pool_start_ip">'Value Reference Tables - MR'!$AD$153</definedName>
    <definedName name="input_wld_az1_rack6_host14_mgmt_ip">'Additional Racks'!$D$399</definedName>
    <definedName name="sizing_w10_avi_appliance_size">'Management Domain Sizing'!$S$45</definedName>
    <definedName name="mgmt_offline_depot_chosen">'Deploy Management Domain'!$L$9</definedName>
    <definedName name="input_wld_az1_rack3_mgmt_gateway_ip">'Additional Racks'!$D$103</definedName>
    <definedName name="sample_wld_az1_host1_mgmt_ip">'Deploy Workload Domain'!$C$63</definedName>
    <definedName name="input_wld_az1_edge_overlay_network_pool_name">'Configure Workload Domain'!$D$60</definedName>
    <definedName name="input_mgmt_az1_host10_vrms_ip">'Site Protection &amp; DR'!$D$185</definedName>
    <definedName name="input_wld_az1_vmotion_gateway_ip">'Deploy Workload Domain'!$D$89</definedName>
    <definedName name="wld_az1_rack5_host7_hostname">'Value Reference Tables - MR'!$U$208</definedName>
    <definedName name="sample_wld_cl01_supervisor_control_plane_ip_range">'Deploy Workload Domain'!$C$329</definedName>
    <definedName name="wld_az2_vmotion_network">'Value Reference Tables - MR'!$I$310</definedName>
    <definedName name="wld_az1_rack6_vmotion_cidr">'Value Reference Tables - MR'!$X$25</definedName>
    <definedName name="global_env_admin_password">'Value Reference Tables'!$AA$18</definedName>
    <definedName name="input_mgmt_az1_edge_overlay_cidr">'Configure Management Domain'!$D$201</definedName>
    <definedName name="input_mgmt_recovery_lb_creation_method">'Dumping Ground'!$D$53</definedName>
    <definedName name="input_wld_az1_rack6_host2_mgmt_ip">'Additional Racks'!$D$387</definedName>
    <definedName name="wld_az1_rack3_en1_edge_overlay_interface_ip_1_ip">'Value Reference Tables - MR'!$O$244</definedName>
    <definedName name="wld_az1_rack2_host8_hostname">'Value Reference Tables - MR'!$L$209</definedName>
    <definedName name="wld_az2_host_overlay_network_pool_name">'Value Reference Tables - MR'!$I$408</definedName>
    <definedName name="input_wld_rwr_cl02_vds01">'On-Premises Ransomware Recovery'!$D$70</definedName>
    <definedName name="sample_ccm_vm_folder">'Cross Cloud Mobility'!$C$17</definedName>
    <definedName name="wld_az1_rack4_vrms_mtu">'Value Reference Tables - MR'!$R$80</definedName>
    <definedName name="input_wld_az1_rack8_edge_overlay_mask">Arkham!$U$67</definedName>
    <definedName name="sample_xreg_vra_node_pool_end_ip">Arkham!$P$38</definedName>
    <definedName name="sample_rwr_sso_domain_name">'On-Premises Ransomware Recovery'!$C$43</definedName>
    <definedName name="wld_cl01_vds01_pnics">'Value Reference Tables'!$F$71</definedName>
    <definedName name="mgmt_srm_vra_pg">'Value Reference Tables'!$U$88</definedName>
    <definedName name="input_wld_az2_host2_sddc_id">'Configure Workload Domain'!$D$304</definedName>
    <definedName name="sample_wld_rwr_vcfops_vlsr_username">'On-Premises Ransomware Recovery'!$C$203</definedName>
    <definedName name="group_gg_vrli_users">'Value Reference Tables'!$L$143</definedName>
    <definedName name="input_wld_az1_edge_overlay_pool_end_ip">'Configure Workload Domain'!$D$62</definedName>
    <definedName name="sizing_vcenter_appliance_size_list">'Static Reference Tables'!$C$8:$C$12</definedName>
    <definedName name="wld_az1_rack8_host2_mgmt_ip">'Value Reference Tables - MR'!$AD$184</definedName>
    <definedName name="wld_az1_rack5_vrms_mtu">'Value Reference Tables - MR'!$U$80</definedName>
    <definedName name="input_vcenter_root_password">'Deploy Management Domain'!$L$98</definedName>
    <definedName name="sizing_vcfvidb_chosen">'Management Domain Sizing'!$E$27</definedName>
    <definedName name="input_vcf_automation_vip_ip">'Deploy Fleet Management Day-N'!$D$78</definedName>
    <definedName name="mgmt_internet_proxy_type_chosen">'Deploy Management Domain'!$L$14</definedName>
    <definedName name="wld_az1_host15_vrms_ip">'Value Reference Tables - MR'!$I$213</definedName>
    <definedName name="sample_wld_az1_rack3_host4_mgmt_ip">'Additional Racks'!$C$110</definedName>
    <definedName name="input_mgmt_az2_host16_mgmt_ip">'Configure Management Domain'!$D$245</definedName>
    <definedName name="wld_az1_host11_fqdn">'Value Reference Tables - MR'!$I$247</definedName>
    <definedName name="sample_wld_az1_mgmt_cidr">'Deploy Workload Domain'!$C$60</definedName>
    <definedName name="wld_az1_uplink02_gateway_ip">'Value Reference Tables - MR'!$I$93</definedName>
    <definedName name="wld_az1_rack4_host5_mgmt_ip">'Value Reference Tables - MR'!$R$187</definedName>
    <definedName name="cluster_compute_hosts_per_rack_result">'Deploy Cluster'!$D$9</definedName>
    <definedName name="sizing_hrm_hvm_ram">'Static Reference Tables'!$C$197</definedName>
    <definedName name="input_mgmt_nsxt_mgrc_ip">'Deploy Management Domain'!$L$328</definedName>
    <definedName name="input_cbr_vcdr_cdp2_ip">'Cloud-Based Ransomware Recovery'!$G$10</definedName>
    <definedName name="sizing_w07_spr_chosen">'Management Domain Sizing'!$P$42</definedName>
    <definedName name="mgmt_cl01_vds03_lag_lbt_chosen">'Deploy Management Domain'!$L$215</definedName>
    <definedName name="wld_vsan_type_chosen">'Configure Workload Domain'!$D$249</definedName>
    <definedName name="input_wld_az1_rack8_uplink01_network">Arkham!$U$59</definedName>
    <definedName name="wld_az1_rack7_secondary_storage_cidr">'Value Reference Tables - MR'!$AA$28</definedName>
    <definedName name="wld_az1_rack6_host6_hostname">'Value Reference Tables - MR'!$X$207</definedName>
    <definedName name="input_flt_vidb_pg">'Deploy Fleet Management Day-N'!$D$145</definedName>
    <definedName name="input_wld_az1_rack8_uplink01_mtu">Arkham!$U$68</definedName>
    <definedName name="sample_wld_az1_rack5_host11_mgmt_ip">'Additional Racks'!$C$303</definedName>
    <definedName name="sample_wld_witness_root_password">'Configure Workload Domain'!$C$273</definedName>
    <definedName name="sample_wld_vlr_root_password">'On-Premises Ransomware Recovery'!$C$16</definedName>
    <definedName name="input_wld_az1_rack4_host_overlay_pool_end_ip">'Additional Racks'!$D$283</definedName>
    <definedName name="wld_nsxt_mgrc_ip">'Value Reference Tables'!$F$18</definedName>
    <definedName name="sample_wld_az1_host3_mgmt_ip">'Deploy Workload Domain'!$C$65</definedName>
    <definedName name="mgmt_az2_host_overlay_network">'Value Reference Tables - MR'!$F$310</definedName>
    <definedName name="mgmt_witness_dns2_ip">'Value Reference Tables'!$C$216</definedName>
    <definedName name="mgmt_az1_vrms_gateway_ip">'Value Reference Tables - MR'!$F$96</definedName>
    <definedName name="sample_wld_srm_ip">'Dumping Ground'!$F$12</definedName>
    <definedName name="wld_az2_vrms_mtu">'Value Reference Tables - MR'!$I$364</definedName>
    <definedName name="input_svc_vra_vcf_user">'Active Directory Inputs'!$E$39</definedName>
    <definedName name="wld_rack3_en_asn">'Value Reference Tables - MR'!$O$100</definedName>
    <definedName name="sample_wld_az1_rack8_host10_mgmt_ip">'Additional Racks'!$C$581</definedName>
    <definedName name="input_wld_nsxt_global_mgr_certificate_id">'Configure Workload Domain'!$D$452</definedName>
    <definedName name="input_vrslcm_admin_password">'Deploy Management Domain'!$L$67</definedName>
    <definedName name="wld_az1_rack8_rtep_overlay_vlan">'Value Reference Tables - MR'!$AD$18</definedName>
    <definedName name="sample_flt_vidb_password_alias">'Deploy Fleet Management Day-N'!$C$159</definedName>
    <definedName name="input_mgmt_srm_recovery_pg">'Site Protection &amp; DR'!$D$376</definedName>
    <definedName name="dri_ec_name">'Value Reference Tables'!$U$21</definedName>
    <definedName name="input_wld_az1_rack4_principal_storage_network">'Additional Racks'!$D$232</definedName>
    <definedName name="sample_wld_az1_vmotion_mask">'Deploy Workload Domain'!$C$88</definedName>
    <definedName name="input_svc_vcf_bck_password">'Configure Management Domain'!$D$25</definedName>
    <definedName name="mgmt_srm_recovery_cluster">'Value Reference Tables'!$U$96</definedName>
    <definedName name="flt_logs_nodeb_ip">'Value Reference Tables'!$L$222</definedName>
    <definedName name="mgmt_az2_host2_fqdn">'Value Reference Tables - MR'!$F$470</definedName>
    <definedName name="cluster_witnessaz_mgmt_cidr">'Value Reference Tables'!$I$262</definedName>
    <definedName name="sample_flt_vidb_mail">'Deploy Fleet Management Day-N'!$C$199</definedName>
    <definedName name="sample_flt_logs_mask">'Deploy Fleet Management Day-N'!$C$248</definedName>
    <definedName name="ca_template_name">'Value Reference Tables'!$O$37</definedName>
    <definedName name="input_wld_az1_rack4_rtep_ip_pool_name">'Additional Racks'!$D$269</definedName>
    <definedName name="wld_cl01_vds03_pnics">'Value Reference Tables'!$F$88</definedName>
    <definedName name="input_wld_az1_rack2_uplink02_network">Arkham!$C$60</definedName>
    <definedName name="wld_az1_rack4_pool_name">'Value Reference Tables - MR'!$R$166</definedName>
    <definedName name="group_gg_nsx_enterprise_admins">'Value Reference Tables'!$L$158</definedName>
    <definedName name="input_mgmt_az2_host14_fqdn">'Configure Management Domain'!$D$292</definedName>
    <definedName name="sample_mgmt_vrms_vm_folder">'Dumping Ground'!$C$28</definedName>
    <definedName name="region_vrli_virtual_fqdn">'Value Reference Tables'!$R$70</definedName>
    <definedName name="input_wld_az1_rack7_principal_storage_mask">'Additional Racks'!$D$512</definedName>
    <definedName name="wld_az1_rack4_edge_overlay_pool_end_ip">'Value Reference Tables - MR'!$R$160</definedName>
    <definedName name="sample_wld_avilb_cluster_fqdn">'Configure Workload Domain'!$C$160</definedName>
    <definedName name="cluster_az1_reuse_vcf_networkpool_result">'Deploy Cluster'!$D$13</definedName>
    <definedName name="sample_wld_az1_rack3_host2_fqdn">'Additional Racks'!$C$148</definedName>
    <definedName name="input_gg_vrslcm_release_managers_group">'Active Directory Inputs'!$E$55</definedName>
    <definedName name="input_wld_az1_rack2_mgmt_vm_gateway_ip">'Value Reference Tables - MR'!$P$259</definedName>
    <definedName name="wld_az1_host6_fqdn">'Value Reference Tables - MR'!$I$242</definedName>
    <definedName name="mgmt_witnessaz_cidr">'Value Reference Tables'!$X$40</definedName>
    <definedName name="wld_az1_rack6_host8_mgmt_ip">'Value Reference Tables - MR'!$X$190</definedName>
    <definedName name="mgmt_cl01_az1_vmotion_pg">'Value Reference Tables - MR'!$F$112</definedName>
    <definedName name="cluster_compute_hosts_per_rack_chosen">'Deploy Cluster'!$B$9</definedName>
    <definedName name="sample_cbr_recovery_region">'Cloud-Based Ransomware Recovery'!$C$19</definedName>
    <definedName name="sample_wld_az1_en1_edge_overlay_interface_ip_2_ip">'Configure Workload Domain'!$C$64</definedName>
    <definedName name="input_flt_logs_common_name">'Deploy Fleet Management Day-N'!$D$217</definedName>
    <definedName name="flt_custom_network_ha_mode_chosen">'Deploy Fleet Management Day-N'!$D$15</definedName>
    <definedName name="wld_az1_rack2_vrms_vlan">'Value Reference Tables - MR'!$L$19</definedName>
    <definedName name="input_wld_az2_principal_storage_vlan">'Configure Workload Domain'!$D$205</definedName>
    <definedName name="sample_mgmt_az2_host_overlay_network_profile_name">'Configure Management Domain'!$C$361</definedName>
    <definedName name="input_wld_az1_rack4_vsan_fault_domain">'Additional Racks'!$D$272</definedName>
    <definedName name="table_vcfops_appliance_cpu">'Static Reference Tables'!$B$151:$C$155</definedName>
    <definedName name="region_ntp1_server">'Value Reference Tables'!$L$44</definedName>
    <definedName name="mgmt_az2_tor2_peer_ip">'Value Reference Tables - MR'!$F$366</definedName>
    <definedName name="input_flt_net_ou_cert">'Deploy Fleet Management Day-N'!$D$297</definedName>
    <definedName name="input_vcf_installer_ip">'Deploy Management Domain'!$L$321</definedName>
    <definedName name="wld_az1_pool_name">'Value Reference Tables - MR'!$I$166</definedName>
    <definedName name="mgmt_az2_host_overlay_pool_end_ip">'Value Reference Tables - MR'!$F$390</definedName>
    <definedName name="sample_wld_az1_rack6_mgmt_mtu">'Additional Racks'!$C$384</definedName>
    <definedName name="sample_flt_net_vcenter_list">'Deploy Fleet Management Day-N'!$C$340</definedName>
    <definedName name="xregion_ntp1_server">'Value Reference Tables'!$L$47</definedName>
    <definedName name="input_mgmt_avilb_mgrc_ip">'Configure Management Domain'!$D$215</definedName>
    <definedName name="input_mgmt_az1_vmotion_pool_start_ip">'Deploy Management Domain'!$L$163</definedName>
    <definedName name="cbr_recovery_host_count">'Value Reference Tables'!$U$134</definedName>
    <definedName name="sample_wld_az1_mgmt_vm_gateway_ip">'Deploy Workload Domain'!$C$347</definedName>
    <definedName name="mgmt_az2_host8_vrms_ip">'Value Reference Tables - MR'!$F$438</definedName>
    <definedName name="wld_az1_rack6_vsan_fault_domain">'Value Reference Tables - MR'!$X$174</definedName>
    <definedName name="sample_wld_bf_vc_root_password">'Deploy Workload Domain'!$C$30</definedName>
    <definedName name="sample_cluster_az2_host5_fqdn">'Deploy Cluster'!$C$321</definedName>
    <definedName name="sample_wld_az1_rack4_vmotion_pool_start_ip">'Additional Racks'!$C$227</definedName>
    <definedName name="wld_az1_secondary_storage_vlan">'Value Reference Tables - MR'!$I$13</definedName>
    <definedName name="input_wld_az1_rack4_secondary_storage_vlan">'Dumping Ground'!$D$524</definedName>
    <definedName name="input_mgmt_az2_tor2_peer_asn">'Configure Management Domain'!$D$392</definedName>
    <definedName name="mgmt_az1_vrms_network">'Value Reference Tables - MR'!$F$49</definedName>
    <definedName name="input_wld_az1_rack7_host12_mgmt_ip">'Additional Racks'!$D$490</definedName>
    <definedName name="input_flt_vidb_first_name">'Deploy Fleet Management Day-N'!$D$195</definedName>
    <definedName name="mgmt_avilb_mgrc_ip">'Value Reference Tables'!$C$28</definedName>
    <definedName name="wld_az1_rack7_host_overlay_network_pool_name">'Value Reference Tables - MR'!$AA$169</definedName>
    <definedName name="sizing_w14_spr_chosen">'Management Domain Sizing'!$P$49</definedName>
    <definedName name="vcf_automation_cert_alias">'Value Reference Tables'!$L$334</definedName>
    <definedName name="input_wld_az1_rack3_pool_name">'Additional Racks'!$D$127</definedName>
    <definedName name="input_flt_net_console_password">'Deploy Fleet Management Day-N'!$D$339</definedName>
    <definedName name="sample_wld_az1_rack4_host14_mgmt_ip">'Additional Racks'!$C$213</definedName>
    <definedName name="input_cluster_az1_secondary_storage_mtu">'Deploy Cluster'!$D$67</definedName>
    <definedName name="wld_az1_rack7_host_hostnames">'Value Reference Tables - MR'!$AA$202:$AA$217</definedName>
    <definedName name="wld_az1_rack6_edge_overlay_pool_end_ip">'Value Reference Tables - MR'!$X$160</definedName>
    <definedName name="mgmt_az1_host8_mgmt_ip">'Value Reference Tables - MR'!$F$190</definedName>
    <definedName name="sample_mgmt_az1_host15_fqdn">'Deploy Management Domain'!$K$142</definedName>
    <definedName name="input_mgmt_az1_mgmt_vlan">'Deploy Management Domain'!$L$148</definedName>
    <definedName name="sample_mgmt_cl01_vds02_mtu">'Deploy Management Domain'!$K$200</definedName>
    <definedName name="cluster_az1_storage_cluster_cidr">'Value Reference Tables'!$I$48</definedName>
    <definedName name="sizing_wld_nsxt_gm_appliance_size_chosen">'Configure Workload Domain'!$D$364</definedName>
    <definedName name="sample_wld_az1_secondary_storage_network">'Deploy Workload Domain'!$C$103</definedName>
    <definedName name="wld_az1_rack8_en1_mgmt_ip">'Value Reference Tables - MR'!$AD$241</definedName>
    <definedName name="sizing_w21_vcenter_storage_size">'Management Domain Sizing'!$F$56</definedName>
    <definedName name="sample_wld_witness_fqdn">'Configure Workload Domain'!$C$287</definedName>
    <definedName name="input_wld_az1_host2_mgmt_ip">'Deploy Workload Domain'!$D$64</definedName>
    <definedName name="wld_az1_rack3_vmotion_mtu">'Value Reference Tables - MR'!$O$71</definedName>
    <definedName name="sample_smtp_server_port">Arkham!$B$17</definedName>
    <definedName name="sample_wld_administrator_vsphere_local_password">'Deploy Workload Domain'!$C$152</definedName>
    <definedName name="sample_wld_az1_rack5_host_hostnames">'Additional Racks'!$C$333:$C$348</definedName>
    <definedName name="input_mgmt_az1_uplink01_gateway_ip">'Configure Management Domain'!$D$194</definedName>
    <definedName name="xreg_seg01_mask">'Value Reference Tables'!$AA$41</definedName>
    <definedName name="input_flt_custom_network_flt_root_password">'Deploy Fleet Management Day-N'!$D$28</definedName>
    <definedName name="sizing_w19_nsxt_appliance_size">'Management Domain Sizing'!$I$54</definedName>
    <definedName name="input_mgmt_az2_vmotion_pool_end_ip">'Configure Management Domain'!$D$258</definedName>
    <definedName name="k8s_ip_routemap">'Value Reference Tables'!$U$20</definedName>
    <definedName name="sample_wld_witness_dns2_ip">'Configure Workload Domain'!$C$280</definedName>
    <definedName name="wld_witnessaz_mgmt_network">'Value Reference Tables'!$F$137</definedName>
    <definedName name="mgmt_az2_mgmt_mtu">'Value Reference Tables - MR'!$F$349</definedName>
    <definedName name="sample_mgmt_az1_edge_overlay_mask">'Configure Management Domain'!$C$123</definedName>
    <definedName name="sample_wld_az1_uplink02_vlan">'Configure Workload Domain'!$C$108</definedName>
    <definedName name="sizing_w06_chosen">'Management Domain Sizing'!$C$41</definedName>
    <definedName name="input_wld_az1_rack8_edge_overlay_mtu">Arkham!$U$70</definedName>
    <definedName name="mgmt_az1_edge_overlay_pool_start_ip">'Value Reference Tables - MR'!$F$159</definedName>
    <definedName name="input_wld_az1_rack7_host8_mgmt_ip">'Additional Racks'!$D$486</definedName>
    <definedName name="wld_az1_rack3_rtep_overlay_pool_start_ip">'Value Reference Tables - MR'!$O$161</definedName>
    <definedName name="input_xreg_vra_nodee_ip">Arkham!$Q$8</definedName>
    <definedName name="wld_az1_rack5_vrms_vlan">'Value Reference Tables - MR'!$U$19</definedName>
    <definedName name="input_mgmt_existing_active_nsx_gm">'Configure Management Domain'!$D$531</definedName>
    <definedName name="sample_wld_cl01_supervisor_service_cidr">'Deploy Workload Domain'!$C$327</definedName>
    <definedName name="sample_mgmt_az2_host1_fqdn">'Configure Management Domain'!$C$279</definedName>
    <definedName name="input_k8s_vcenter_category">'Private AI Ready Infrastructure'!$D$22</definedName>
    <definedName name="sizing_w11_chosen">'Management Domain Sizing'!$C$46</definedName>
    <definedName name="input_wld_az2_tor1_peer_bgp_password">'Configure Workload Domain'!$D$349</definedName>
    <definedName name="sample_cluster_az1_vmotion_network">'Deploy Cluster'!$C$52</definedName>
    <definedName name="input_gg_vra_service_broker_users_group">'Active Directory Inputs'!$E$99</definedName>
    <definedName name="sizing_w06_avi_appliance_size">'Management Domain Sizing'!$S$41</definedName>
    <definedName name="sample_mgmt_mgmt_rp">'Deploy Management Domain'!$K$350</definedName>
    <definedName name="wld_nsxt_global_mgr_certificate_id">'Value Reference Tables'!$O$78</definedName>
    <definedName name="wld_az1_en2_edge_overlay_interface_ip_1_ip">'Value Reference Tables - MR'!$I$272</definedName>
    <definedName name="input_cluster_witness_fqdn">'Deploy Cluster'!$D$371</definedName>
    <definedName name="sample_svc_vra_nsx_password">'Active Directory Inputs'!$F$38</definedName>
    <definedName name="vrslcm_xreg_content_library">'Value Reference Tables'!$AA$30</definedName>
    <definedName name="wld_az1_rack6_tor1_peer_asn">'Value Reference Tables - MR'!$X$102</definedName>
    <definedName name="wld_az1_rack3_mgmt_mtu">'Value Reference Tables - MR'!$O$70</definedName>
    <definedName name="sample_mgmt_existing_active_nsx_gm">'Configure Management Domain'!$C$531</definedName>
    <definedName name="input_wld_az1_rack3_principal_storage_mask">'Additional Racks'!$D$140</definedName>
    <definedName name="sample_mgmt_az2_host3_mgmt_ip">'Configure Management Domain'!$C$232</definedName>
    <definedName name="ccm_aws_host_type">'Value Reference Tables'!$U$167</definedName>
    <definedName name="wld_az1_rack7_en2_mgmt_ip">'Value Reference Tables - MR'!$AA$251</definedName>
    <definedName name="input_wld_cl01_supervisor_vpc_profile">'Deploy Workload Domain'!$D$332</definedName>
    <definedName name="flt_vidb_system_user_password">'Value Reference Tables'!$C$241</definedName>
    <definedName name="cluster_az1_secondary_storage_gateway_ip">'Value Reference Tables'!$I$40</definedName>
    <definedName name="input_flt_net_nodec_ip">'Deploy Fleet Management Day-N'!$D$308</definedName>
    <definedName name="input_mgmt_az1_mgmt_mtu">'Deploy Management Domain'!$L$151</definedName>
    <definedName name="wld_az1_rack3_principal_storage_cidr">'Value Reference Tables - MR'!$O$26</definedName>
    <definedName name="sample_mgmt_az1_edge_overlay_gateway_ip">'Configure Management Domain'!$C$122</definedName>
    <definedName name="wld_az1_rack6_uplink01_pg">'Value Reference Tables - MR'!$X$114</definedName>
    <definedName name="input_mgmt_nsxt_en_root_password">'Configure Management Domain'!$D$149</definedName>
    <definedName name="sample_cluster_az1_vmotion_gateway_ip">'Deploy Cluster'!$C$54</definedName>
    <definedName name="sample_mgmt_cl01_vsan_datastore">'Deploy Management Domain'!$K$117</definedName>
    <definedName name="input_flt_logs_vip_ip">'Deploy Fleet Management Day-N'!$D$228</definedName>
    <definedName name="wld_az1_rack8_en1_fqdn">'Value Reference Tables - MR'!$AD$240</definedName>
    <definedName name="input_wld_az1_rack2_edge_overlay_network_pool_name">'Additional Racks'!$D$82</definedName>
    <definedName name="sample_vcf_automation_admin_password">'Deploy Fleet Management Day-N'!$C$97</definedName>
    <definedName name="sample_wld_az1_rack5_uplink02_vlan">Arkham!$K$57</definedName>
    <definedName name="sample_mgmt_avilb_ip">'Configure Management Domain'!$C$216</definedName>
    <definedName name="input_wld_nsxt_mgrb_ip">'Deploy Workload Domain'!$D$178</definedName>
    <definedName name="sample_cluster_az2_host6_mgmt_ip">'Deploy Cluster'!$C$266</definedName>
    <definedName name="input_wld_az1_rack8_host_overlay_network_pool_name">'Additional Racks'!$D$638</definedName>
    <definedName name="sample_mgmt_witness_root_password">'Configure Management Domain'!$C$318</definedName>
    <definedName name="cluster_az1_vmotion_pg">'Value Reference Tables'!$I$137</definedName>
    <definedName name="sample_cluster_az1_host_overlay_network_pool_description">'Deploy Cluster'!$C$235</definedName>
    <definedName name="flt_net_cert_locality">'Value Reference Tables'!$L$238</definedName>
    <definedName name="wld_az1_rack6_mgmt_gateway_ip">'Value Reference Tables - MR'!$X$86</definedName>
    <definedName name="sample_wld_az1_edge_overlay_pool_end_ip">'Configure Workload Domain'!$C$62</definedName>
    <definedName name="cluster_az1_nsx_uplink_count">'Value Reference Tables'!$I$168</definedName>
    <definedName name="sample_wld_az1_rack8_host3_fqdn">'Additional Racks'!$C$614</definedName>
    <definedName name="wld_az1_rack4_edge_overlay_network_pool_name">'Value Reference Tables - MR'!$R$172</definedName>
    <definedName name="wld_az1_rack3_principal_storage_pool_end_ip">'Value Reference Tables - MR'!$O$152</definedName>
    <definedName name="input_wld_az1_rack2_secondary_storage_pool_start_ip">'Dumping Ground'!$D$513</definedName>
    <definedName name="mgmt_az2_host_overlay_pool_name">'Value Reference Tables'!$C$202</definedName>
    <definedName name="input_mgmt_internet_proxy_password">'Deploy Management Domain'!$L$19</definedName>
    <definedName name="flt_custom_network_ops_existing_chosen">'Deploy Fleet Management Day-N'!$D$31</definedName>
    <definedName name="cluster_vsan_datastore">'Value Reference Tables'!$I$97</definedName>
    <definedName name="mgmt_ec_mtu">'Value Reference Tables'!$C$130</definedName>
    <definedName name="input_wld_avilb_mgra_ip">'Configure Workload Domain'!$D$156</definedName>
    <definedName name="sample_wld_az1_rack2_principal_storage_pool_end_ip">'Additional Racks'!$C$50</definedName>
    <definedName name="wld_az1_rack3_host9_hostname">'Value Reference Tables - MR'!$O$210</definedName>
    <definedName name="input_wld_az1_rack6_uplink01_mtu">Arkham!$O$68</definedName>
    <definedName name="sample_wld_az1_rack3_host_overlay_vlan">'Additional Racks'!$C$184</definedName>
    <definedName name="sample_wld_az1_rack5_secondary_storage_cidr">Arkham!$B$34</definedName>
    <definedName name="input_cluster_az1_principal_storage_pool_end_ip">'Deploy Cluster'!$D$64</definedName>
    <definedName name="sample_flt_logs_gateway_ip">'Deploy Fleet Management Day-N'!$C$247</definedName>
    <definedName name="sample_child_ad_users_ou">'Active Directory Inputs'!$F$11</definedName>
    <definedName name="wld_az2_host2_hostname">'Value Reference Tables - MR'!$I$459</definedName>
    <definedName name="input_mgmt_az1_secondary_storage_vlan">'Deploy Management Domain'!$L$173</definedName>
    <definedName name="sample_cluster_az2_host7_mgmt_ip">'Deploy Cluster'!$C$267</definedName>
    <definedName name="sample_xreg_vra_nodea_ip">'Deploy Management Domain'!$K$80</definedName>
    <definedName name="mgmt_witnessaz_mgmt_mask">'Value Reference Tables'!$L$175</definedName>
    <definedName name="wld_az1_rack3_vmotion_pool_start_ip">'Value Reference Tables - MR'!$O$149</definedName>
    <definedName name="input_svc_vrops_vra_password">'Active Directory Inputs'!$G$29</definedName>
    <definedName name="input_wld_az2_host16_fqdn">'Configure Workload Domain'!$D$247</definedName>
    <definedName name="sample_wld_az1_rack6_host_overlay_gateway_ip">'Additional Racks'!$C$467</definedName>
    <definedName name="xreg_vrops_nodeb_fqdn">'Value Reference Tables'!$R$95</definedName>
    <definedName name="vvs_mgmt_dr_vlr_hostname">'Value Reference Tables'!$R$115</definedName>
    <definedName name="sample_wld_az1_rack7_host15_mgmt_ip">'Additional Racks'!$C$493</definedName>
    <definedName name="sample_wld_cl01_az1_nsx_uplink_count">'Deploy Workload Domain'!$C$315</definedName>
    <definedName name="cbr_vcdr_label">'Value Reference Tables'!$U$148</definedName>
    <definedName name="wld_az1_rack7_en1_fqdn">'Value Reference Tables - MR'!$AA$240</definedName>
    <definedName name="sample_wld_az1_rack8_secondary_storage_pool_start_ip">'Dumping Ground'!$C$561</definedName>
    <definedName name="input_svc_ccm_hcx_nsx_password">'Active Directory Inputs'!$G$49</definedName>
    <definedName name="input_wld_az1_en1_uplink01_interface_cidr">'Configure Workload Domain'!$D$102</definedName>
    <definedName name="cluster_az1_vsan_storage_client_lbt_chosen">'Deploy Cluster'!$D$221</definedName>
    <definedName name="input_cluster_az1_vmotion_gateway_ip">'Deploy Cluster'!$D$54</definedName>
    <definedName name="sample_mgmt_az1_secondary_storage_pool_end_ip">'Deploy Management Domain'!$K$178</definedName>
    <definedName name="wld_az1_rack3_rtep_overlay_mtu">'Value Reference Tables - MR'!$O$79</definedName>
    <definedName name="srm_appliance_size">'Value Reference Tables'!$U$56</definedName>
    <definedName name="input_mgmt_srm_logs_pg">'Site Protection &amp; DR'!$D$282</definedName>
    <definedName name="sizing_w19_nsxt_model">'Management Domain Sizing'!$H$54</definedName>
    <definedName name="sample_wld_az1_en2_mgmt_ip">Arkham!$P$20</definedName>
    <definedName name="sample_wld_az1_host14_vrms_ip">'Dumping Ground'!$C$306</definedName>
    <definedName name="wld_cl01_vds_profile_chosen">'Deploy Workload Domain'!$D$233</definedName>
    <definedName name="sample_wld_az1_host1_vrms_ip">'Dumping Ground'!$C$293</definedName>
    <definedName name="sample_flt_logs_cert_alias">'Deploy Fleet Management Day-N'!$C$214</definedName>
    <definedName name="input_cbr_vcdr_cdp1_ip">'Cloud-Based Ransomware Recovery'!$G$9</definedName>
    <definedName name="input_wld_az1_rack4_vmotion_mask">'Additional Racks'!$D$225</definedName>
    <definedName name="input_mgmt_cl01_vds02_mtu">'Deploy Management Domain'!$L$200</definedName>
    <definedName name="wld_az2_vrms_mask">'Value Reference Tables - MR'!$I$334</definedName>
    <definedName name="wld_az2_host8_vrms_ip">'Value Reference Tables - MR'!$I$446</definedName>
    <definedName name="sample_wld_az1_rack6_host3_fqdn">'Additional Racks'!$C$428</definedName>
    <definedName name="input_flt_custom_network_auto_nodea_ip">'Deploy Fleet Management Day-N'!$D$53</definedName>
    <definedName name="sample_ccm_hcx_remote_url">'Cross Cloud Mobility'!$C$35</definedName>
    <definedName name="wld_avilb_cluster_fqdn">'Value Reference Tables'!$F$54</definedName>
    <definedName name="sample_svc_vro_vsphere_user">'Active Directory Inputs'!$D$40</definedName>
    <definedName name="input_region_ntp2_server">'Deploy Management Domain'!$L$48</definedName>
    <definedName name="input_wld_az1_rack7_tor1_peer_ip">Arkham!$R$77</definedName>
    <definedName name="sample_wld_az1_uplink01_mtu">'Configure Workload Domain'!$C$105</definedName>
    <definedName name="wld_az1_rack7_vmotion_mtu">'Value Reference Tables - MR'!$AA$71</definedName>
    <definedName name="sizing_vcfops_ha_chosen">'Management Domain Sizing'!$E$21</definedName>
    <definedName name="sample_mgmt_az2_host2_vrms_ip">'Site Protection &amp; DR'!$C$194</definedName>
    <definedName name="sample_wld_az1_host_overlay_network_pool_description">'Deploy Workload Domain'!$C$307</definedName>
    <definedName name="input_svc_inv_vrops_password">'Active Directory Inputs'!$G$34</definedName>
    <definedName name="wld_az1_rack3_uplink02_pg">'Value Reference Tables - MR'!$O$115</definedName>
    <definedName name="sample_wld_az1_rack8_principal_storage_network">'Additional Racks'!$C$604</definedName>
    <definedName name="sample_wld_az2_tor2_peer_bgp_password">'Configure Workload Domain'!$C$354</definedName>
    <definedName name="input_ccm_hcx_compute_profile">'Cross Cloud Mobility'!$D$38</definedName>
    <definedName name="sample_wld_az1_rack7_host7_fqdn">'Additional Racks'!$C$525</definedName>
    <definedName name="wld_nsxt_mgra_fqdn">'Value Reference Tables'!$F$45</definedName>
    <definedName name="wld_az1_rack3_host16_hostname">'Value Reference Tables - MR'!$O$217</definedName>
    <definedName name="wld_az1_en1_uplink02_interface_cidr">'Value Reference Tables - MR'!$I$260</definedName>
    <definedName name="input_mgmt_az1_en1_mgmt_ip">Arkham!$Q$17</definedName>
    <definedName name="wld_bf_nsxt_mgra_fqdn">'Value Reference Tables'!$I$187</definedName>
    <definedName name="wld_existing_active_nsx_gm">'Value Reference Tables'!$O$85</definedName>
    <definedName name="sample_flt_custom_network_auto_prefix">'Deploy Fleet Management Day-N'!$C$51</definedName>
    <definedName name="wld_cl01_vsan_datastore">'Value Reference Tables'!$F$96</definedName>
    <definedName name="wld_az1_rack8_uplink02_cidr">'Value Reference Tables - MR'!$AD$31</definedName>
    <definedName name="wld_az1_rack3_host12_hostname">'Value Reference Tables - MR'!$O$213</definedName>
    <definedName name="wld_az1_rack2_uplink02_pg">'Value Reference Tables - MR'!$L$115</definedName>
    <definedName name="wld_rtep_overlay_pool_end_ip">'Value Reference Tables - MR'!$I$162</definedName>
    <definedName name="sample_wld_az1_rack6_edge_overlay_network_pool_name">'Additional Racks'!$C$454</definedName>
    <definedName name="mgmt_az1_host4_vrms_ip">'Value Reference Tables - MR'!$F$202</definedName>
    <definedName name="sample_flt_auto_sr_ip">Arkham!$P$26</definedName>
    <definedName name="input_wld_az1_rack2_tor1_peer_bgp_password">Arkham!$C$76</definedName>
    <definedName name="input_cluster_az1_host_overlay_cidr">'Deploy Cluster'!$D$236</definedName>
    <definedName name="sizing_w17_chosen">'Management Domain Sizing'!$C$52</definedName>
    <definedName name="wld_iaas_service_chosen">'Value Reference Tables'!$F$167</definedName>
    <definedName name="input_wld_az1_rack2_uplink01_mask">Arkham!$C$65</definedName>
    <definedName name="sample_wld_az1_rack2_pool_name">'Additional Racks'!$C$34</definedName>
    <definedName name="input_wld_az1_rack5_principal_storage_cidr">Arkham!$C$33</definedName>
    <definedName name="sample_flt_custom_network_auto_admin_password">'Deploy Fleet Management Day-N'!$C$58</definedName>
    <definedName name="sample_wld_az2_host11_vrms_ip">'Dumping Ground'!$C$320</definedName>
    <definedName name="sample_wld_az1_rack4_principal_storage_vlan">'Additional Racks'!$C$230</definedName>
    <definedName name="sample_cluster_az2_pool_name">'Deploy Cluster'!$C$281</definedName>
    <definedName name="input_mgmt_az2_host15_mgmt_ip">'Configure Management Domain'!$D$244</definedName>
    <definedName name="mgmt_az1_uplink02_network">'Value Reference Tables - MR'!$F$46</definedName>
    <definedName name="sample_flt_ic_fqdn">Arkham!$P$30</definedName>
    <definedName name="wld_az2_principal_storage_gateway_ip">'Value Reference Tables - MR'!$I$341</definedName>
    <definedName name="sample_wld_az1_rack5_host5_mgmt_ip">'Additional Racks'!$C$297</definedName>
    <definedName name="wld_az1_rack4_host15_hostname">'Value Reference Tables - MR'!$R$216</definedName>
    <definedName name="mgmt_az2_mgmt_vm_vlan">'Value Reference Tables - MR'!$F$278</definedName>
    <definedName name="sample_xreg_vrops_srm_sso_username">'Site Protection &amp; DR'!$C$480</definedName>
    <definedName name="input_cluster_az1_host7_mgmt_ip">'Deploy Cluster'!$D$35</definedName>
    <definedName name="wld_az2_host4_sddc_id">'Value Reference Tables'!$F$114</definedName>
    <definedName name="sample_mgmt_nsxt_global_mgra_ip">'Configure Management Domain'!$C$410</definedName>
    <definedName name="mgmt_az2_tor1_peer_ip">'Value Reference Tables - MR'!$F$363</definedName>
    <definedName name="input_flt_vidb_system_user_password">'Deploy Fleet Management Day-N'!$D$157</definedName>
    <definedName name="mgmt_vrms_recovery_replication_cidr">'Value Reference Tables'!$U$98</definedName>
    <definedName name="input_mgmt_az1_host13_mgmt_ip">'Deploy Management Domain'!$L$342</definedName>
    <definedName name="wld_cl01_vds02_lacp_mode_chosen">'Deploy Workload Domain'!$D$254</definedName>
    <definedName name="input_wld_az1_rack8_principal_storage_cidr">Arkham!$C$45</definedName>
    <definedName name="sample_wld_az1_rack5_principal_storage_mask">'Additional Racks'!$C$326</definedName>
    <definedName name="sample_cluster_az2_vmotion_mtu">'Deploy Cluster'!$C$284</definedName>
    <definedName name="sample_wld_rwr_recovery_site_az1_vrms_cidr">'On-Premises Ransomware Recovery'!$C$100</definedName>
    <definedName name="sample_wld_az1_rack4_edge_overlay_mtu">Arkham!$H$70</definedName>
    <definedName name="table_nsxt_edge_cpu">'Static Reference Tables'!$B$80:$C$83</definedName>
    <definedName name="input_mgmt_ec_mtu">'Configure Management Domain'!$D$96</definedName>
    <definedName name="input_wld_bf_nsxt_root_password">'Deploy Workload Domain'!$D$49</definedName>
    <definedName name="sample_wld_az1_rack5_host_overlay_vlan">'Additional Racks'!$C$370</definedName>
    <definedName name="sample_ccm_hcx_cdp_hostname">'Cross Cloud Mobility'!$D$9</definedName>
    <definedName name="sample_wld_az1_rack7_principal_storage_cidr">Arkham!$B$41</definedName>
    <definedName name="mgmt_az2_host1_fqdn">'Value Reference Tables - MR'!$F$469</definedName>
    <definedName name="sample_wld_az1_rack4_host14_fqdn">'Additional Racks'!$C$253</definedName>
    <definedName name="sample_wld_az1_rack6_secondary_storage_cidr">Arkham!$B$38</definedName>
    <definedName name="input_wld_az1_rack3_mgmt_mtu">'Additional Racks'!$D$105</definedName>
    <definedName name="wld_az1_rack4_host9_fqdn">'Value Reference Tables - MR'!$R$229</definedName>
    <definedName name="input_mgmt_witness_dns1_ip">'Configure Management Domain'!$D$324</definedName>
    <definedName name="flt_net_nodec_ip">'Value Reference Tables'!$L$247</definedName>
    <definedName name="sample_mgmt_nsxt_global_mgrc_ip">'Configure Management Domain'!$C$444</definedName>
    <definedName name="wld_az1_rack3_tor2_peer_bgp_password">'Value Reference Tables - MR'!$O$106</definedName>
    <definedName name="input_mgmt_nsxt_en_admin_password">'Configure Management Domain'!$D$150</definedName>
    <definedName name="wld_az1_rack2_host_overlay_pool_start_ip">'Value Reference Tables - MR'!$L$153</definedName>
    <definedName name="sample_wld_az1_rack3_uplink01_gateway_ip">Arkham!$E$62</definedName>
    <definedName name="wld_cl01_az1_nsx_uplink1_chosen">'Deploy Workload Domain'!$D$316</definedName>
    <definedName name="input_mgmt_srm_recovery_sddc_manager_fqdn">'Dumping Ground'!$D$17</definedName>
    <definedName name="wld_az1_rack8_edge_overlay_network_pool_name">'Value Reference Tables - MR'!$AD$172</definedName>
    <definedName name="sample_wld_az1_rack3_edge_overlay_network_pool_name">'Additional Racks'!$C$175</definedName>
    <definedName name="flt_net_install_version">'Deploy Fleet Management Day-N'!$D$289</definedName>
    <definedName name="input_mgmt_srm_recovery_sddc_manager_domain">'Dumping Ground'!$D$58</definedName>
    <definedName name="mgmt_az2_secondary_storage_mtu">'Value Reference Tables - MR'!$F$353</definedName>
    <definedName name="sizing_w02_nsxt_model">'Management Domain Sizing'!$H$37</definedName>
    <definedName name="wld_az1_rack5_vmotion_vlan">'Value Reference Tables - MR'!$U$10</definedName>
    <definedName name="mgmt_az1_edge_overlay_network">'Value Reference Tables - MR'!$F$47</definedName>
    <definedName name="sample_vvs_dr_flt_net_nodeb_fqdn">'Site Protection &amp; DR'!$C$39</definedName>
    <definedName name="sizing_w23_gm_chosen">'Management Domain Sizing'!$L$58</definedName>
    <definedName name="sample_mgmt_srm_rpo">'Site Protection &amp; DR'!$C$253</definedName>
    <definedName name="input_wld_az1_rack8_mgmt_vm_gateway_ip">'Value Reference Tables - MR'!$P$265</definedName>
    <definedName name="wld_az1_rack5_principal_storage_mask">'Value Reference Tables - MR'!$U$56</definedName>
    <definedName name="sample_mgmt_vpc_ext_ip_blocks">'Configure Management Domain'!$C$188</definedName>
    <definedName name="wld_az1_rack8_vrms_mtu">'Value Reference Tables - MR'!$AD$80</definedName>
    <definedName name="wld_az1_rack2_secondary_storage_network">'Value Reference Tables - MR'!$L$44</definedName>
    <definedName name="input_wld_az1_rack3_edge_overlay_network_pool_name">'Additional Racks'!$D$175</definedName>
    <definedName name="sample_cluster_az1_host10_mgmt_ip">'Deploy Cluster'!$C$38</definedName>
    <definedName name="sample_wld_az1_rack4_host2_mgmt_ip">'Additional Racks'!$C$201</definedName>
    <definedName name="wld_nsxt_gm_audit_password">'Value Reference Tables'!$L$26</definedName>
    <definedName name="ccm_hcx_resource_pool">'Value Reference Tables'!$U$162</definedName>
    <definedName name="mgmt_cl01_az1_vmotion_lbt_chosen">'Deploy Management Domain'!$L$232</definedName>
    <definedName name="input_wld_az1_rack4_tor1_peer_bgp_password">Arkham!$I$76</definedName>
    <definedName name="input_wld_az1_rack8_vmotion_mask">'Additional Racks'!$D$597</definedName>
    <definedName name="sample_mgmt_az1_secondary_storage_pool_start_ip">'Deploy Management Domain'!$K$177</definedName>
    <definedName name="mgmt_avi_loadbalancer_chosen">'Configure Management Domain'!$B$14</definedName>
    <definedName name="sample_wld_az1_rack4_vmotion_gateway_ip">'Additional Racks'!$C$226</definedName>
    <definedName name="wld_az1_rack2_tor1_peer_asn">'Value Reference Tables - MR'!$L$102</definedName>
    <definedName name="input_flt_logs_cert_organisation">'Deploy Fleet Management Day-N'!$D$218</definedName>
    <definedName name="sddc_mgr_vcf_password">'Value Reference Tables'!$L$28</definedName>
    <definedName name="input_wld_srm_admin_email">'Dumping Ground'!$D$82</definedName>
    <definedName name="sample_wld_az1_rack4_tor1_peer_asn">Arkham!$H$75</definedName>
    <definedName name="input_ccm_hcx_dc_location">'Cross Cloud Mobility'!$D$32</definedName>
    <definedName name="input_wld_az2_host4_vrms_ip">'Dumping Ground'!$D$313</definedName>
    <definedName name="input_wld_az1_rack4_host14_fqdn">'Additional Racks'!$D$253</definedName>
    <definedName name="mgmt_az2_host3_fqdn">'Value Reference Tables - MR'!$F$471</definedName>
    <definedName name="input_mgmt_nsxt_mgra_ip">'Deploy Management Domain'!$L$326</definedName>
    <definedName name="sample_wld_az1_rack6_host9_mgmt_ip">'Additional Racks'!$C$394</definedName>
    <definedName name="sample_mgmt_az1_host_overlay_pool_end_ip">'Deploy Management Domain'!$K$259</definedName>
    <definedName name="wld_az1_rack6_vrms_vlan">'Value Reference Tables - MR'!$X$19</definedName>
    <definedName name="input_wld_az2_principal_storage_pool_start_ip">'Configure Workload Domain'!$D$210</definedName>
    <definedName name="sample_wld_az1_rack2_vmotion_network">'Additional Racks'!$C$38</definedName>
    <definedName name="wld_az1_rack8_vmotion_gateway_ip">'Value Reference Tables - MR'!$AD$87</definedName>
    <definedName name="wld_az1_rtep_overlay_cidr">'Value Reference Tables - MR'!$I$33</definedName>
    <definedName name="sample_wld_az1_rack3_host15_mgmt_ip">'Additional Racks'!$C$121</definedName>
    <definedName name="wld_az1_rack6_secondary_storage_vlan">'Value Reference Tables - MR'!$X$13</definedName>
    <definedName name="mgmt_cl01_vds01_link_type_chosen">'Deploy Management Domain'!$L$190</definedName>
    <definedName name="wld_az1_rack5_host4_hostname">'Value Reference Tables - MR'!$U$205</definedName>
    <definedName name="wld_az1_secondary_storage_network">'Value Reference Tables - MR'!$I$43</definedName>
    <definedName name="sample_wld_az2_host15_vrms_ip">'Dumping Ground'!$C$324</definedName>
    <definedName name="sample_flt_net_nodec_ip">'Deploy Fleet Management Day-N'!$C$308</definedName>
    <definedName name="sample_wld_esx_root_username">'Deploy Workload Domain'!$C$140</definedName>
    <definedName name="input_mgmt_az2_host6_mgmt_ip">'Configure Management Domain'!$D$235</definedName>
    <definedName name="input_wld_nsxt_lm_fingerprint">'Configure Workload Domain'!$D$491</definedName>
    <definedName name="mgmt_az2_vsan_vlan">'Value Reference Tables - MR'!$F$281</definedName>
    <definedName name="input_mgmt_witnessaz_mgmt_mtu">'Configure Management Domain'!$D$308</definedName>
    <definedName name="cluster_az1_mgmt_mtu">'Value Reference Tables'!$I$15</definedName>
    <definedName name="sample_wld_rack3_en_asn">Arkham!$E$73</definedName>
    <definedName name="sample_cluster_vds03_lag_name">'Deploy Cluster'!$C$192</definedName>
    <definedName name="input_wld_az1_rack4_host16_fqdn">'Additional Racks'!$D$255</definedName>
    <definedName name="input_wld_az1_uplink01_cidr">'Configure Workload Domain'!$D$138</definedName>
    <definedName name="sample_wld_az1_secondary_storage_vlan">'Deploy Workload Domain'!$C$101</definedName>
    <definedName name="sample_wld_az1_rack5_host10_mgmt_ip">'Additional Racks'!$C$302</definedName>
    <definedName name="sample_vrslcm_admin_password">'Deploy Management Domain'!$K$67</definedName>
    <definedName name="input_wld_az1_rack4_host2_fqdn">'Additional Racks'!$D$241</definedName>
    <definedName name="input_svc_ccm_hcx_vsphere_user">'Active Directory Inputs'!$E$48</definedName>
    <definedName name="input_wld_az1_rack4_edge_overlay_network_pool_name">'Additional Racks'!$D$268</definedName>
    <definedName name="wld_cl01_az1_nsx_lbt_chosen">'Deploy Workload Domain'!$D$319</definedName>
    <definedName name="input_mgmt_az1_host12_vrms_ip">'Site Protection &amp; DR'!$D$187</definedName>
    <definedName name="vcf_version">'VCF &amp; VVF Planning'!$J$11</definedName>
    <definedName name="wld_az1_en1_eth0_uplink1">'Value Reference Tables'!$C$254</definedName>
    <definedName name="input_wld_az1_rack5_vsan_fault_domain">'Additional Racks'!$D$365</definedName>
    <definedName name="cluster_az1_mgmt_vm_pg">'Value Reference Tables'!$I$132</definedName>
    <definedName name="sample_wld_az1_rack4_uplink02_gateway_ip">Arkham!$H$63</definedName>
    <definedName name="sample_cluster_az2_host11_mgmt_ip">'Deploy Cluster'!$C$271</definedName>
    <definedName name="mgmt_existing_cross_instance_t0_name">Arkham!$C$50</definedName>
    <definedName name="input_wld_az1_host4_vrms_ip">'Dumping Ground'!$D$296</definedName>
    <definedName name="sample_wld_az1_rack4_vmotion_pool_end_ip">'Additional Racks'!$C$228</definedName>
    <definedName name="sample_wld_az1_rack7_secondary_storage_gateway_ip">'Dumping Ground'!$C$552</definedName>
    <definedName name="sample_mgmt_az2_tor1_peer_bgp_password">'Configure Management Domain'!$C$388</definedName>
    <definedName name="wld_cl01_vds02_name">'Value Reference Tables'!$F$78</definedName>
    <definedName name="sample_wld_az1_rack3_principal_storage_network">'Additional Racks'!$C$139</definedName>
    <definedName name="sample_wld_az1_rack2_host_overlay_network">'Additional Racks'!$C$93</definedName>
    <definedName name="input_flt_custom_network_local_reg_gateway_ip">'Deploy Fleet Management Day-N'!$D$19</definedName>
    <definedName name="sample_mgmt_az1_host8_mgmt_ip">'Deploy Management Domain'!$K$337</definedName>
    <definedName name="input_wld_az1_rack6_secondary_storage_mtu">'Dumping Ground'!$D$541</definedName>
    <definedName name="input_vvs_dr_flt_ops_nodec_fqdn">'Site Protection &amp; DR'!$D$34</definedName>
    <definedName name="flt_custom_network_auto_admin_password">'Value Reference Tables'!$L$321</definedName>
    <definedName name="sample_mgmt_witness_vsan_datastore">'Configure Management Domain'!$C$315</definedName>
    <definedName name="sample_mgmt_srm_net_rp">'Site Protection &amp; DR'!$C$308</definedName>
    <definedName name="input_wld_az2_host12_fqdn">'Configure Workload Domain'!$D$243</definedName>
    <definedName name="sample_mgmt_az2_host9_mgmt_ip">'Configure Management Domain'!$C$238</definedName>
    <definedName name="input_mgmt_internet_proxy_port">'Deploy Management Domain'!$L$16</definedName>
    <definedName name="sample_wld_az1_rack4_principal_storage_network">'Additional Racks'!$C$232</definedName>
    <definedName name="sample_mgmt_nsxt_global_mgrb_fqdn">'Configure Management Domain'!$C$426</definedName>
    <definedName name="input_wld_az1_rack7_host_overlay_cidr">Arkham!$C$43</definedName>
    <definedName name="sample_wld_az1_rack4_edge_overlay_pool_end_ip">Arkham!$H$72</definedName>
    <definedName name="wld_az1_rack4_host5_hostname">'Value Reference Tables - MR'!$R$206</definedName>
    <definedName name="table_vcf_version5x_wld_storage_type">'Static Reference Tables'!$B$335:$B$339</definedName>
    <definedName name="input_mgmt_az2_vsan_mtu">'Configure Management Domain'!$D$261</definedName>
    <definedName name="wld_az1_rack3_principal_storage_mtu">'Value Reference Tables - MR'!$O$72</definedName>
    <definedName name="wld_nsxt_hostname">'Value Reference Tables'!$F$31</definedName>
    <definedName name="wld_az2_secondary_storage_pool_start_ip">'Value Reference Tables - MR'!$I$397</definedName>
    <definedName name="cluster_az2_host1_fqdn">'Value Reference Tables'!$I$292</definedName>
    <definedName name="cluster_az1_host3_mgmt_ip">'Value Reference Tables'!$I$55</definedName>
    <definedName name="mgmt_witness_vc_fqdn">'Value Reference Tables'!$C$71</definedName>
    <definedName name="sample_cluster_az1_secondary_storage_pool_end_ip">'Deploy Cluster'!$C$72</definedName>
    <definedName name="input_flt_net_nodea_ip">'Deploy Fleet Management Day-N'!$D$306</definedName>
    <definedName name="input_mgmt_az1_host_overlay_gateway_ip">'Deploy Management Domain'!$L$260</definedName>
    <definedName name="sample_mgmt_az2_host6_vrms_ip">'Site Protection &amp; DR'!$C$198</definedName>
    <definedName name="sample_cluster_witness_cluster">'Deploy Cluster'!$C$352</definedName>
    <definedName name="wld_az1_rack5_uplink02_vlan">'Value Reference Tables - MR'!$U$16</definedName>
    <definedName name="wld_az1_rack8_edge_overlay_pool_start_ip">'Value Reference Tables - MR'!$AD$159</definedName>
    <definedName name="sample_wld_nsxt_global_mgra_ip">'Configure Workload Domain'!$C$371</definedName>
    <definedName name="sample_wld_az1_rack5_vmotion_vlan">'Additional Racks'!$C$315</definedName>
    <definedName name="input_wld_az1_rack3_secondary_storage_vlan">'Dumping Ground'!$D$516</definedName>
    <definedName name="input_wld_az1_rack4_edge_overlay_vlan">Arkham!$I$58</definedName>
    <definedName name="input_wld_az1_rack8_mgmt_vlan">'Additional Racks'!$D$567</definedName>
    <definedName name="sample_wld_az1_rack2_host11_fqdn">'Additional Racks'!$C$64</definedName>
    <definedName name="input_vvs_dr_flt_logs_nodea_fqdn">'Site Protection &amp; DR'!$D$35</definedName>
    <definedName name="input_wld_az1_rack3_secondary_storage_mask">'Dumping Ground'!$D$519</definedName>
    <definedName name="flt_logs_cert_key_length_chosen">'Deploy Fleet Management Day-N'!$D$223</definedName>
    <definedName name="wld_az1_rack7_host15_hostname">'Value Reference Tables - MR'!$AA$216</definedName>
    <definedName name="sample_mgmt_cl01_vds01_uplink1">'Deploy Management Domain'!$K$196</definedName>
    <definedName name="sample_wld_az1_rack6_mgmt_gateway_ip">'Additional Racks'!$C$382</definedName>
    <definedName name="input_mgmt_rwr_recovery_site_az1_mgmt_cidr">'On-Premises Ransomware Recovery'!$D$101</definedName>
    <definedName name="sample_wld_az1_rack3_uplink01_network">Arkham!$E$59</definedName>
    <definedName name="wld_tier0_name">'Value Reference Tables'!$O$69</definedName>
    <definedName name="wld_az1_rack6_mgmt_vm_vlan">'Value Reference Tables - MR'!$X$8</definedName>
    <definedName name="sample_wld_az1_rack2_host10_mgmt_ip">'Additional Racks'!$C$23</definedName>
    <definedName name="sample_wld_az1_rack8_host6_fqdn">'Additional Racks'!$C$617</definedName>
    <definedName name="mgmt_cl01_az1_nfs_uplink2_chosen">'Deploy Management Domain'!$L$244</definedName>
    <definedName name="mgmt_az1_en2_fqdn">'Value Reference Tables'!$C$65</definedName>
    <definedName name="flt_logs_disk_mode_chosen">'Deploy Fleet Management Day-N'!$D$240</definedName>
    <definedName name="sample_mgmt_vrms_mgmt_ip">'Site Protection &amp; DR'!$C$113</definedName>
    <definedName name="sample_vvs_dr_vr_username">'Site Protection &amp; DR'!$C$134</definedName>
    <definedName name="sample_mgmt_az1_host12_mgmt_ip">'Deploy Management Domain'!$K$341</definedName>
    <definedName name="sample_cluster_az1_host_overlay_gateway_ip">'Deploy Cluster'!$C$239</definedName>
    <definedName name="sizing_w04_ssp_chosen">'Management Domain Sizing'!$V$39</definedName>
    <definedName name="wld_az1_rack4_uplink01_vlan">'Value Reference Tables - MR'!$R$15</definedName>
    <definedName name="input_svc_ccm_hcx_vsphere_password">'Active Directory Inputs'!$G$48</definedName>
    <definedName name="vvs_dr_flt_net_nodea_hostname">'Value Reference Tables'!$O$119</definedName>
    <definedName name="input_wld_witness_dns1_ip">'Configure Workload Domain'!$D$279</definedName>
    <definedName name="sample_wld_cl01_vds03_name">'Deploy Workload Domain'!$C$261</definedName>
    <definedName name="wld_witness_vsan_datastore">'Value Reference Tables'!$F$120</definedName>
    <definedName name="mgmt_az2_mgmt_gateway_ip">'Value Reference Tables - MR'!$F$335</definedName>
    <definedName name="sample_cluster_az1_storage_cluster_pool_end_ip">'Deploy Cluster'!$C$80</definedName>
    <definedName name="xreg_vra_node_pool_end_ip">Arkham!$R$38</definedName>
    <definedName name="sample_wld_cl01_vds02_pnics">'Deploy Workload Domain'!$C$258</definedName>
    <definedName name="cluster_vds03_pnics">'Value Reference Tables'!$I$123</definedName>
    <definedName name="sample_cbr_recovery_vpc">'Cloud-Based Ransomware Recovery'!$C$22</definedName>
    <definedName name="vvs_dr_flt_logs_nodeb_hostname">'Value Reference Tables'!$O$117</definedName>
    <definedName name="wld_az1_rack7_uplink02_gateway_ip">'Value Reference Tables - MR'!$AA$93</definedName>
    <definedName name="wld_tier0_skip_chosen">'Configure Workload Domain'!$D$95</definedName>
    <definedName name="sample_mgmt_az1_vrms_vlan">'Site Protection &amp; DR'!$C$163</definedName>
    <definedName name="wld_az1_rack6_uplink02_mtu">'Value Reference Tables - MR'!$X$77</definedName>
    <definedName name="mgmt_cl01_az1_nsx_lbt_chosen">'Deploy Management Domain'!$L$248</definedName>
    <definedName name="sample_wld_az1_rack2_tor1_peer_asn">Arkham!$B$75</definedName>
    <definedName name="input_wld_az1_host1_vrms_ip">'Dumping Ground'!$D$293</definedName>
    <definedName name="wld_az1_nsx_uplink2_active_chosen">'Deploy Workload Domain'!$D$321</definedName>
    <definedName name="flt_net_nodea_hostname">'Value Reference Tables'!$L$249</definedName>
    <definedName name="input_wld_srm_p12_password">'Dumping Ground'!$D$83</definedName>
    <definedName name="input_wld_az1_rack5_host_overlay_pool_start_ip">'Additional Racks'!$D$375</definedName>
    <definedName name="sample_wld_nsxt_global_mgrb_ip">'Configure Workload Domain'!$C$388</definedName>
    <definedName name="change_control_new">'Change Control'!$B$2:$B$100</definedName>
    <definedName name="xregion_ntp2_server">'Value Reference Tables'!$L$48</definedName>
    <definedName name="sample_wld_az1_rack5_vmotion_gateway_ip">'Additional Racks'!$C$319</definedName>
    <definedName name="wld_az1_rack8_mgmt_vm_gateway_ip">'Value Reference Tables - MR'!$AD$85</definedName>
    <definedName name="wld_az1_rack4_tor1_peer_bgp_password">'Value Reference Tables - MR'!$R$103</definedName>
    <definedName name="wld_az1_tor2_peer_asn">'Value Reference Tables - MR'!$I$105</definedName>
    <definedName name="sample_xregion_dns2_ip">Arkham!$B$14</definedName>
    <definedName name="sample_wld_az1_rack2_host_overlay_cidr">Arkham!$B$23</definedName>
    <definedName name="sizing_w09_nsxt_model">'Management Domain Sizing'!$H$44</definedName>
    <definedName name="mgmt_az1_en1_edge_overlay_interface_ip_1_ip">'Value Reference Tables - MR'!$F$261</definedName>
    <definedName name="sizing_w23_chosen">'Management Domain Sizing'!$C$58</definedName>
    <definedName name="sample_ca_organization_unit">'Configure Management Domain'!$C$59</definedName>
    <definedName name="sample_cluster_az2_storage_cluster_vlan">'Deploy Cluster'!$C$307</definedName>
    <definedName name="mgmt_principal_storage_chosen">'Deploy Management Domain'!$L$116</definedName>
    <definedName name="flt_custom_network_ops_size_chosen">'Deploy Fleet Management Day-N'!$D$40</definedName>
    <definedName name="input_mgmt_srm_vra_pg">'Dumping Ground'!$D$50</definedName>
    <definedName name="wld_az1_rack6_tor2_peer_bgp_password">'Value Reference Tables - MR'!$X$106</definedName>
    <definedName name="sizing_w09_nsxt_gm_appliance_size">'Management Domain Sizing'!$M$44</definedName>
    <definedName name="input_wld_az1_rack5_vmotion_pool_end_ip">'Additional Racks'!$D$321</definedName>
    <definedName name="wld_az1_rack6_host12_mgmt_ip">'Value Reference Tables - MR'!$X$194</definedName>
    <definedName name="wld_az1_rack5_host4_mgmt_ip">'Value Reference Tables - MR'!$U$186</definedName>
    <definedName name="flt_vidb_deployment_mode">'Value Reference Tables'!$C$165</definedName>
    <definedName name="wld_az1_rack3_host8_hostname">'Value Reference Tables - MR'!$O$209</definedName>
    <definedName name="input_wld_az1_rack3_host9_fqdn">'Additional Racks'!$D$155</definedName>
    <definedName name="sample_wld_az1_rack6_host11_mgmt_ip">'Additional Racks'!$C$396</definedName>
    <definedName name="input_flt_vidb_nodeb_ip">'Deploy Fleet Management Day-N'!$D$171</definedName>
    <definedName name="input_wld_az1_host4_mgmt_ip">'Deploy Workload Domain'!$D$66</definedName>
    <definedName name="input_flt_logs_folder">'Deploy Fleet Management Day-N'!$D$236</definedName>
    <definedName name="sample_wld_az1_rack2_mgmt_cidr">'Additional Racks'!$C$11</definedName>
    <definedName name="other_prefix_mgmt_stretched_cidr">'Value Reference Tables'!$AA$86</definedName>
    <definedName name="sample_cluster_az2_principal_storage_network">'Deploy Cluster'!$C$293</definedName>
    <definedName name="input_k8s_tanzu_k8s_cluster_service_pool_cidr">'Private AI Ready Infrastructure'!$D$71</definedName>
    <definedName name="sample_cluster_az1_host15_fqdn">'Deploy Cluster'!$C$98</definedName>
    <definedName name="input_wld_cl01_vds01_mtu">'Deploy Workload Domain'!$D$240</definedName>
    <definedName name="input_ca_organization_unit">'Configure Management Domain'!$D$59</definedName>
    <definedName name="sample_xregion_ntp1_server">Arkham!$B$18</definedName>
    <definedName name="input_wld_az1_rack5_host5_mgmt_ip">'Additional Racks'!$D$297</definedName>
    <definedName name="sizing_w12_chosen">'Management Domain Sizing'!$C$47</definedName>
    <definedName name="wld_cl01_supervisor_service_cidr">'Value Reference Tables'!$F$187</definedName>
    <definedName name="flt_custom_network_flt_admin_password">'Value Reference Tables'!$L$295</definedName>
    <definedName name="input_wld_az1_rack6_host7_fqdn">'Additional Racks'!$D$432</definedName>
    <definedName name="sample_wld_az1_rack4_host16_mgmt_ip">'Additional Racks'!$C$215</definedName>
    <definedName name="mgmt_vc_size">'Value Reference Tables'!$O$11</definedName>
    <definedName name="input_wld_az1_principal_storage_pool_start_ip">'Deploy Workload Domain'!$D$98</definedName>
    <definedName name="mgmt_az2_secondary_storage_vlan">'Value Reference Tables - MR'!$F$283</definedName>
    <definedName name="sample_mgmt_az1_vmotion_pool_start_ip">'Deploy Management Domain'!$K$163</definedName>
    <definedName name="wld_az1_rack2_principal_storage_pool_start_ip">'Value Reference Tables - MR'!$L$151</definedName>
    <definedName name="mgmt_az2_host2_vrms_ip">'Value Reference Tables - MR'!$F$432</definedName>
    <definedName name="input_cluster_az2_principal_storage_pool_end_ip">'Deploy Cluster'!$D$296</definedName>
    <definedName name="vvs_mgmt_dr_vlr_fqdn">'Value Reference Tables'!$O$110</definedName>
    <definedName name="cbr_vcdr_cdp2_hostname">'Value Reference Tables'!$U$143</definedName>
    <definedName name="input_vvs_dr_flt_ops_nodea_fqdn">'Site Protection &amp; DR'!$D$21</definedName>
    <definedName name="wld_az1_rack2_host1_fqdn">'Value Reference Tables - MR'!$L$221</definedName>
    <definedName name="mgmt_nsxt_vip_fqdn">'Value Reference Tables'!$C$56</definedName>
    <definedName name="sizing_w22_vcenter_appliance_size">'Management Domain Sizing'!$D$57</definedName>
    <definedName name="wld_az2_host_overlay_mtu">'Value Reference Tables - MR'!$I$357</definedName>
    <definedName name="input_mgmt_az2_tor1_peer_bgp_password">'Configure Management Domain'!$D$388</definedName>
    <definedName name="sample_mgmt_en_asn">'Configure Management Domain'!$C$156</definedName>
    <definedName name="sample_wld_az1_rack5_edge_overlay_mask">Arkham!$K$67</definedName>
    <definedName name="mgmt_en01_bfd_chosen">'Configure Management Domain'!$D$161</definedName>
    <definedName name="input_flt_net_admin_password_description">'Deploy Fleet Management Day-N'!$D$330</definedName>
    <definedName name="sizing_m01_nsxt_edge_size">'Management Domain Sizing'!$L$32</definedName>
    <definedName name="sample_wld_az1_rack6_secondary_storage_mask">'Dumping Ground'!$C$543</definedName>
    <definedName name="mgmt_nsxt_vip_ip">'Value Reference Tables'!$C$17</definedName>
    <definedName name="sample_wld_az1_rack6_principal_storage_network">'Additional Racks'!$C$418</definedName>
    <definedName name="flt_net_nodea_ip">'Value Reference Tables'!$L$245</definedName>
    <definedName name="input_wld_az1_rack4_uplink02_vlan">Arkham!$I$57</definedName>
    <definedName name="wld_srm_admin_email">'Value Reference Tables'!$U$115</definedName>
    <definedName name="wld_az1_rack4_mgmt_vm_vlan">'Value Reference Tables - MR'!$R$8</definedName>
    <definedName name="mgmt_sddc_domain">'Value Reference Tables'!$O$8</definedName>
    <definedName name="sample_wld_az1_rack5_secondary_storage_pool_start_ip">'Dumping Ground'!$C$537</definedName>
    <definedName name="k8s_segment_gateway_ip_cidr">'Value Reference Tables'!$U$35</definedName>
    <definedName name="sample_flt_logs_admin_username">'Deploy Fleet Management Day-N'!$C$253</definedName>
    <definedName name="xreg_vrslcm_hostname">'Value Reference Tables'!$R$12</definedName>
    <definedName name="mgmt_az2_host8_hostname">'Value Reference Tables - MR'!$F$457</definedName>
    <definedName name="input_ccm_firewall_ip_addresses">'Cross Cloud Mobility'!$D$30</definedName>
    <definedName name="cluster_az2_secondary_storage_mask">'Value Reference Tables'!$I$244</definedName>
    <definedName name="wld_az1_rack7_host2_hostname">'Value Reference Tables - MR'!$AA$203</definedName>
    <definedName name="wld_az1_rack2_host14_hostname">'Value Reference Tables - MR'!$L$215</definedName>
    <definedName name="sample_wld_az1_rack4_host10_mgmt_ip">'Additional Racks'!$C$209</definedName>
    <definedName name="sample_vcf_installer_fqdn">'Value Reference Tables'!$C$8</definedName>
    <definedName name="input_flt_sr_ip">Arkham!$Q$23</definedName>
    <definedName name="sample_wld_az1_rack3_vmotion_pool_start_ip">'Additional Racks'!$C$134</definedName>
    <definedName name="wld_az1_rack5_secondary_storage_cidr">'Value Reference Tables - MR'!$U$28</definedName>
    <definedName name="wld_az2_host8_fqdn">'Value Reference Tables - MR'!$I$484</definedName>
    <definedName name="sample_wld_az1_rack3_tor2_peer_ip">Arkham!$E$77</definedName>
    <definedName name="xreg_vra_nodeb_ip">'Value Reference Tables'!$R$40</definedName>
    <definedName name="sample_flt_vidb_system_user_description">'Deploy Fleet Management Day-N'!$C$158</definedName>
    <definedName name="wld_az1_rack2_en2_uplink02_interface_ip">'Value Reference Tables - MR'!$L$253</definedName>
    <definedName name="wld_az2_edge_overlay_network">'Value Reference Tables - MR'!$I$317</definedName>
    <definedName name="prefix_flt_shared_cidr">'Value Reference Tables'!$AA$88</definedName>
    <definedName name="wld_az1_rack5_host12_fqdn">'Value Reference Tables - MR'!$U$232</definedName>
    <definedName name="input_svc_vcf_ca_vcf_password">'Configure Management Domain'!$D$55</definedName>
    <definedName name="sizing_w09_spr_chosen">'Management Domain Sizing'!$P$44</definedName>
    <definedName name="input_wld_az1_rack4_host14_mgmt_ip">'Additional Racks'!$D$213</definedName>
    <definedName name="input_mgmt_az2_host4_sddc_id">'Configure Management Domain'!$D$348</definedName>
    <definedName name="wld_az1_host10_fqdn">'Value Reference Tables - MR'!$I$246</definedName>
    <definedName name="sample_wld_az2_host14_mgmt_ip">'Configure Workload Domain'!$C$187</definedName>
    <definedName name="sample_xregion_dns1_ip">Arkham!$B$13</definedName>
    <definedName name="wld_az2_host3_hostname">'Value Reference Tables - MR'!$I$460</definedName>
    <definedName name="sample_mgmt_az1_host9_mgmt_ip">'Deploy Management Domain'!$K$338</definedName>
    <definedName name="wld_az1_rack8_tor2_peer_ip">'Value Reference Tables - MR'!$AD$104</definedName>
    <definedName name="wld_az1_rack5_host_fqdns">'Value Reference Tables - MR'!$U$221:$U$236</definedName>
    <definedName name="sample_wld_az1_edge_overlay_mask">'Configure Workload Domain'!$C$66</definedName>
    <definedName name="input_wld_az1_rack7_secondary_storage_mtu">'Dumping Ground'!$D$549</definedName>
    <definedName name="sample_wld_az1_rack3_host16_fqdn">'Additional Racks'!$C$162</definedName>
    <definedName name="sample_wld_az1_host_fqdns">'Deploy Workload Domain'!$C$120:$C$135</definedName>
    <definedName name="input_wld_az1_host3_fqdn">'Deploy Workload Domain'!$D$122</definedName>
    <definedName name="wld_az1_rack7_en1_edge_overlay_interface_ip_2_ip">'Value Reference Tables - MR'!$AA$245</definedName>
    <definedName name="sample_mgmt_az1_edge_overlay_mtu">'Configure Management Domain'!$C$202</definedName>
    <definedName name="flt_vidb_password">'Value Reference Tables'!$C$236</definedName>
    <definedName name="input_cluster_az2_host9_mgmt_ip">'Deploy Cluster'!$D$269</definedName>
    <definedName name="input_wld_az1_rack7_host13_fqdn">'Additional Racks'!$D$531</definedName>
    <definedName name="table_vcfa_appliance_ram">'Static Reference Tables'!$B$131:$C$133</definedName>
    <definedName name="mgmt_vrms_vm_folder">'Value Reference Tables'!$U$65</definedName>
    <definedName name="input_mgmt_az1_en1_edge_overlay_interface_ip_2_ip">'Configure Management Domain'!$D$121</definedName>
    <definedName name="sample_cbr_vcdr_orchestrator_fqdn">'Cloud-Based Ransomware Recovery'!$C$32</definedName>
    <definedName name="sizing_w21_gm_chosen">'Management Domain Sizing'!$L$56</definedName>
    <definedName name="wld_az1_rack6_mgmt_cidr">'Value Reference Tables - MR'!$X$24</definedName>
    <definedName name="sample_wld_az1_rack3_edge_overlay_vlan">Arkham!$E$58</definedName>
    <definedName name="mgmt_vrms_admin_password">'Value Reference Tables'!$U$67</definedName>
    <definedName name="sample_wld_az1_vmotion_gateway_ip">'Deploy Workload Domain'!$C$89</definedName>
    <definedName name="input_mgmt_az1_mgmt_vm_gateway_ip">'Deploy Management Domain'!$L$155</definedName>
    <definedName name="table_srm_disk">'Static Reference Tables'!$B$193:$C$194</definedName>
    <definedName name="sample_wld_az1_rack6_tor1_peer_ip">Arkham!$N$74</definedName>
    <definedName name="sample_wld_az1_rack6_pool_name">'Additional Racks'!$C$406</definedName>
    <definedName name="mgmt_az1_edge_overlay_gateway_ip">'Value Reference Tables - MR'!$F$94</definedName>
    <definedName name="wld_az1_rtep_overlay_network">'Value Reference Tables - MR'!$I$48</definedName>
    <definedName name="global_env_admin_username">'Value Reference Tables'!$AA$19</definedName>
    <definedName name="input_wld_ec_name">'Configure Workload Domain'!$D$38</definedName>
    <definedName name="wld_az1_rack3_host15_hostname">'Value Reference Tables - MR'!$O$216</definedName>
    <definedName name="sizing_w07_vcenter_storage_size">'Management Domain Sizing'!$F$42</definedName>
    <definedName name="mgmt_az1_edge_overlay_pg">'Value Reference Tables - MR'!$F$118</definedName>
    <definedName name="mgmt_az1_rtep_overlay_gateway_ip">'Value Reference Tables - MR'!$F$95</definedName>
    <definedName name="input_mgmt_az1_host7_mgmt_ip">'Deploy Management Domain'!$L$336</definedName>
    <definedName name="input_wld_az1_rack2_secondary_storage_gateway_ip">'Dumping Ground'!$D$512</definedName>
    <definedName name="input_flt_vidb_gateway_ip">'Deploy Fleet Management Day-N'!$D$153</definedName>
    <definedName name="mgmt_az1_host_overlay_pool_end_ip">'Value Reference Tables - MR'!$F$154</definedName>
    <definedName name="wld_az1_rack3_host_overlay_cidr">'Value Reference Tables - MR'!$O$27</definedName>
    <definedName name="cluster_image_name">'Value Reference Tables'!$I$94</definedName>
    <definedName name="wld_az1_host_overlay_new_pool_chosen">'Deploy Workload Domain'!$D$305</definedName>
    <definedName name="sample_wld_az1_rack3_host6_fqdn">'Additional Racks'!$C$152</definedName>
    <definedName name="wld_bf_vcenter_type_chosen">'Deploy Workload Domain'!$D$28</definedName>
    <definedName name="sample_cluster_az1_host_overlay_pool_start_ip">'Deploy Cluster'!$C$237</definedName>
    <definedName name="sample_flt_net_resource_pool">'Deploy Fleet Management Day-N'!$C$315</definedName>
    <definedName name="wld_az1_rack3_vrms_vlan">'Value Reference Tables - MR'!$O$19</definedName>
    <definedName name="input_nsxt_gm_admin_password">'Configure Management Domain'!$D$407</definedName>
    <definedName name="sample_wld_az1_rack7_edge_overlay_mask">Arkham!$Q$70</definedName>
    <definedName name="flt_custom_network_ops_collector_fqdn">'Value Reference Tables'!$L$308</definedName>
    <definedName name="sample_wld_az1_rack8_host_overlay_pool_end_ip">'Additional Racks'!$C$655</definedName>
    <definedName name="input_mgmt_az2_host10_vrms_ip">'Site Protection &amp; DR'!$D$202</definedName>
    <definedName name="input_gg_vrops_read_only_group">'Active Directory Inputs'!$E$86</definedName>
    <definedName name="sample_wld_az1_rack8_host11_fqdn">'Additional Racks'!$C$622</definedName>
    <definedName name="sample_cbr_vcdr_cdp1_ip">'Cloud-Based Ransomware Recovery'!$F$9</definedName>
    <definedName name="wld_bf_vc_sso_password">'Value Reference Tables'!$I$182</definedName>
    <definedName name="cluster_az2_principal_storage_pool_start_ip">'Value Reference Tables'!$I$238</definedName>
    <definedName name="wld_vc_ip">'Value Reference Tables'!$F$14</definedName>
    <definedName name="wld_az1_secondary_storage_pool_end_ip">'Value Reference Tables - MR'!$I$156</definedName>
    <definedName name="mgmt_az1_secondary_storage_gateway_ip">'Value Reference Tables - MR'!$F$90</definedName>
    <definedName name="sample_wld_az1_rack7_vmotion_mtu">'Additional Racks'!$C$502</definedName>
    <definedName name="sample_cluster_az1_storage_cluster_mask">'Deploy Cluster'!$C$77</definedName>
    <definedName name="wld_az1_rack3_mgmt_vlan">'Value Reference Tables - MR'!$O$9</definedName>
    <definedName name="sizing_w05_avi_appliance_size">'Management Domain Sizing'!$S$40</definedName>
    <definedName name="sample_wld_az1_host_overlay_mtu">'Deploy Workload Domain'!$C$368</definedName>
    <definedName name="input_mgmt_vc_fqdn">'Deploy Management Domain'!$L$90</definedName>
    <definedName name="input_flt_custom_network_auto_vip_ip">'Deploy Fleet Management Day-N'!$D$52</definedName>
    <definedName name="sample_xreg_seg01_name">'Configure Management Domain'!$C$528</definedName>
    <definedName name="wld_az1_rack2_host_overlay_network_pool_name">'Value Reference Tables - MR'!$L$169</definedName>
    <definedName name="sample_cluster_az1_nsx_uplink2_active">'Deploy Cluster'!$C$249</definedName>
    <definedName name="wld_cl01_vds03_lacp_mode_chosen">'Deploy Workload Domain'!$D$265</definedName>
    <definedName name="wld_az1_vm_mtu">'Value Reference Tables'!$AD$47</definedName>
    <definedName name="wld_az1_rack5_mgmt_vm_mask">'Value Reference Tables - MR'!$U$178</definedName>
    <definedName name="sample_wld_az1_rack7_tor1_peer_bgp_password">Arkham!$Q$79</definedName>
    <definedName name="input_wld_az1_rack8_host14_mgmt_ip">'Additional Racks'!$D$585</definedName>
    <definedName name="sample_wld_az1_host2_vrms_ip">'Dumping Ground'!$C$294</definedName>
    <definedName name="input_cluster_az1_vmotion_pool_end_ip">'Deploy Cluster'!$D$56</definedName>
    <definedName name="wld_az1_rack5_host5_fqdn">'Value Reference Tables - MR'!$U$225</definedName>
    <definedName name="wld_az1_rack4_rtep_overlay_vlan">'Value Reference Tables - MR'!$R$18</definedName>
    <definedName name="sample_wld_az1_rack1_host_overlay_network_profile_name">'Deploy Workload Domain'!$C$314</definedName>
    <definedName name="cluster_az2_host_overlay_network_pool_name">'Value Reference Tables'!$I$283</definedName>
    <definedName name="sample_wld_az1_rack6_host8_fqdn">'Additional Racks'!$C$433</definedName>
    <definedName name="wld_az1_rack5_principal_storage_pg">'Value Reference Tables - MR'!$U$113</definedName>
    <definedName name="wld_az1_host_overlay_pool_start_ip">'Value Reference Tables - MR'!$I$153</definedName>
    <definedName name="sample_wld_az1_host8_vrms_ip">'Dumping Ground'!$C$300</definedName>
    <definedName name="wld_az1_host1_mgmt_ip">'Value Reference Tables - MR'!$I$183</definedName>
    <definedName name="wld_cl01_vds02_link_type_chosen">'Deploy Workload Domain'!$D$252</definedName>
    <definedName name="mgmt_domain_existing_vcenter_chosen">'Deploy Management Domain'!$L$31</definedName>
    <definedName name="sample_wld_az1_en1_uplink02_interface_cidr">'Configure Workload Domain'!$C$109</definedName>
    <definedName name="input_wld_az1_rack3_host4_mgmt_ip">'Additional Racks'!$D$110</definedName>
    <definedName name="sample_wld_az1_rack3_edge_overlay_mtu">Arkham!$E$70</definedName>
    <definedName name="wld_az1_rack5_host_mgmt_ips">'Value Reference Tables - MR'!$U$183:$U$198</definedName>
    <definedName name="mgmt_cl01_az1_vsan_pg">'Value Reference Tables - MR'!$F$113</definedName>
    <definedName name="input_wld_az1_rack6_host_overlay_network_pool_name">'Additional Racks'!$D$452</definedName>
    <definedName name="wld_az1_rack4_host13_mgmt_ip">'Value Reference Tables - MR'!$R$195</definedName>
    <definedName name="input_wld_az1_rack2_uplink02_mtu">Arkham!$C$69</definedName>
    <definedName name="sample_mgmt_az1_host16_vrms_ip">'Site Protection &amp; DR'!$C$191</definedName>
    <definedName name="sample_mgmt_az1_en2_mgmt_ip">Arkham!$P$18</definedName>
    <definedName name="sample_flt_auto_sr_fqdn">Arkham!$P$32</definedName>
    <definedName name="input_wld_az1_en2_eth1_uplink0">'Configure Workload Domain'!$D$82</definedName>
    <definedName name="sample_flt_custom_network_ops_collector_ip">'Deploy Fleet Management Day-N'!$C$45</definedName>
    <definedName name="flt_net_cert_type_chosen">'Deploy Fleet Management Day-N'!$D$292</definedName>
    <definedName name="wld_az2_host_overlay_pool_name">'Value Reference Tables'!$F$116</definedName>
    <definedName name="wld_esxi_external_certs_result">'Deploy Workload Domain'!$D$17</definedName>
    <definedName name="wld_az2_host_overlay_gateway_ip">'Value Reference Tables - MR'!$I$342</definedName>
    <definedName name="sample_wld_az1_rack7_host2_mgmt_ip">'Additional Racks'!$C$480</definedName>
    <definedName name="flt_vidb_time_sync_mode_chosen">'Deploy Fleet Management Day-N'!$D$151</definedName>
    <definedName name="sizing_w10_nsxt_appliance_size">'Management Domain Sizing'!$I$45</definedName>
    <definedName name="input_wld_az1_rack3_principal_storage_pool_start_ip">'Additional Racks'!$D$142</definedName>
    <definedName name="wld_esx_root_password">'Value Reference Tables'!$C$223</definedName>
    <definedName name="sample_mgmt_az1_en2_eth0_uplink1">'Configure Management Domain'!$C$138</definedName>
    <definedName name="xreg_vrni_nodea_hostname">'Value Reference Tables'!$R$139</definedName>
    <definedName name="input_wld_az1_rack8_rtep_ip_pool_name">'Additional Racks'!$D$641</definedName>
    <definedName name="wld_az1_rack8_host1_hostname">'Value Reference Tables - MR'!$AD$202</definedName>
    <definedName name="wld_az1_rack6_edge_overlay_pool_start_ip">'Value Reference Tables - MR'!$X$159</definedName>
    <definedName name="wld_az1_storage_cluster_mask">'Value Reference Tables - MR'!$I$59</definedName>
    <definedName name="input_wld_az1_rack3_host2_fqdn">'Additional Racks'!$D$148</definedName>
    <definedName name="wld_az1_secondary_storage_mtu">'Value Reference Tables - MR'!$I$74</definedName>
    <definedName name="mgmt_srm_recovery_nsx_location">'Value Reference Tables'!$U$94</definedName>
    <definedName name="input_gg_vra_service_broker_viewers_group">'Active Directory Inputs'!$E$100</definedName>
    <definedName name="input_wld_az1_rack7_mgmt_vm_gateway_ip">'Value Reference Tables - MR'!$P$264</definedName>
    <definedName name="sizing_w04_vcenter_storage_size">'Management Domain Sizing'!$F$39</definedName>
    <definedName name="input_mgmt_nsxt_vip_ip">'Deploy Management Domain'!$L$325</definedName>
    <definedName name="sample_vvs_dr_flt_ops_nodea_fqdn">'Site Protection &amp; DR'!$C$21</definedName>
    <definedName name="sample_flt_custom_network_auto_nodef_ip">Arkham!$P$12</definedName>
    <definedName name="region_vrli_nodea_ip">'Value Reference Tables'!$R$57</definedName>
    <definedName name="input_flt_custom_network_auto_nodec_ip">'Deploy Fleet Management Day-N'!$D$55</definedName>
    <definedName name="vcf_vi_wld_domain_count">'Value Reference Tables'!$AA$105</definedName>
    <definedName name="wld_az1_rack8_secondary_storage_vlan">'Value Reference Tables - MR'!$AD$13</definedName>
    <definedName name="wld_srm_vm_size">'Value Reference Tables'!$U$117</definedName>
    <definedName name="input_wld_az1_rack5_host6_mgmt_ip">'Additional Racks'!$D$298</definedName>
    <definedName name="wld_az2_host1_hostname">'Value Reference Tables - MR'!$I$458</definedName>
    <definedName name="sample_cluster_az1_host5_mgmt_ip">'Deploy Cluster'!$C$33</definedName>
    <definedName name="cluster_az2_principal_storage_cidr">'Value Reference Tables'!$I$236</definedName>
    <definedName name="mgmt_az1_host7_mgmt_ip">'Value Reference Tables - MR'!$F$189</definedName>
    <definedName name="wld_az1_rack3_host15_fqdn">'Value Reference Tables - MR'!$O$235</definedName>
    <definedName name="wld_az2_vmotion_gateway_ip">'Value Reference Tables - MR'!$I$340</definedName>
    <definedName name="input_vcf_automation_additional_vips">'Deploy Fleet Management Day-N'!$D$112</definedName>
    <definedName name="sample_wld_cl01_image_name">'Deploy Workload Domain'!$C$168</definedName>
    <definedName name="input_wld_nsxt_vip_fqdn">'Deploy Workload Domain'!$D$181</definedName>
    <definedName name="sample_wld_az1_host12_fqdn">'Deploy Workload Domain'!$C$131</definedName>
    <definedName name="wld_az1_rack7_rtep_overlay_pool_start_ip">'Value Reference Tables - MR'!$AA$161</definedName>
    <definedName name="wld_az1_rack2_host11_mgmt_ip">'Value Reference Tables - MR'!$L$193</definedName>
    <definedName name="wld_az1_host_overlay_network">'Value Reference Tables - MR'!$I$42</definedName>
    <definedName name="sample_cluster_az1_host4_mgmt_ip">'Deploy Cluster'!$C$32</definedName>
    <definedName name="input_wld_nsxt_global_mgr_anti_affinity_rule_name">'Configure Workload Domain'!$D$434</definedName>
    <definedName name="input_wld_az1_principal_storage_gateway_ip">'Deploy Workload Domain'!$D$97</definedName>
    <definedName name="wld_compute_total_number_hosts">'Value Reference Tables'!$F$9</definedName>
    <definedName name="input_wld_az1_mgmt_gateway_ip">'Deploy Workload Domain'!$D$59</definedName>
    <definedName name="mgmt_az2_host_vrms_ips">'Value Reference Tables - MR'!$F$431:$F$446</definedName>
    <definedName name="flt_lc_ip">Arkham!$R$22</definedName>
    <definedName name="input_cluster_vsan_type_non_vsan_storage">'Static Reference Tables'!$F$52:$F$53</definedName>
    <definedName name="sample_wld_az1_tor2_peer_asn">'Configure Workload Domain'!$C$113</definedName>
    <definedName name="wld_az1_rack4_principal_storage_gateway_ip">'Value Reference Tables - MR'!$R$88</definedName>
    <definedName name="table_avi_lb_ram">'Static Reference Tables'!$B$248:$C$250</definedName>
    <definedName name="input_wld_rack7_en_asn">Arkham!$R$76</definedName>
    <definedName name="input_wld_az1_rack5_uplink01_mask">Arkham!$L$65</definedName>
    <definedName name="sample_cluster_az1_principal_storage_network">'Deploy Cluster'!$C$60</definedName>
    <definedName name="sample_wld_az1_rack6_host_overlay_vlan">'Additional Racks'!$C$463</definedName>
    <definedName name="sample_k8s_mgmt_seg">'Private AI Ready Infrastructure'!$C$19</definedName>
    <definedName name="input_wld_az1_rack4_host3_fqdn">'Additional Racks'!$D$242</definedName>
    <definedName name="wld_centralized_connectivity_chosen">'Deploy Workload Domain'!$D$185</definedName>
    <definedName name="sample_wld_az1_host11_mgmt_ip">'Deploy Workload Domain'!$C$73</definedName>
    <definedName name="sample_wld_az2_principal_storage_mask">'Configure Workload Domain'!$C$208</definedName>
    <definedName name="wld_az1_rack8_host16_hostname">'Value Reference Tables - MR'!$AD$217</definedName>
    <definedName name="wld_az1_rack4_principal_storage_pool_end_ip">'Value Reference Tables - MR'!$R$152</definedName>
    <definedName name="mgmt_az1_en2_uplink01_interface_cidr">'Value Reference Tables - MR'!$F$270</definedName>
    <definedName name="local_admin_password_alias">'Value Reference Tables'!$AA$20</definedName>
    <definedName name="sample_wld_az2_host10_fqdn">'Configure Workload Domain'!$C$241</definedName>
    <definedName name="cluster_domain_name">'Value Reference Tables'!$I$9</definedName>
    <definedName name="input_wld_az1_rack3_host_overlay_pool_end_ip">'Additional Racks'!$D$190</definedName>
    <definedName name="input_mgmt_az1_edge_overlay_mask">'Configure Management Domain'!$D$123</definedName>
    <definedName name="group_gg_vcf_viewers">'Value Reference Tables'!$L$154</definedName>
    <definedName name="input_mgmt_az1_vrms_mask">'Site Protection &amp; DR'!$D$172</definedName>
    <definedName name="cluster_az1_vmotion_cidr">'Value Reference Tables'!$I$21</definedName>
    <definedName name="wld_az1_host8_hostname">'Value Reference Tables - MR'!$I$225</definedName>
    <definedName name="sizing_sddc_manager_cpu">'Static Reference Tables'!$C$30</definedName>
    <definedName name="sample_wld_az1_rack3_uplink01_mtu">Arkham!$E$68</definedName>
    <definedName name="wld_az1_rack5_host16_fqdn">'Value Reference Tables - MR'!$U$236</definedName>
    <definedName name="sample_wld_az1_rack3_vsan_fault_domain">'Additional Racks'!$C$179</definedName>
    <definedName name="cluster_az1_host_overlay_new_pool_chosen">'Deploy Cluster'!$D$233</definedName>
    <definedName name="vvs_dr_vr_username">'Value Reference Tables'!$O$129</definedName>
    <definedName name="input_cluster_az1_nsx_uplink1_active">'Deploy Cluster'!$D$248</definedName>
    <definedName name="input_wld_az1_uplink02_vlan">'Configure Workload Domain'!$D$108</definedName>
    <definedName name="wld_cl01_supervisor_private_transit_gateway_cidr">'Value Reference Tables'!$F$186</definedName>
    <definedName name="sizing_w02_nsxt_gm_appliance_size">'Management Domain Sizing'!$M$37</definedName>
    <definedName name="wld_az1_rack3_host_overlay_uplink_profile_name">'Value Reference Tables - MR'!$O$171</definedName>
    <definedName name="mgmt_internet_proxy_port">'Value Reference Tables'!$O$56</definedName>
    <definedName name="wld_az1_rack2_principal_storage_vlan">'Value Reference Tables - MR'!$L$11</definedName>
    <definedName name="input_wld_cl01_vds03_name">'Deploy Workload Domain'!$D$261</definedName>
    <definedName name="input_wld_az1_rack5_host3_mgmt_ip">'Additional Racks'!$D$295</definedName>
    <definedName name="sample_mgmt_nsxt_global_mgr_anti_affinity_rule_name">'Configure Management Domain'!$C$469</definedName>
    <definedName name="sample_cluster_az1_nsx_uplink2">'Deploy Cluster'!$C$245</definedName>
    <definedName name="wld_az1_rack2_host3_fqdn">'Value Reference Tables - MR'!$L$223</definedName>
    <definedName name="wld_az1_rack6_uplink01_gateway_ip">'Value Reference Tables - MR'!$X$92</definedName>
    <definedName name="sample_wld_az1_rack3_secondary_storage_mask">'Dumping Ground'!$C$519</definedName>
    <definedName name="wld_az1_rack7_uplink02_vlan">'Value Reference Tables - MR'!$AA$16</definedName>
    <definedName name="sample_wld_az1_rack5_host13_fqdn">'Additional Racks'!$C$345</definedName>
    <definedName name="wld_az1_rack4_host16_mgmt_ip">'Value Reference Tables - MR'!$R$198</definedName>
    <definedName name="input_wld_az1_rack8_tor2_peer_ip">Arkham!$U$77</definedName>
    <definedName name="sample_wld_az1_rack2_host_overlay_mtu">'Additional Racks'!$C$92</definedName>
    <definedName name="wld_nsxt_en_root_password">'Value Reference Tables'!$F$192</definedName>
    <definedName name="cluster_az2_vmotion_gateway_ip">'Value Reference Tables'!$I$228</definedName>
    <definedName name="cluster_az2_tor1_peer_asn">'Value Reference Tables'!$I$308</definedName>
    <definedName name="sample_wld_az1_principal_storage_network">'Deploy Workload Domain'!$C$95</definedName>
    <definedName name="sample_wld_az1_rack7_host6_fqdn">'Additional Racks'!$C$524</definedName>
    <definedName name="sample_wld_az1_rack6_edge_overlay_network">Arkham!$N$61</definedName>
    <definedName name="input_mgmt_az1_host16_mgmt_ip">'Deploy Management Domain'!$L$345</definedName>
    <definedName name="sizing_w22_nsxt_gm_appliance_size">'Management Domain Sizing'!$M$57</definedName>
    <definedName name="flt_vidb_cluster">'Value Reference Tables'!$C$163</definedName>
    <definedName name="input_flt_vidb_version">'Deploy Fleet Management Day-N'!$D$124</definedName>
    <definedName name="sample_wld_nsxt_federation_location_name">'Configure Workload Domain'!$C$493</definedName>
    <definedName name="sample_wld_az1_rack4_host8_fqdn">'Additional Racks'!$C$247</definedName>
    <definedName name="wld_az1_rack7_tor1_peer_bgp_password">'Value Reference Tables - MR'!$AA$103</definedName>
    <definedName name="wld_az1_en2_mgmt_ip">Arkham!$R$20</definedName>
    <definedName name="input_mgmt_nsxt_mgrb_fqdn">'Deploy Management Domain'!$L$106</definedName>
    <definedName name="wld_avilb_ip">'Value Reference Tables'!$F$23</definedName>
    <definedName name="input_wld_az1_rack3_host_overlay_pool_start_ip">'Additional Racks'!$D$189</definedName>
    <definedName name="sample_mgmt_vrms_site_name">'Site Protection &amp; DR'!$C$152</definedName>
    <definedName name="input_cluster_az1_host11_mgmt_ip">'Deploy Cluster'!$D$39</definedName>
    <definedName name="vcf_automation_type_chosen">'Deploy Fleet Management Day-N'!$D$63</definedName>
    <definedName name="input_wld_az1_host16_mgmt_ip">'Deploy Workload Domain'!$D$78</definedName>
    <definedName name="ca_organization">'Value Reference Tables'!$O$43</definedName>
    <definedName name="input_wld_az1_rack8_edge_overlay_network_pool_name">'Additional Racks'!$D$640</definedName>
    <definedName name="cluster_vds03_lag_lbt_chosen">'Deploy Cluster'!$D$194</definedName>
    <definedName name="mgmt_srm_p12_password">'Value Reference Tables'!$U$79</definedName>
    <definedName name="sample_wld_az1_rack4_host12_mgmt_ip">'Additional Racks'!$C$211</definedName>
    <definedName name="sample_vvs_dr_parent_dns_zone">'Site Protection &amp; DR'!$C$17</definedName>
    <definedName name="table_vcfopsnet_collector_disk">'Static Reference Tables'!$B$230:$C$234</definedName>
    <definedName name="input_air_GPU_operator_namespace">'Private AI Ready Infrastructure'!$D$77</definedName>
    <definedName name="sizing_w23_vcenter_appliance_size">'Management Domain Sizing'!$D$58</definedName>
    <definedName name="wld_az1_rack5_en2_uplink01_interface_ip">'Value Reference Tables - MR'!$U$252</definedName>
    <definedName name="wld_az1_rack2_mgmt_vm_mask">'Value Reference Tables - MR'!$L$178</definedName>
    <definedName name="input_svc_hrm_vrops_user">'Active Directory Inputs'!$E$45</definedName>
    <definedName name="wld_az1_rack4_host14_hostname">'Value Reference Tables - MR'!$R$215</definedName>
    <definedName name="wld_az1_rack2_vrms_mtu">'Value Reference Tables - MR'!$L$80</definedName>
    <definedName name="wld_az1_rack3_host_fqdns">'Value Reference Tables - MR'!$O$221:$O$236</definedName>
    <definedName name="sizing_w14_nsxt_appliance_size">'Management Domain Sizing'!$I$49</definedName>
    <definedName name="sample_wld_az1_host15_fqdn">'Deploy Workload Domain'!$C$134</definedName>
    <definedName name="sample_mgmt_srm_recovery_vcenter_password">'Site Protection &amp; DR'!$C$219</definedName>
    <definedName name="spr_chosen">'Management Domain Sizing'!$B$63</definedName>
    <definedName name="sample_mgmt_az2_host2_mgmt_ip">'Configure Management Domain'!$C$231</definedName>
    <definedName name="sample_mgmt_az1_host5_mgmt_ip">'Deploy Management Domain'!$K$334</definedName>
    <definedName name="cluster_principal_storage_chosen">'Deploy Cluster'!$B$11</definedName>
    <definedName name="input_mgmt_az1_host11_fqdn">'Deploy Management Domain'!$L$138</definedName>
    <definedName name="sample_mgmt_az1_vsan_pool_end_ip">'Deploy Management Domain'!$K$171</definedName>
    <definedName name="sample_mgmt_cl01_vds01_uplink_count">'Deploy Management Domain'!$K$195</definedName>
    <definedName name="cluster_az2_principal_storage_pool_end_ip">'Value Reference Tables'!$I$239</definedName>
    <definedName name="sample_wld_az1_rack6_host12_mgmt_ip">'Additional Racks'!$C$397</definedName>
    <definedName name="sample_mgmt_az2_host16_vrms_ip">'Site Protection &amp; DR'!$C$208</definedName>
    <definedName name="input_wld_az1_rack8_tor2_peer_bgp_password">Arkham!$U$79</definedName>
    <definedName name="vcf_automation_admin_password">'Value Reference Tables'!$L$355</definedName>
    <definedName name="wld_az1_rack5_host9_mgmt_ip">'Value Reference Tables - MR'!$U$191</definedName>
    <definedName name="input_wld_nsxt_xreg_t1_name">'Configure Workload Domain'!$D$505</definedName>
    <definedName name="input_mgmt_az2_vsan_vlan">'Configure Management Domain'!$D$260</definedName>
    <definedName name="flt_custom_network_auto_nodeb_ip">'Value Reference Tables'!$L$317</definedName>
    <definedName name="wld_az1_rack2_uplink01_pg">'Value Reference Tables - MR'!$L$114</definedName>
    <definedName name="wld_az1_rack3_host6_mgmt_ip">'Value Reference Tables - MR'!$O$188</definedName>
    <definedName name="wld_az1_rack4_mgmt_vm_mask">'Value Reference Tables - MR'!$R$178</definedName>
    <definedName name="mgmt_az1_en2_eth1_uplink1">'Value Reference Tables'!$C$251</definedName>
    <definedName name="wld_az1_rack2_rtep_overlay_pool_end_ip">'Value Reference Tables - MR'!$L$162</definedName>
    <definedName name="sample_wld_az1_host15_mgmt_ip">'Deploy Workload Domain'!$C$77</definedName>
    <definedName name="sizing_ccm_hcx_disk">'Static Reference Tables'!$C$242</definedName>
    <definedName name="sample_ccm_aws_subnet">'Cross Cloud Mobility'!$C$25</definedName>
    <definedName name="wld_az1_host15_fqdn">'Value Reference Tables - MR'!$I$251</definedName>
    <definedName name="wld_az2_uplink02_mask">'Value Reference Tables - MR'!$I$331</definedName>
    <definedName name="input_wld_az1_rack3_host13_mgmt_ip">'Additional Racks'!$D$119</definedName>
    <definedName name="sample_wld_az1_rack5_host15_fqdn">'Additional Racks'!$C$347</definedName>
    <definedName name="sample_flt_custom_network_flt_ip">'Deploy Fleet Management Day-N'!$C$27</definedName>
    <definedName name="sample_wld_az1_rack4_edge_overlay_mask">Arkham!$H$67</definedName>
    <definedName name="sample_wld_az1_edge_overlay_cidr">'Configure Workload Domain'!$C$144</definedName>
    <definedName name="sample_mgmt_az1_host_overlay_network_pool_description">'Deploy Management Domain'!$K$256</definedName>
    <definedName name="input_mgmt_az2_host5_mgmt_ip">'Configure Management Domain'!$D$234</definedName>
    <definedName name="sample_wld_az1_rack2_uplink02_vlan">Arkham!$B$57</definedName>
    <definedName name="cluster_az2_secondary_storage_mtu">'Value Reference Tables'!$I$242</definedName>
    <definedName name="sample_wld_az1_rack2_secondary_storage_network">'Dumping Ground'!$C$510</definedName>
    <definedName name="input_xreg_vra_nodeb_ip">'Deploy Management Domain'!$L$81</definedName>
    <definedName name="wld_az1_rack5_host14_hostname">'Value Reference Tables - MR'!$U$215</definedName>
    <definedName name="input_wld_az1_rack7_host1_fqdn">'Additional Racks'!$D$519</definedName>
    <definedName name="wld_az1_rack4_host7_hostname">'Value Reference Tables - MR'!$R$208</definedName>
    <definedName name="sample_wld_az1_rack7_vmotion_pool_end_ip">'Additional Racks'!$C$507</definedName>
    <definedName name="wld_az1_rack8_vrms_gateway_ip">'Value Reference Tables - MR'!$AD$96</definedName>
    <definedName name="cluster_az1_secondary_storage_cidr">'Value Reference Tables'!$I$39</definedName>
    <definedName name="mgmt_vcenter_appliance_size_chosen">'Deploy Management Domain'!$L$91</definedName>
    <definedName name="cluster_az1_principal_storage_uplink2_chosen">'Deploy Cluster'!$D$218</definedName>
    <definedName name="wld_vrms_fqdn">'Value Reference Tables'!$R$129</definedName>
    <definedName name="input_wld_az1_rack8_host15_fqdn">'Additional Racks'!$D$626</definedName>
    <definedName name="sizing_w04_avi_appliance_size">'Management Domain Sizing'!$S$39</definedName>
    <definedName name="input_cluster_az1_host1_fqdn">'Deploy Cluster'!$D$84</definedName>
    <definedName name="flt_vidb_user_base_dn">'Value Reference Tables'!$C$188</definedName>
    <definedName name="wld_rack8_en_asn">'Value Reference Tables - MR'!$AD$100</definedName>
    <definedName name="wld_az1_rack5_tor2_peer_bgp_password">'Value Reference Tables - MR'!$U$106</definedName>
    <definedName name="input_wld_az1_rack8_host13_mgmt_ip">'Additional Racks'!$D$584</definedName>
    <definedName name="input_wld_az1_rack2_host2_fqdn">'Additional Racks'!$D$55</definedName>
    <definedName name="group_gg_vcf_admins">'Value Reference Tables'!$L$152</definedName>
    <definedName name="wld_az1_rack6_host_overlay_vlan">'Value Reference Tables - MR'!$X$12</definedName>
    <definedName name="wld_az1_rack3_host2_fqdn">'Value Reference Tables - MR'!$O$222</definedName>
    <definedName name="sample_mgmt_az2_host15_mgmt_ip">'Configure Management Domain'!$C$244</definedName>
    <definedName name="wld_az1_rack7_mgmt_gateway_ip">'Value Reference Tables - MR'!$AA$86</definedName>
    <definedName name="input_wld_az1_host7_vrms_ip">'Dumping Ground'!$D$299</definedName>
    <definedName name="input_mgmt_az2_host16_fqdn">'Configure Management Domain'!$D$294</definedName>
    <definedName name="wld_az1_rack8_host2_fqdn">'Value Reference Tables - MR'!$AD$222</definedName>
    <definedName name="sample_cluster_az2_principal_storage_pool_start_ip">'Deploy Cluster'!$C$296</definedName>
    <definedName name="wld_az1_rack3_host1_fqdn">'Value Reference Tables - MR'!$O$221</definedName>
    <definedName name="sizing_disk_groups_per_host">'Management Domain Sizing'!$C$87</definedName>
    <definedName name="wld_az1_rack2_principal_storage_network">'Value Reference Tables - MR'!$L$41</definedName>
    <definedName name="ca_state">'Value Reference Tables'!$O$45</definedName>
    <definedName name="mgmt_cl01_vds01_lag_name">'Value Reference Tables'!$C$97</definedName>
    <definedName name="input_mgmt_az1_en2_mgmt_ip">Arkham!$Q$18</definedName>
    <definedName name="wld_az1_rack8_host_overlay_mask">'Value Reference Tables - MR'!$AD$57</definedName>
    <definedName name="wld_az1_rack5_vrms_gateway_ip">'Value Reference Tables - MR'!$U$96</definedName>
    <definedName name="input_wld_az1_rack7_uplink01_mask">Arkham!$R$68</definedName>
    <definedName name="sizing_w12_nsxt_gm_appliance_size">'Management Domain Sizing'!$M$47</definedName>
    <definedName name="aws_regions">'Static Reference Tables'!$B$347:$B$374</definedName>
    <definedName name="input_wld_cl01_vds02_pnics">'Deploy Workload Domain'!$D$258</definedName>
    <definedName name="wld_az1_rack8_en1_hostname">'Value Reference Tables - MR'!$AD$239</definedName>
    <definedName name="input_mgmt_nsxt_global_mgrb_ip">'Configure Management Domain'!$D$427</definedName>
    <definedName name="sample_wld_az1_rack7_mgmt_vm_vlan">'Value Reference Tables - MR'!$K$264</definedName>
    <definedName name="input_cluster_az2_host10_fqdn">'Deploy Cluster'!$D$326</definedName>
    <definedName name="input_wld_az1_rack5_principal_storage_gateway_ip">'Additional Racks'!$D$327</definedName>
    <definedName name="wld_az1_rack2_vmotion_vlan">'Value Reference Tables - MR'!$L$10</definedName>
    <definedName name="input_vcf_automation_gateway_ip">'Deploy Fleet Management Day-N'!$D$93</definedName>
    <definedName name="sample_mgmt_az2_host14_mgmt_ip">'Configure Management Domain'!$C$243</definedName>
    <definedName name="input_wld_az1_host6_mgmt_ip">'Deploy Workload Domain'!$D$68</definedName>
    <definedName name="input_wld_srm_recovery_vcenter_fqdn">'Dumping Ground'!$D$85</definedName>
    <definedName name="input_cluster_az2_mgmt_gateway_ip">'Deploy Cluster'!$D$257</definedName>
    <definedName name="input_cluster_az2_storage_cluster_pool_start_ip">'Deploy Cluster'!$D$312</definedName>
    <definedName name="sample_wld_cl01_vds03_mtu">'Deploy Workload Domain'!$C$262</definedName>
    <definedName name="sample_wld_nsxt_global_mgr_anti_affinity_rule_name">'Configure Workload Domain'!$C$434</definedName>
    <definedName name="input_wld_az1_host8_fqdn">'Deploy Workload Domain'!$D$127</definedName>
    <definedName name="wld_az1_rack2_host_overlay_network_profile_name">'Value Reference Tables - MR'!$L$167</definedName>
    <definedName name="sample_wld_az1_host1_fqdn">'Deploy Workload Domain'!$C$120</definedName>
    <definedName name="wld_cl01_vds_copy_profile_chosen">'Deploy Workload Domain'!$D$234</definedName>
    <definedName name="input_mgmt_az2_vsan_mask">'Configure Management Domain'!$D$263</definedName>
    <definedName name="mgmt_srm_recovery_vcenter_password">'Value Reference Tables'!$U$92</definedName>
    <definedName name="sample_rwr_cert_locality">'On-Premises Ransomware Recovery'!$C$32</definedName>
    <definedName name="input_wld_nsxt_global_mgrc_ip">'Configure Workload Domain'!$D$405</definedName>
    <definedName name="input_mgmt_cl01_az1_vcf_mgmt_pg">Arkham!$B$9</definedName>
    <definedName name="wld_az1_rack4_host4_mgmt_ip">'Value Reference Tables - MR'!$R$186</definedName>
    <definedName name="sample_svc_inv_vrops_password">'Active Directory Inputs'!$F$34</definedName>
    <definedName name="sizing_w21_spr_chosen">'Management Domain Sizing'!$P$56</definedName>
    <definedName name="sample_vvs_dr_flt_logs_nodeb_fqdn">'Site Protection &amp; DR'!$C$36</definedName>
    <definedName name="sizing_w08_vcenter_storage_size">'Management Domain Sizing'!$F$43</definedName>
    <definedName name="xreg_vra_nodee_ip">Arkham!$R$8</definedName>
    <definedName name="prefix_wld_witness_cidr">'Value Reference Tables'!$AA$81</definedName>
    <definedName name="input_wld_az1_rack3_host_overlay_vlan">'Additional Racks'!$D$184</definedName>
    <definedName name="wld_az1_rack6_mgmt_vm_mtu">'Value Reference Tables - MR'!$X$69</definedName>
    <definedName name="sample_wld_witness_zone_vc_fqdn">'Configure Workload Domain'!$C$265</definedName>
    <definedName name="flt_custom_network_auto_nodea_ip">'Value Reference Tables'!$L$316</definedName>
    <definedName name="input_wld_az1_rack2_mgmt_mtu">'Additional Racks'!$D$12</definedName>
    <definedName name="sizing_w20_chosen">'Management Domain Sizing'!$C$55</definedName>
    <definedName name="input_wld_az1_rack2_host15_fqdn">'Additional Racks'!$D$68</definedName>
    <definedName name="sizing_w03_vcenter_appliance_size">'Management Domain Sizing'!$D$38</definedName>
    <definedName name="input_mgmt_user_vm_rp">'Deploy Management Domain'!$M$353</definedName>
    <definedName name="wld_az1_rack8_principal_storage_cidr">'Value Reference Tables - MR'!$AD$26</definedName>
    <definedName name="input_wld_host_overlay_transportzone">'Deploy Workload Domain'!$D$302</definedName>
    <definedName name="flt_logs_nodec_hostname">'Value Reference Tables'!$L$219</definedName>
    <definedName name="sample_wld_az1_rack4_host6_fqdn">'Additional Racks'!$C$245</definedName>
    <definedName name="sample_wld_az1_rack8_host_hostnames">'Additional Racks'!$C$612:$C$627</definedName>
    <definedName name="wld_az2_rtep_overlay_cidr">'Value Reference Tables - MR'!$I$303</definedName>
    <definedName name="wld_az1_rack5_mgmt_network">'Value Reference Tables - MR'!$U$39</definedName>
    <definedName name="sample_k8s_vcenter_tag">'Private AI Ready Infrastructure'!$C$23</definedName>
    <definedName name="input_ccm_vm_folder">'Cross Cloud Mobility'!$D$17</definedName>
    <definedName name="sample_wld_az1_rack5_host_overlay_uplink_profile_name">'Additional Racks'!$C$360</definedName>
    <definedName name="cluster_az1_host_overlay_network_profile_name">'Value Reference Tables'!$I$109</definedName>
    <definedName name="flt_vidb_directory_search_chosen">'Deploy Fleet Management Day-N'!$D$188</definedName>
    <definedName name="sample_wld_avilb_cluster_version">'Configure Workload Domain'!$C$151</definedName>
    <definedName name="input_k8s_vcenter_storage_policy">'Private AI Ready Infrastructure'!$D$47</definedName>
    <definedName name="sample_mgmt_srm_recovery_datastore">'Site Protection &amp; DR'!$C$252</definedName>
    <definedName name="flt_logs_upgrade_vm_compatabilty_chosen">'Deploy Fleet Management Day-N'!$D$264</definedName>
    <definedName name="cluster_az1_host_fqdns">'Value Reference Tables'!$I$71:$I$86</definedName>
    <definedName name="wld_az1_en2_uplink02_interface_cidr">'Value Reference Tables - MR'!$I$271</definedName>
    <definedName name="sample_wld_az1_rack3_host14_fqdn">'Additional Racks'!$C$160</definedName>
    <definedName name="cluster_az1_host15_fqdn">'Value Reference Tables'!$I$85</definedName>
    <definedName name="mgmt_az1_vsan_mtu">'Value Reference Tables - MR'!$F$72</definedName>
    <definedName name="sample_cluster_az2_host_overlay_gateway_ip">'Deploy Cluster'!$C$411</definedName>
    <definedName name="input_wld_az1_rack7_mgmt_vlan">'Additional Racks'!$D$474</definedName>
    <definedName name="input_wld_az1_rack8_tor1_peer_bgp_password">Arkham!$U$76</definedName>
    <definedName name="sample_wld_az1_rack5_host_overlay_mask">'Additional Racks'!$C$373</definedName>
    <definedName name="ccm_result">'Management Domain Sizing'!$I$66</definedName>
    <definedName name="sizing_w01_ssp_chosen">'Management Domain Sizing'!$V$36</definedName>
    <definedName name="sample_vcf_automation_cert_alias">'Deploy Fleet Management Day-N'!$C$68</definedName>
    <definedName name="input_wld_az2_secondary_storage_pool_start_ip">'Configure Workload Domain'!$D$218</definedName>
    <definedName name="mgmt_cl01_vsan_datastore">'Value Reference Tables'!$C$119</definedName>
    <definedName name="input_mgmt_witnessaz_mgmt_gateway_ip">'Configure Management Domain'!$D$306</definedName>
    <definedName name="wld_az1_rack2_vmotion_pool_start_ip">'Value Reference Tables - MR'!$L$149</definedName>
    <definedName name="input_wld_srm_vm_folder">'Dumping Ground'!$D$77</definedName>
    <definedName name="wld_nsxt_global_mgra_fqdn">'Value Reference Tables'!$F$49</definedName>
    <definedName name="input_wld_srm_vm_size">'Management Domain Sizing'!$F$72</definedName>
    <definedName name="sample_gg_vra_org_owners_group">'Active Directory Inputs'!$D$94</definedName>
    <definedName name="input_mgmt_az2_host_overlay_mtu">'Configure Management Domain'!$D$368</definedName>
    <definedName name="mgmt_az2_vm_vlan">'Value Reference Tables'!$AE$8</definedName>
    <definedName name="cluster_az1_principal_storage_lbt_chosen">'Deploy Cluster'!$D$216</definedName>
    <definedName name="sizing_w21_vcenter_appliance_size">'Management Domain Sizing'!$D$56</definedName>
    <definedName name="wld_az1_secondary_storage_gateway_ip">'Value Reference Tables - MR'!$I$90</definedName>
    <definedName name="wld_az2_secondary_storage_gateway_ip">'Value Reference Tables'!$AE$43</definedName>
    <definedName name="sftp_server_passphrase">'Value Reference Tables'!$O$51</definedName>
    <definedName name="sample_wld_vrms_site_name">'Dumping Ground'!$C$72</definedName>
    <definedName name="input_wld_az1_rack6_host_overlay_pool_start_ip">'Additional Racks'!$D$468</definedName>
    <definedName name="input_mgmt_vrms_recovery_replication_cidr">'Dumping Ground'!$D$63</definedName>
    <definedName name="sample_mgmt_az1_host4_mgmt_ip">'Deploy Management Domain'!$K$333</definedName>
    <definedName name="vcf_pnp_option_no">'Static Reference Tables'!$E$12</definedName>
    <definedName name="wld_cluster_compute_only">'Static Reference Tables'!$B$381</definedName>
    <definedName name="flt_net_node_gateway_ip">'Value Reference Tables'!$L$261</definedName>
    <definedName name="mgmt_az2_host14_hostname">'Value Reference Tables - MR'!$F$463</definedName>
    <definedName name="flt_net_cert_key_length_chosen">'Deploy Fleet Management Day-N'!$D$301</definedName>
    <definedName name="cluster_cl01_vds_copy_profile_chosen">'Deploy Cluster'!$D$162</definedName>
    <definedName name="sample_wld_az1_rack8_secondary_storage_mask">'Dumping Ground'!$C$559</definedName>
    <definedName name="sample_wld_az2_secondary_storage_mtu">'Configure Workload Domain'!$C$214</definedName>
    <definedName name="flt_logs_cert_alias">'Value Reference Tables'!$L$183</definedName>
    <definedName name="sample_wld_az1_rack8_uplink01_vlan">Arkham!$T$56</definedName>
    <definedName name="mgmt_srm_sso_domain_membership">'Value Reference Tables'!$U$99</definedName>
    <definedName name="wld_az1_rack4_vmotion_pg">'Value Reference Tables - MR'!$R$112</definedName>
    <definedName name="mgmt_cl01_vds02_uplink_count">'Value Reference Tables'!$C$102</definedName>
    <definedName name="sample_wld_az1_secondary_storage_mask">'Deploy Workload Domain'!$C$104</definedName>
    <definedName name="sizing_w12_vcenter_storage_size">'Management Domain Sizing'!$F$47</definedName>
    <definedName name="input_wld_az1_host5_vrms_ip">'Dumping Ground'!$D$297</definedName>
    <definedName name="input_wld_vc_fqdn">'Deploy Workload Domain'!$D$157</definedName>
    <definedName name="wld_az2_vrms_gateway_ip">'Value Reference Tables - MR'!$I$349</definedName>
    <definedName name="wld_az1_rack2_secondary_storage_mtu">'Value Reference Tables - MR'!$L$74</definedName>
    <definedName name="sample_wld_az1_rack5_principal_storage_mtu">'Additional Racks'!$C$324</definedName>
    <definedName name="mgmt_az2_host12_vrms_ip">'Value Reference Tables - MR'!$F$442</definedName>
    <definedName name="wld_az1_rack3_uplink02_gateway_ip">'Value Reference Tables - MR'!$O$93</definedName>
    <definedName name="sample_gg_kub_admins_group">'Active Directory Inputs'!$D$75</definedName>
    <definedName name="nsxt_gm_audit_password">'Value Reference Tables'!$L$23</definedName>
    <definedName name="xreg_vrops_collector_hostname">'Value Reference Tables'!$R$89</definedName>
    <definedName name="mgmt_host_overlay_addressing_chosen">'Deploy Management Domain'!$L$254</definedName>
    <definedName name="mgmt_az2_host7_hostname">'Value Reference Tables - MR'!$F$456</definedName>
    <definedName name="sizing_w13_vcenter_storage_size">'Management Domain Sizing'!$F$48</definedName>
    <definedName name="sample_mgmt_az2_host6_mgmt_ip">'Configure Management Domain'!$C$235</definedName>
    <definedName name="mgmt_az1_host_overlay_vlan">'Value Reference Tables - MR'!$F$12</definedName>
    <definedName name="wld_az1_rack8_host6_mgmt_ip">'Value Reference Tables - MR'!$AD$188</definedName>
    <definedName name="input_wld_az1_rack4_uplink01_mtu">Arkham!$I$68</definedName>
    <definedName name="input_cluster_az2_host3_mgmt_ip">'Deploy Cluster'!$D$263</definedName>
    <definedName name="wld_az1_rack2_secondary_storage_mask">'Value Reference Tables - MR'!$L$58</definedName>
    <definedName name="wld_az1_rack2_tor1_peer_bgp_password">'Value Reference Tables - MR'!$L$103</definedName>
    <definedName name="sample_rwr_cert_file">'On-Premises Ransomware Recovery'!$C$37</definedName>
    <definedName name="sample_cluster_az2_tor2_peer_asn">'Deploy Cluster'!$C$439</definedName>
    <definedName name="input_wld_az2_host9_mgmt_ip">'Configure Workload Domain'!$D$182</definedName>
    <definedName name="navigation_avi_lb_mgmt_domain">'Configure Management Domain'!$B$204</definedName>
    <definedName name="flt_vidb_pg">'Value Reference Tables'!$C$161</definedName>
    <definedName name="wld_az1_rack6_edge_overlay_cidr">'Value Reference Tables - MR'!$X$32</definedName>
    <definedName name="mgmt_vcf_management_network_chosen">Arkham!$P$5</definedName>
    <definedName name="wld_nsx_operation_mode_chosen">'Deploy Workload Domain'!$D$298</definedName>
    <definedName name="wld_az1_rack5_secondary_storage_pool_end_ip">'Value Reference Tables - MR'!$U$156</definedName>
    <definedName name="input_cluster_az1_host6_fqdn">'Deploy Cluster'!$D$89</definedName>
    <definedName name="sample_mgmt_az2_secondary_storage_vlan">'Configure Management Domain'!$C$268</definedName>
    <definedName name="wld_cl01_vds01_uplink_count">'Value Reference Tables'!$F$72</definedName>
    <definedName name="cluster_az1_vmotion_mask">'Value Reference Tables'!$I$20</definedName>
    <definedName name="mgmt_az2_uplink01_network">'Value Reference Tables - MR'!$F$312</definedName>
    <definedName name="sample_wld_az1_rack7_principal_storage_network">'Additional Racks'!$C$511</definedName>
    <definedName name="mgmt_nsxt_gm_vip_fqdn">'Value Reference Tables'!$C$60</definedName>
    <definedName name="input_flt_net_cluster">'Deploy Fleet Management Day-N'!$D$313</definedName>
    <definedName name="sample_wld_az1_rack8_host_overlay_mask">'Additional Racks'!$C$652</definedName>
    <definedName name="sample_cluster_az2_tor2_peer_ip">'Deploy Cluster'!$C$436</definedName>
    <definedName name="input_wld_az1_rack6_host3_fqdn">'Additional Racks'!$D$428</definedName>
    <definedName name="sample_wld_az2_host2_fqdn">'Configure Workload Domain'!$C$233</definedName>
    <definedName name="vvs_dr_flt_ops_nodea_hostname">'Value Reference Tables'!$O$113</definedName>
    <definedName name="wld_az1_rack6_host_overlay_mtu">'Value Reference Tables - MR'!$X$73</definedName>
    <definedName name="cluster_witnessaz_mgmt_vlan">'Value Reference Tables'!$I$260</definedName>
    <definedName name="wld_cl01_az1_vsan_uplink1_chosen">'Deploy Workload Domain'!$D$289</definedName>
    <definedName name="input_mgmt_az2_host2_mgmt_ip">'Configure Management Domain'!$D$231</definedName>
    <definedName name="mgmt_user_vm_rp">'Value Reference Tables'!$C$82</definedName>
    <definedName name="flt_vidb_user_name">'Value Reference Tables'!$C$180</definedName>
    <definedName name="sample_xreg_vrops_collector_fqdn">'Deploy Management Domain'!$K$70</definedName>
    <definedName name="input_wld_az1_rack2_principal_storage_mtu">'Additional Racks'!$D$45</definedName>
    <definedName name="wld_az1_rack3_mgmt_cidr">'Value Reference Tables - MR'!$O$24</definedName>
    <definedName name="cluster_nsx_vlan_transport_zone_name">'Value Reference Tables'!$I$167</definedName>
    <definedName name="mgmt_az2_mgmt_vm_cidr">'Value Reference Tables - MR'!$F$292</definedName>
    <definedName name="input_wld_az2_host4_fqdn">'Configure Workload Domain'!$D$235</definedName>
    <definedName name="sizing_w17_nsxt_model">'Management Domain Sizing'!$H$52</definedName>
    <definedName name="input_cluster_az2_principal_storage_network">'Deploy Cluster'!$D$293</definedName>
    <definedName name="input_wld_az1_rack6_host14_fqdn">'Additional Racks'!$D$439</definedName>
    <definedName name="input_wld_az1_rack4_vmotion_pool_start_ip">'Additional Racks'!$D$227</definedName>
    <definedName name="sample_wld_az1_rack6_mgmt_vm_cidr">'Value Reference Tables - MR'!$M$258</definedName>
    <definedName name="mgmt_az1_uplink01_vlan">'Value Reference Tables - MR'!$F$15</definedName>
    <definedName name="input_wld_nsxt_federation_global_manager_name">'Configure Workload Domain'!$D$475</definedName>
    <definedName name="sample_wld_bf_nsxt_admin_password">'Deploy Workload Domain'!$C$48</definedName>
    <definedName name="dri_ntp_servers">'Value Reference Tables'!$U$40</definedName>
    <definedName name="sample_wld_az1_rack7_secondary_storage_pool_start_ip">'Dumping Ground'!$C$553</definedName>
    <definedName name="sizing_w04_chosen">'Management Domain Sizing'!$C$39</definedName>
    <definedName name="sample_wld_az1_rack8_host_overlay_network_pool_name">'Additional Racks'!$C$638</definedName>
    <definedName name="wld_az1_rack8_en2_hostname">'Value Reference Tables - MR'!$AD$249</definedName>
    <definedName name="sample_vrslcm_xreg_vm_folder">'Dumping Ground'!$C$98</definedName>
    <definedName name="input_ccm_firewall_rule_hcx">'Cross Cloud Mobility'!$D$28</definedName>
    <definedName name="sizing_ccm_hcx_cpu">'Static Reference Tables'!$C$240</definedName>
    <definedName name="sample_wld_az1_host10_vrms_ip">'Dumping Ground'!$C$302</definedName>
    <definedName name="sample_wld_az1_rack5_host_mgmt_ips">'Additional Racks'!$C$293:$C$308</definedName>
    <definedName name="wld_az1_host_hostnames">'Value Reference Tables - MR'!$I$218:$I$233</definedName>
    <definedName name="mgmt_az2_host_overlay_network_pool_name">'Value Reference Tables - MR'!$F$400</definedName>
    <definedName name="input_vcf_automation_noded_ip">'Deploy Fleet Management Day-N'!$D$116</definedName>
    <definedName name="input_cbr_aria_logs_key">'Cloud-Based Ransomware Recovery'!$D$39</definedName>
    <definedName name="input_wld_avilb_cluster_name">'Configure Workload Domain'!$D$161</definedName>
    <definedName name="input_mgmt_az2_vmotion_gateway_ip">'Configure Management Domain'!$D$256</definedName>
    <definedName name="sizing_w13_ssp_chosen">'Management Domain Sizing'!$V$48</definedName>
    <definedName name="input_wld_az1_rack3_host6_mgmt_ip">'Additional Racks'!$D$112</definedName>
    <definedName name="input_flt_net_node_gateway_ip">'Deploy Fleet Management Day-N'!$D$325</definedName>
    <definedName name="group_gg_vc_read_only">'Value Reference Tables'!$L$156</definedName>
    <definedName name="wld_az1_rack3_vsan_fault_domain">'Value Reference Tables - MR'!$O$174</definedName>
    <definedName name="sample_cluster_nfs_server_address">'Deploy Cluster'!$C$136</definedName>
    <definedName name="wld_az1_rack7_secondary_storage_gateway_ip">'Value Reference Tables - MR'!$AA$90</definedName>
    <definedName name="wld_az1_rack2_host9_hostname">'Value Reference Tables - MR'!$L$210</definedName>
    <definedName name="input_cluster_az1_mgmt_pg">'Deploy Cluster'!$D$200</definedName>
    <definedName name="input_wld_rack6_en_asn">Arkham!$O$73</definedName>
    <definedName name="sample_cbr_vcdr_cdp2_hostname">'Cloud-Based Ransomware Recovery'!$D$10</definedName>
    <definedName name="input_cluster_az1_host3_mgmt_ip">'Deploy Cluster'!$D$31</definedName>
    <definedName name="sample_wld_cl01_vds02_name">'Deploy Workload Domain'!$C$250</definedName>
    <definedName name="flt_net_fips_mode_chosen">'Deploy Fleet Management Day-N'!$D$332</definedName>
    <definedName name="input_wld_az2_host_overlay_pool_end_ip">'Configure Workload Domain'!$D$328</definedName>
    <definedName name="ccm_hcx_vsphere_svc_user">'Value Reference Tables'!$U$158</definedName>
    <definedName name="wld_az1_rack8_host11_fqdn">'Value Reference Tables - MR'!$AD$231</definedName>
    <definedName name="input_wld_cl01_az1_nsx_uplink_count">'Deploy Workload Domain'!$D$315</definedName>
    <definedName name="flt_fc_fqdn">Arkham!$R$31</definedName>
    <definedName name="input_mgmt_cl01_az1_nfs_pg">'Deploy Management Domain'!$L$241</definedName>
    <definedName name="input_cluster_witness_dns2_ip">'Deploy Cluster'!$D$364</definedName>
    <definedName name="input_wld_az2_host13_vrms_ip">'Dumping Ground'!$D$322</definedName>
    <definedName name="xreg_vra_virtual_hostname">'Value Reference Tables'!$R$48</definedName>
    <definedName name="wld_az1_rack7_secondary_storage_pool_start_ip">'Value Reference Tables - MR'!$AA$155</definedName>
    <definedName name="sample_wld_az1_rack3_host7_fqdn">'Additional Racks'!$C$153</definedName>
    <definedName name="wld_az1_rack4_mgmt_vm_mtu">'Value Reference Tables - MR'!$R$69</definedName>
    <definedName name="mgmt_az2_host_overlay_pool_start_ip">'Value Reference Tables - MR'!$F$389</definedName>
    <definedName name="sample_wld_az1_rack3_principal_storage_cidr">Arkham!$B$25</definedName>
    <definedName name="sample_wld_az1_rack2_edge_overlay_pool_end_ip">Arkham!$B$72</definedName>
    <definedName name="input_wld_az1_rack8_host_overlay_cidr">Arkham!$C$47</definedName>
    <definedName name="flt_vidb_cert_key_length_chosen">'Deploy Fleet Management Day-N'!$D$136</definedName>
    <definedName name="wld_az1_rack5_host_overlay_pool_start_ip">'Value Reference Tables - MR'!$U$153</definedName>
    <definedName name="wld_az1_rack2_host10_mgmt_ip">'Value Reference Tables - MR'!$L$192</definedName>
    <definedName name="input_flt_ic_fqdn">Arkham!$Q$30</definedName>
    <definedName name="sample_mgmt_az2_host2_sddc_id">'Configure Management Domain'!$C$346</definedName>
    <definedName name="wld_az1_rack8_uplink02_vlan">'Value Reference Tables - MR'!$AD$16</definedName>
    <definedName name="sample_wld_sso_domain_name">'Deploy Workload Domain'!$C$150</definedName>
    <definedName name="sample_flt_logs_cert_locality">'Deploy Fleet Management Day-N'!$C$221</definedName>
    <definedName name="mgmt_srm_recovery_sddc_manager_fqdn">'Value Reference Tables'!$U$52</definedName>
    <definedName name="input_wld_az1_rack7_vmotion_pool_start_ip">'Additional Racks'!$D$506</definedName>
    <definedName name="wld_az1_rack4_host16_hostname">'Value Reference Tables - MR'!$R$217</definedName>
    <definedName name="vvs_dr_flt_net_nodeb_hostname">'Value Reference Tables'!$O$120</definedName>
    <definedName name="sample_wld_az1_rack5_host16_mgmt_ip">'Additional Racks'!$C$308</definedName>
    <definedName name="cluster_az2_host_overlay_pool_start_ip">'Value Reference Tables'!$I$288</definedName>
    <definedName name="input_svc_vra_vcf_password">'Active Directory Inputs'!$G$39</definedName>
    <definedName name="sample_flt_net_prxy_portgroup">'Deploy Fleet Management Day-N'!$C$358</definedName>
    <definedName name="mgmt_az2_host7_fqdn">'Value Reference Tables - MR'!$F$475</definedName>
    <definedName name="sample_wld_az1_rack7_host14_mgmt_ip">'Additional Racks'!$C$492</definedName>
    <definedName name="sample_parent_ad_groups_ou">'Active Directory Inputs'!$D$10</definedName>
    <definedName name="sample_cluster_az2_host14_mgmt_ip">'Deploy Cluster'!$C$274</definedName>
    <definedName name="sample_mgmt_az2_host_overlay_pool_end_ip">'Configure Management Domain'!$C$370</definedName>
    <definedName name="sample_mgmt_az1_host6_mgmt_ip">'Deploy Management Domain'!$K$335</definedName>
    <definedName name="wld_az1_rack2_host1_hostname">'Value Reference Tables - MR'!$L$202</definedName>
    <definedName name="sample_wld_az2_host16_vrms_ip">'Dumping Ground'!$C$325</definedName>
    <definedName name="wld_az1_rack8_host_overlay_network_pool_name">'Value Reference Tables - MR'!$AD$169</definedName>
    <definedName name="input_wld_az1_rack5_host5_fqdn">'Additional Racks'!$D$337</definedName>
    <definedName name="xreg_vrops_nodea_ip">'Value Reference Tables'!$R$78</definedName>
    <definedName name="input_flt_vidb_cert_locality">'Deploy Fleet Management Day-N'!$D$134</definedName>
    <definedName name="input_mgmt_az1_mgmt_cidr">'Deploy Management Domain'!$L$150</definedName>
    <definedName name="sample_wld_az1_rack5_host9_fqdn">'Additional Racks'!$C$341</definedName>
    <definedName name="sizing_w02_nsxt_appliance_size">'Management Domain Sizing'!$I$37</definedName>
    <definedName name="input_wld_az1_rack8_vmotion_cidr">Arkham!$C$44</definedName>
    <definedName name="sample_mgmt_az2_secondary_storage_pool_start_ip">'Configure Management Domain'!$C$273</definedName>
    <definedName name="input_wld_ec01_en02_host_group_affinity_rule_name">'Configure Workload Domain'!$D$72</definedName>
    <definedName name="sample_mgmt_nsxt_gm_vip_ip">'Configure Management Domain'!$C$475</definedName>
    <definedName name="wld_az1_rack7_en2_uplink01_interface_ip">'Value Reference Tables - MR'!$AA$252</definedName>
    <definedName name="wld_az1_rack7_host14_mgmt_ip">'Value Reference Tables - MR'!$AA$196</definedName>
    <definedName name="wld_az1_rack6_vmotion_vlan">'Value Reference Tables - MR'!$X$10</definedName>
    <definedName name="sample_mgmt_az2_host16_fqdn">'Configure Management Domain'!$C$294</definedName>
    <definedName name="input_mgmt_az1_tor1_peer_ip">'Configure Management Domain'!$D$160</definedName>
    <definedName name="wld_sso_domain_name">'Value Reference Tables'!$F$144</definedName>
    <definedName name="sample_mgmt_cl01_cluster">'Deploy Management Domain'!$K$94</definedName>
    <definedName name="input_wld_az1_rack7_principal_storage_pool_start_ip">'Additional Racks'!$D$514</definedName>
    <definedName name="mgmt_en_asn">'Value Reference Tables - MR'!$F$100</definedName>
    <definedName name="wld_az1_rack3_mgmt_vm_mtu">'Value Reference Tables - MR'!$O$69</definedName>
    <definedName name="wld_srm_p12_password">'Value Reference Tables'!$U$116</definedName>
    <definedName name="input_mgmt_cl01_vds02_lag_name">'Deploy Management Domain'!$L$202</definedName>
    <definedName name="wld_cl01_vds_standard_preconfigured_profiles">'Static Reference Tables'!$F$44:$F$48</definedName>
    <definedName name="sample_wld_vrms_vm_folder">'Dumping Ground'!$C$69</definedName>
    <definedName name="mgmt_az1_vsan_pool_start_ip">'Value Reference Tables - MR'!$F$151</definedName>
    <definedName name="mgmt_cl01_vds02_lag_name">'Value Reference Tables'!$C$104</definedName>
    <definedName name="mgmt_cl01_az1_vmotion_uplink2_chosen">'Deploy Management Domain'!$L$234</definedName>
    <definedName name="mgmt_cl01_az1_nfs_uplink1_chosen">'Deploy Management Domain'!$L$243</definedName>
    <definedName name="sample_wld_az1_rack8_host9_mgmt_ip">'Additional Racks'!$C$580</definedName>
    <definedName name="wld_az2_uplink01_mtu">'Value Reference Tables - MR'!$I$360</definedName>
    <definedName name="input_wld_az1_host13_fqdn">'Deploy Workload Domain'!$D$132</definedName>
    <definedName name="input_cbr_recovery_host_count">'Cloud-Based Ransomware Recovery'!$D$21</definedName>
    <definedName name="sample_vvs_dr_dns2_ip">'Site Protection &amp; DR'!$C$70</definedName>
    <definedName name="sample_mgmt_host_overlay_transportzone">'Deploy Management Domain'!$K$252</definedName>
    <definedName name="sample_wld_az1_rack4_host15_mgmt_ip">'Additional Racks'!$C$214</definedName>
    <definedName name="wld_az1_rack7_edge_overlay_pool_start_ip">'Value Reference Tables - MR'!$AA$159</definedName>
    <definedName name="sample_wld_az1_rack2_edge_overlay_mask">Arkham!$B$67</definedName>
    <definedName name="wld_az1_rack2_mgmt_mask">'Value Reference Tables - MR'!$L$179</definedName>
    <definedName name="sample_mgmt_az2_host11_vrms_ip">'Site Protection &amp; DR'!$C$203</definedName>
    <definedName name="wld_az2_host15_fqdn">'Value Reference Tables - MR'!$I$491</definedName>
    <definedName name="wld_az1_rack5_host_overlay_gateway_ip">'Value Reference Tables - MR'!$U$89</definedName>
    <definedName name="input_wld_az1_rack6_host2_fqdn">'Additional Racks'!$D$427</definedName>
    <definedName name="mgmt_cl01_vds01_pnics">'Value Reference Tables'!$C$93:$C$94</definedName>
    <definedName name="input_mgmt_az1_en2_fqdn">'Configure Management Domain'!$D$125</definedName>
    <definedName name="mgmt_az2_tor1_peer_bgp_password">'Value Reference Tables - MR'!$F$365</definedName>
    <definedName name="mgmt_az1_uplink01_cidr">'Value Reference Tables - MR'!$F$30</definedName>
    <definedName name="mgmt_vrms_root_password">'Value Reference Tables'!$U$66</definedName>
    <definedName name="wld_az1_rack6_en1_uplink02_interface_ip">'Value Reference Tables - MR'!$X$243</definedName>
    <definedName name="wld_az1_rack5_pool_name">'Value Reference Tables - MR'!$U$166</definedName>
    <definedName name="input_mgmt_az2_host13_mgmt_ip">'Configure Management Domain'!$D$242</definedName>
    <definedName name="input_region_ad_parent_netbios">'Active Directory Inputs'!$G$8</definedName>
    <definedName name="cluster_az1_host_overlay_gateway_ip">'Value Reference Tables'!$I$166</definedName>
    <definedName name="sample_wld_az1_rack4_principal_storage_mtu">'Additional Racks'!$C$231</definedName>
    <definedName name="wld_az1_rack5_host11_hostname">'Value Reference Tables - MR'!$U$212</definedName>
    <definedName name="xreg_vrops_virtual_ip">'Value Reference Tables'!$R$77</definedName>
    <definedName name="sample_mgmt_srm_recovery_sddc_manager_username">'Dumping Ground'!$C$18</definedName>
    <definedName name="wld_az1_rack5_edge_overlay_network">'Value Reference Tables - MR'!$U$47</definedName>
    <definedName name="input_vcf_automation_cert_locality">'Deploy Fleet Management Day-N'!$D$74</definedName>
    <definedName name="input_mgmt_srm_recovery_cluster">'Site Protection &amp; DR'!$D$324</definedName>
    <definedName name="sample_flt_net_cert_locality">'Deploy Fleet Management Day-N'!$C$299</definedName>
    <definedName name="input_wld_az1_rack2_host5_mgmt_ip">'Additional Racks'!$D$18</definedName>
    <definedName name="sample_gg_vrli_users_group">'Active Directory Inputs'!$D$80</definedName>
    <definedName name="sample_wld_az1_rack6_edge_overlay_pool_end_ip">Arkham!$N$72</definedName>
    <definedName name="wld_az1_rack2_vrms_cidr">'Value Reference Tables - MR'!$L$34</definedName>
    <definedName name="sample_wld_az1_rack2_mgmt_vm_cidr">'Value Reference Tables - MR'!$M$254</definedName>
    <definedName name="wld_az1_rack4_uplink01_mtu">'Value Reference Tables - MR'!$R$76</definedName>
    <definedName name="wld_az1_host16_mgmt_ip">'Value Reference Tables - MR'!$I$198</definedName>
    <definedName name="sizing_w07_vcenter_appliance_size">'Management Domain Sizing'!$D$42</definedName>
    <definedName name="sample_wld_az1_rack2_host7_mgmt_ip">'Additional Racks'!$C$20</definedName>
    <definedName name="sample_vcf_automation_admin_username">'Deploy Fleet Management Day-N'!$C$99</definedName>
    <definedName name="wld_az1_rack2_en1_edge_overlay_interface_ip_1_ip">'Value Reference Tables - MR'!$L$244</definedName>
    <definedName name="sample_mgmt_cl01_vds01_uplink2">'Deploy Management Domain'!$K$197</definedName>
    <definedName name="mgmt_vrms_mgmt_ip">'Value Reference Tables'!$R$101</definedName>
    <definedName name="sample_mgmt_az2_host_overlay_gateway_ip">'Configure Management Domain'!$C$366</definedName>
    <definedName name="cluster_az1_host_mgmt_ips">'Value Reference Tables'!$I$53:$I$68</definedName>
    <definedName name="wld_az1_rack2_host7_fqdn">'Value Reference Tables - MR'!$L$227</definedName>
    <definedName name="wld_az1_rack2_edge_overlay_pool_start_ip">'Value Reference Tables - MR'!$L$159</definedName>
    <definedName name="flt_logs_vip_fqdn">'Value Reference Tables'!$L$191</definedName>
    <definedName name="sample_svc_inv_vsphere_password">'Active Directory Inputs'!$F$33</definedName>
    <definedName name="input_wld_az1_rack6_rtep_ip_pool_name">'Additional Racks'!$D$455</definedName>
    <definedName name="ca_email_address">'Value Reference Tables'!$O$41</definedName>
    <definedName name="wld_az1_rack6_principal_storage_cidr">'Value Reference Tables - MR'!$X$26</definedName>
    <definedName name="sample_mgmt_nsxt_global_mgrc_hostname">'Configure Management Domain'!$C$434</definedName>
    <definedName name="cluster_az1_nsx_uplink2">'Value Reference Tables'!$I$170</definedName>
    <definedName name="sample_svc_vra_vsphere_password">'Active Directory Inputs'!$F$37</definedName>
    <definedName name="input_cluster_az1_storage_cluster_gateway_ip">'Deploy Cluster'!$D$78</definedName>
    <definedName name="vcf_automation_admin_password_alias">'Value Reference Tables'!$L$354</definedName>
    <definedName name="sizing_w19_avi_appliance_size">'Management Domain Sizing'!$S$54</definedName>
    <definedName name="wld_az1_en1_eth1_uplink0">'Value Reference Tables'!$C$255</definedName>
    <definedName name="sample_wld_az1_rack3_host_overlay_pool_end_ip">'Additional Racks'!$C$190</definedName>
    <definedName name="sample_cluster_az2_tor1_peer_ip">'Deploy Cluster'!$C$431</definedName>
    <definedName name="sample_wld_az1_rack7_uplink02_mtu">Arkham!$Q$72</definedName>
    <definedName name="input_flt_custom_network_ops_collector_fqdn">'Deploy Fleet Management Day-N'!$D$44</definedName>
    <definedName name="input_wld_az1_rack4_host8_fqdn">'Additional Racks'!$D$247</definedName>
    <definedName name="wld_az1_rack5_en2_hostname">'Value Reference Tables - MR'!$U$249</definedName>
    <definedName name="wld_az1_host4_hostname">'Value Reference Tables - MR'!$I$221</definedName>
    <definedName name="sample_svc_iom_vcf_password">'Active Directory Inputs'!$F$27</definedName>
    <definedName name="sample_gg_vra_orchestrator_viewers_group">'Active Directory Inputs'!$D$103</definedName>
    <definedName name="input_wld_az1_rack5_host_overlay_uplink_profile_name">'Additional Racks'!$D$360</definedName>
    <definedName name="wld_az1_rack7_host_overlay_vlan">'Value Reference Tables - MR'!$AA$12</definedName>
    <definedName name="sample_xreg_vrops_nodec_ip">'Deploy Management Domain'!$K$310</definedName>
    <definedName name="sample_xreg_vrops_vm_folder">'Dumping Ground'!$C$106</definedName>
    <definedName name="sample_cluster_az1_storage_cluster_mtu">'Deploy Cluster'!$C$75</definedName>
    <definedName name="input_flt_net_cert_alias">'Deploy Fleet Management Day-N'!$D$293</definedName>
    <definedName name="sample_wld_az1_rack8_edge_overlay_network">Arkham!$T$61</definedName>
    <definedName name="k8s_harbor_fqdn">'Value Reference Tables'!$R$34</definedName>
    <definedName name="sample_wld_witness_mgmt_pg">'Configure Workload Domain'!$C$271</definedName>
    <definedName name="wld_vrms_mgmt_ip">'Value Reference Tables'!$R$108</definedName>
    <definedName name="sample_mgmt_az1_host_overlay_pool_start_ip">'Deploy Management Domain'!$K$258</definedName>
    <definedName name="cluster_az2_host7_fqdn">'Value Reference Tables'!$I$298</definedName>
    <definedName name="wld_nsxt_global_mgrc_hostname">'Value Reference Tables'!$F$38</definedName>
    <definedName name="wld_dedicated_edge_cluster_chosen_include">'Static Reference Tables'!$B$385:$B$386</definedName>
    <definedName name="sample_wld_az2_host6_fqdn">'Configure Workload Domain'!$C$237</definedName>
    <definedName name="mgmt_az2_uplink01_cidr">'Value Reference Tables - MR'!$F$298</definedName>
    <definedName name="input_cluster_vmfs_datastore_name">'Deploy Cluster'!$D$133</definedName>
    <definedName name="input_wld_az1_rack3_vmotion_cidr">Arkham!$C$24</definedName>
    <definedName name="input_wld_az1_secondary_storage_pool_end_ip">'Deploy Workload Domain'!$D$107</definedName>
    <definedName name="wld_az1_rack4_uplink02_mtu">'Value Reference Tables - MR'!$R$77</definedName>
    <definedName name="wld_az1_rack8_host8_hostname">'Value Reference Tables - MR'!$AD$209</definedName>
    <definedName name="mgmt_az1_mgmt_mtu">'Value Reference Tables - MR'!$F$70</definedName>
    <definedName name="cluster_az2_storage_cluster_mtu">'Value Reference Tables'!$I$250</definedName>
    <definedName name="wld_az1_rack5_uplink01_vlan">'Value Reference Tables - MR'!$U$15</definedName>
    <definedName name="sample_mgmt_az1_edge_overlay_pool_end_ip">'Configure Management Domain'!$C$119</definedName>
    <definedName name="sample_wld_az1_rack4_tor2_peer_asn">Arkham!$H$78</definedName>
    <definedName name="input_wld_az2_host10_fqdn">'Configure Workload Domain'!$D$241</definedName>
    <definedName name="mgmt_witnessaz_mgmt_cidr">'Value Reference Tables'!$L$177</definedName>
    <definedName name="sample_wld_az1_rack3_host8_mgmt_ip">'Additional Racks'!$C$114</definedName>
    <definedName name="input_flt_custom_network_ops_nodec_fqdn">'Deploy Fleet Management Day-N'!$D$35</definedName>
    <definedName name="input_svc_vra_vrops_user">'Active Directory Inputs'!$E$41</definedName>
    <definedName name="sample_wld_az1_rack4_host_mgmt_ips">'Additional Racks'!$C$200:$C$215</definedName>
    <definedName name="wld_az1_rack8_host_overlay_network_profile_name">'Value Reference Tables - MR'!$AD$167</definedName>
    <definedName name="wld_esxi_external_certs_chosen">'Deploy Workload Domain'!$B$17</definedName>
    <definedName name="input_wld_witness_ip">'Configure Workload Domain'!$D$274</definedName>
    <definedName name="sample_wld_az1_rack4_host_overlay_network_pool_name">'Additional Racks'!$C$266</definedName>
    <definedName name="mgmt_az1_host_overlay_gateway_ip">'Value Reference Tables - MR'!$F$89</definedName>
    <definedName name="input_wld_az1_secondary_storage_pool_start_ip">'Deploy Workload Domain'!$D$106</definedName>
    <definedName name="cluster_az1_principal_storage_gateway_ip">'Value Reference Tables'!$I$31</definedName>
    <definedName name="sample_wld_az1_rack4_host9_mgmt_ip">'Additional Racks'!$C$208</definedName>
    <definedName name="flt_vidb_password_alias">'Value Reference Tables'!$C$237</definedName>
    <definedName name="sample_wld_az1_host4_vrms_ip">'Dumping Ground'!$C$296</definedName>
    <definedName name="sizing_w22_ssp_chosen">'Management Domain Sizing'!$V$57</definedName>
    <definedName name="input_child_dns_zone">Arkham!$C$11</definedName>
    <definedName name="input_cbr_vcdr_email_sender">'Cloud-Based Ransomware Recovery'!$D$37</definedName>
    <definedName name="cluster_az1_host14_fqdn">'Value Reference Tables'!$I$84</definedName>
    <definedName name="sizing_w10_ssp_chosen">'Management Domain Sizing'!$V$45</definedName>
    <definedName name="sample_flt_vidb_directory_name">'Deploy Fleet Management Day-N'!$C$179</definedName>
    <definedName name="flt_custom_network_flt_existing_chosen">'Deploy Fleet Management Day-N'!$D$25</definedName>
    <definedName name="sample_wld_existing_active_nsx_gm">'Configure Workload Domain'!$C$512</definedName>
    <definedName name="sample_wld_az1_rack6_host14_fqdn">'Additional Racks'!$C$439</definedName>
    <definedName name="wld_az1_rack3_en1_uplink02_interface_ip">'Value Reference Tables - MR'!$O$243</definedName>
    <definedName name="sizing_vm_storage_requirements">'Management Domain Sizing'!$M$28</definedName>
    <definedName name="input_wld_az1_rack2_edge_overlay_pool_end_ip">Arkham!$C$72</definedName>
    <definedName name="input_mgmt_cross_instance_linked_t0_name">'Configure Management Domain'!$D$523</definedName>
    <definedName name="input_wld_az1_rack8_host_overlay_vlan">'Additional Racks'!$D$649</definedName>
    <definedName name="sample_wld_rack7_en_asn">Arkham!$Q$76</definedName>
    <definedName name="wld_az1_host6_mgmt_ip">'Value Reference Tables - MR'!$I$188</definedName>
    <definedName name="wld_nsxt_gm_root_password">'Value Reference Tables'!$L$24</definedName>
    <definedName name="input_wld_nsxt_global_mgrc_hostname">'Configure Workload Domain'!$D$395</definedName>
    <definedName name="sample_cluster_az2_host_overlay_vlan">'Deploy Cluster'!$C$409</definedName>
    <definedName name="input_mgmt_cl01_cluster_sddc_id">'Configure Management Domain'!$D$374</definedName>
    <definedName name="input_k8s_kubectl_path">'Private AI Ready Infrastructure'!$D$26</definedName>
    <definedName name="wld_az1_rack6_host7_hostname">'Value Reference Tables - MR'!$X$208</definedName>
    <definedName name="sample_mgmt_avilb_mgrc_ip">'Configure Management Domain'!$C$215</definedName>
    <definedName name="sample_flt_vidb_folder">'Deploy Fleet Management Day-N'!$C$143</definedName>
    <definedName name="input_wld_az1_rack6_secondary_storage_network">'Dumping Ground'!$D$542</definedName>
    <definedName name="sample_wld_az1_en2_edge_overlay_interface_ip_2_ip">'Configure Workload Domain'!$C$88</definedName>
    <definedName name="input_wld_az1_rack3_vsan_fault_domain">'Additional Racks'!$D$179</definedName>
    <definedName name="sample_gg_vcf_viewers_group">'Active Directory Inputs'!$D$66</definedName>
    <definedName name="wld_az1_rack3_en2_uplink01_interface_ip">'Value Reference Tables - MR'!$O$252</definedName>
    <definedName name="input_wld_ec_rp_name">'Configure Workload Domain'!$D$44</definedName>
    <definedName name="wld_nsxt_mgrb_hostname">'Value Reference Tables'!$F$33</definedName>
    <definedName name="wld_az2_mgmt_cidr">'Value Reference Tables - MR'!$I$294</definedName>
    <definedName name="mgmt_az1_host3_hostname">'Value Reference Tables - MR'!$F$220</definedName>
    <definedName name="sample_vvs_dr_mgmt_az1_mgmt_vm_pg">'Site Protection &amp; DR'!$C$104</definedName>
    <definedName name="mgmt_az1_rtep_overlay_mtu">'Value Reference Tables - MR'!$F$79</definedName>
    <definedName name="sample_wld_az1_rack2_mgmt_vm_vlan">'Value Reference Tables - MR'!$K$259</definedName>
    <definedName name="sample_k8s_vm_class">'Private AI Ready Infrastructure'!$C$27</definedName>
    <definedName name="flt_logs_time_sync_mode">'Deploy Fleet Management Day-N'!$D$268</definedName>
    <definedName name="input_mgmt_witness_fqdn">'Configure Management Domain'!$D$371</definedName>
    <definedName name="input_wld_az1_rack8_host12_fqdn">'Additional Racks'!$D$623</definedName>
    <definedName name="vcf_automation_cert_country_code">'Value Reference Tables'!$L$339</definedName>
    <definedName name="input_vcf_automation_version">'Deploy Fleet Management Day-N'!$D$64</definedName>
    <definedName name="input_cluster_name">'Deploy Cluster'!$D$117</definedName>
    <definedName name="input_parent_dns_zone">'Deploy Management Domain'!$L$43</definedName>
    <definedName name="sample_wld_az1_rack6_host_hostnames">'Additional Racks'!$C$426:$C$441</definedName>
    <definedName name="input_wld_az1_rack5_secondary_storage_gateway_ip">'Dumping Ground'!$D$536</definedName>
    <definedName name="flt_logs_cert_country_code">'Value Reference Tables'!$L$187</definedName>
    <definedName name="sample_flt_vidb_employeeID">'Deploy Fleet Management Day-N'!$C$198</definedName>
    <definedName name="sizing_w10_gm_chosen">'Management Domain Sizing'!$L$45</definedName>
    <definedName name="input_wld_az1_rack2_principal_storage_pool_end_ip">'Additional Racks'!$D$50</definedName>
    <definedName name="sample_mgmt_az2_vmotion_network">'Configure Management Domain'!$C$254</definedName>
    <definedName name="wld_az1_rack8_uplink01_vlan">'Value Reference Tables - MR'!$AD$15</definedName>
    <definedName name="wld_az1_host14_vrms_ip">'Value Reference Tables - MR'!$I$212</definedName>
    <definedName name="mgmt_az2_host_overlay_pg">'Value Reference Tables - MR'!$F$376</definedName>
    <definedName name="cluster_az2_storage_cluster_network">'Value Reference Tables'!$I$251</definedName>
    <definedName name="sample_wld_az1_rack7_vmotion_vlan">'Additional Racks'!$C$501</definedName>
    <definedName name="input_wld_az1_rack6_host4_mgmt_ip">'Additional Racks'!$D$389</definedName>
    <definedName name="input_wld_az1_rack3_vmotion_mtu">'Additional Racks'!$D$130</definedName>
    <definedName name="mgmt_ec01_host_group_affinity_rule_chosen">'Configure Management Domain'!$D$102</definedName>
    <definedName name="cluster_az2_host4_mgmt_ip">'Value Reference Tables'!$I$208</definedName>
    <definedName name="input_wld_az1_principal_storage_mask">'Deploy Workload Domain'!$D$96</definedName>
    <definedName name="wld_cl01_az1_uplink02_pg">'Value Reference Tables - MR'!$I$117</definedName>
    <definedName name="input_gg_vra_orchestrator_viewers_group">'Active Directory Inputs'!$E$103</definedName>
    <definedName name="wld_az1_rack5_secondary_storage_gateway_ip">'Value Reference Tables - MR'!$U$90</definedName>
    <definedName name="mgmt_nsxt_federation_global_manager_name">'Value Reference Tables'!$O$23</definedName>
    <definedName name="wld_cl01_vds03_lag_name">'Value Reference Tables'!$F$92</definedName>
    <definedName name="sizing_w04_nsxt_appliance_size">'Management Domain Sizing'!$I$39</definedName>
    <definedName name="user_svc_vrops_nsx">'Value Reference Tables'!$L$99</definedName>
    <definedName name="input_mgmt_az2_vmotion_mask">'Configure Management Domain'!$D$255</definedName>
    <definedName name="input_flt_logs_nodea_hostname">'Deploy Fleet Management Day-N'!$D$273</definedName>
    <definedName name="wld_az1_rack5_vmotion_cidr">'Value Reference Tables - MR'!$U$25</definedName>
    <definedName name="sample_mgmt_srm_vm_folder">'Dumping Ground'!$C$36</definedName>
    <definedName name="input_mgmt_az2_host16_vrms_ip">'Site Protection &amp; DR'!$D$208</definedName>
    <definedName name="input_wld_az1_edge_overlay_vlan">'Configure Workload Domain'!$D$58</definedName>
    <definedName name="input_rwr_datacenter">'On-Premises Ransomware Recovery'!$D$143</definedName>
    <definedName name="mgmt_az1_host_overlay_network">'Value Reference Tables - MR'!$F$42</definedName>
    <definedName name="sample_cluster_az2_host15_fqdn">'Deploy Cluster'!$C$331</definedName>
    <definedName name="sample_cluster_az1_host3_mgmt_ip">'Deploy Cluster'!$C$31</definedName>
    <definedName name="sample_cluster_az2_host_overlay_network_pool_name">'Deploy Cluster'!$C$407</definedName>
    <definedName name="cluster_nsx_operation_mode_chosen">'Deploy Cluster'!$D$226</definedName>
    <definedName name="input_flt_vidb_password_alias">'Deploy Fleet Management Day-N'!$D$159</definedName>
    <definedName name="input_wld_az2_host8_vrms_ip">'Dumping Ground'!$D$317</definedName>
    <definedName name="wld_az1_rack5_mgmt_gateway_ip">'Value Reference Tables - MR'!$U$86</definedName>
    <definedName name="wld_az1_rack2_tor2_peer_bgp_password">'Value Reference Tables - MR'!$L$106</definedName>
    <definedName name="input_cluster_az2_host5_mgmt_ip">'Deploy Cluster'!$D$265</definedName>
    <definedName name="wld_az1_rack4_vmotion_mask">'Value Reference Tables - MR'!$R$55</definedName>
    <definedName name="sample_wld_az1_rack4_host4_mgmt_ip">'Additional Racks'!$C$203</definedName>
    <definedName name="input_wld_az1_rack3_secondary_storage_cidr">Arkham!$C$26</definedName>
    <definedName name="wld_az1_rack5_host_overlay_network_pool_name">'Value Reference Tables - MR'!$U$169</definedName>
    <definedName name="input_wld_az1_rack3_mgmt_vm_mtu">'Value Reference Tables - MR'!$R$260</definedName>
    <definedName name="sample_wld_az1_rack4_mgmt_vm_mtu">'Value Reference Tables - MR'!$Q$261</definedName>
    <definedName name="wld_az1_rack8_uplink01_mask">'Value Reference Tables - MR'!$AD$60</definedName>
    <definedName name="mgmt_az2_vm_cidr">'Value Reference Tables'!$AE$17</definedName>
    <definedName name="mgmt_az1_host9_mgmt_ip">'Value Reference Tables - MR'!$F$191</definedName>
    <definedName name="group_gg_vrops_read_only">'Value Reference Tables'!$L$141</definedName>
    <definedName name="input_cluster_az2_host12_mgmt_ip">'Deploy Cluster'!$D$272</definedName>
    <definedName name="input_cluster_az2_secondary_storage_gateway_ip">'Deploy Cluster'!$D$303</definedName>
    <definedName name="sample_cluster_az2_secondary_storage_pool_end_ip">'Deploy Cluster'!$C$305</definedName>
    <definedName name="sample_wld_az1_rack3_mgmt_vm_cidr">'Value Reference Tables - MR'!$M$255</definedName>
    <definedName name="input_cluster_esx_root_password">'Deploy Cluster'!$D$105</definedName>
    <definedName name="sizing_w14_nsxt_gm_appliance_size">'Management Domain Sizing'!$M$49</definedName>
    <definedName name="sample_wld_az1_host7_fqdn">'Deploy Workload Domain'!$C$126</definedName>
    <definedName name="input_mgmt_srm_instances_per_day">'Site Protection &amp; DR'!$D$254</definedName>
    <definedName name="input_mgmt_az2_host_overlay_network_pool_name">'Configure Management Domain'!$D$363</definedName>
    <definedName name="wld_cl01_az2_vm_pg">'Value Reference Tables'!$AE$33</definedName>
    <definedName name="sample_wld_az1_rack8_uplink02_network">Arkham!$T$60</definedName>
    <definedName name="sample_vvs_dr_flt_fleet_manager_hostname">'Site Protection &amp; DR'!$C$248</definedName>
    <definedName name="sizing_w23_avi_appliance_size">'Management Domain Sizing'!$S$58</definedName>
    <definedName name="input_wld_az1_host11_vrms_ip">'Dumping Ground'!$D$303</definedName>
    <definedName name="cluster_az1_host_overlay_pool_end_ip">'Value Reference Tables'!$I$165</definedName>
    <definedName name="table_ssp_sizes">'Static Reference Tables'!$B$256:$B$259</definedName>
    <definedName name="wld_az1_rack7_rtep_overlay_mtu">'Value Reference Tables - MR'!$AA$79</definedName>
    <definedName name="sample_wld_az1_principal_storage_gateway_ip">'Deploy Workload Domain'!$C$97</definedName>
    <definedName name="input_wld_az1_rack4_host6_mgmt_ip">'Additional Racks'!$D$205</definedName>
    <definedName name="input_flt_custom_network_ops_nodeb_fqdn">'Deploy Fleet Management Day-N'!$D$34</definedName>
    <definedName name="sample_wld_az1_rack3_host_overlay_gateway_ip">'Additional Racks'!$C$188</definedName>
    <definedName name="flt_auto_sr_fqdn">Arkham!$R$32</definedName>
    <definedName name="cluster_vds03_lacp_mode_chosen">'Deploy Cluster'!$D$193</definedName>
    <definedName name="input_flt_logs_cert_state">'Deploy Fleet Management Day-N'!$D$222</definedName>
    <definedName name="sizing_w09_gm_chosen">'Management Domain Sizing'!$L$44</definedName>
    <definedName name="wld_az1_rack4_en1_mgmt_ip">'Value Reference Tables - MR'!$R$241</definedName>
    <definedName name="mgmt_az1_en1_hostname">'Value Reference Tables - MR'!$F$255</definedName>
    <definedName name="input_wld_az1_rack6_vmotion_vlan">'Additional Racks'!$D$408</definedName>
    <definedName name="flt_net_folder">'Value Reference Tables'!$L$255</definedName>
    <definedName name="sample_wld_az1_host8_fqdn">'Deploy Workload Domain'!$C$127</definedName>
    <definedName name="mgmt_avilb_mgra_ip">'Value Reference Tables'!$C$26</definedName>
    <definedName name="input_wld_az1_rack8_vmotion_network">'Additional Racks'!$D$596</definedName>
    <definedName name="sample_cluster_az2_host12_fqdn">'Deploy Cluster'!$C$328</definedName>
    <definedName name="sample_wld_az2_storage_cluster_mtu">'Configure Workload Domain'!$C$222</definedName>
    <definedName name="sample_sddc_mgr_admin_local_password">'Deploy Management Domain'!$K$269</definedName>
    <definedName name="wld_az1_rack3_host_overlay_new_pool_chosen">'Additional Racks'!$D$172</definedName>
    <definedName name="input_wld_az1_rack8_host13_fqdn">'Additional Racks'!$D$624</definedName>
    <definedName name="wld_az1_host9_hostname">'Value Reference Tables - MR'!$I$226</definedName>
    <definedName name="mgmt_ops_collector_reuse_password_chosen">'Deploy Management Domain'!$L$71</definedName>
    <definedName name="mgmt_az1_mgmt_vm_network">'Value Reference Tables - MR'!$F$38</definedName>
    <definedName name="prefix_wld_az1_cidr">'Value Reference Tables'!$AA$74</definedName>
    <definedName name="sizing_w06_spr_chosen">'Management Domain Sizing'!$P$41</definedName>
    <definedName name="sample_mgmt_nsxt_global_mgra_fqdn">'Configure Management Domain'!$C$409</definedName>
    <definedName name="sample_svc_ila_ad_user">'Active Directory Inputs'!$D$24</definedName>
    <definedName name="sample_wld_az1_rack5_mgmt_vm_cidr">'Value Reference Tables - MR'!$M$257</definedName>
    <definedName name="wld_az1_rack6_uplink01_network">'Value Reference Tables - MR'!$X$45</definedName>
    <definedName name="sizing_w12_nsxt_appliance_size">'Management Domain Sizing'!$I$47</definedName>
    <definedName name="wld_az1_rack3_vmotion_pg">'Value Reference Tables - MR'!$O$112</definedName>
    <definedName name="sample_wld_az1_rack8_host8_fqdn">'Additional Racks'!$C$619</definedName>
    <definedName name="input_wld_rwr_recovery_site_vc_fqdn">'On-Premises Ransomware Recovery'!$D$153</definedName>
    <definedName name="cluster_az2_vmotion_vlan">'Value Reference Tables'!$I$223</definedName>
    <definedName name="input_cluster_storage_cluster_name">'Deploy Cluster'!$D$128</definedName>
    <definedName name="mgmt_cl01_vsan_dedupe_compression_chosen">'Deploy Management Domain'!$L$119</definedName>
    <definedName name="sample_wld_az1_rack2_host16_fqdn">'Additional Racks'!$C$69</definedName>
    <definedName name="mgmt_srm_recovery_sddc_manager_password">'Value Reference Tables'!$U$54</definedName>
    <definedName name="wld_az1_rack4_mgmt_network">'Value Reference Tables - MR'!$R$39</definedName>
    <definedName name="reg_seg01_mask_overlay_backed">'Value Reference Tables'!$AA$40</definedName>
    <definedName name="sample_wld_az1_rack3_host11_fqdn">'Additional Racks'!$C$157</definedName>
    <definedName name="wld_az1_rack4_host2_hostname">'Value Reference Tables - MR'!$R$203</definedName>
    <definedName name="wld_az1_rack2_host11_fqdn">'Value Reference Tables - MR'!$L$231</definedName>
    <definedName name="sample_cluster_vds01_pnics">'Deploy Cluster'!$C$175</definedName>
    <definedName name="sample_mgmt_az1_host11_vrms_ip">'Site Protection &amp; DR'!$C$186</definedName>
    <definedName name="mgmt_az1_en2_uplink02_interface_cidr">'Value Reference Tables - MR'!$F$271</definedName>
    <definedName name="wld_az1_rack3_mgmt_vm_mask">'Value Reference Tables - MR'!$O$178</definedName>
    <definedName name="input_wld_az1_rack5_host12_fqdn">'Additional Racks'!$D$344</definedName>
    <definedName name="input_wld_az1_rack6_host13_fqdn">'Additional Racks'!$D$438</definedName>
    <definedName name="input_flt_vcfms_node_pool_start_ip">Arkham!$Q$40</definedName>
    <definedName name="sample_wld_az1_rack2_host_overlay_gateway_ip">'Additional Racks'!$C$95</definedName>
    <definedName name="input_gg_vra_service_broker_admins_group">'Active Directory Inputs'!$E$98</definedName>
    <definedName name="wld_cluster_edge">'Static Reference Tables'!$B$382</definedName>
    <definedName name="vcf_automation_nodee_ip">Arkham!$R$14</definedName>
    <definedName name="input_ccm_hcx_remote_url">'Cross Cloud Mobility'!$D$35</definedName>
    <definedName name="sample_k8s_tanzu_k8s_cluster_service_pool_cidr">'Private AI Ready Infrastructure'!$C$71</definedName>
    <definedName name="dri_load_balancer_le">'Value Reference Tables'!$U$23</definedName>
    <definedName name="spr_mw_result">'Value Reference Tables'!$AA$96</definedName>
    <definedName name="sample_cluster_az1_vmotion_mask">'Deploy Cluster'!$C$53</definedName>
    <definedName name="wld_az1_rack4_host_mgmt_ips">'Value Reference Tables - MR'!$R$183:$R$198</definedName>
    <definedName name="cluster_az2_host16_fqdn">'Value Reference Tables'!$I$307</definedName>
    <definedName name="sample_mgmt_az1_en1_eth1_uplink0">'Configure Management Domain'!$C$113</definedName>
    <definedName name="input_mgmt_az1_host3_vrms_ip">'Site Protection &amp; DR'!$D$178</definedName>
    <definedName name="sample_flt_custom_network_ops_collector_fqdn">'Deploy Fleet Management Day-N'!$C$44</definedName>
    <definedName name="input_wld_az1_rack2_host16_mgmt_ip">'Additional Racks'!$D$29</definedName>
    <definedName name="sample_flt_vidb_last_name">'Deploy Fleet Management Day-N'!$C$196</definedName>
    <definedName name="input_ca_state">'Configure Management Domain'!$D$62</definedName>
    <definedName name="input_wld_az1_rack3_edge_overlay_gateway_ip">Arkham!$F$64</definedName>
    <definedName name="sample_mgmt_az2_host8_vrms_ip">'Site Protection &amp; DR'!$C$200</definedName>
    <definedName name="input_xreg_vrops_srm_sso_username">'Site Protection &amp; DR'!$D$480</definedName>
    <definedName name="wld_nsxt_gm_vip_ip">'Value Reference Tables'!$F$19</definedName>
    <definedName name="wld_az1_rack4_edge_overlay_cidr">'Value Reference Tables - MR'!$R$32</definedName>
    <definedName name="sample_wld_az2_host_overlay_vlan">'Configure Workload Domain'!$C$323</definedName>
    <definedName name="wld_az1_vmotion_vlan">'Value Reference Tables - MR'!$I$10</definedName>
    <definedName name="input_svc_iom_vsphere_user">'Active Directory Inputs'!$E$28</definedName>
    <definedName name="input_cluster_az1_host_overlay_vlan">'Deploy Cluster'!$D$231</definedName>
    <definedName name="input_wld_ec01_en01_host_group_affinity_rule_name">'Configure Workload Domain'!$D$46</definedName>
    <definedName name="sample_wld_az2_host11_fqdn">'Configure Workload Domain'!$C$242</definedName>
    <definedName name="input_cluster_az1_host1_mgmt_ip">'Deploy Cluster'!$D$29</definedName>
    <definedName name="mgmt_cl01_az1_nfs_lbt_chosen">'Deploy Management Domain'!$L$242</definedName>
    <definedName name="wld_az1_rack8_host7_hostname">'Value Reference Tables - MR'!$AD$208</definedName>
    <definedName name="sample_wld_az1_rack8_mgmt_vlan">'Additional Racks'!$C$567</definedName>
    <definedName name="wld_az1_rack4_secondary_storage_cidr">'Value Reference Tables - MR'!$R$28</definedName>
    <definedName name="wld_az1_rack7_principal_storage_vlan">'Value Reference Tables - MR'!$AA$11</definedName>
    <definedName name="sample_wld_vcenter_root_password">'Deploy Workload Domain'!$C$158</definedName>
    <definedName name="sizing_w16_spr_chosen">'Management Domain Sizing'!$P$51</definedName>
    <definedName name="sizing_w20_nsxt_model">'Management Domain Sizing'!$H$55</definedName>
    <definedName name="prefix_mgmt_az2_vlan">'Value Reference Tables'!$AA$64</definedName>
    <definedName name="wld_az2_host2_fqdn">'Value Reference Tables - MR'!$I$478</definedName>
    <definedName name="cluster_az1_host9_mgmt_ip">'Value Reference Tables'!$I$61</definedName>
    <definedName name="sample_wld_az1_rack8_vsan_fault_domain">'Additional Racks'!$C$644</definedName>
    <definedName name="sample_ca_template_name">'Configure Management Domain'!$C$45</definedName>
    <definedName name="wld_cl01_vds01_mtu">'Value Reference Tables'!$F$73</definedName>
    <definedName name="sample_flt_net_admin_password_description">'Deploy Fleet Management Day-N'!$C$330</definedName>
    <definedName name="sample_cluster_vds02_uplink_count">'Deploy Cluster'!$C$185</definedName>
    <definedName name="sftp_server_protocol">'Value Reference Tables'!$O$47</definedName>
    <definedName name="ccm_firewall_rule_vcenter">'Value Reference Tables'!$U$172</definedName>
    <definedName name="sample_xreg_vra_vm_folder">'Dumping Ground'!$C$107</definedName>
    <definedName name="sample_cbr_vcdr_cloud_file_system">'Cloud-Based Ransomware Recovery'!$C$28</definedName>
    <definedName name="input_wld_az1_host1_fqdn">'Deploy Workload Domain'!$D$120</definedName>
    <definedName name="mgmt_az1_mgmt_vm_mtu">'Value Reference Tables - MR'!$F$69</definedName>
    <definedName name="input_cluster_vds01_name">'Deploy Cluster'!$D$167</definedName>
    <definedName name="wld_az1_rack7_uplink01_network">'Value Reference Tables - MR'!$AA$45</definedName>
    <definedName name="user_svc_vra_nsx">'Value Reference Tables'!$L$104</definedName>
    <definedName name="sample_mgmt_az1_en2_eth1_uplink1">'Configure Management Domain'!$C$140</definedName>
    <definedName name="input_flt_logs_nodeb_ip">'Deploy Fleet Management Day-N'!$D$230</definedName>
    <definedName name="sample_mgmt_cl01_nfs_share">'Deploy Management Domain'!$K$120</definedName>
    <definedName name="vcf_automation_root_password_alias">'Value Reference Tables'!$L$358</definedName>
    <definedName name="input_wld_az2_host7_fqdn">'Configure Workload Domain'!$D$238</definedName>
    <definedName name="input_gg_vrops_admins_group">'Active Directory Inputs'!$E$84</definedName>
    <definedName name="input_wld_az1_rack4_edge_overlay_pool_end_ip">Arkham!$I$72</definedName>
    <definedName name="wld_az1_rack2_host13_fqdn">'Value Reference Tables - MR'!$L$233</definedName>
    <definedName name="lag_load_balancing">'Static Reference Tables'!$B$388:$B$407</definedName>
    <definedName name="sample_flt_net_vcenter_fqdn">'Deploy Fleet Management Day-N'!$C$312</definedName>
    <definedName name="svc_vrops_nsx_password">'Value Reference Tables'!$L$115</definedName>
    <definedName name="sample_mgmt_rtep_overlay_pool_start_ip">'Configure Management Domain'!$C$492</definedName>
    <definedName name="sample_wld_az1_rack3_edge_overlay_gateway_ip">Arkham!$E$64</definedName>
    <definedName name="flt_logs_mask">'Value Reference Tables'!$L$203</definedName>
    <definedName name="wld_az1_rack6_host_fqdns">'Value Reference Tables - MR'!$X$221:$X$236</definedName>
    <definedName name="wld_az1_mgmt_vm_gateway_ip">'Value Reference Tables - MR'!$I$85</definedName>
    <definedName name="sample_wld_az1_rack8_mgmt_vm_cidr">'Value Reference Tables - MR'!$M$260</definedName>
    <definedName name="mgmt_az2_host8_mgmt_ip">'Value Reference Tables - MR'!$F$422</definedName>
    <definedName name="sample_wld_az2_host9_mgmt_ip">'Configure Workload Domain'!$C$182</definedName>
    <definedName name="input_cluster_az2_vmotion_network">'Deploy Cluster'!$D$285</definedName>
    <definedName name="wld_az1_edge_overlay_pool_start_ip">'Value Reference Tables - MR'!$I$159</definedName>
    <definedName name="wld_az2_host13_hostname">'Value Reference Tables - MR'!$I$470</definedName>
    <definedName name="input_mgmt_az2_mgmt_gateway_ip">'Configure Management Domain'!$D$226</definedName>
    <definedName name="sizing_vcffm_cpu">'Static Reference Tables'!$C$98</definedName>
    <definedName name="sample_wld_nsxt_vip_ip">'Deploy Workload Domain'!$C$182</definedName>
    <definedName name="cluster_az1_vsan_storage_client_uplink1">'Deploy Cluster'!$D$222</definedName>
    <definedName name="cluster_az1_host13_mgmt_ip">'Value Reference Tables'!$I$65</definedName>
    <definedName name="sizing_w17_gm_chosen">'Management Domain Sizing'!$L$52</definedName>
    <definedName name="input_wld_az2_host5_mgmt_ip">'Configure Workload Domain'!$D$178</definedName>
    <definedName name="wld_az2_host6_fqdn">'Value Reference Tables - MR'!$I$482</definedName>
    <definedName name="cluster_vds01_uplink_count">'Value Reference Tables'!$I$110</definedName>
    <definedName name="input_cluster_az2_host6_mgmt_ip">'Deploy Cluster'!$D$266</definedName>
    <definedName name="sample_mgmt_az1_host8_fqdn">'Deploy Management Domain'!$K$135</definedName>
    <definedName name="mgmt_az2_vrms_gateway_ip">'Value Reference Tables - MR'!$F$344</definedName>
    <definedName name="sizing_w18_nsxt_appliance_size">'Management Domain Sizing'!$I$53</definedName>
    <definedName name="sample_cluster_az1_principal_storage_gateway_ip">'Deploy Cluster'!$C$62</definedName>
    <definedName name="sizing_w24_chosen">'Management Domain Sizing'!$C$59</definedName>
    <definedName name="wld_az1_rack6_host15_mgmt_ip">'Value Reference Tables - MR'!$X$197</definedName>
    <definedName name="wld_rtep_overlay_pool_start_ip">'Value Reference Tables - MR'!$I$161</definedName>
    <definedName name="input_wld_az1_rack2_vmotion_network">'Additional Racks'!$D$38</definedName>
    <definedName name="wld_az1_rack6_host_overlay_mask">'Value Reference Tables - MR'!$X$57</definedName>
    <definedName name="sample_wld_az1_rack5_mgmt_gateway_ip">'Additional Racks'!$C$289</definedName>
    <definedName name="wld_az1_rack7_vmotion_pool_start_ip">'Value Reference Tables - MR'!$AA$149</definedName>
    <definedName name="calculated_mgmt_host_count">'Management Domain Sizing'!$R$8</definedName>
    <definedName name="sample_wld_az2_vmotion_gateway_ip">'Configure Workload Domain'!$C$201</definedName>
    <definedName name="input_flt_net_nodec_fqdn">'Deploy Fleet Management Day-N'!$D$304</definedName>
    <definedName name="input_wld_az1_edge_overlay_gateway_ip">'Configure Workload Domain'!$D$65</definedName>
    <definedName name="sample_wld_az1_rack4_mgmt_vm_gateway_ip">'Value Reference Tables - MR'!$O$261</definedName>
    <definedName name="sample_wld_az1_rack5_secondary_storage_pool_end_ip">'Dumping Ground'!$C$538</definedName>
    <definedName name="input_wld_az1_rack5_host_overlay_network_profile_name">'Additional Racks'!$D$357</definedName>
    <definedName name="sample_wld_az1_host4_fqdn">'Deploy Workload Domain'!$C$123</definedName>
    <definedName name="sample_wld_az1_rack2_tor1_peer_ip">Arkham!$B$74</definedName>
    <definedName name="mgmt_az1_host12_vrms_ip">'Value Reference Tables - MR'!$F$210</definedName>
    <definedName name="mgmt_az1_uplink02_vlan">'Value Reference Tables - MR'!$F$16</definedName>
    <definedName name="mgmt_az1_host2_hostname">'Value Reference Tables - MR'!$F$219</definedName>
    <definedName name="input_wld_az1_rack4_host6_fqdn">'Additional Racks'!$D$245</definedName>
    <definedName name="wld_az1_rack8_mgmt_mtu">'Value Reference Tables - MR'!$AD$70</definedName>
    <definedName name="sample_wld_az1_rack4_host13_mgmt_ip">'Additional Racks'!$C$212</definedName>
    <definedName name="wld_az1_rack7_host_overlay_network_profile_name">'Value Reference Tables - MR'!$AA$167</definedName>
    <definedName name="mgmt_az1_host5_vrms_ip">'Value Reference Tables - MR'!$F$203</definedName>
    <definedName name="mgmt_az2_rtep_overlay_network">'Value Reference Tables - MR'!$F$315</definedName>
    <definedName name="sample_wld_cl01_az1_vmotion_pg">'Deploy Workload Domain'!$C$282</definedName>
    <definedName name="mgmt_az1_host14_mgmt_ip">'Value Reference Tables - MR'!$F$196</definedName>
    <definedName name="flt_vidb_cert_type_chosen">'Deploy Fleet Management Day-N'!$D$127</definedName>
    <definedName name="input_wld_az1_rack8_mgmt_vm_cidr">'Value Reference Tables - MR'!$N$265</definedName>
    <definedName name="mgmt_cl01_vds01_uplink_count">'Value Reference Tables'!$C$95</definedName>
    <definedName name="input_wld_cl01_nfs_share_path">'Deploy Workload Domain'!$D$207</definedName>
    <definedName name="input_cluster_cluster_sddc_id">'Deploy Cluster'!$D$418</definedName>
    <definedName name="input_wld_bf_nsxt_vip_fqdn">'Deploy Workload Domain'!$D$44</definedName>
    <definedName name="input_wld_az1_rack7_host8_fqdn">'Additional Racks'!$D$526</definedName>
    <definedName name="wld_domain_password_creation_chosen">'Deploy Workload Domain'!$D$151</definedName>
    <definedName name="cluster_vds01_link_type_chosen">'Deploy Cluster'!$D$169</definedName>
    <definedName name="sample_cluster_az2_host8_mgmt_ip">'Deploy Cluster'!$C$268</definedName>
    <definedName name="wld_az1_tor1_peer_asn">'Value Reference Tables - MR'!$I$102</definedName>
    <definedName name="sizing_w15_vcenter_appliance_size">'Management Domain Sizing'!$D$50</definedName>
    <definedName name="sample_rwr_cert_ou">'On-Premises Ransomware Recovery'!$C$31</definedName>
    <definedName name="wld_az1_rack2_edge_overlay_pool_end_ip">'Value Reference Tables - MR'!$L$160</definedName>
    <definedName name="wld_az1_rack7_host8_hostname">'Value Reference Tables - MR'!$AA$209</definedName>
    <definedName name="sizing_w22_nsxt_model">'Management Domain Sizing'!$H$57</definedName>
    <definedName name="wld_az1_rack2_principal_storage_gateway_ip">'Value Reference Tables - MR'!$L$88</definedName>
    <definedName name="flt_logs_nodeb_hostname">'Value Reference Tables'!$L$218</definedName>
    <definedName name="input_gg_vcf_operators_group">'Active Directory Inputs'!$E$65</definedName>
    <definedName name="wld_az1_rack4_host_overlay_cidr">'Value Reference Tables - MR'!$R$27</definedName>
    <definedName name="sample_mgmt_srm_admin_password">'Dumping Ground'!$C$38</definedName>
    <definedName name="sample_cluster_az1_host14_mgmt_ip">'Deploy Cluster'!$C$42</definedName>
    <definedName name="mgmt_internet_proxy_password">'Value Reference Tables'!$L$38</definedName>
    <definedName name="sample_wld_az1_rack7_principal_storage_vlan">'Additional Racks'!$C$509</definedName>
    <definedName name="input_vvs_dr_ntp1_server">'Site Protection &amp; DR'!$D$23</definedName>
    <definedName name="input_mgmt_az1_secondary_storage_cidr">'Deploy Management Domain'!$L$175</definedName>
    <definedName name="input_cluster_az2_pool_name">'Deploy Cluster'!$D$281</definedName>
    <definedName name="mgmt_avilb_cluster_version">'Value Reference Tables'!$O$31</definedName>
    <definedName name="sizing_w18_ssp_chosen">'Management Domain Sizing'!$V$53</definedName>
    <definedName name="cluster_az2_vmotion_cidr">'Value Reference Tables'!$I$227</definedName>
    <definedName name="sample_cluster_az1_vsan_storage_client_pg">'Deploy Cluster'!$C$220</definedName>
    <definedName name="sample_wld_az1_edge_overlay_pool_start_ip">'Configure Workload Domain'!$C$61</definedName>
    <definedName name="flt_custom_network_local_reg_gateway_ip">'Value Reference Tables'!$L$327</definedName>
    <definedName name="mgmt_az1_host4_hostname">'Value Reference Tables - MR'!$F$221</definedName>
    <definedName name="input_mgmt_vrms_site_name">'Site Protection &amp; DR'!$D$152</definedName>
    <definedName name="cbr_vcdr_site_name">'Value Reference Tables'!$U$139</definedName>
    <definedName name="input_wld_az2_host11_vrms_ip">'Dumping Ground'!$D$320</definedName>
    <definedName name="sample_wld_az1_rack4_secondary_storage_cidr">Arkham!$B$30</definedName>
    <definedName name="sample_mgmt_rwr_recovery_site_az1_mgmt_cidr">'On-Premises Ransomware Recovery'!$C$101</definedName>
    <definedName name="input_cluster_az1_host9_mgmt_ip">'Deploy Cluster'!$D$37</definedName>
    <definedName name="input_wld_az1_rack5_host8_fqdn">'Additional Racks'!$D$340</definedName>
    <definedName name="sample_flt_vidb_noded_ip">'Deploy Fleet Management Day-N'!$C$173</definedName>
    <definedName name="wld_az1_rack6_host11_mgmt_ip">'Value Reference Tables - MR'!$X$193</definedName>
    <definedName name="sample_wld_az1_rack2_host_overlay_mask">'Additional Racks'!$C$94</definedName>
    <definedName name="mgmt_az2_uplink01_gateway_ip">'Value Reference Tables - MR'!$F$340</definedName>
    <definedName name="input_wld_az1_rack8_host_overlay_network_profile_name">'Additional Racks'!$D$636</definedName>
    <definedName name="sample_wld_az1_rack8_vmotion_pool_start_ip">'Additional Racks'!$C$599</definedName>
    <definedName name="sample_wld_rwr_az1_vrms_gateway_mask">'On-Premises Ransomware Recovery'!$C$82</definedName>
    <definedName name="wld_az1_rack7_host12_hostname">'Value Reference Tables - MR'!$AA$213</definedName>
    <definedName name="input_mgmt_az1_host_overlay_network_pool_description">'Deploy Management Domain'!$L$256</definedName>
    <definedName name="input_mgmt_nsxt_global_mgrc_fqdn">'Configure Management Domain'!$D$443</definedName>
    <definedName name="wld_rwr_vcfops_vlsr_username">'Value Reference Tables'!$U$210</definedName>
    <definedName name="sample_cluster_az1_host7_mgmt_ip">'Deploy Cluster'!$C$35</definedName>
    <definedName name="mgmt_az1_en1_eth1_uplink1">'Value Reference Tables'!$C$247</definedName>
    <definedName name="mgmt_az1_en1_edge_overlay_interface_ip_2_ip">'Value Reference Tables - MR'!$F$262</definedName>
    <definedName name="sample_wld_az1_rack5_tor2_peer_ip">Arkham!$K$77</definedName>
    <definedName name="sample_wld_az1_rack6_uplink02_vlan">Arkham!$N$57</definedName>
    <definedName name="mgmt_az2_rtep_overlay_gateway_ip">'Value Reference Tables - MR'!$F$343</definedName>
    <definedName name="wld_az1_rack2_host15_fqdn">'Value Reference Tables - MR'!$L$235</definedName>
    <definedName name="wld_cl01_vds03_lag_lbt_chosen">'Deploy Workload Domain'!$D$266</definedName>
    <definedName name="mgmt_az1_host15_fqdn">'Value Reference Tables - MR'!$F$251</definedName>
    <definedName name="wld_az1_rack6_host_overlay_cidr">'Value Reference Tables - MR'!$X$27</definedName>
    <definedName name="input_wld_az1_en1_mgmt_ip">Arkham!$Q$19</definedName>
    <definedName name="input_wld_az1_rack4_mgmt_vm_gateway_ip">'Value Reference Tables - MR'!$P$261</definedName>
    <definedName name="sample_mgmt_srm_vrops_rp">'Site Protection &amp; DR'!$C$257</definedName>
    <definedName name="input_wld_az1_rack8_secondary_storage_pool_start_ip">'Dumping Ground'!$D$561</definedName>
    <definedName name="group_gg_vra_org_owners">'Value Reference Tables'!$L$145</definedName>
    <definedName name="input_cluster_az2_host1_mgmt_ip">'Deploy Cluster'!$D$261</definedName>
    <definedName name="wld_az1_host1_hostname">'Value Reference Tables - MR'!$I$218</definedName>
    <definedName name="sample_mgmt_az1_host9_vrms_ip">'Site Protection &amp; DR'!$C$184</definedName>
    <definedName name="vvs_dr_flt_ops_nodeb_hostname">'Value Reference Tables'!$O$114</definedName>
    <definedName name="input_cbr_vcdr_anti_affinity">'Cloud-Based Ransomware Recovery'!$D$35</definedName>
    <definedName name="sample_wld_cl01_vds03_uplink_count">'Deploy Workload Domain'!$C$268</definedName>
    <definedName name="sample_mgmt_az1_vsan_cidr">'Deploy Management Domain'!$K$168</definedName>
    <definedName name="input_mgmt_cl01_vds02_name">'Deploy Management Domain'!$L$199</definedName>
    <definedName name="wld_az2_secondary_storage_cidr">'Value Reference Tables - MR'!$I$298</definedName>
    <definedName name="sample_nsxt_lm_admin_password">'Deploy Management Domain'!$K$108</definedName>
    <definedName name="input_mgmt_nsxt_global_mgrb_hostname">'Configure Management Domain'!$D$417</definedName>
    <definedName name="input_wld_az1_rack6_vmotion_mask">'Additional Racks'!$D$411</definedName>
    <definedName name="input_wld_az1_rack5_host13_fqdn">'Additional Racks'!$D$345</definedName>
    <definedName name="table_ssp_ram">'Static Reference Tables'!$B$261:$C$263</definedName>
    <definedName name="wld_az1_rack3_vmotion_gateway_ip">'Value Reference Tables - MR'!$O$87</definedName>
    <definedName name="wld_az1_host5_mgmt_ip">'Value Reference Tables - MR'!$I$187</definedName>
    <definedName name="wld_az1_rack3_tor1_peer_bgp_password">'Value Reference Tables - MR'!$O$103</definedName>
    <definedName name="input_mgmt_az1_host8_mgmt_ip">'Deploy Management Domain'!$L$337</definedName>
    <definedName name="wld_bf_nsx_ha_mode_chosen">'Deploy Workload Domain'!$D$39</definedName>
    <definedName name="sizing_w11_ssp_chosen">'Management Domain Sizing'!$V$46</definedName>
    <definedName name="input_wld_az1_en2_eth0_uplink1">'Configure Workload Domain'!$D$81</definedName>
    <definedName name="wld_az1_rack2_vmotion_network">'Value Reference Tables - MR'!$L$40</definedName>
    <definedName name="wld_rwr_recoverysite_fd">'Value Reference Tables'!$U$204</definedName>
    <definedName name="sample_wld_az1_en1_eth0_uplink1">'Configure Workload Domain'!$C$55</definedName>
    <definedName name="input_wld_az1_rack2_host13_fqdn">'Additional Racks'!$D$66</definedName>
    <definedName name="wld_az1_rack2_host8_fqdn">'Value Reference Tables - MR'!$L$228</definedName>
    <definedName name="sample_wld_az1_rack4_host_overlay_uplink_profile_name">'Additional Racks'!$C$267</definedName>
    <definedName name="sample_wld_az1_rack2_principal_storage_mtu">'Additional Racks'!$C$45</definedName>
    <definedName name="mgmt_az2_mgmt_vm_gateway_ip">'Value Reference Tables - MR'!$F$334</definedName>
    <definedName name="input_svc_iom_vcf_user">'Active Directory Inputs'!$E$27</definedName>
    <definedName name="input_vcf_installer_fqdn">'Deploy Management Domain'!$J$321</definedName>
    <definedName name="sample_wld_nsxt_mgra_fqdn">'Deploy Workload Domain'!$C$175</definedName>
    <definedName name="input_mgmt_az2_host11_vrms_ip">'Site Protection &amp; DR'!$D$203</definedName>
    <definedName name="wld_az1_rack2_host1_mgmt_ip">'Value Reference Tables - MR'!$L$183</definedName>
    <definedName name="wld_cl01_az1_vsan_storage_client_pg">'Value Reference Tables - MR'!$I$120</definedName>
    <definedName name="input_mgmt_srm_site_name">'Dumping Ground'!$D$40</definedName>
    <definedName name="input_mgmt_avilb_cluster_version">'Configure Management Domain'!$D$208</definedName>
    <definedName name="input_vvs_dr_sso_domain">'Site Protection &amp; DR'!$D$133</definedName>
    <definedName name="wld_az1_rack8_host6_hostname">'Value Reference Tables - MR'!$AD$207</definedName>
    <definedName name="wld_az1_rack3_mgmt_vm_gateway_ip">'Value Reference Tables - MR'!$O$85</definedName>
    <definedName name="wld_az1_rack6_edge_overlay_vlan">'Value Reference Tables - MR'!$X$17</definedName>
    <definedName name="wld_cl01_image_name">'Value Reference Tables'!$F$147</definedName>
    <definedName name="sample_flt_logs_resource_pool">'Deploy Fleet Management Day-N'!$C$237</definedName>
    <definedName name="vcf_automation_node_prefix_chosen">'Deploy Fleet Management Day-N'!$D$109</definedName>
    <definedName name="sizing_w05_nsxt_gm_appliance_size">'Management Domain Sizing'!$M$40</definedName>
    <definedName name="wld_az1_rack8_rtep_overlay_pool_start_ip">'Value Reference Tables - MR'!$AD$161</definedName>
    <definedName name="mgmt_witness_dns1_ip">'Value Reference Tables'!$C$215</definedName>
    <definedName name="sample_wld_esx_root_password">'Deploy Workload Domain'!$C$141</definedName>
    <definedName name="input_mgmt_az1_uplink01_cidr">'Configure Management Domain'!$D$195</definedName>
    <definedName name="navigation_avi_lb_wld_domain">'Configure Workload Domain'!$B$147</definedName>
    <definedName name="wld_az1_rack7_principal_storage_gateway_ip">'Value Reference Tables - MR'!$AA$88</definedName>
    <definedName name="cluster_witness_zone_vc_fqdn">'Value Reference Tables'!$I$264</definedName>
    <definedName name="wld_bf_nsxt_mgrb_fqdn">'Value Reference Tables'!$I$188</definedName>
    <definedName name="input_wld_az1_host12_fqdn">'Deploy Workload Domain'!$D$131</definedName>
    <definedName name="input_cluster_az2_vmotion_gateway_ip">'Deploy Cluster'!$D$287</definedName>
    <definedName name="wld_az1_rack8_host4_fqdn">'Value Reference Tables - MR'!$AD$224</definedName>
    <definedName name="mgmt_cl01_az2_uplink02_pg">'Value Reference Tables - MR'!$F$379</definedName>
    <definedName name="mgmt_az2_vrms_vlan">'Value Reference Tables - MR'!$F$288</definedName>
    <definedName name="wld_az1_rack5_vrms_cidr">'Value Reference Tables - MR'!$U$34</definedName>
    <definedName name="ccm_aws_vpc">'Value Reference Tables'!$U$169</definedName>
    <definedName name="cluster_az1_storage_cluster_pool_end_ip">'Value Reference Tables'!$I$51</definedName>
    <definedName name="input_cluster_az2_storage_cluster_gateway_ip">'Deploy Cluster'!$D$311</definedName>
    <definedName name="sample_mgmt_az1_secondary_storage_vlan">'Deploy Management Domain'!$K$173</definedName>
    <definedName name="wld_az1_uplink02_vlan">'Value Reference Tables - MR'!$I$16</definedName>
    <definedName name="dri_network_address_range_size">'Value Reference Tables'!$U$30</definedName>
    <definedName name="wld_cl01_az2_uplink01_pg">'Value Reference Tables - MR'!$I$384</definedName>
    <definedName name="cluster_az2_principal_storage_vlan">'Value Reference Tables'!$I$232</definedName>
    <definedName name="input_xreg_vrops_admin_password">'Deploy Management Domain'!$L$60</definedName>
    <definedName name="wld_az1_rack8_host_overlay_new_pool_chosen">'Additional Racks'!$D$637</definedName>
    <definedName name="input_vcf_automation_cert_state">'Deploy Fleet Management Day-N'!$D$75</definedName>
    <definedName name="table_vcenter_disk_gb">'Static Reference Tables'!$B$46:$C$60</definedName>
    <definedName name="input_wld_az1_host13_mgmt_ip">'Deploy Workload Domain'!$D$75</definedName>
    <definedName name="sample_svc_inv_vrops_user">'Active Directory Inputs'!$D$34</definedName>
    <definedName name="cluster_chosen">'Deploy Cluster'!$B$8</definedName>
    <definedName name="input_wld_vrms_vm_folder">'Dumping Ground'!$D$69</definedName>
    <definedName name="mgmt_az1_vmotion_cidr">'Value Reference Tables - MR'!$F$25</definedName>
    <definedName name="input_cluster_nsx_vlan_transport_zone_name">'Deploy Cluster'!$D$240</definedName>
    <definedName name="sample_wld_az2_secondary_storage_mask">'Configure Workload Domain'!$C$216</definedName>
    <definedName name="sample_mgmt_az2_host10_vrms_ip">'Site Protection &amp; DR'!$C$202</definedName>
    <definedName name="input_wld_az1_rack3_host15_fqdn">'Additional Racks'!$D$161</definedName>
    <definedName name="wld_az1_rack7_mgmt_network">'Value Reference Tables - MR'!$AA$39</definedName>
    <definedName name="sample_wld_cl01_supervisor_private_cidr">'Deploy Workload Domain'!$C$334</definedName>
    <definedName name="input_flt_custom_network_ops_collector_ip">'Deploy Fleet Management Day-N'!$D$45</definedName>
    <definedName name="mgmt_az2_tor2_peer_bgp_password">'Value Reference Tables - MR'!$F$368</definedName>
    <definedName name="input_mgmt_az1_host1_fqdn">'Deploy Management Domain'!$L$128</definedName>
    <definedName name="sample_mgmt_az1_en1_eth0_uplink0">'Configure Management Domain'!$C$111</definedName>
    <definedName name="sample_mgmt_witnessaz_mgmt_vlan">'Configure Management Domain'!$C$305</definedName>
    <definedName name="sample_wld_az1_rack2_uplink01_gateway_ip">Arkham!$B$62</definedName>
    <definedName name="sample_wld_az1_rtep_overlay_cidr">'Configure Workload Domain'!$C$469</definedName>
    <definedName name="flt_logs_nodea_ip">'Value Reference Tables'!$L$221</definedName>
    <definedName name="input_wld_esx_root_username">'Deploy Workload Domain'!$D$140</definedName>
    <definedName name="sample_cluster_vds01_uplink_count">'Deploy Cluster'!$C$174</definedName>
    <definedName name="vvs_dr_flt_logs_nodea_hostname">'Value Reference Tables'!$O$116</definedName>
    <definedName name="input_wld_az2_host10_vrms_ip">'Dumping Ground'!$D$319</definedName>
    <definedName name="input_mgmt_az1_tor2_peer_bgp_password">'Configure Management Domain'!$D$171</definedName>
    <definedName name="sample_mgmt_az1_en2_uplink02_interface_cidr">'Configure Management Domain'!$C$181</definedName>
    <definedName name="group_gg_vrslcm_release_managers">'Value Reference Tables'!$L$137</definedName>
    <definedName name="wld_rwr_recovery_site_vc_fqdn">'Value Reference Tables'!$U$202</definedName>
    <definedName name="sample_vvs_dr_flt_ops_nodea_hostname">'Site Protection &amp; DR'!$C$249</definedName>
    <definedName name="wld_az1_host_overlay_cidr">'Value Reference Tables - MR'!$I$27</definedName>
    <definedName name="input_wld_az2_host1_vrms_ip">'Dumping Ground'!$D$310</definedName>
    <definedName name="wld_az1_rtep_overlay_vlan">'Value Reference Tables - MR'!$I$18</definedName>
    <definedName name="input_vcf_automation_portgroup">'Deploy Fleet Management Day-N'!$D$85</definedName>
    <definedName name="wld_avilb_mgra_ip">'Value Reference Tables'!$F$24</definedName>
    <definedName name="input_flt_vidb_root_username">'Deploy Fleet Management Day-N'!$D$162</definedName>
    <definedName name="sample_wld_az1_rack5_vmotion_mask">'Additional Racks'!$C$318</definedName>
    <definedName name="wld_az1_rack6_mgmt_network">'Value Reference Tables - MR'!$X$39</definedName>
    <definedName name="wld_az1_rack2_uplink01_gateway_ip">'Value Reference Tables - MR'!$L$92</definedName>
    <definedName name="input_wld_az1_rack3_vmotion_pool_start_ip">'Additional Racks'!$D$134</definedName>
    <definedName name="mgmt_az1_host1_mgmt_ip">'Value Reference Tables - MR'!$F$183</definedName>
    <definedName name="wld_az1_rack2_host4_hostname">'Value Reference Tables - MR'!$L$205</definedName>
    <definedName name="input_nsxt_lm_audit_password">'Deploy Management Domain'!$L$110</definedName>
    <definedName name="protected_wld_result">'Value Reference Tables'!$AA$99</definedName>
    <definedName name="input_flt_net_datastore">'Deploy Fleet Management Day-N'!$D$317</definedName>
    <definedName name="wld_dpg_separation_result">'Deploy Workload Domain'!$D$13</definedName>
    <definedName name="table_nsxt_manager_disk_gb">'Static Reference Tables'!$B$74:$C$78</definedName>
    <definedName name="sftp_server_backup_dir">'Value Reference Tables'!$O$49</definedName>
    <definedName name="wld_az2_host13_fqdn">'Value Reference Tables - MR'!$I$489</definedName>
    <definedName name="input_wld_az1_rack5_uplink01_gateway_ip">Arkham!$L$62</definedName>
    <definedName name="input_wld_az1_rack3_host2_mgmt_ip">'Additional Racks'!$D$108</definedName>
    <definedName name="mgmt_cl01_vds01_mtu">'Value Reference Tables'!$C$96</definedName>
    <definedName name="wld_az1_rack3_mgmt_mask">'Value Reference Tables - MR'!$O$179</definedName>
    <definedName name="flt_net_nodeb_size_chosen">'Deploy Fleet Management Day-N'!$D$348</definedName>
    <definedName name="sizing_w13_vcenter_appliance_size">'Management Domain Sizing'!$D$48</definedName>
    <definedName name="sample_cbr_firewall_group">'Cloud-Based Ransomware Recovery'!$C$26</definedName>
    <definedName name="wld_az2_edge_overlay_cidr">'Value Reference Tables - MR'!$I$302</definedName>
    <definedName name="input_wld_az1_rack5_vmotion_pool_start_ip">'Additional Racks'!$D$320</definedName>
    <definedName name="input_cluster_az1_mgmt_gateway_ip">'Deploy Cluster'!$D$25</definedName>
    <definedName name="input_mgmt_az1_host_overlay_network_pool_name">'Deploy Management Domain'!$L$255</definedName>
    <definedName name="sample_wld_az1_rack3_host3_mgmt_ip">'Additional Racks'!$C$109</definedName>
    <definedName name="input_cluster_az2_tor2_peer_ip">'Deploy Cluster'!$D$436</definedName>
    <definedName name="wld_az2_vm_mtu">'Value Reference Tables'!$AE$47</definedName>
    <definedName name="mgmt_srm_ip">'Value Reference Tables'!$R$103</definedName>
    <definedName name="svc_vrops_vra_password">'Value Reference Tables'!$L$116</definedName>
    <definedName name="input_wld_az1_host10_vrms_ip">'Dumping Ground'!$D$302</definedName>
    <definedName name="input_wld_cl01_vds01_pnics">'Deploy Workload Domain'!$D$247</definedName>
    <definedName name="wld_az2_host3_mgmt_ip">'Value Reference Tables - MR'!$I$425</definedName>
    <definedName name="group_gg_vra_cloud_assembly_admins">'Value Reference Tables'!$L$146</definedName>
    <definedName name="sample_wld_az1_host5_mgmt_ip">'Deploy Workload Domain'!$C$67</definedName>
    <definedName name="sddc_mgr_hostname">'Value Reference Tables'!$C$38</definedName>
    <definedName name="sizing_w05_nsxt_appliance_size">'Management Domain Sizing'!$I$40</definedName>
    <definedName name="sample_wld_az1_rack8_host4_fqdn">'Additional Racks'!$C$615</definedName>
    <definedName name="prefix_wld_az2_cidr">'Value Reference Tables'!$AA$77</definedName>
    <definedName name="mgmt_az1_rtep_overlay_vlan">'Value Reference Tables - MR'!$F$18</definedName>
    <definedName name="sample_mgmt_az1_en1_mgmt_ip">Arkham!$P$17</definedName>
    <definedName name="input_mgmt_cl01_vds03_name">'Deploy Management Domain'!$L$210</definedName>
    <definedName name="mgmt_vrms_hostname">'Value Reference Tables'!$R$114</definedName>
    <definedName name="sample_wld_az1_rack3_host12_fqdn">'Additional Racks'!$C$158</definedName>
    <definedName name="input_wld_az1_rack2_tor1_peer_asn">Arkham!$C$75</definedName>
    <definedName name="input_wld_az1_rack3_host_overlay_uplink_profile_name">'Additional Racks'!$D$174</definedName>
    <definedName name="input_smtp_server_port">Arkham!$C$17</definedName>
    <definedName name="child_ad_groups_ou">'Value Reference Tables'!$L$83</definedName>
    <definedName name="input_mgmt_cl01_az1_vsan_pg">'Deploy Management Domain'!$L$236</definedName>
    <definedName name="wld_az1_rack3_rtep_overlay_gateway_ip">'Value Reference Tables - MR'!$O$95</definedName>
    <definedName name="input_svc_vra_vrops_password">'Active Directory Inputs'!$G$41</definedName>
    <definedName name="input_wld_az1_rack8_principal_storage_mtu">'Additional Racks'!$D$603</definedName>
    <definedName name="sample_cluster_az1_vmotion_mtu">'Deploy Cluster'!$C$51</definedName>
    <definedName name="input_ccm_hcx_vsphere_role">'Cross Cloud Mobility'!$D$16</definedName>
    <definedName name="input_wld_az1_rack4_principal_storage_mtu">'Additional Racks'!$D$231</definedName>
    <definedName name="flt_custom_network_x_reg_pg">'Value Reference Tables'!$L$322</definedName>
    <definedName name="input_flt_net_prxy_mask">'Deploy Fleet Management Day-N'!$D$357</definedName>
    <definedName name="input_flt_custom_network_auto_prefix">'Deploy Fleet Management Day-N'!$D$51</definedName>
    <definedName name="mgmt_cl01_vds01_uplink2">'Value Reference Tables'!$C$94</definedName>
    <definedName name="sample_wld_az1_rack4_vmotion_cidr">Arkham!$B$28</definedName>
    <definedName name="mgmt_az1_edge_overlay_pool_end_ip">'Value Reference Tables - MR'!$F$160</definedName>
    <definedName name="flt_vidb_password_description">'Value Reference Tables'!$C$238</definedName>
    <definedName name="sample_vvs_dr_flt_logs_nodea_fqdn">'Site Protection &amp; DR'!$C$35</definedName>
    <definedName name="spr_result">'Management Domain Sizing'!$I$63</definedName>
    <definedName name="input_gg_vrli_viewers_group">'Active Directory Inputs'!$E$81</definedName>
    <definedName name="sample_wld_az1_rack8_host7_mgmt_ip">'Additional Racks'!$C$578</definedName>
    <definedName name="mgmt_az2_host11_fqdn">'Value Reference Tables - MR'!$F$479</definedName>
    <definedName name="sample_wld_az1_rack2_host5_mgmt_ip">'Additional Racks'!$C$18</definedName>
    <definedName name="mgmt_az2_mgmt_mask">'Value Reference Tables - MR'!$F$321</definedName>
    <definedName name="mgmt_az1_host_overlay_mtu">'Value Reference Tables - MR'!$F$73</definedName>
    <definedName name="mgmt_az1_host1_vrms_ip">'Value Reference Tables - MR'!$F$199</definedName>
    <definedName name="sample_wld_nsxt_en_admin_password">'Configure Workload Domain'!$C$93</definedName>
    <definedName name="sample_wld_az1_rack4_edge_overlay_gateway_ip">Arkham!$H$64</definedName>
    <definedName name="sample_wld_az1_rack5_host_overlay_cidr">Arkham!$B$35</definedName>
    <definedName name="input_mgmt_srm_recovery_vcenter_username">'Site Protection &amp; DR'!$D$218</definedName>
    <definedName name="input_flt_vidb_noded_ip">'Deploy Fleet Management Day-N'!$D$173</definedName>
    <definedName name="mgmt_az2_host9_hostname">'Value Reference Tables - MR'!$F$458</definedName>
    <definedName name="cluster_az1_secondary_storage_pool_end_ip">'Value Reference Tables'!$I$42</definedName>
    <definedName name="wld_az2_host_hostnames">'Value Reference Tables - MR'!$I$458:$I$473</definedName>
    <definedName name="input_mgmt_vc_ip">'Deploy Management Domain'!$L$323</definedName>
    <definedName name="input_wld_az1_rack7_secondary_storage_cidr">Arkham!$C$42</definedName>
    <definedName name="mgmt_az1_host15_hostname">'Value Reference Tables - MR'!$F$232</definedName>
    <definedName name="sample_wld_az2_host5_vrms_ip">'Dumping Ground'!$C$314</definedName>
    <definedName name="sample_gg_vrops_read_only_group">'Active Directory Inputs'!$D$86</definedName>
    <definedName name="wld_az2_host7_vrms_ip">'Value Reference Tables - MR'!$I$445</definedName>
    <definedName name="input_mgmt_vrms_vm_folder">'Dumping Ground'!$D$28</definedName>
    <definedName name="wld_az1_tor2_peer_ip">'Value Reference Tables - MR'!$I$104</definedName>
    <definedName name="input_wld_rwr_recovery_site_az1_vrms_cidr">'On-Premises Ransomware Recovery'!$D$100</definedName>
    <definedName name="wld_az1_rack8_mgmt_pg">'Value Reference Tables - MR'!$AD$111</definedName>
    <definedName name="change_control_old">'Change Control'!$C$2:$C$100</definedName>
    <definedName name="ca_country">'Value Reference Tables'!$O$38</definedName>
    <definedName name="input_flt_logs_vip_fqdn">'Deploy Fleet Management Day-N'!$D$224</definedName>
    <definedName name="wld_az2_host_mgmt_ips">'Value Reference Tables - MR'!$I$423:$I$438</definedName>
    <definedName name="cluster_az1_vmotion_lbt_chosen">'Deploy Cluster'!$D$211</definedName>
    <definedName name="flt_net_admin_password">'Value Reference Tables'!$L$270</definedName>
    <definedName name="input_mgmt_avilb_ip">'Configure Management Domain'!$D$216</definedName>
    <definedName name="flt_custom_network_flt_root_password">'Value Reference Tables'!$L$294</definedName>
    <definedName name="sample_cluster_az2_secondary_storage_network">'Deploy Cluster'!$C$301</definedName>
    <definedName name="input_wld_bf_vc_fqdn">'Deploy Workload Domain'!$D$29</definedName>
    <definedName name="flt_vidb_hostname">'Value Reference Tables'!$C$49</definedName>
    <definedName name="wld_az1_rack7_host1_hostname">'Value Reference Tables - MR'!$AA$202</definedName>
    <definedName name="input_mgmt_az2_vsan_pool_start_ip">'Configure Management Domain'!$D$265</definedName>
    <definedName name="wld_az1_rack3_host4_hostname">'Value Reference Tables - MR'!$O$205</definedName>
    <definedName name="input_cluster_vds02_name">'Deploy Cluster'!$D$178</definedName>
    <definedName name="sample_flt_logs_portgroup">'Deploy Fleet Management Day-N'!$C$238</definedName>
    <definedName name="sample_gg_vrli_admins_group">'Active Directory Inputs'!$D$79</definedName>
    <definedName name="input_mgmt_az2_host14_mgmt_ip">'Configure Management Domain'!$D$243</definedName>
    <definedName name="mgmt_az1_host15_mgmt_ip">'Value Reference Tables - MR'!$F$197</definedName>
    <definedName name="sizing_w06_nsxt_appliance_size">'Management Domain Sizing'!$I$41</definedName>
    <definedName name="mgmt_az1_pool_name">'Value Reference Tables - MR'!$F$166</definedName>
    <definedName name="input_wld_az1_rack8_host11_fqdn">'Additional Racks'!$D$622</definedName>
    <definedName name="wld_az1_en1_edge_overlay_network_ip_allocation_chosen">'Configure Workload Domain'!$D$59</definedName>
    <definedName name="input_mgmt_az2_host4_mgmt_ip">'Configure Management Domain'!$D$233</definedName>
    <definedName name="input_wld_az1_rack7_host15_fqdn">'Additional Racks'!$D$533</definedName>
    <definedName name="flt_logs_root_username">'Value Reference Tables'!$L$214</definedName>
    <definedName name="sample_flt_vidb_user_base_dn">'Deploy Fleet Management Day-N'!$C$204</definedName>
    <definedName name="input_wld_az1_rack5_host_overlay_mtu">'Additional Racks'!$D$371</definedName>
    <definedName name="mgmt_az2_host13_vrms_ip">'Value Reference Tables - MR'!$F$443</definedName>
    <definedName name="input_wld_az1_rack8_secondary_storage_mtu">'Dumping Ground'!$D$557</definedName>
    <definedName name="sample_wld_az1_rack2_principal_storage_vlan">'Additional Racks'!$C$44</definedName>
    <definedName name="sizing_vcfops_logs_chosen">'Management Domain Sizing'!$E$24</definedName>
    <definedName name="sample_flt_vidb_cert_state">'Deploy Fleet Management Day-N'!$C$135</definedName>
    <definedName name="sample_wld_az1_rack7_uplink02_mask">Arkham!$Q$69</definedName>
    <definedName name="navigation_apply_signed_certs_wld_domain">'Configure Workload Domain'!$B$9</definedName>
    <definedName name="sizing_w08_nsxt_appliance_size">'Management Domain Sizing'!$I$43</definedName>
    <definedName name="group_gg_vrslcm_content_developers">'Value Reference Tables'!$L$138</definedName>
    <definedName name="input_flt_custom_network_ops_admin_password">'Deploy Fleet Management Day-N'!$D$42</definedName>
    <definedName name="cluster_az1_mgmt_uplink1_chosen">'Deploy Cluster'!$D$202</definedName>
    <definedName name="wld_az1_vrms_gateway_ip">'Value Reference Tables - MR'!$I$96</definedName>
    <definedName name="sample_svc_vro_vsphere_password">'Active Directory Inputs'!$F$40</definedName>
    <definedName name="wld_az1_rack6_tor2_peer_ip">'Value Reference Tables - MR'!$X$104</definedName>
    <definedName name="input_wld_az1_rack5_host10_fqdn">'Additional Racks'!$D$342</definedName>
    <definedName name="wld_az2_vrms_cidr">'Value Reference Tables - MR'!$I$304</definedName>
    <definedName name="sample_wld_az1_rack7_edge_overlay_vlan">Arkham!$Q$61</definedName>
    <definedName name="vvs_dr_dns1_ip">'Value Reference Tables'!$O$94</definedName>
    <definedName name="wld_az1_rack3_host_overlay_pool_start_ip">'Value Reference Tables - MR'!$O$153</definedName>
    <definedName name="sample_flt_custom_network_ops_collector_version">'Deploy Fleet Management Day-N'!$C$46</definedName>
    <definedName name="mgmt_az1_tor1_peer_bgp_password">'Value Reference Tables - MR'!$F$103</definedName>
    <definedName name="sizing_vcffm_disk">'Static Reference Tables'!$C$100</definedName>
    <definedName name="input_wld_az1_uplink02_mtu">'Configure Workload Domain'!$D$112</definedName>
    <definedName name="sample_wld_rack5_en_asn">Arkham!$K$73</definedName>
    <definedName name="input_wld_az1_en1_edge_overlay_interface_ip_1_ip">'Configure Workload Domain'!$D$63</definedName>
    <definedName name="wld_avilb_cluster_name">'Value Reference Tables'!$O$73</definedName>
    <definedName name="mgmt_az1_edge_overlay_network_pool_name">'Value Reference Tables - MR'!$F$172</definedName>
    <definedName name="sizing_w08_nsxt_model">'Management Domain Sizing'!$H$43</definedName>
    <definedName name="wld_az1_rack8_mgmt_mask">'Value Reference Tables - MR'!$AD$179</definedName>
    <definedName name="wld_nsxt_lm_fingerprint">'Value Reference Tables'!$O$82</definedName>
    <definedName name="sample_mgmt_az1_tor2_peer_ip">'Configure Management Domain'!$C$167</definedName>
    <definedName name="wld_az1_rack3_host11_hostname">'Value Reference Tables - MR'!$O$212</definedName>
    <definedName name="input_mgmt_tier1_name">'Value Reference Tables'!$U$212</definedName>
    <definedName name="sample_mgmt_az2_secondary_storage_gateway_ip">'Configure Management Domain'!$C$272</definedName>
    <definedName name="vcf_automation_cert_locality">'Value Reference Tables'!$L$340</definedName>
    <definedName name="flt_custom_management_network">Arkham!$B$4</definedName>
    <definedName name="input_cluster_vds03_pnics">'Deploy Cluster'!$D$197</definedName>
    <definedName name="cluster_az2_mgmt_mtu">'Value Reference Tables'!$I$204</definedName>
    <definedName name="wld_az1_rack8_host_mgmt_ips">'Value Reference Tables - MR'!$AD$183:$AD$198</definedName>
    <definedName name="sample_wld_host_overlay_transportzone">'Deploy Workload Domain'!$C$302</definedName>
    <definedName name="mgmt_az2_host6_hostname">'Value Reference Tables - MR'!$F$455</definedName>
    <definedName name="sample_cluster_az1_secondary_storage_network">'Deploy Cluster'!$C$68</definedName>
    <definedName name="sample_wld_az1_rack5_mgmt_vm_vlan">'Value Reference Tables - MR'!$K$262</definedName>
    <definedName name="sample_vcf_automation_root_username">'Deploy Fleet Management Day-N'!$C$103</definedName>
    <definedName name="wld_az1_host3_mgmt_ip">'Value Reference Tables - MR'!$I$185</definedName>
    <definedName name="input_wld_vrms_root_password">'Dumping Ground'!$D$70</definedName>
    <definedName name="sample_wld_az1_rack4_mgmt_vm_vlan">'Value Reference Tables - MR'!$K$261</definedName>
    <definedName name="input_wld_az2_host7_vrms_ip">'Dumping Ground'!$D$316</definedName>
    <definedName name="sizing_w15_nsxt_model">'Management Domain Sizing'!$H$50</definedName>
    <definedName name="input_wld_az1_rack5_principal_storage_pool_end_ip">'Additional Racks'!$D$329</definedName>
    <definedName name="mgmt_cl01_az1_nsx_uplink1_chosen">'Deploy Management Domain'!$L$249</definedName>
    <definedName name="input_wld_az2_principal_storage_gateway_ip">'Configure Workload Domain'!$D$209</definedName>
    <definedName name="wld_az2_uplink01_cidr">'Value Reference Tables - MR'!$I$300</definedName>
    <definedName name="mgmt_az1_en2_hostname">'Value Reference Tables - MR'!$F$266</definedName>
    <definedName name="input_wld_nsxt_lm_audit_password">'Deploy Workload Domain'!$D$184</definedName>
    <definedName name="wld_az1_rack6_host6_mgmt_ip">'Value Reference Tables - MR'!$X$188</definedName>
    <definedName name="wld_az1_rack7_host_fqdns">'Value Reference Tables - MR'!$AA$221:$AA$236</definedName>
    <definedName name="input_wld_az1_rack6_vmotion_mtu">'Additional Racks'!$D$409</definedName>
    <definedName name="input_flt_custom_network_x_reg_gateway_ip">'Deploy Fleet Management Day-N'!$D$23</definedName>
    <definedName name="domain_controller_hostname">'Value Reference Tables'!$L$57</definedName>
    <definedName name="ca_organization_unit">'Value Reference Tables'!$O$44</definedName>
    <definedName name="wld_az1_rack6_mgmt_vlan">'Value Reference Tables - MR'!$X$9</definedName>
    <definedName name="input_flt_logs_admin_password_description">'Deploy Fleet Management Day-N'!$D$252</definedName>
    <definedName name="sample_vcf_automation_cert_organisation">'Deploy Fleet Management Day-N'!$C$71</definedName>
    <definedName name="input_wld_az1_rack6_principal_storage_network">'Additional Racks'!$D$418</definedName>
    <definedName name="wld_az1_rack2_host_overlay_vlan">'Value Reference Tables - MR'!$L$12</definedName>
    <definedName name="sample_wld_az1_storage_cluster_gateway_ip">'Deploy Workload Domain'!$C$113</definedName>
    <definedName name="input_wld_az1_rack7_edge_overlay_vlan">Arkham!$R$61</definedName>
    <definedName name="wld_cl01_az1_mgmt_uplink1_chosen">'Deploy Workload Domain'!$D$274</definedName>
    <definedName name="wld_az2_tor1_peer_bgp_password">'Value Reference Tables - MR'!$I$371</definedName>
    <definedName name="navigation_configure_sftp_mgmt_domain">'Configure Management Domain'!$B$18</definedName>
    <definedName name="sddc_mgr_root_password">'Value Reference Tables'!$L$27</definedName>
    <definedName name="input_mgmt_az1_host4_mgmt_ip">'Deploy Management Domain'!$L$333</definedName>
    <definedName name="input_wld_az1_rack2_secondary_storage_mask">'Dumping Ground'!$D$511</definedName>
    <definedName name="sample_wld_az1_rack7_host_overlay_uplink_profile_name">'Additional Racks'!$C$546</definedName>
    <definedName name="sample_svc_my_vmware_password">'Deploy Management Domain'!$K$12</definedName>
    <definedName name="flt_logs_datastore">'Value Reference Tables'!$L$206</definedName>
    <definedName name="input_cluster_az2_host7_fqdn">'Deploy Cluster'!$D$323</definedName>
    <definedName name="sample_cluster_az1_host_overlay_vlan">'Deploy Cluster'!$C$231</definedName>
    <definedName name="input_mgmt_tier0_name">'Configure Management Domain'!$D$153</definedName>
    <definedName name="wld_az1_rack6_rtep_overlay_vlan">'Value Reference Tables - MR'!$X$18</definedName>
    <definedName name="sample_wld_az1_rack5_uplink02_mtu">Arkham!$K$69</definedName>
    <definedName name="input_svc_vra_vsphere_password">'Active Directory Inputs'!$G$37</definedName>
    <definedName name="mgmt_cl01_az2_uplink01_pg">'Value Reference Tables - MR'!$F$378</definedName>
    <definedName name="cluster_az1_pool_name">'Value Reference Tables'!$I$69</definedName>
    <definedName name="input_flt_net_cert_state">'Deploy Fleet Management Day-N'!$D$300</definedName>
    <definedName name="input_wld_cl01_supervisor_service_cidr">'Deploy Workload Domain'!$D$327</definedName>
    <definedName name="input_wld_az1_tor1_peer_bgp_password">'Configure Workload Domain'!$D$107</definedName>
    <definedName name="flt_vidb_secondary_domain_controller_port">'Value Reference Tables'!$C$175</definedName>
    <definedName name="wld_bf_nsx_create_passwords_chosen">'Deploy Workload Domain'!$D$47</definedName>
    <definedName name="sample_flt_logs_nodeb_ip">'Deploy Fleet Management Day-N'!$C$230</definedName>
    <definedName name="input_xregion_ntp1_server">Arkham!$C$18</definedName>
    <definedName name="input_witness_dns_zone">Arkham!$C$12</definedName>
    <definedName name="wld_az1_rack4_en1_fqdn">'Value Reference Tables - MR'!$R$240</definedName>
    <definedName name="flt_net_nodea_size_chosen">'Deploy Fleet Management Day-N'!$D$344</definedName>
    <definedName name="sample_mgmt_az1_host13_fqdn">'Deploy Management Domain'!$K$140</definedName>
    <definedName name="wld_az1_rack6_tor2_peer_asn">'Value Reference Tables - MR'!$X$105</definedName>
    <definedName name="sample_mgmt_vrms_p12_password">'Dumping Ground'!$C$34</definedName>
    <definedName name="input_wld_az1_rack6_host5_mgmt_ip">'Additional Racks'!$D$390</definedName>
    <definedName name="input_wld_sso_domain_name">'Deploy Workload Domain'!$D$150</definedName>
    <definedName name="sample_wld_az2_host6_vrms_ip">'Dumping Ground'!$C$315</definedName>
    <definedName name="input_wld_az1_rack7_host2_mgmt_ip">'Additional Racks'!$D$480</definedName>
    <definedName name="mgmt_az1_en1_edge_overlay_network_ip_allocation_chosen">'Configure Management Domain'!$D$116</definedName>
    <definedName name="input_wld_az1_rack8_host14_fqdn">'Additional Racks'!$D$625</definedName>
    <definedName name="wld_az1_rack2_vmotion_mtu">'Value Reference Tables - MR'!$L$71</definedName>
    <definedName name="sample_wld_az1_host_overlay_gateway_ip">'Deploy Workload Domain'!$C$311</definedName>
    <definedName name="wld_az1_host_overlay_network_profile_name">'Value Reference Tables - MR'!$I$167</definedName>
    <definedName name="region_ad_child_fqdn">'Value Reference Tables'!$L$73</definedName>
    <definedName name="input_cbr_recovery_sddc_name">'Cloud-Based Ransomware Recovery'!$D$18</definedName>
    <definedName name="child_svc_nsx_ad_user">'Value Reference Tables'!$L$127</definedName>
    <definedName name="mgmt_cl01_vds02_lag_lbt_chosen">'Deploy Management Domain'!$L$204</definedName>
    <definedName name="sample_wld_nsxt_global_mgr_vmca_signed_thumbprint">'Configure Workload Domain'!$C$417</definedName>
    <definedName name="input_mgmt_az1_uplink02_vlan">'Configure Management Domain'!$D$165</definedName>
    <definedName name="input_wld_az1_rack5_edge_overlay_network_pool_name">'Additional Racks'!$D$361</definedName>
    <definedName name="input_wld_az1_host3_vrms_ip">'Dumping Ground'!$D$295</definedName>
    <definedName name="sample_wld_az1_rack4_host3_mgmt_ip">'Additional Racks'!$C$202</definedName>
    <definedName name="input_mgmt_cl01_vds03_uplink1">'Deploy Management Domain'!$L$218</definedName>
    <definedName name="input_flt_logs_mask">'Deploy Fleet Management Day-N'!$D$248</definedName>
    <definedName name="wld_az1_rack5_rtep_overlay_gateway_ip">'Value Reference Tables - MR'!$U$95</definedName>
    <definedName name="input_child_svc_nsx_ad_user">'Active Directory Inputs'!$E$19</definedName>
    <definedName name="input_cluster_az2_tor1_peer_ip">'Deploy Cluster'!$D$431</definedName>
    <definedName name="sample_cluster_vsan_datastore">'Deploy Cluster'!$C$129</definedName>
    <definedName name="sample_svc_ccm_hcx_nsx_password">'Active Directory Inputs'!$F$49</definedName>
    <definedName name="sample_wld_az1_rack8_host16_mgmt_ip">'Additional Racks'!$C$587</definedName>
    <definedName name="sample_mgmt_az1_host1_mgmt_ip">'Deploy Management Domain'!$K$330</definedName>
    <definedName name="input_mgmt_az1_rtep_ip_pool_name">'Configure Management Domain'!$D$491</definedName>
    <definedName name="sample_cluster_witness_vm_folder">'Deploy Cluster'!$C$353</definedName>
    <definedName name="sample_cluster_az1_nsx_uplink_count">'Deploy Cluster'!$C$243</definedName>
    <definedName name="ccm_aws_admin_ssouser">'Value Reference Tables'!$U$183</definedName>
    <definedName name="sample_wld_az1_rack3_uplink02_mtu">Arkham!$E$69</definedName>
    <definedName name="input_wld_az1_rack6_vmotion_cidr">Arkham!$C$36</definedName>
    <definedName name="mgmt_az2_host12_hostname">'Value Reference Tables - MR'!$F$461</definedName>
    <definedName name="sample_mgmt_witness_zone_vc_fqdn">'Configure Management Domain'!$C$310</definedName>
    <definedName name="input_wld_az1_rack7_principal_storage_pool_end_ip">'Additional Racks'!$D$515</definedName>
    <definedName name="input_parent_ad_groups_ou">'Active Directory Inputs'!$E$10</definedName>
    <definedName name="local_configadmin_username">'Value Reference Tables'!$AA$25</definedName>
    <definedName name="sample_flt_vidb_vip_fqdn">'Deploy Fleet Management Day-N'!$C$137</definedName>
    <definedName name="wld_az1_rack4_mgmt_cidr">'Value Reference Tables - MR'!$R$24</definedName>
    <definedName name="wld_az1_rack8_host_overlay_network">'Value Reference Tables - MR'!$AD$42</definedName>
    <definedName name="sample_ccm_hcx_root_password">'Cross Cloud Mobility'!$C$34</definedName>
    <definedName name="sample_wld_az1_rack7_uplink02_vlan">Arkham!$Q$60</definedName>
    <definedName name="input_wld_az1_rack6_secondary_storage_pool_end_ip">'Dumping Ground'!$D$546</definedName>
    <definedName name="sample_ca_country">'Configure Management Domain'!$C$61</definedName>
    <definedName name="sample_rwr_vrms_pg">'On-Premises Ransomware Recovery'!$C$71</definedName>
    <definedName name="wld_az1_rack8_host8_fqdn">'Value Reference Tables - MR'!$AD$228</definedName>
    <definedName name="input_flt_logs_cert_alias">'Deploy Fleet Management Day-N'!$D$214</definedName>
    <definedName name="mgmt_sso_domain">'Value Reference Tables'!$C$84</definedName>
    <definedName name="sample_wld_vrms_hostname">'Dumping Ground'!$D$10</definedName>
    <definedName name="sample_mgmt_nsxt_xreg_t1_name">'Configure Management Domain'!$C$522</definedName>
    <definedName name="xreg_vra_prefix">'Value Reference Tables'!$F$138</definedName>
    <definedName name="sample_cluster_vmfs_datastore_name">'Deploy Cluster'!$C$133</definedName>
    <definedName name="sample_mgmt_az1_host16_fqdn">'Deploy Management Domain'!$K$143</definedName>
    <definedName name="mgmt_nsx_rp">'Value Reference Tables'!$C$80</definedName>
    <definedName name="input_cluster_az1_host12_fqdn">'Deploy Cluster'!$D$95</definedName>
    <definedName name="input_wld_az1_rack6_host_overlay_network_profile_name">'Additional Racks'!$D$450</definedName>
    <definedName name="wld_vc_hostname">'Value Reference Tables'!$F$30</definedName>
    <definedName name="cluster_az2_storage_cluster_mask">'Value Reference Tables'!$I$252</definedName>
    <definedName name="wld_az1_rack5_edge_overlay_cidr">'Value Reference Tables - MR'!$U$32</definedName>
    <definedName name="sample_wld_datacenter">'Configure Workload Domain'!$C$286</definedName>
    <definedName name="input_mgmt_az1_en2_uplink01_interface_cidr">'Configure Management Domain'!$D$174</definedName>
    <definedName name="input_ca_organization">'Configure Management Domain'!$D$60</definedName>
    <definedName name="wld_az1_rack7_host4_fqdn">'Value Reference Tables - MR'!$AA$224</definedName>
    <definedName name="input_cluster_az1_vmotion_pg">'Deploy Cluster'!$D$210</definedName>
    <definedName name="sample_xreg_vrops_collector_ip">'Deploy Management Domain'!$K$311</definedName>
    <definedName name="vvs_dr_parent_dns_zone">'Value Reference Tables'!$O$96</definedName>
    <definedName name="sizing_w12_nsxt_model">'Management Domain Sizing'!$H$47</definedName>
    <definedName name="sample_cluster_az2_principal_storage_pool_end_ip">'Deploy Cluster'!$C$297</definedName>
    <definedName name="sample_mgmt_az1_mgmt_vm_gateway_ip">'Deploy Management Domain'!$K$155</definedName>
    <definedName name="mgmt_az2_host_overlay_mtu">'Value Reference Tables - MR'!$F$352</definedName>
    <definedName name="input_flt_logs_ou_cert">'Deploy Fleet Management Day-N'!$D$219</definedName>
    <definedName name="sample_wld_nsxt_global_mgrb_hostname">'Configure Workload Domain'!$C$378</definedName>
    <definedName name="sample_cluster_az2_mgmt_cidr">'Deploy Cluster'!$C$258</definedName>
    <definedName name="flt_custom_network_flt_ip">'Value Reference Tables'!$L$293</definedName>
    <definedName name="sample_wld_witness_dns1_ip">'Configure Workload Domain'!$C$279</definedName>
    <definedName name="wld_az1_rack3_secondary_storage_vlan">'Value Reference Tables - MR'!$O$13</definedName>
    <definedName name="non_first_domain_mgmt_vi_viable">'Value Reference Tables'!$AA$103</definedName>
    <definedName name="cluster_nsxt_vip_fqdn">'Value Reference Tables'!$I$291</definedName>
    <definedName name="input_wld_az1_rack4_host4_fqdn">'Additional Racks'!$D$243</definedName>
    <definedName name="input_mgmt_srm_vrops_rp">'Site Protection &amp; DR'!$D$257</definedName>
    <definedName name="wld_az1_rack3_host_overlay_network_pool_name">'Value Reference Tables - MR'!$O$169</definedName>
    <definedName name="sizing_w16_nsxt_gm_appliance_size">'Management Domain Sizing'!$M$51</definedName>
    <definedName name="sample_flt_custom_network_ops_nodec_fqdn">'Deploy Fleet Management Day-N'!$C$35</definedName>
    <definedName name="wld_az1_rack7_host9_mgmt_ip">'Value Reference Tables - MR'!$AA$191</definedName>
    <definedName name="wld_az1_rack7_edge_overlay_cidr">'Value Reference Tables - MR'!$AA$32</definedName>
    <definedName name="input_child_ad_users_ou">'Active Directory Inputs'!$G$11</definedName>
    <definedName name="sample_child_svc_vsphere_ad_user">'Active Directory Inputs'!$D$18</definedName>
    <definedName name="input_vcf_automation_admin_username">'Deploy Fleet Management Day-N'!$D$99</definedName>
    <definedName name="administrator_vsphere_local_password">'Value Reference Tables'!$L$14</definedName>
    <definedName name="wld_az1_rack5_mgmt_vm_gateway_ip">'Value Reference Tables - MR'!$U$85</definedName>
    <definedName name="mgmt_az1_vm_cidr">'Value Reference Tables'!$AD$17</definedName>
    <definedName name="asn_mgmt_az2">'Value Reference Tables - MR'!$AH$20</definedName>
    <definedName name="input_wld_nsxt_global_mgrb_ip">'Configure Workload Domain'!$D$388</definedName>
    <definedName name="sample_wld_az1_rack3_vmotion_gateway_ip">'Additional Racks'!$C$133</definedName>
    <definedName name="xreg_vrops_virtual_fqdn">'Value Reference Tables'!$R$93</definedName>
    <definedName name="input_flt_vcfms_node_pool_end_ip">Arkham!$Q$41</definedName>
    <definedName name="wld_az2_host_overlay_pg">'Value Reference Tables - MR'!$I$382</definedName>
    <definedName name="input_wld_az1_rack8_secondary_storage_gateway_ip">'Dumping Ground'!$D$560</definedName>
    <definedName name="input_wld_az1_rtep_overlay_gateway_ip">'Configure Workload Domain'!$D$470</definedName>
    <definedName name="wld_az1_rack2_edge_overlay_vlan">'Value Reference Tables - MR'!$L$17</definedName>
    <definedName name="input_mgmt_az2_host9_vrms_ip">'Site Protection &amp; DR'!$D$201</definedName>
    <definedName name="wld_az1_rack5_host15_fqdn">'Value Reference Tables - MR'!$U$235</definedName>
    <definedName name="sample_mgmt_az2_host_overlay_mtu">'Configure Management Domain'!$C$368</definedName>
    <definedName name="sample_wld_az1_rack4_secondary_storage_pool_end_ip">'Dumping Ground'!$C$530</definedName>
    <definedName name="input_mgmt_az1_host5_fqdn">'Deploy Management Domain'!$L$132</definedName>
    <definedName name="cluster_az2_reuse_vcf_networkpool_chosen">'Deploy Cluster'!$D$280</definedName>
    <definedName name="sample_wld_az2_vmotion_vlan">'Configure Workload Domain'!$C$197</definedName>
    <definedName name="mgmt_offline_depot_fqdn">'Value Reference Tables'!$O$58</definedName>
    <definedName name="sample_flt_net_cert_state">'Deploy Fleet Management Day-N'!$C$300</definedName>
    <definedName name="sample_mgmt_az1_en2_eth0_uplink0">'Configure Management Domain'!$C$137</definedName>
    <definedName name="cluster_vsan_type">'Deploy Cluster'!$D$101</definedName>
    <definedName name="input_wld_az1_rack4_host_overlay_network_profile_name">'Additional Racks'!$D$264</definedName>
    <definedName name="mgmt_witness_ntp1_server">'Value Reference Tables'!$C$217</definedName>
    <definedName name="wld_az1_rack6_host13_fqdn">'Value Reference Tables - MR'!$X$233</definedName>
    <definedName name="wld_az1_en1_eth1_uplink1">'Value Reference Tables'!$C$256</definedName>
    <definedName name="sample_wld_az1_rack6_uplink01_gateway_ip">Arkham!$N$62</definedName>
    <definedName name="wld_az1_rack7_rtep_overlay_pool_end_ip">'Value Reference Tables - MR'!$AA$162</definedName>
    <definedName name="user_svc_vrli_vrops">'Value Reference Tables'!$L$102</definedName>
    <definedName name="sample_mgmt_cl01_az1_uplink01_pg">'Configure Management Domain'!$C$193</definedName>
    <definedName name="sample_mgmt_az2_host9_vrms_ip">'Site Protection &amp; DR'!$C$201</definedName>
    <definedName name="wld_az1_rack4_rtep_overlay_mtu">'Value Reference Tables - MR'!$R$79</definedName>
    <definedName name="sizing_w19_gm_chosen">'Management Domain Sizing'!$L$54</definedName>
    <definedName name="wld_az1_rack5_host13_fqdn">'Value Reference Tables - MR'!$U$233</definedName>
    <definedName name="input_wld_az1_rack8_edge_overlay_gateway_ip">Arkham!$U$64</definedName>
    <definedName name="wld_az1_rack3_host5_mgmt_ip">'Value Reference Tables - MR'!$O$187</definedName>
    <definedName name="sample_wld_az1_rack5_uplink02_gateway_ip">Arkham!$K$63</definedName>
    <definedName name="mgmt_az1_host8_fqdn">'Value Reference Tables - MR'!$F$244</definedName>
    <definedName name="input_mgmt_az2_host7_mgmt_ip">'Configure Management Domain'!$D$236</definedName>
    <definedName name="cluster_az1_host2_fqdn">'Value Reference Tables'!$I$72</definedName>
    <definedName name="input_cluster_witness_zone_vc_fqdn">'Deploy Cluster'!$D$350</definedName>
    <definedName name="sample_wld_az2_host7_fqdn">'Configure Workload Domain'!$C$238</definedName>
    <definedName name="input_mgmt_cl01_vds02_uplink_count">'Deploy Management Domain'!$L$206</definedName>
    <definedName name="sample_wld_az1_rack5_host_overlay_mtu">'Additional Racks'!$C$371</definedName>
    <definedName name="cluster_az1_mgmt_vm_uplink1_chosen">'Deploy Cluster'!$D$207</definedName>
    <definedName name="input_cluster_vc_fqdn">'Deploy Cluster'!$D$369</definedName>
    <definedName name="input_wld_az1_rack3_host14_fqdn">'Additional Racks'!$D$160</definedName>
    <definedName name="sample_wld_rack2_en_asn">Arkham!$B$73</definedName>
    <definedName name="sample_mgmt_az1_tor2_peer_bgp_password">'Configure Management Domain'!$C$171</definedName>
    <definedName name="mgmt_cl01_nfs_share">'Value Reference Tables'!$C$122</definedName>
    <definedName name="wld_az1_rack5_host6_hostname">'Value Reference Tables - MR'!$U$207</definedName>
    <definedName name="sample_wld_az1_rack7_mgmt_gateway_ip">'Additional Racks'!$C$475</definedName>
    <definedName name="input_wld_az1_rack7_pool_name">'Additional Racks'!$D$499</definedName>
    <definedName name="wld_az1_rack4_mgmt_vlan">'Value Reference Tables - MR'!$R$9</definedName>
    <definedName name="input_cluster_az2_host_overlay_pool_start_ip">'Deploy Cluster'!$D$413</definedName>
    <definedName name="sample_vcf_automation_nodef_ip">Arkham!$P$15</definedName>
    <definedName name="sizing_w19_vcenter_appliance_size">'Management Domain Sizing'!$D$54</definedName>
    <definedName name="wld_az2_host8_mgmt_ip">'Value Reference Tables - MR'!$I$430</definedName>
    <definedName name="sample_svc_vra_vcf_password">'Active Directory Inputs'!$F$39</definedName>
    <definedName name="wld_az1_rack5_host2_hostname">'Value Reference Tables - MR'!$U$203</definedName>
    <definedName name="input_wld_vlr_hostname">'On-Premises Ransomware Recovery'!$D$11</definedName>
    <definedName name="input_wld_az1_rack7_vmotion_pool_end_ip">'Additional Racks'!$D$507</definedName>
    <definedName name="input_cluster_az1_host7_fqdn">'Deploy Cluster'!$D$90</definedName>
    <definedName name="sample_wld_az1_rack3_host12_mgmt_ip">'Additional Racks'!$C$118</definedName>
    <definedName name="sample_flt_logs_datastore">'Deploy Fleet Management Day-N'!$C$239</definedName>
    <definedName name="input_wld_az1_rack6_host13_mgmt_ip">'Additional Racks'!$D$398</definedName>
    <definedName name="wld_nsxt_federation_result">'Configure Workload Domain'!$D$15</definedName>
    <definedName name="wld_cl01_az1_vsan_storage_client_uplink1_chosen">'Deploy Workload Domain'!$D$294</definedName>
    <definedName name="input_cluster_az2_principal_storage_vlan">'Deploy Cluster'!$D$291</definedName>
    <definedName name="input_wld_az1_secondary_storage_mtu">'Deploy Workload Domain'!$D$102</definedName>
    <definedName name="input_wld_witness_ntp2_server">'Configure Workload Domain'!$D$282</definedName>
    <definedName name="mgmt_vrms_pg">'Value Reference Tables'!$U$70</definedName>
    <definedName name="other_instance">'Value Reference Tables'!$AA$60</definedName>
    <definedName name="wld_az1_rack6_rtep_overlay_pool_start_ip">'Value Reference Tables - MR'!$X$161</definedName>
    <definedName name="cluster_az1_host_overlay_network_pool_name">'Value Reference Tables'!$I$161</definedName>
    <definedName name="input_wld_az1_rack8_secondary_storage_cidr">Arkham!$C$46</definedName>
    <definedName name="wld_az1_rack3_uplink01_vlan">'Value Reference Tables - MR'!$O$15</definedName>
    <definedName name="sample_wld_az1_rack7_host1_fqdn">'Additional Racks'!$C$519</definedName>
    <definedName name="wld_az1_rack7_secondary_storage_network">'Value Reference Tables - MR'!$AA$44</definedName>
    <definedName name="wld_az1_rack4_vrms_cidr">'Value Reference Tables - MR'!$R$34</definedName>
    <definedName name="input_gg_vrslcm_admins_group">'Active Directory Inputs'!$E$54</definedName>
    <definedName name="sample_xreg_vrslcm_fqdn">'Deploy Management Domain'!$K$65</definedName>
    <definedName name="flt_vidb_vcenter_fqdn">'Value Reference Tables'!$C$162</definedName>
    <definedName name="input_wld_az1_rack7_host16_fqdn">'Additional Racks'!$D$534</definedName>
    <definedName name="sample_mgmt_az1_edge_overlay_cidr">'Configure Management Domain'!$C$201</definedName>
    <definedName name="sample_wld_az1_rack3_uplink02_vlan">Arkham!$E$57</definedName>
    <definedName name="input_wld_az1_rack8_host11_mgmt_ip">'Additional Racks'!$D$582</definedName>
    <definedName name="wld_az1_rack5_en2_uplink02_interface_ip">'Value Reference Tables - MR'!$U$253</definedName>
    <definedName name="table_vrms_ram">'Static Reference Tables'!$B$181:$C$182</definedName>
    <definedName name="sample_gg_nsx_auditors_group">'Active Directory Inputs'!$D$72</definedName>
    <definedName name="sizing_w03_ssp_chosen">'Management Domain Sizing'!$V$38</definedName>
    <definedName name="wld_az1_rack4_host12_mgmt_ip">'Value Reference Tables - MR'!$R$194</definedName>
    <definedName name="sample_flt_custom_network_auto_vip_fqdn">'Deploy Fleet Management Day-N'!$C$50</definedName>
    <definedName name="sample_cluster_az1_host_overlay_network_profile_name">'Deploy Cluster'!$C$242</definedName>
    <definedName name="flt_custom_management_vlan">Arkham!$B$8</definedName>
    <definedName name="wld_az1_storage_cluster_mtu">'Value Reference Tables - MR'!$I$75</definedName>
    <definedName name="wld_az2_secondary_storage_pool_end_ip">'Value Reference Tables - MR'!$I$398</definedName>
    <definedName name="wld_rtep_ip_pool_name">'Value Reference Tables'!$O$79</definedName>
    <definedName name="flt_ic_ip">Arkham!$R$24</definedName>
    <definedName name="input_wld_az1_rack7_host9_fqdn">'Additional Racks'!$D$527</definedName>
    <definedName name="wld_az1_rack6_rtep_overlay_cidr">'Value Reference Tables - MR'!$X$33</definedName>
    <definedName name="wld_az1_rack5_uplink01_cidr">'Value Reference Tables - MR'!$U$30</definedName>
    <definedName name="wld_az1_host3_fqdn">'Value Reference Tables - MR'!$I$239</definedName>
    <definedName name="cluster_az2_vmotion_pool_end_ip">'Value Reference Tables'!$I$230</definedName>
    <definedName name="wld_az1_rack4_uplink02_network">'Value Reference Tables - MR'!$R$46</definedName>
    <definedName name="mgmt_az2_host3_mgmt_ip">'Value Reference Tables - MR'!$F$417</definedName>
    <definedName name="sample_wld_vrms_pg">'Dumping Ground'!$C$74</definedName>
    <definedName name="sample_wld_az1_rack6_host5_mgmt_ip">'Additional Racks'!$C$390</definedName>
    <definedName name="cluster_az2_host_overlay_cidr">'Value Reference Tables'!$I$286</definedName>
    <definedName name="vcf_installer_fqdn">'Value Reference Tables'!$C$53</definedName>
    <definedName name="sizing_w24_nsxt_model">'Management Domain Sizing'!$H$59</definedName>
    <definedName name="input_mgmt_az1_host6_mgmt_ip">'Deploy Management Domain'!$L$335</definedName>
    <definedName name="navigation_stretched_cluster_mgmt_domain">'Configure Management Domain'!$B$220</definedName>
    <definedName name="wld_rack5_en_asn">'Value Reference Tables - MR'!$U$100</definedName>
    <definedName name="vcf_pnp_option_yes">'Static Reference Tables'!$E$11:$E$12</definedName>
    <definedName name="input_cluster_az2_host15_mgmt_ip">'Deploy Cluster'!$D$275</definedName>
    <definedName name="input_wld_az1_rack4_edge_overlay_mask">Arkham!$I$67</definedName>
    <definedName name="cluster_esx_root_username">'Value Reference Tables'!$I$91</definedName>
    <definedName name="mgmt_az2_vmotion_network">'Value Reference Tables - MR'!$F$308</definedName>
    <definedName name="input_cluster_az1_storage_cluster_pool_end_ip">'Deploy Cluster'!$D$80</definedName>
    <definedName name="sizing_w23_nsxt_gm_appliance_size">'Management Domain Sizing'!$M$58</definedName>
    <definedName name="wld_az1_rack4_host12_fqdn">'Value Reference Tables - MR'!$R$232</definedName>
    <definedName name="mgmt_az1_en1_uplink01_interface_cidr">'Value Reference Tables - MR'!$F$259</definedName>
    <definedName name="prefix_wld_az1_vlan">'Value Reference Tables'!$AA$73</definedName>
    <definedName name="wld_az1_rack6_host15_hostname">'Value Reference Tables - MR'!$X$216</definedName>
    <definedName name="sample_flt_logs_admin_password_description">'Deploy Fleet Management Day-N'!$C$252</definedName>
    <definedName name="sample_wld_az1_rack2_host4_fqdn">'Additional Racks'!$C$57</definedName>
    <definedName name="sample_flt_logs_nodec_fqdn">'Deploy Fleet Management Day-N'!$C$227</definedName>
    <definedName name="mgmt_az2_host13_fqdn">'Value Reference Tables - MR'!$F$481</definedName>
    <definedName name="wld_az1_rack4_edge_overlay_vlan">'Value Reference Tables - MR'!$R$17</definedName>
    <definedName name="dri_k8s_size_hint">'Value Reference Tables'!$U$28</definedName>
    <definedName name="input_wld_az1_rack2_host_overlay_pool_end_ip">'Additional Racks'!$D$97</definedName>
    <definedName name="wld_az1_rack3_mgmt_vm_cidr">'Value Reference Tables - MR'!$O$23</definedName>
    <definedName name="input_wld_az1_rack5_vmotion_vlan">'Additional Racks'!$D$315</definedName>
    <definedName name="sample_wld_az1_host16_mgmt_ip">'Deploy Workload Domain'!$C$78</definedName>
    <definedName name="mgmt_az1_tor2_peer_bgp_password">'Value Reference Tables - MR'!$F$106</definedName>
    <definedName name="sample_mgmt_az2_vmotion_vlan">'Configure Management Domain'!$C$252</definedName>
    <definedName name="input_flt_custom_network_ops_nodec_ip">'Deploy Fleet Management Day-N'!$D$39</definedName>
    <definedName name="input_cbr_firewall_rule_vcenter">'Cloud-Based Ransomware Recovery'!$D$25</definedName>
    <definedName name="sample_wld_az1_rack3_host8_fqdn">'Additional Racks'!$C$154</definedName>
    <definedName name="sample_wld_az1_rack4_vsan_fault_domain">'Additional Racks'!$C$272</definedName>
    <definedName name="wld_az1_rack6_rtep_ip_pool_name">'Value Reference Tables - MR'!$X$173</definedName>
    <definedName name="input_svc_vra_nsx_user">'Active Directory Inputs'!$E$38</definedName>
    <definedName name="wld_az1_rack7_mgmt_vm_vlan">'Value Reference Tables - MR'!$AA$8</definedName>
    <definedName name="sample_wld_az1_rack6_host16_fqdn">'Additional Racks'!$C$441</definedName>
    <definedName name="vvs_dr_flt_net_nodea_fqdn">'Value Reference Tables'!$O$104</definedName>
    <definedName name="mgmt_az1_en1_fqdn">'Value Reference Tables'!$C$64</definedName>
    <definedName name="cluster_az2_host_overlay_pool_end_ip">'Value Reference Tables'!$I$289</definedName>
    <definedName name="input_flt_net_cert_locality">'Deploy Fleet Management Day-N'!$D$299</definedName>
    <definedName name="wld_az1_rack8_vmotion_network">'Value Reference Tables - MR'!$AD$40</definedName>
    <definedName name="sizing_w11_nsxt_model">'Management Domain Sizing'!$H$46</definedName>
    <definedName name="wld_az1_rack7_host6_hostname">'Value Reference Tables - MR'!$AA$207</definedName>
    <definedName name="wld_cl01_vds02_uplink_count">'Value Reference Tables'!$F$80</definedName>
    <definedName name="input_wld_az2_host3_vrms_ip">'Dumping Ground'!$D$312</definedName>
    <definedName name="mgmt_az2_host9_mgmt_ip">'Value Reference Tables - MR'!$F$423</definedName>
    <definedName name="sizing_w08_vcenter_appliance_size">'Management Domain Sizing'!$D$43</definedName>
    <definedName name="prefix_mgmt_stretched_cidr">'Value Reference Tables'!$AA$67</definedName>
    <definedName name="input_svc_iom_vcf_password">'Active Directory Inputs'!$G$27</definedName>
    <definedName name="sample_mgmt_az1_vrms_mask">'Site Protection &amp; DR'!$C$172</definedName>
    <definedName name="wld_az1_rack5_rtep_overlay_vlan">'Value Reference Tables - MR'!$U$18</definedName>
    <definedName name="cluster_az1_host_overlay_pool_start_ip">'Value Reference Tables'!$I$164</definedName>
    <definedName name="wld_az1_rack7_mgmt_vm_pg">'Value Reference Tables - MR'!$AA$110</definedName>
    <definedName name="input_wld_az1_rack4_edge_overlay_mtu">Arkham!$I$70</definedName>
    <definedName name="sample_wld_az1_rack7_host13_fqdn">'Additional Racks'!$C$531</definedName>
    <definedName name="input_xreg_vrops_nodec_fqdn">'Deploy Management Domain'!$L$59</definedName>
    <definedName name="mgmt_az1_secondary_storage_network">'Value Reference Tables - MR'!$F$43</definedName>
    <definedName name="table_nsxt_manager_ram">'Static Reference Tables'!$B$68:$C$72</definedName>
    <definedName name="mgmt_cl01_vds03_mtu">'Value Reference Tables'!$C$110</definedName>
    <definedName name="mgmt_az2_edge_overlay_mtu">'Value Reference Tables - MR'!$F$356</definedName>
    <definedName name="sample_gg_vrli_viewers_group">'Active Directory Inputs'!$D$81</definedName>
    <definedName name="sample_xreg_vrops_nodec_fqdn">'Deploy Management Domain'!$K$59</definedName>
    <definedName name="input_wld_az1_rack5_edge_overlay_pool_end_ip">Arkham!$L$72</definedName>
    <definedName name="sample_ccm_hcx_vmotion_network_ip_range">'Cross Cloud Mobility'!$D$12</definedName>
    <definedName name="wld_bf_sddc_domain">'Value Reference Tables'!$I$197</definedName>
    <definedName name="input_wld_az1_rack8_host_overlay_mtu">'Additional Racks'!$D$650</definedName>
    <definedName name="sample_wld_az1_rack6_edge_overlay_mtu">Arkham!$N$70</definedName>
    <definedName name="wld_az1_rack3_uplink01_mtu">'Value Reference Tables - MR'!$O$76</definedName>
    <definedName name="xreg_vrops_collector_ip">'Value Reference Tables'!$F$139</definedName>
    <definedName name="wld_az1_rack8_host_overlay_pool_end_ip">'Value Reference Tables - MR'!$AD$154</definedName>
    <definedName name="sample_certificate_authority_name">'Configure Management Domain'!$C$67</definedName>
    <definedName name="mgmt_srm_recovery_gateway">'Value Reference Tables'!$O$126</definedName>
    <definedName name="input_ca_locality">'Configure Management Domain'!$D$63</definedName>
    <definedName name="vvs_dr_sso_domain">'Value Reference Tables'!$O$111</definedName>
    <definedName name="wld_az1_rack6_host_mgmt_ips">'Value Reference Tables - MR'!$X$183:$X$198</definedName>
    <definedName name="input_wld_az1_host_overlay_network_pool_name">'Deploy Workload Domain'!$D$306</definedName>
    <definedName name="wld_az1_rack4_en2_mgmt_ip">'Value Reference Tables - MR'!$R$251</definedName>
    <definedName name="input_wld_az2_host8_fqdn">'Configure Workload Domain'!$D$239</definedName>
    <definedName name="flt_vidb_identity_provider_chosen">'Deploy Fleet Management Day-N'!$D$178</definedName>
    <definedName name="wld_az1_tor1_peer_ip">'Value Reference Tables - MR'!$I$101</definedName>
    <definedName name="mgmt_cl01_vds03_name">'Value Reference Tables'!$C$106</definedName>
    <definedName name="input_wld_az1_rack2_secondary_storage_cidr">Arkham!$C$22</definedName>
    <definedName name="wld_az1_rack4_mgmt_vm_pg">'Value Reference Tables - MR'!$R$110</definedName>
    <definedName name="wld_az2_host_overlay_cidr">'Value Reference Tables - MR'!$I$297</definedName>
    <definedName name="sample_mgmt_srm_recovery_sddc_manager_password">'Dumping Ground'!$C$19</definedName>
    <definedName name="wld_az1_rack2_rtep_overlay_cidr">'Value Reference Tables - MR'!$L$33</definedName>
    <definedName name="sample_wld_az1_rack5_rtep_ip_pool_name">'Additional Racks'!$C$362</definedName>
    <definedName name="wld_az2_host2_vrms_ip">'Value Reference Tables - MR'!$I$440</definedName>
    <definedName name="wld_az1_rack7_uplink01_mask">'Value Reference Tables - MR'!$AA$60</definedName>
    <definedName name="sample_wld_az1_rack6_host_overlay_network_pool_name">'Additional Racks'!$C$452</definedName>
    <definedName name="input_wld_az1_rack2_host13_mgmt_ip">'Additional Racks'!$D$26</definedName>
    <definedName name="sample_mgmt_ec01_en01_host_group_affinity_rule_name">'Configure Management Domain'!$C$103</definedName>
    <definedName name="input_wld_az1_rack3_host10_fqdn">'Additional Racks'!$D$156</definedName>
    <definedName name="sample_wld_az1_rack3_host_overlay_network_profile_name">'Additional Racks'!$C$171</definedName>
    <definedName name="cluster_az1_principal_storage_pg">'Value Reference Tables'!$I$142</definedName>
    <definedName name="sample_mgmt_srm_recovery_nsx_location">'Dumping Ground'!$C$59</definedName>
    <definedName name="flt_ic_fqdn">Arkham!$R$30</definedName>
    <definedName name="group_parent_gg_wsa_admins">'Value Reference Tables'!$L$133</definedName>
    <definedName name="wld_az1_host14_hostname">'Value Reference Tables - MR'!$I$231</definedName>
    <definedName name="sample_wld_cl01_supervisor_name">'Deploy Workload Domain'!$C$326</definedName>
    <definedName name="flt_custom_management_gateway_ip">Arkham!$B$5</definedName>
    <definedName name="sample_wld_az2_storage_cluster_vlan">'Configure Workload Domain'!$C$221</definedName>
    <definedName name="ccm_aws_sddc_name">'Value Reference Tables'!$U$165</definedName>
    <definedName name="input_wld_rtep_overlay_pool_start_ip">'Configure Workload Domain'!$D$467</definedName>
    <definedName name="input_wld_az1_rack2_vmotion_mask">'Additional Racks'!$D$39</definedName>
    <definedName name="sample_mgmt_nsxt_mgrb_ip">'Deploy Management Domain'!$K$327</definedName>
    <definedName name="input_wld_cl01_az1_uplink01_pg">'Configure Workload Domain'!$D$136</definedName>
    <definedName name="input_flt_vidb_employeeID">'Deploy Fleet Management Day-N'!$D$198</definedName>
    <definedName name="sample_wld_az1_en1_eth1_uplink0">'Configure Workload Domain'!$C$56</definedName>
    <definedName name="sample_vcf_automation_nodeb_ip">'Deploy Fleet Management Day-N'!$C$114</definedName>
    <definedName name="sample_mgmt_vc_ip">'Deploy Management Domain'!$K$323</definedName>
    <definedName name="mgmt_vrms_admin_email">'Value Reference Tables'!$U$69</definedName>
    <definedName name="input_wld_az1_rack3_principal_storage_network">'Additional Racks'!$D$139</definedName>
    <definedName name="sizing_m01_included">'Management Domain Sizing'!$C$32</definedName>
    <definedName name="wld_az1_rack3_rtep_overlay_vlan">'Value Reference Tables - MR'!$O$18</definedName>
    <definedName name="cluster_witness_ntp2_server">'Value Reference Tables'!$I$278</definedName>
    <definedName name="sample_cluster_az1_vmotion_pg">'Deploy Cluster'!$C$210</definedName>
    <definedName name="wld_cl01_vsan_dedupe_compression_chosen">'Deploy Workload Domain'!$D$204</definedName>
    <definedName name="input_wld_az1_rack7_mgmt_cidr">'Additional Racks'!$D$476</definedName>
    <definedName name="flt_net_result">'Deploy Fleet Management Day-N'!$D$11</definedName>
    <definedName name="mgmt_az2_host_overlay_mask">'Value Reference Tables - MR'!$F$324</definedName>
    <definedName name="input_wld_az1_rack2_uplink01_gateway_ip">Arkham!$C$62</definedName>
    <definedName name="wld_az2_vmotion_pool_start_ip">'Value Reference Tables - MR'!$I$391</definedName>
    <definedName name="wld_az1_rack7_mgmt_vm_mask">'Value Reference Tables - MR'!$AA$178</definedName>
    <definedName name="wld_cl01_nfs_share_path">'Value Reference Tables'!$F$101</definedName>
    <definedName name="sample_wld_az1_rack7_tor2_peer_bgp_password">Arkham!$Q$82</definedName>
    <definedName name="input_cluster_witnessaz_mgmt_cidr">'Deploy Cluster'!$D$344</definedName>
    <definedName name="sample_cluster_az2_secondary_storage_vlan">'Deploy Cluster'!$C$299</definedName>
    <definedName name="sample_wld_az1_rack4_host13_fqdn">'Additional Racks'!$C$252</definedName>
    <definedName name="input_cluster_az2_host11_fqdn">'Deploy Cluster'!$D$327</definedName>
    <definedName name="mgmt_vc_hostname">'Value Reference Tables'!$C$39</definedName>
    <definedName name="sample_wld_az2_host3_sddc_id">'Configure Workload Domain'!$C$305</definedName>
    <definedName name="wld_az1_rack7_tor1_peer_asn">'Value Reference Tables - MR'!$AA$102</definedName>
    <definedName name="wld_az1_rack8_mgmt_vm_vlan">'Value Reference Tables - MR'!$AD$8</definedName>
    <definedName name="sample_wld_az1_rack3_tor1_peer_bgp_password">Arkham!$E$76</definedName>
    <definedName name="input_flt_vidb_vip_ip">'Deploy Fleet Management Day-N'!$D$138</definedName>
    <definedName name="sizing_w18_nsxt_model">'Management Domain Sizing'!$H$53</definedName>
    <definedName name="region_ntp_servers_array">'Value Reference Tables'!$L$44:$L$45</definedName>
    <definedName name="mgmt_az2_edge_overlay_gateway_ip">'Value Reference Tables - MR'!$F$342</definedName>
    <definedName name="sizing_vcls_cpu">'Static Reference Tables'!$C$102</definedName>
    <definedName name="mgmt_rtep_overlay_pool_end_ip">'Value Reference Tables - MR'!$F$162</definedName>
    <definedName name="input_wld_az1_rack7_principal_storage_cidr">Arkham!$C$41</definedName>
    <definedName name="wld_az1_rack3_en1_fqdn">'Value Reference Tables - MR'!$O$240</definedName>
    <definedName name="cbr_vcdr_cdp1_hostname">'Value Reference Tables'!$U$141</definedName>
    <definedName name="wld_az1_rack8_uplink01_mtu">'Value Reference Tables - MR'!$AD$76</definedName>
    <definedName name="input_wld_az1_rack5_host14_mgmt_ip">'Additional Racks'!$D$306</definedName>
    <definedName name="sample_wld_az2_storage_cluster_gateway_ip">'Configure Workload Domain'!$C$225</definedName>
    <definedName name="wld_az1_rack8_edge_overlay_vlan">'Value Reference Tables - MR'!$AD$17</definedName>
    <definedName name="sample_wld_az2_secondary_storage_gateway_ip">'Configure Workload Domain'!$C$217</definedName>
    <definedName name="wld_az1_host_fqdns">'Value Reference Tables - MR'!$I$237:$I$252</definedName>
    <definedName name="input_mgmt_az1_host15_mgmt_ip">'Deploy Management Domain'!$L$344</definedName>
    <definedName name="mgmt_nsxt_mgrc_ip">'Value Reference Tables'!$C$20</definedName>
    <definedName name="mgmt_cl01_az1_vcf_mgmt_pg">Arkham!$C$9</definedName>
    <definedName name="wld_multirack_calc">'Value Reference Tables'!$E$10</definedName>
    <definedName name="sample_wld_az1_rack7_uplink01_mtu">Arkham!$Q$71</definedName>
    <definedName name="sample_wld_az1_rack2_host13_mgmt_ip">'Additional Racks'!$C$26</definedName>
    <definedName name="wld_az1_rack4_host3_hostname">'Value Reference Tables - MR'!$R$204</definedName>
    <definedName name="sample_wld_vlr_admin_password">'On-Premises Ransomware Recovery'!$C$17</definedName>
    <definedName name="ca_algorithm">'Value Reference Tables'!$O$39</definedName>
    <definedName name="wld_az1_rack3_secondary_storage_network">'Value Reference Tables - MR'!$O$44</definedName>
    <definedName name="input_region_ntp1_server">'Deploy Management Domain'!$L$47</definedName>
    <definedName name="input_wld_az1_rack8_uplink01_gateway_ip">Arkham!$U$62</definedName>
    <definedName name="sample_wld_az1_rack8_secondary_storage_pool_end_ip">'Dumping Ground'!$C$562</definedName>
    <definedName name="wld_az1_rack7_edge_overlay_vlan">'Value Reference Tables - MR'!$AA$17</definedName>
    <definedName name="sample_wld_az1_storage_cluster_pool_start_ip">'Deploy Workload Domain'!$C$114</definedName>
    <definedName name="table_vcfops_appliance_disk">'Static Reference Tables'!$B$163:$C$167</definedName>
    <definedName name="sample_wld_az1_rack2_principal_storage_gateway_ip">'Additional Racks'!$C$48</definedName>
    <definedName name="mgmt_az1_secondary_storage_vlan">'Value Reference Tables - MR'!$F$13</definedName>
    <definedName name="wld_az1_rack6_host9_hostname">'Value Reference Tables - MR'!$X$210</definedName>
    <definedName name="input_wld_az1_rack3_host13_fqdn">'Additional Racks'!$D$159</definedName>
    <definedName name="sample_cluster_az2_host9_fqdn">'Deploy Cluster'!$C$325</definedName>
    <definedName name="wld_az1_host3_vrms_ip">'Value Reference Tables - MR'!$I$201</definedName>
    <definedName name="input_mgmt_az1_host_overlay_mtu">'Deploy Management Domain'!$L$301</definedName>
    <definedName name="sizing_w20_spr_chosen">'Management Domain Sizing'!$P$55</definedName>
    <definedName name="wld_az2_rtep_overlay_gateway_ip">'Value Reference Tables - MR'!$I$348</definedName>
    <definedName name="xreg_vrops_nodec_ip">'Value Reference Tables'!$R$80</definedName>
    <definedName name="wld_az1_rack4_principal_storage_pool_start_ip">'Value Reference Tables - MR'!$R$151</definedName>
    <definedName name="input_gg_vrli_admins_group">'Active Directory Inputs'!$E$79</definedName>
    <definedName name="cluster_vds03_link_type_chosen">'Deploy Cluster'!$D$191</definedName>
    <definedName name="sizing_w01_nsxt_gm_appliance_size">'Management Domain Sizing'!$M$36</definedName>
    <definedName name="mgmt_az1_uplink01_network">'Value Reference Tables - MR'!$F$45</definedName>
    <definedName name="input_wld_az1_rack2_host16_fqdn">'Additional Racks'!$D$69</definedName>
    <definedName name="wld_az1_rack2_mgmt_vm_vlan">'Value Reference Tables - MR'!$L$8</definedName>
    <definedName name="input_cluster_az2_vmotion_mask">'Deploy Cluster'!$D$286</definedName>
    <definedName name="wld_cl01_az2_mgmt_pg">'Value Reference Tables - MR'!$I$379</definedName>
    <definedName name="input_ccm_firewall_rule_vcenter">'Cross Cloud Mobility'!$D$27</definedName>
    <definedName name="wld_az1_rack6_vmotion_pool_end_ip">'Value Reference Tables - MR'!$X$150</definedName>
    <definedName name="cluster_vds02_name">'Value Reference Tables'!$I$114</definedName>
    <definedName name="input_cbr_vcdr_ova">'Cloud-Based Ransomware Recovery'!$D$31</definedName>
    <definedName name="mgmt_srm_instances_per_day">'Value Reference Tables'!$U$82</definedName>
    <definedName name="input_gg_vra_project_users_sample_group">'Active Directory Inputs'!$E$105</definedName>
    <definedName name="sample_cbr_vcdr_vsphere_role">'Cloud-Based Ransomware Recovery'!$C$14</definedName>
    <definedName name="input_svc_vra_vsphere_user">'Active Directory Inputs'!$E$37</definedName>
    <definedName name="cbr_vcdr_ova">'Value Reference Tables'!$U$145</definedName>
    <definedName name="wld_az1_rack5_host5_mgmt_ip">'Value Reference Tables - MR'!$U$187</definedName>
    <definedName name="input_wld_az1_rack4_tor2_peer_asn">Arkham!$I$78</definedName>
    <definedName name="sizing_w05_ssp_chosen">'Management Domain Sizing'!$V$40</definedName>
    <definedName name="sample_mgmt_az2_host7_vrms_ip">'Site Protection &amp; DR'!$C$199</definedName>
    <definedName name="wld_az1_rack7_host8_fqdn">'Value Reference Tables - MR'!$AA$228</definedName>
    <definedName name="sample_cluster_witness_zone_vc_fqdn">'Deploy Cluster'!$C$350</definedName>
    <definedName name="input_wld_az1_host12_mgmt_ip">'Deploy Workload Domain'!$D$74</definedName>
    <definedName name="sample_flt_vidb_primary_domain_controller_port">'Deploy Fleet Management Day-N'!$C$185</definedName>
    <definedName name="sample_wld_az1_rack4_edge_overlay_pool_start_ip">Arkham!$H$71</definedName>
    <definedName name="mgmt_nsxt_global_mgrb_ip">'Value Reference Tables'!$C$23</definedName>
    <definedName name="sample_flt_logs_nodec_hostname">'Deploy Fleet Management Day-N'!$C$281</definedName>
    <definedName name="input_cluster_az1_host5_mgmt_ip">'Deploy Cluster'!$D$33</definedName>
    <definedName name="input_ca_email_address">'Configure Management Domain'!$D$64</definedName>
    <definedName name="table_vcf_version5x_mgmt_vlcm_image">'Static Reference Tables'!$B$345</definedName>
    <definedName name="xreg_vra_noded_ip">'Value Reference Tables'!$R$42</definedName>
    <definedName name="rwr_child_dns_zone">'Value Reference Tables'!$U$199</definedName>
    <definedName name="global_env_admin_password_alias">'Value Reference Tables'!$AA$17</definedName>
    <definedName name="mgmt_tier0_skip_chosen">'Configure Management Domain'!$D$152</definedName>
    <definedName name="sample_wld_az1_rack4_host1_mgmt_ip">'Additional Racks'!$C$200</definedName>
    <definedName name="wld_az1_rack8_mgmt_network">'Value Reference Tables - MR'!$AD$39</definedName>
    <definedName name="input_mgmt_cl01_vds03_lag_name">'Deploy Management Domain'!$L$213</definedName>
    <definedName name="cluster_witnessaz_mgmt_mtu">'Value Reference Tables'!$I$263</definedName>
    <definedName name="vrslcm_xreg_vm_folder">'Dumping Ground'!$D$104</definedName>
    <definedName name="input_wld_az1_rack4_host_overlay_network_pool_name">'Additional Racks'!$D$266</definedName>
    <definedName name="input_wld_az1_rack5_edge_overlay_vlan">Arkham!$L$58</definedName>
    <definedName name="wld_az1_rack3_host4_mgmt_ip">'Value Reference Tables - MR'!$O$186</definedName>
    <definedName name="flt_logs_cert_ip_addresses">'Value Reference Tables'!$L$195</definedName>
    <definedName name="mgmt_az1_uplink02_mtu">'Value Reference Tables - MR'!$F$77</definedName>
    <definedName name="sample_mgmt_witnessaz_mgmt_cidr">'Configure Management Domain'!$C$307</definedName>
    <definedName name="sample_k8s_ip_routemap">'Private AI Ready Infrastructure'!$C$21</definedName>
    <definedName name="input_mgmt_az1_host_overlay_vlan">'Deploy Management Domain'!$L$253</definedName>
    <definedName name="input_wld_az1_host9_fqdn">'Deploy Workload Domain'!$D$128</definedName>
    <definedName name="mgmt_az1_host_overlay_pg">'Value Reference Tables - MR'!$F$114</definedName>
    <definedName name="avilb_root_password">'Value Reference Tables'!$L$32</definedName>
    <definedName name="sample_mgmt_az1_vsan_gateway_ip">'Deploy Management Domain'!$K$167</definedName>
    <definedName name="cluster_az2_host11_fqdn">'Value Reference Tables'!$I$302</definedName>
    <definedName name="input_wld_az1_en1_eth1_uplink0">'Configure Workload Domain'!$D$56</definedName>
    <definedName name="input_mgmt_vrms_p12_password">'Dumping Ground'!$D$34</definedName>
    <definedName name="flt_logs_folder">'Value Reference Tables'!$L$199</definedName>
    <definedName name="wld_witness_ip">'Value Reference Tables'!$F$132</definedName>
    <definedName name="input_cluster_az1_host16_mgmt_ip">'Deploy Cluster'!$D$44</definedName>
    <definedName name="input_wld_az1_rack8_host_overlay_pool_end_ip">'Additional Racks'!$D$655</definedName>
    <definedName name="sample_cbr_vcdr_email_sender">'Cloud-Based Ransomware Recovery'!$C$37</definedName>
    <definedName name="sample_mgmt_az2_host10_fqdn">'Configure Management Domain'!$C$288</definedName>
    <definedName name="sample_ccm_aws_vpc">'Cross Cloud Mobility'!$C$24</definedName>
    <definedName name="cluster_vds01_traffic_type">'Value Reference Tables'!$I$112</definedName>
    <definedName name="input_wld_nsxt_global_mgr_vmca_signed_thumbprint">'Configure Workload Domain'!$D$417</definedName>
    <definedName name="wld_witness_zone_vc_ip">'Value Reference Tables'!$F$130</definedName>
    <definedName name="sample_wld_az1_rack5_host9_mgmt_ip">'Additional Racks'!$C$301</definedName>
    <definedName name="sample_wld_az1_rack5_uplink01_gateway_ip">Arkham!$K$62</definedName>
    <definedName name="input_wld_az1_rack8_principal_storage_network">'Additional Racks'!$D$604</definedName>
    <definedName name="wld_az1_host14_mgmt_ip">'Value Reference Tables - MR'!$I$196</definedName>
    <definedName name="input_mgmt_az2_host12_vrms_ip">'Site Protection &amp; DR'!$D$204</definedName>
    <definedName name="input_gg_nsx_auditors_group">'Active Directory Inputs'!$E$72</definedName>
    <definedName name="sample_wld_az1_rack6_uplink02_mask">Arkham!$N$66</definedName>
    <definedName name="wld_az2_storage_cluster_mask">'Value Reference Tables - MR'!$I$329</definedName>
    <definedName name="wld_nsxt_federation_location_name">'Value Reference Tables'!$O$81</definedName>
    <definedName name="input_wld_az1_rack7_host1_mgmt_ip">'Additional Racks'!$D$479</definedName>
    <definedName name="input_flt_custom_network_flt_use_existing">'Deploy Fleet Management Day-N'!$D$25</definedName>
    <definedName name="wld_nsxt_gm_fingerprint">'Value Reference Tables'!$O$83</definedName>
    <definedName name="wld_az1_rack7_host3_hostname">'Value Reference Tables - MR'!$AA$204</definedName>
    <definedName name="mgmt_az1_edge_overlay_mask">'Value Reference Tables - MR'!$F$62</definedName>
    <definedName name="sizing_w17_avi_appliance_size">'Management Domain Sizing'!$S$52</definedName>
    <definedName name="sample_gg_kub_readonly_group">'Active Directory Inputs'!$D$76</definedName>
    <definedName name="wld_az1_rack5_tor2_peer_ip">'Value Reference Tables - MR'!$U$104</definedName>
    <definedName name="sample_cluster_az2_vmotion_network">'Deploy Cluster'!$C$285</definedName>
    <definedName name="mgmt_az1_host7_fqdn">'Value Reference Tables - MR'!$F$243</definedName>
    <definedName name="sample_wld_az1_rack8_vmotion_gateway_ip">'Additional Racks'!$C$598</definedName>
    <definedName name="input_wld_az1_rack2_edge_overlay_network">Arkham!$C$61</definedName>
    <definedName name="cluster_nfs_server_address">'Value Reference Tables'!$I$104</definedName>
    <definedName name="wld_az1_rack8_host5_fqdn">'Value Reference Tables - MR'!$AD$225</definedName>
    <definedName name="input_wld_az2_host6_vrms_ip">'Dumping Ground'!$D$315</definedName>
    <definedName name="flt_sr_fqdn">Arkham!$R$29</definedName>
    <definedName name="input_wld_az1_rack6_uplink02_mask">Arkham!$O$66</definedName>
    <definedName name="sample_mgmt_witness_dns2_ip">'Configure Management Domain'!$C$325</definedName>
    <definedName name="vcf_automation_vip_ip">'Value Reference Tables'!$L$344</definedName>
    <definedName name="wld_az1_rack2_host_mgmt_ips">'Value Reference Tables - MR'!$L$183:$L$198</definedName>
    <definedName name="input_wld_az2_vmotion_vlan">'Configure Workload Domain'!$D$197</definedName>
    <definedName name="sample_wld_az1_rack8_host_overlay_pool_start_ip">'Additional Racks'!$C$654</definedName>
    <definedName name="wld_sddc_org">'Value Reference Tables'!$O$64</definedName>
    <definedName name="sizing_w21_nsxt_appliance_size">'Management Domain Sizing'!$I$56</definedName>
    <definedName name="sample_mgmt_az2_secondary_storage_cidr">'Management Domain As Built'!$C$87</definedName>
    <definedName name="sizing_w02_ssp_chosen">'Management Domain Sizing'!$V$37</definedName>
    <definedName name="sample_cluster_az2_host3_mgmt_ip">'Deploy Cluster'!$C$263</definedName>
    <definedName name="wld_az1_uplink02_mask">'Value Reference Tables - MR'!$I$61</definedName>
    <definedName name="wld_az1_en2_uplink01_interface_cidr">'Value Reference Tables - MR'!$I$270</definedName>
    <definedName name="input_cluster_vds02_lag_name">'Deploy Cluster'!$D$181</definedName>
    <definedName name="input_mgmt_az1_en1_eth1_uplink0">'Configure Management Domain'!$D$113</definedName>
    <definedName name="sample_mgmt_nsxt_gm_vip_fqdn">'Configure Management Domain'!$C$450</definedName>
    <definedName name="cluster_secondary_storage_chosen">'Deploy Cluster'!$B$12</definedName>
    <definedName name="wld_az1_rack3_principal_storage_mask">'Value Reference Tables - MR'!$O$56</definedName>
    <definedName name="mgmt_az2_vm_gateway_ip">'Value Reference Tables'!$AE$21</definedName>
    <definedName name="input_mgmt_az2_host_overlay_uplink_profile_name">'Configure Management Domain'!$D$364</definedName>
    <definedName name="sample_svc_ccm_hcx_vsphere_user">'Active Directory Inputs'!$D$48</definedName>
    <definedName name="mgmt_cl01_cluster_sddc_id">'Value Reference Tables'!$C$201</definedName>
    <definedName name="input_wld_az1_rack7_host6_mgmt_ip">'Additional Racks'!$D$484</definedName>
    <definedName name="sample_wld_az2_mgmt_vlan">'Configure Workload Domain'!$C$169</definedName>
    <definedName name="svc_vrops_vsan_password">'Value Reference Tables'!$L$114</definedName>
    <definedName name="rwr_result">'Management Domain Sizing'!$I$64</definedName>
    <definedName name="wld_nsxt_en_admin_password">'Value Reference Tables'!$F$191</definedName>
    <definedName name="sample_cluster_az1_principal_storage_vlan">'Deploy Cluster'!$C$58</definedName>
    <definedName name="input_mgmt_nsxt_global_mgrb_fqdn">'Configure Management Domain'!$D$426</definedName>
    <definedName name="input_wld_az1_rack4_principal_storage_pool_end_ip">'Additional Racks'!$D$236</definedName>
    <definedName name="sample_wld_az1_rack3_host1_mgmt_ip">'Additional Racks'!$C$107</definedName>
    <definedName name="mgmt_az2_vsan_pool_end_ip">'Value Reference Tables - MR'!$F$388</definedName>
    <definedName name="sample_mgmt_cl01_vds02_lag_name">'Deploy Management Domain'!$K$202</definedName>
    <definedName name="wld_az1_rack6_rtep_overlay_mtu">'Value Reference Tables - MR'!$X$79</definedName>
    <definedName name="sample_cluster_az2_principal_storage_gateway_ip">'Deploy Cluster'!$C$295</definedName>
    <definedName name="input_mgmt_az1_rtep_overlay_gateway_ip">'Configure Management Domain'!$D$495</definedName>
    <definedName name="wld_az1_rack8_rtep_overlay_pool_end_ip">'Value Reference Tables - MR'!$AD$162</definedName>
    <definedName name="dri_dns_servers">'Value Reference Tables'!$U$39</definedName>
    <definedName name="sample_flt_vidb_datastore">'Deploy Fleet Management Day-N'!$C$146</definedName>
    <definedName name="input_wld_az1_rack7_edge_overlay_mtu">Arkham!$R$73</definedName>
    <definedName name="sample_wld_cl01_az1_mgmt_vm_pg">'Deploy Workload Domain'!$C$277</definedName>
    <definedName name="sample_cluster_az1_principal_storage_mask">'Deploy Cluster'!$C$61</definedName>
    <definedName name="cluster_az2_host6_mgmt_ip">'Value Reference Tables'!$I$210</definedName>
    <definedName name="input_flt_custom_network_local_reg_mask">'Deploy Fleet Management Day-N'!$D$18</definedName>
    <definedName name="sample_wld_az1_rack7_host_overlay_network">'Additional Racks'!$C$558</definedName>
    <definedName name="sample_flt_vidb_ou_cert">'Deploy Fleet Management Day-N'!$C$132</definedName>
    <definedName name="input_wld_witness_vm_folder">'Configure Workload Domain'!$D$269</definedName>
    <definedName name="sample_flt_custom_network_ops_root_password">'Deploy Fleet Management Day-N'!$C$41</definedName>
    <definedName name="input_parent_gg_wsa_directory_admins_group">'Active Directory Inputs'!$E$60</definedName>
    <definedName name="cluster_az2_secondary_storage_vlan">'Value Reference Tables'!$I$241</definedName>
    <definedName name="sample_flt_net_admin_username">'Deploy Fleet Management Day-N'!$C$331</definedName>
    <definedName name="input_wld_az1_rack6_host_overlay_uplink_profile_name">'Additional Racks'!$D$453</definedName>
    <definedName name="certificate_authority_fqdn">'Value Reference Tables'!$L$58</definedName>
    <definedName name="vvs_dr_flt_net_nodeb_fqdn">'Value Reference Tables'!$O$105</definedName>
    <definedName name="wld_az1_rack3_host10_mgmt_ip">'Value Reference Tables - MR'!$O$192</definedName>
    <definedName name="wld_az1_rack4_vmotion_gateway_ip">'Value Reference Tables - MR'!$R$87</definedName>
    <definedName name="table_srm_ram">'Static Reference Tables'!$B$190:$C$191</definedName>
    <definedName name="wld_az1_host2_mgmt_ip">'Value Reference Tables - MR'!$I$184</definedName>
    <definedName name="sizing_w21_chosen">'Management Domain Sizing'!$C$56</definedName>
    <definedName name="flt_net_prxy_hostname">'Value Reference Tables'!$L$252</definedName>
    <definedName name="input_mgmt_witness_mgmt_pg">'Configure Management Domain'!$D$316</definedName>
    <definedName name="input_wld_az1_rack7_host3_fqdn">'Additional Racks'!$D$521</definedName>
    <definedName name="input_flt_logs_root_password_description">'Deploy Fleet Management Day-N'!$D$256</definedName>
    <definedName name="input_cluster_domain_name">'Deploy Cluster'!$D$19</definedName>
    <definedName name="mgmt_srm_rpo">'Value Reference Tables'!$U$81</definedName>
    <definedName name="sample_flt_logs_nodeb_hostname">'Deploy Fleet Management Day-N'!$C$277</definedName>
    <definedName name="sample_mgmt_az1_en1_edge_overlay_interface_ip_2_ip">'Configure Management Domain'!$C$121</definedName>
    <definedName name="input_wld_az1_rack4_uplink01_mask">Arkham!$I$65</definedName>
    <definedName name="flt_logs_admin_password_description">'Value Reference Tables'!$L$209</definedName>
    <definedName name="sample_wld_az1_rack8_vmotion_pool_end_ip">'Additional Racks'!$C$600</definedName>
    <definedName name="sample_ccm_firewall_group">'Cross Cloud Mobility'!$C$29</definedName>
    <definedName name="wld_az1_rack7_host13_hostname">'Value Reference Tables - MR'!$AA$214</definedName>
    <definedName name="sample_wld_az1_rack5_host2_fqdn">'Additional Racks'!$C$334</definedName>
    <definedName name="witness_dns1_ip">'Value Reference Tables'!$L$55</definedName>
    <definedName name="wld_az1_rack3_uplink01_mask">'Value Reference Tables - MR'!$O$60</definedName>
    <definedName name="sample_flt_custom_network_x_reg_mask">'Deploy Fleet Management Day-N'!$C$22</definedName>
    <definedName name="sample_cluster_az1_vmotion_pool_end_ip">'Deploy Cluster'!$C$56</definedName>
    <definedName name="sample_wld_az1_rack4_uplink02_vlan">Arkham!$H$57</definedName>
    <definedName name="prefix_wld_az1_rack_cidr">'Value Reference Tables - MR'!$AH$9</definedName>
    <definedName name="sample_wld_az1_rack7_host_overlay_network_pool_name">'Additional Racks'!$C$545</definedName>
    <definedName name="wld_srm_admin_password">'Value Reference Tables'!$U$112</definedName>
    <definedName name="sizing_w06_gm_chosen">'Management Domain Sizing'!$L$41</definedName>
    <definedName name="sample_wld_az1_rack7_secondary_storage_vlan">'Dumping Ground'!$C$548</definedName>
    <definedName name="sample_wld_az1_rack3_host15_fqdn">'Additional Racks'!$C$161</definedName>
    <definedName name="sample_wld_bf_nsxt_root_password">'Deploy Workload Domain'!$C$49</definedName>
    <definedName name="flt_vidb_internal_cidr_chosen">'Deploy Fleet Management Day-N'!$D$167</definedName>
    <definedName name="vcf_automation_portgroup">'Value Reference Tables'!$L$353</definedName>
    <definedName name="sample_wld_az1_host6_vrms_ip">'Dumping Ground'!$C$298</definedName>
    <definedName name="sample_wld_az1_en2_uplink02_interface_cidr">'Configure Workload Domain'!$C$124</definedName>
    <definedName name="input_mgmt_srm_database_password">'Dumping Ground'!$D$39</definedName>
    <definedName name="wld_az1_rack2_host14_fqdn">'Value Reference Tables - MR'!$L$234</definedName>
    <definedName name="sample_ccm_aws_region">'Cross Cloud Mobility'!$C$21</definedName>
    <definedName name="wld_az2_mgmt_mask">'Value Reference Tables - MR'!$I$324</definedName>
    <definedName name="input_wld_az1_rack6_edge_overlay_network_pool_name">'Additional Racks'!$D$454</definedName>
    <definedName name="wld_az1_rack2_host_overlay_pool_end_ip">'Value Reference Tables - MR'!$L$154</definedName>
    <definedName name="vcf_automation_nodeb_ip">'Value Reference Tables'!$L$346</definedName>
    <definedName name="wld_az1_rack5_host_overlay_cidr">'Value Reference Tables - MR'!$U$27</definedName>
    <definedName name="sample_wld_ec_rp_name">'Configure Workload Domain'!$C$44</definedName>
    <definedName name="input_wld_az1_rack2_tor2_peer_ip">Arkham!$C$77</definedName>
    <definedName name="input_wld_nsxt_global_mgra_fqdn">'Configure Workload Domain'!$D$370</definedName>
    <definedName name="sample_wld_az1_rack7_host9_mgmt_ip">'Additional Racks'!$C$487</definedName>
    <definedName name="wld_az1_rack5_host_overlay_pool_end_ip">'Value Reference Tables - MR'!$U$154</definedName>
    <definedName name="wld_az2_edge_overlay_mask">'Value Reference Tables - MR'!$I$332</definedName>
    <definedName name="flt_vidb_vip_ip">'Value Reference Tables'!$C$29</definedName>
    <definedName name="sample_wld_az1_rack3_principal_storage_gateway_ip">'Additional Racks'!$C$141</definedName>
    <definedName name="input_wld_az2_secondary_storage_gateway_ip">'Configure Workload Domain'!$D$217</definedName>
    <definedName name="sizing_w15_chosen">'Management Domain Sizing'!$C$50</definedName>
    <definedName name="mgmt_az2_host8_fqdn">'Value Reference Tables - MR'!$F$476</definedName>
    <definedName name="wld_az1_rack7_host2_mgmt_ip">'Value Reference Tables - MR'!$AA$184</definedName>
    <definedName name="input_mgmt_az2_host3_sddc_id">'Configure Management Domain'!$D$347</definedName>
    <definedName name="wld_az1_rack2_edge_overlay_network">'Value Reference Tables - MR'!$L$47</definedName>
    <definedName name="sample_wld_az1_rack3_vmotion_pool_end_ip">'Additional Racks'!$C$135</definedName>
    <definedName name="sample_cluster_az2_storage_cluster_network">'Deploy Cluster'!$C$309</definedName>
    <definedName name="xreg_vrops_vm_folder">'Dumping Ground'!$D$106</definedName>
    <definedName name="input_flt_logs_nodeb_hostname">'Deploy Fleet Management Day-N'!$D$277</definedName>
    <definedName name="sample_mgmt_az1_edge_overlay_vlan">'Configure Management Domain'!$C$115</definedName>
    <definedName name="sample_cluster_az1_host5_fqdn">'Deploy Cluster'!$C$88</definedName>
    <definedName name="sample_cluster_vds01_mtu">'Deploy Cluster'!$C$168</definedName>
    <definedName name="sample_wld_az1_rack2_host4_mgmt_ip">'Additional Racks'!$C$17</definedName>
    <definedName name="input_ccm_hcx_vm_folder">'Cross Cloud Mobility'!$D$18</definedName>
    <definedName name="input_vvs_dr_mgmt_cl01_datastore">'Site Protection &amp; DR'!$D$103</definedName>
    <definedName name="wld_az1_rack4_rtep_overlay_gateway_ip">'Value Reference Tables - MR'!$R$95</definedName>
    <definedName name="sample_mgmt_witness_vm_folder">'Configure Management Domain'!$C$314</definedName>
    <definedName name="wld_az1_host10_vrms_ip">'Value Reference Tables - MR'!$I$208</definedName>
    <definedName name="sample_wld_az1_rack6_principal_storage_mtu">'Additional Racks'!$C$417</definedName>
    <definedName name="input_wld_az1_rack3_vmotion_gateway_ip">'Additional Racks'!$D$133</definedName>
    <definedName name="sample_xreg_vrops_virtual_ip">'Deploy Management Domain'!$K$313</definedName>
    <definedName name="sizing_m01_ssp_chosen">'Management Domain Sizing'!$U$32</definedName>
    <definedName name="sample_mgmt_az2_host3_vrms_ip">'Site Protection &amp; DR'!$C$195</definedName>
    <definedName name="sample_flt_vidb_bind_password">'Deploy Fleet Management Day-N'!$C$191</definedName>
    <definedName name="wld_az2_storage_cluster_mtu">'Value Reference Tables - MR'!$I$359</definedName>
    <definedName name="input_wld_az1_rack6_host16_fqdn">'Additional Racks'!$D$441</definedName>
    <definedName name="input_region_ad_parent_fqdn">'Active Directory Inputs'!$E$8</definedName>
    <definedName name="wld_compute_hosts_per_rack_result">'Deploy Workload Domain'!$D$11</definedName>
    <definedName name="sample_rwr_cert_country_code">'On-Premises Ransomware Recovery'!$C$34</definedName>
    <definedName name="input_mgmt_nsxt_global_mgrc_hostname">'Configure Management Domain'!$D$434</definedName>
    <definedName name="input_wld_az1_en2_fqdn">'Configure Workload Domain'!$D$68</definedName>
    <definedName name="input_mgmt_az1_host_overlay_pool_end_ip">'Deploy Management Domain'!$L$259</definedName>
    <definedName name="input_vvs_dr_mgmt_cl01_cluster">'Site Protection &amp; DR'!$D$100</definedName>
    <definedName name="wld_az1_mgmt_vm_vlan">'Value Reference Tables - MR'!$I$8</definedName>
    <definedName name="group_gg_vrops_content_admins">'Value Reference Tables'!$L$140</definedName>
    <definedName name="svc_vcf_bck_password">'Value Reference Tables'!$L$33</definedName>
    <definedName name="wld_az1_mgmt_vm_network">'Value Reference Tables - MR'!$I$38</definedName>
    <definedName name="input_certificate_authority_name">'Configure Management Domain'!$D$67</definedName>
    <definedName name="mgmt_az1_edge_overlay_cidr">'Value Reference Tables - MR'!$F$32</definedName>
    <definedName name="sample_cluster_az2_host_overlay_cidr">'Deploy Cluster'!$C$410</definedName>
    <definedName name="input_wld_az1_rack8_mgmt_vm_mtu">'Value Reference Tables - MR'!$R$265</definedName>
    <definedName name="sample_mgmt_nsxt_global_mgr_certificate_id">'Configure Management Domain'!$C$481</definedName>
    <definedName name="input_wld_datacenter">'Configure Workload Domain'!$D$286</definedName>
    <definedName name="group_parent_gg_wsa_read_only">'Value Reference Tables'!$L$135</definedName>
    <definedName name="wld_az1_rack8_host8_mgmt_ip">'Value Reference Tables - MR'!$AD$190</definedName>
    <definedName name="sample_xreg_vrops_srm_sso_password">'Site Protection &amp; DR'!$C$481</definedName>
    <definedName name="wld_az1_rack6_en2_uplink02_interface_ip">'Value Reference Tables - MR'!$X$253</definedName>
    <definedName name="input_wld_az1_rack2_host12_fqdn">'Additional Racks'!$D$65</definedName>
    <definedName name="input_cluster_az1_host15_fqdn">'Deploy Cluster'!$D$98</definedName>
    <definedName name="wld_az1_rack6_principal_storage_pg">'Value Reference Tables - MR'!$X$113</definedName>
    <definedName name="input_mgmt_srm_recovery_sddc_manager_password">'Dumping Ground'!$D$19</definedName>
    <definedName name="sample_flt_vidb_distinguished_name">'Deploy Fleet Management Day-N'!$C$197</definedName>
    <definedName name="input_wld_az1_rack2_mgmt_vm_cidr">'Value Reference Tables - MR'!$N$259</definedName>
    <definedName name="sample_wld_bf_nsxt_mgra_fqdn">'Deploy Workload Domain'!$C$41</definedName>
    <definedName name="sample_mgmt_nsxt_federation_global_manager_name">'Configure Management Domain'!$C$498</definedName>
    <definedName name="sample_wld_az1_uplink01_gateway_ip">'Configure Workload Domain'!$C$137</definedName>
    <definedName name="mgmt_cl01_vds03_lag_name">'Value Reference Tables'!$C$111</definedName>
    <definedName name="input_gg_vcf_admins_group">'Active Directory Inputs'!$E$64</definedName>
    <definedName name="input_mgmt_az1_edge_overlay_vlan">'Configure Management Domain'!$D$115</definedName>
    <definedName name="sample_cluster_az2_host12_mgmt_ip">'Deploy Cluster'!$C$272</definedName>
    <definedName name="wld_az1_rack7_host13_mgmt_ip">'Value Reference Tables - MR'!$AA$195</definedName>
    <definedName name="cluster_az1_principal_storage_network">'Value Reference Tables'!$I$28</definedName>
    <definedName name="sample_wld_az1_rack6_host3_mgmt_ip">'Additional Racks'!$C$388</definedName>
    <definedName name="wld_az1_rack4_host7_fqdn">'Value Reference Tables - MR'!$R$227</definedName>
    <definedName name="sample_region_ad_parent_netbios">'Active Directory Inputs'!$F$8</definedName>
    <definedName name="sample_wld_az1_rack2_host6_mgmt_ip">'Additional Racks'!$C$19</definedName>
    <definedName name="input_mgmt_az2_tor1_peer_asn">'Configure Management Domain'!$D$385</definedName>
    <definedName name="cluster_az1_principal_storage_pool_start_ip">'Value Reference Tables'!$I$32</definedName>
    <definedName name="sample_mgmt_az2_mgmt_cidr">'Configure Management Domain'!$C$227</definedName>
    <definedName name="wld_az2_uplink02_cidr">'Value Reference Tables - MR'!$I$301</definedName>
    <definedName name="prefix_wld_az2_rack_vlan">'Value Reference Tables - MR'!$AH$8</definedName>
    <definedName name="input_mgmt_az1_secondary_storage_pool_end_ip">'Deploy Management Domain'!$L$178</definedName>
    <definedName name="input_mgmt_srm_vm_size">'Management Domain Sizing'!$F$71</definedName>
    <definedName name="wld_az1_rack4_host4_hostname">'Value Reference Tables - MR'!$R$205</definedName>
    <definedName name="sample_mgmt_srm_vra_pg">'Dumping Ground'!$C$50</definedName>
    <definedName name="wld_az1_rack4_uplink02_cidr">'Value Reference Tables - MR'!$R$31</definedName>
    <definedName name="input_mgmt_az1_en1_edge_overlay_interface_ip_1_ip">'Configure Management Domain'!$D$120</definedName>
    <definedName name="cluster_vsan_dedupe_compression_chosen">'Deploy Cluster'!$D$132</definedName>
    <definedName name="input_mgmt_srm_logs_rp">'Site Protection &amp; DR'!$D$283</definedName>
    <definedName name="input_wld_az1_rack6_edge_overlay_mtu">Arkham!$O$70</definedName>
    <definedName name="wld_az1_rack8_principal_storage_gateway_ip">'Value Reference Tables - MR'!$AD$88</definedName>
    <definedName name="sample_wld_az1_rack7_edge_overlay_mtu">Arkham!$Q$73</definedName>
    <definedName name="input_wld_az1_rack7_principal_storage_vlan">'Additional Racks'!$D$509</definedName>
    <definedName name="input_mgmt_az1_edge_overlay_mtu">'Configure Management Domain'!$D$202</definedName>
    <definedName name="cluster_nsx_overlay_transport_zone_chosen">'Deploy Cluster'!$D$227</definedName>
    <definedName name="flt_logs_cluster">'Value Reference Tables'!$L$205</definedName>
    <definedName name="sample_wld_az1_host14_mgmt_ip">'Deploy Workload Domain'!$C$76</definedName>
    <definedName name="wld_az1_rack5_host_overlay_vlan">'Value Reference Tables - MR'!$U$12</definedName>
    <definedName name="input_cluster_az1_host4_fqdn">'Deploy Cluster'!$D$87</definedName>
    <definedName name="mgmt_witnessaz_vlan">'Value Reference Tables'!$L$171</definedName>
    <definedName name="sizing_mgmt_ec_formfactor_chosen">'Configure Management Domain'!$D$97</definedName>
    <definedName name="wld_az2_uplink01_vlan">'Value Reference Tables - MR'!$I$285</definedName>
    <definedName name="sample_cluster_az2_secondary_storage_mask">'Deploy Cluster'!$C$302</definedName>
    <definedName name="wld_cl01_vds01_name">'Value Reference Tables'!$F$70</definedName>
    <definedName name="input_cluster_az2_host_overlay_network_pool_name">'Deploy Cluster'!$D$407</definedName>
    <definedName name="input_nsxt_lm_root_password">'Deploy Management Domain'!$L$109</definedName>
    <definedName name="input_mgmt_az1_host9_mgmt_ip">'Deploy Management Domain'!$L$338</definedName>
    <definedName name="wld_az1_rack3_uplink02_vlan">'Value Reference Tables - MR'!$O$16</definedName>
    <definedName name="wld_az1_rack3_principal_storage_pool_start_ip">'Value Reference Tables - MR'!$O$151</definedName>
    <definedName name="wld_nsxt_global_mgr_anti_affinity_rule_name">'Value Reference Tables'!$O$77</definedName>
    <definedName name="sample_flt_vidb_first_name">'Deploy Fleet Management Day-N'!$C$195</definedName>
    <definedName name="wld_az1_rack7_vrms_cidr">'Value Reference Tables - MR'!$AA$34</definedName>
    <definedName name="sample_wld_az1_rack8_host2_fqdn">'Additional Racks'!$C$613</definedName>
    <definedName name="wld_az1_vrms_mtu">'Value Reference Tables - MR'!$I$80</definedName>
    <definedName name="sizing_w23_vcenter_storage_size">'Management Domain Sizing'!$F$58</definedName>
    <definedName name="sample_wld_az2_host_overlay_pool_end_ip">'Configure Workload Domain'!$C$328</definedName>
    <definedName name="sample_flt_net_prxy_mask">'Deploy Fleet Management Day-N'!$C$357</definedName>
    <definedName name="wld_az1_storage_cluster_pool_end_ip">'Value Reference Tables - MR'!$I$158</definedName>
    <definedName name="local_configadmin_password">'Value Reference Tables'!$AA$24</definedName>
    <definedName name="input_flt_net_common_name">'Deploy Fleet Management Day-N'!$D$295</definedName>
    <definedName name="input_xreg_vra_nodec_ip">'Deploy Management Domain'!$L$82</definedName>
    <definedName name="sample_cluster_witness_ntp2_server">'Deploy Cluster'!$C$366</definedName>
    <definedName name="input_cluster_az2_secondary_storage_pool_start_ip">'Deploy Cluster'!$D$304</definedName>
    <definedName name="mgmt_az1_tor2_peer_asn">'Value Reference Tables - MR'!$F$105</definedName>
    <definedName name="mgmt_az1_ec01_password_creation_chosen">'Configure Management Domain'!$D$148</definedName>
    <definedName name="witness_ntp2_server">'Value Reference Tables'!$L$50</definedName>
    <definedName name="mgmt_az1_vm_gateway_ip">'Value Reference Tables'!$AD$21</definedName>
    <definedName name="sample_mgmt_cl01_vds02_uplink_count">'Deploy Management Domain'!$K$206</definedName>
    <definedName name="sample_wld_az1_rack5_principal_storage_pool_start_ip">'Additional Racks'!$C$328</definedName>
    <definedName name="input_cluster_az2_host_overlay_uplink_profile_name">'Deploy Cluster'!$D$408</definedName>
    <definedName name="wld_az1_rack7_host_overlay_uplink_profile_name">'Value Reference Tables - MR'!$AA$171</definedName>
    <definedName name="input_mgmt_az2_host5_vrms_ip">'Site Protection &amp; DR'!$D$197</definedName>
    <definedName name="wld_cl01_vsan_ftt_chosen">'Deploy Workload Domain'!$D$203</definedName>
    <definedName name="input_mgmt_witness_dns2_ip">'Configure Management Domain'!$D$325</definedName>
    <definedName name="wld_az1_rack2_host8_mgmt_ip">'Value Reference Tables - MR'!$L$190</definedName>
    <definedName name="sample_wld_az1_rack2_host_overlay_uplink_profile_name">'Additional Racks'!$C$81</definedName>
    <definedName name="input_vvs_dr_flt_auto_fqdn">'Site Protection &amp; DR'!$D$67</definedName>
    <definedName name="input_mgmt_az1_en2_eth1_uplink0">'Configure Management Domain'!$D$139</definedName>
    <definedName name="wld_secondary_storage_chosen">'Deploy Workload Domain'!$B$16</definedName>
    <definedName name="input_wld_az1_host9_vrms_ip">'Dumping Ground'!$D$301</definedName>
    <definedName name="cluster_vds02_traffic_type">'Value Reference Tables'!$I$118</definedName>
    <definedName name="wld_az2_host12_hostname">'Value Reference Tables - MR'!$I$469</definedName>
    <definedName name="sample_svc_iom_vsphere_password">'Active Directory Inputs'!$F$28</definedName>
    <definedName name="sample_mgmt_az2_vsan_pool_start_ip">'Configure Management Domain'!$C$265</definedName>
    <definedName name="sample_wld_az1_rack3_vmotion_vlan">'Additional Racks'!$C$129</definedName>
    <definedName name="input_wld_az1_rack8_host_overlay_pool_start_ip">'Additional Racks'!$D$654</definedName>
    <definedName name="wld_az1_rack6_principal_storage_pool_start_ip">'Value Reference Tables - MR'!$X$151</definedName>
    <definedName name="wld_az1_rack4_secondary_storage_vlan">'Value Reference Tables - MR'!$R$13</definedName>
    <definedName name="input_wld_az1_vrms_vlan">'Dumping Ground'!$D$268</definedName>
    <definedName name="wld_az1_rack3_rtep_overlay_pool_end_ip">'Value Reference Tables - MR'!$O$162</definedName>
    <definedName name="non_first_domain_mgmt_only_viable">'Value Reference Tables'!$AA$102</definedName>
    <definedName name="wld_az1_storage_cluster_vlan">'Value Reference Tables - MR'!$I$14</definedName>
    <definedName name="sample_wld_az1_rtep_overlay_gateway_ip">'Configure Workload Domain'!$C$470</definedName>
    <definedName name="sample_flt_logs_common_name">'Deploy Fleet Management Day-N'!$C$217</definedName>
    <definedName name="input_wld_az1_host14_fqdn">'Deploy Workload Domain'!$D$133</definedName>
    <definedName name="input_flt_custom_network_ops_vip_ip">'Deploy Fleet Management Day-N'!$D$36</definedName>
    <definedName name="input_wld_az1_rack6_mgmt_vm_vlan">'Value Reference Tables - MR'!$L$263</definedName>
    <definedName name="mgmt_signed_certs_result">'Configure Management Domain'!$D$12</definedName>
    <definedName name="sample_wld_az1_edge_overlay_gateway_ip">'Configure Workload Domain'!$C$65</definedName>
    <definedName name="input_mgmt_az1_vsan_vlan">'Deploy Management Domain'!$L$166</definedName>
    <definedName name="input_flt_custom_network_ops_use_existing">'Deploy Fleet Management Day-N'!$D$31</definedName>
    <definedName name="sizing_w10_chosen">'Management Domain Sizing'!$C$45</definedName>
    <definedName name="wld_az1_principal_storage_pool_start_ip">'Value Reference Tables - MR'!$I$151</definedName>
    <definedName name="cbr_recovery_vpc">'Value Reference Tables'!$U$135</definedName>
    <definedName name="sample_wld_az1_rack4_uplink02_mtu">Arkham!$H$69</definedName>
    <definedName name="sample_wld_az1_secondary_storage_pool_end_ip">'Deploy Workload Domain'!$C$107</definedName>
    <definedName name="wld_az1_rack6_mgmt_vm_mask">'Value Reference Tables - MR'!$X$178</definedName>
    <definedName name="sample_wld_az2_host2_sddc_id">'Configure Workload Domain'!$C$304</definedName>
    <definedName name="sample_wld_az2_host3_vrms_ip">'Dumping Ground'!$C$312</definedName>
    <definedName name="wld_az1_rack5_host9_fqdn">'Value Reference Tables - MR'!$U$229</definedName>
    <definedName name="input_flt_logs_nodec_hostname">'Deploy Fleet Management Day-N'!$D$281</definedName>
    <definedName name="input_mgmt_cl01_vds02_uplink1">'Deploy Management Domain'!$L$207</definedName>
    <definedName name="wld_az1_rack3_uplink01_cidr">'Value Reference Tables - MR'!$O$30</definedName>
    <definedName name="sample_wld_az1_rack2_uplink01_network">Arkham!$B$59</definedName>
    <definedName name="input_flt_net_admin_password_alias">'Deploy Fleet Management Day-N'!$D$328</definedName>
    <definedName name="cluster_az2_principal_storage_gateway_ip">'Value Reference Tables'!$I$237</definedName>
    <definedName name="input_mgmt_cl01_vds03_uplink_count">'Deploy Management Domain'!$L$217</definedName>
    <definedName name="sample_mgmt_az1_en1_edge_overlay_interface_ip_1_ip">'Configure Management Domain'!$C$120</definedName>
    <definedName name="wld_az1_rack2_en2_hostname">'Value Reference Tables - MR'!$L$249</definedName>
    <definedName name="mgmt_az1_host16_mgmt_ip">'Value Reference Tables - MR'!$F$198</definedName>
    <definedName name="input_wld_az1_rack5_uplink02_network">Arkham!$L$60</definedName>
    <definedName name="sample_flt_vidb_primary_domain_controller">'Deploy Fleet Management Day-N'!$C$184</definedName>
    <definedName name="input_wld_az1_rack2_host_overlay_network_profile_name">'Additional Racks'!$D$78</definedName>
    <definedName name="mgmt_internet_proxy_auth_chosen">'Deploy Management Domain'!$L$17</definedName>
    <definedName name="wld_az1_rack8_secondary_storage_cidr">'Value Reference Tables - MR'!$AD$28</definedName>
    <definedName name="sample_wld_az2_principal_storage_pool_start_ip">'Configure Workload Domain'!$C$210</definedName>
    <definedName name="sample_wld_az1_rack6_tor2_peer_asn">Arkham!$N$78</definedName>
    <definedName name="sample_mgmt_az1_tor2_peer_asn">'Configure Management Domain'!$C$170</definedName>
    <definedName name="wld_az1_host_mgmt_ips">'Value Reference Tables - MR'!$I$183:$I$198</definedName>
    <definedName name="wld_az1_rack5_host5_hostname">'Value Reference Tables - MR'!$U$206</definedName>
    <definedName name="wld_az1_rack8_rtep_overlay_gateway_ip">'Value Reference Tables - MR'!$AD$95</definedName>
    <definedName name="sample_cluster_az1_secondary_storage_mask">'Deploy Cluster'!$C$69</definedName>
    <definedName name="input_wld_az2_host4_mgmt_ip">'Configure Workload Domain'!$D$177</definedName>
    <definedName name="sample_wld_witness_ntp2_server">'Configure Workload Domain'!$C$282</definedName>
    <definedName name="input_cluster_az2_host12_fqdn">'Deploy Cluster'!$D$328</definedName>
    <definedName name="input_wld_az1_rack8_principal_storage_pool_start_ip">'Additional Racks'!$D$607</definedName>
    <definedName name="wld_cl01_az1_mgmt_vm_pg">'Value Reference Tables - MR'!$I$110</definedName>
    <definedName name="sample_mgmt_vpc_transit_gateway_ip_blocks">'Configure Management Domain'!$C$189</definedName>
    <definedName name="input_wld_az1_rack8_secondary_storage_mask">'Dumping Ground'!$D$559</definedName>
    <definedName name="input_xreg_vra_nodef_ip">Arkham!$Q$9</definedName>
    <definedName name="wld_az1_rack5_mgmt_vm_cidr">'Value Reference Tables - MR'!$U$23</definedName>
    <definedName name="child_svc_nsx_ad_password">'Value Reference Tables'!$L$112</definedName>
    <definedName name="input_wld_az2_host_overlay_network_pool_name">'Configure Workload Domain'!$D$321</definedName>
    <definedName name="sample_ccm_aws_host_count">'Cross Cloud Mobility'!$C$23</definedName>
    <definedName name="input_svc_vro_vsphere_user">'Active Directory Inputs'!$E$40</definedName>
    <definedName name="sample_wld_az1_storage_cluster_mtu">'Deploy Workload Domain'!$C$110</definedName>
    <definedName name="sample_mgmt_cl01_vds02_uplink1">'Deploy Management Domain'!$K$207</definedName>
    <definedName name="sample_wld_az2_host_overlay_cidr">'Configure Workload Domain'!$C$325</definedName>
    <definedName name="sample_wld_az1_rack6_secondary_storage_gateway_ip">'Dumping Ground'!$C$544</definedName>
    <definedName name="cluster_witnessaz_mgmt_mask">'Value Reference Tables'!$I$272</definedName>
    <definedName name="flt_sr_ip">Arkham!$R$23</definedName>
    <definedName name="flt_logs_admin_password">'Value Reference Tables'!$L$208</definedName>
    <definedName name="input_wld_az1_rack5_host9_fqdn">'Additional Racks'!$D$341</definedName>
    <definedName name="mgmt_az2_host_mgmt_ips">'Value Reference Tables - MR'!$F$415:$F$430</definedName>
    <definedName name="sizing_inv_platform_node_disk">'Static Reference Tables'!$C$204</definedName>
    <definedName name="input_cluster_az2_secondary_storage_mtu">'Deploy Cluster'!$D$300</definedName>
    <definedName name="input_gg_nsx_network_admins_group">'Active Directory Inputs'!$E$71</definedName>
    <definedName name="input_mgmt_az1_en1_eth0_uplink1">'Configure Management Domain'!$D$112</definedName>
    <definedName name="flt_custom_network_auto_cluster_cidr_chosen">'Deploy Fleet Management Day-N'!$D$57</definedName>
    <definedName name="input_wld_az1_secondary_storage_vlan">'Deploy Workload Domain'!$D$101</definedName>
    <definedName name="flt_custom_network_ops_nodec_ip">'Value Reference Tables'!$L$304</definedName>
    <definedName name="sample_wld_nsxt_mgrb_fqdn">'Deploy Workload Domain'!$C$177</definedName>
    <definedName name="mgmt_ec_name">'Value Reference Tables'!$O$15</definedName>
    <definedName name="input_flt_vidb_system_user_description">'Deploy Fleet Management Day-N'!$D$158</definedName>
    <definedName name="wld_az1_rack7_host4_hostname">'Value Reference Tables - MR'!$AA$205</definedName>
    <definedName name="user_svc_vrli_wsa">'Value Reference Tables'!$L$101</definedName>
    <definedName name="input_gg_kub_readonly_group">'Active Directory Inputs'!$E$76</definedName>
    <definedName name="sizing_w16_nsxt_model">'Management Domain Sizing'!$H$51</definedName>
    <definedName name="vvs_dr_flt_auto_fqdn">'Value Reference Tables'!$O$107</definedName>
    <definedName name="input_cluster_az2_host_overlay_gateway_ip">'Deploy Cluster'!$D$411</definedName>
    <definedName name="input_wld_az1_rack4_secondary_storage_pool_end_ip">'Dumping Ground'!$D$530</definedName>
    <definedName name="cluster_vds03_mtu">'Value Reference Tables'!$I$121</definedName>
    <definedName name="cluster_vc_fqdn">'Value Reference Tables'!$I$279</definedName>
    <definedName name="input_wld_az2_host11_fqdn">'Configure Workload Domain'!$D$242</definedName>
    <definedName name="wld_az1_rack5_host_overlay_mtu">'Value Reference Tables - MR'!$U$73</definedName>
    <definedName name="input_wld_az1_rack2_secondary_storage_pool_end_ip">'Dumping Ground'!$D$514</definedName>
    <definedName name="input_flt_fc_ip">Arkham!$Q$25</definedName>
    <definedName name="input_wld_az1_vmotion_network">'Deploy Workload Domain'!$D$87</definedName>
    <definedName name="sample_wld_az1_rack6_host1_fqdn">'Additional Racks'!$C$426</definedName>
    <definedName name="sample_parent_gg_wsa_admins_group">'Active Directory Inputs'!$D$59</definedName>
    <definedName name="input_wld_az2_host2_mgmt_ip">'Configure Workload Domain'!$D$175</definedName>
    <definedName name="k8s_vcenter_content_library">'Value Reference Tables'!$U$27</definedName>
    <definedName name="flt_logs_time_sync_mode_chosen">'Deploy Fleet Management Day-N'!$D$245</definedName>
    <definedName name="input_wld_az2_host1_sddc_id">'Configure Workload Domain'!$D$303</definedName>
    <definedName name="input_wld_az1_rack5_host_overlay_network_pool_name">'Additional Racks'!$D$359</definedName>
    <definedName name="input_wld_az1_rack7_host_overlay_pool_end_ip">'Additional Racks'!$D$562</definedName>
    <definedName name="navigation_apply_signed_certs_mgmt_domain">'Configure Management Domain'!$B$30</definedName>
    <definedName name="input_mgmt_az1_host6_vrms_ip">'Site Protection &amp; DR'!$D$181</definedName>
    <definedName name="wld_az1_rack5_secondary_storage_vlan">'Value Reference Tables - MR'!$U$13</definedName>
    <definedName name="mgmt_avilb_ip">'Value Reference Tables'!$C$25</definedName>
    <definedName name="input_wld_az1_rack5_host12_mgmt_ip">'Additional Racks'!$D$304</definedName>
    <definedName name="wld_az1_vm_gateway_ip">'Value Reference Tables'!$AD$42</definedName>
    <definedName name="input_mgmt_az2_vsan_pool_end_ip">'Configure Management Domain'!$D$266</definedName>
    <definedName name="mgmt_az2_pool_name">'Value Reference Tables - MR'!$F$398</definedName>
    <definedName name="input_wld_az1_rack7_uplink02_gateway_ip">Arkham!$R$66</definedName>
    <definedName name="sample_wld_az1_rack4_uplink01_mask">Arkham!$H$65</definedName>
    <definedName name="sample_wld_witness_ip">'Configure Workload Domain'!$C$274</definedName>
    <definedName name="input_wld_az2_host_overlay_pool_start_ip">'Configure Workload Domain'!$D$327</definedName>
    <definedName name="input_wld_cl01_image_name">'Deploy Workload Domain'!$D$168</definedName>
    <definedName name="wld_az1_rack8_host12_hostname">'Value Reference Tables - MR'!$AD$213</definedName>
    <definedName name="vvs_dr_flt_ops_nodea_fqdn">'Value Reference Tables'!$O$98</definedName>
    <definedName name="mgmt_az1_mgmt_vm_cidr">'Value Reference Tables - MR'!$F$23</definedName>
    <definedName name="input_wld_az2_host_overlay_mtu">'Configure Workload Domain'!$D$326</definedName>
    <definedName name="input_mgmt_az1_host10_mgmt_ip">'Deploy Management Domain'!$L$339</definedName>
    <definedName name="input_wld_az1_rack4_host2_mgmt_ip">'Additional Racks'!$D$201</definedName>
    <definedName name="sample_wld_az1_rack2_host2_fqdn">'Additional Racks'!$C$55</definedName>
    <definedName name="mgmt_cl01_nfs_server_ip">'Value Reference Tables'!$C$123</definedName>
    <definedName name="sample_mgmt_nsxt_lm_fingerprint">'Configure Management Domain'!$C$510</definedName>
    <definedName name="witness_ntp1_server">'Value Reference Tables'!$L$49</definedName>
    <definedName name="input_cluster_witness_ntp1_server">'Deploy Cluster'!$D$365</definedName>
    <definedName name="sample_wld_az1_rack2_host14_mgmt_ip">'Additional Racks'!$C$27</definedName>
    <definedName name="sample_mgmt_nsxt_vip_fqdn">'Deploy Management Domain'!$K$104</definedName>
    <definedName name="wld_az2_mgmt_mtu">'Value Reference Tables - MR'!$I$354</definedName>
    <definedName name="sample_vcf_installer_ip">'Deploy Management Domain'!$K$321</definedName>
    <definedName name="sample_wld_az1_rack7_host12_fqdn">'Additional Racks'!$C$530</definedName>
    <definedName name="wld_ec_gateway_type">'Value Reference Tables'!$F$152</definedName>
    <definedName name="sample_mgmt_az1_host3_fqdn">'Deploy Management Domain'!$K$130</definedName>
    <definedName name="sample_mgmt_recovery_lb_creation_method">'Dumping Ground'!$C$53</definedName>
    <definedName name="sizing_w12_spr_chosen">'Management Domain Sizing'!$P$47</definedName>
    <definedName name="wld_az1_rack7_uplink01_vlan">'Value Reference Tables - MR'!$AA$15</definedName>
    <definedName name="sample_flt_logs_nodea_hostname">'Deploy Fleet Management Day-N'!$C$273</definedName>
    <definedName name="mgmt_az1_vsan_gateway_ip">'Value Reference Tables - MR'!$F$88</definedName>
    <definedName name="sizing_w15_nsxt_gm_appliance_size">'Management Domain Sizing'!$M$50</definedName>
    <definedName name="wld_az1_rack2_host_overlay_mask">'Value Reference Tables - MR'!$L$57</definedName>
    <definedName name="mgmt_witness_root_password">'Value Reference Tables'!$L$34</definedName>
    <definedName name="wld_nsxt_gm_hostname">'Value Reference Tables'!$F$35</definedName>
    <definedName name="sample_gg_vra_project_users_sample_group">'Active Directory Inputs'!$D$105</definedName>
    <definedName name="sample_wld_az2_secondary_storage_pool_start_ip">'Configure Workload Domain'!$C$218</definedName>
    <definedName name="region_ad_parent_netbios">'Value Reference Tables'!$L$77</definedName>
    <definedName name="input_wld_az1_rack5_uplink02_gateway_ip">Arkham!$L$63</definedName>
    <definedName name="input_cluster_az2_host15_fqdn">'Deploy Cluster'!$D$331</definedName>
    <definedName name="sample_wld_az1_rack2_host14_fqdn">'Additional Racks'!$C$67</definedName>
    <definedName name="input_flt_net_resource_pool">'Deploy Fleet Management Day-N'!$D$315</definedName>
    <definedName name="input_wld_az1_rack5_host15_mgmt_ip">'Additional Racks'!$D$307</definedName>
    <definedName name="sample_wld_az1_rack8_rtep_ip_pool_name">'Additional Racks'!$C$641</definedName>
    <definedName name="wld_az1_rack8_edge_overlay_mask">'Value Reference Tables - MR'!$AD$62</definedName>
    <definedName name="wld_az1_rack4_mgmt_mtu">'Value Reference Tables - MR'!$R$70</definedName>
    <definedName name="sample_cluster_vds01_lag_name">'Deploy Cluster'!$C$170</definedName>
    <definedName name="sample_flt_net_nodea_ip">'Deploy Fleet Management Day-N'!$C$306</definedName>
    <definedName name="vrslcm_root_password">'Value Reference Tables'!$C$229</definedName>
    <definedName name="wld_az1_host_overlay_mask">'Value Reference Tables - MR'!$I$57</definedName>
    <definedName name="cluster_az1_storage_cluster_mask">'Value Reference Tables'!$I$47</definedName>
    <definedName name="input_wld_witnessaz_mgmt_vlan">'Configure Workload Domain'!$D$257</definedName>
    <definedName name="input_cluster_az2_vmotion_pool_start_ip">'Deploy Cluster'!$D$288</definedName>
    <definedName name="flt_custom_network_auto_vip_ip">'Value Reference Tables'!$L$315</definedName>
    <definedName name="input_flt_logs_nodea_fqdn">'Deploy Fleet Management Day-N'!$D$225</definedName>
    <definedName name="sample_mgmt_az1_mgmt_vlan">'Deploy Management Domain'!$K$148</definedName>
    <definedName name="xregion_dns2_ip">'Value Reference Tables'!$L$54</definedName>
    <definedName name="ccm_hcx_vm_folder">'Value Reference Tables'!$U$161</definedName>
    <definedName name="wld_az1_rack6_en2_uplink01_interface_ip">'Value Reference Tables - MR'!$X$252</definedName>
    <definedName name="input_wld_az2_host12_vrms_ip">'Dumping Ground'!$D$321</definedName>
    <definedName name="mgmt_az1_en1_eth1_uplink0">'Value Reference Tables'!$C$246</definedName>
    <definedName name="input_wld_srm_admin_password">'Dumping Ground'!$D$79</definedName>
    <definedName name="input_mgmt_az1_host13_vrms_ip">'Site Protection &amp; DR'!$D$188</definedName>
    <definedName name="input_wld_az1_en1_eth1_uplink1">'Configure Workload Domain'!$D$57</definedName>
    <definedName name="sample_mgmt_witness_zone_vc_ip">'Configure Management Domain'!$C$311</definedName>
    <definedName name="sample_wld_az1_rack3_host3_fqdn">'Additional Racks'!$C$149</definedName>
    <definedName name="sample_wld_az1_rack7_host3_fqdn">'Additional Racks'!$C$521</definedName>
    <definedName name="sample_wld_cl01_vds01_name">'Deploy Workload Domain'!$C$239</definedName>
    <definedName name="mgmt_az2_host14_mgmt_ip">'Value Reference Tables - MR'!$F$428</definedName>
    <definedName name="wld_az1_edge_overlay_network_pool_name">'Value Reference Tables - MR'!$I$172</definedName>
    <definedName name="input_mgmt_cl01_vds01_uplink2">'Deploy Management Domain'!$L$197</definedName>
    <definedName name="wld_az1_rack6_host13_hostname">'Value Reference Tables - MR'!$X$214</definedName>
    <definedName name="input_mgmt_srm_recovery_nsx_ec_name">'Dumping Ground'!$D$60</definedName>
    <definedName name="mgmt_cl01_vds01_uplink1">'Value Reference Tables'!$C$93</definedName>
    <definedName name="flt_custom_network_result">'Deploy Fleet Management Day-N'!$D$7</definedName>
    <definedName name="sample_wld_az1_rack4_edge_overlay_vlan">Arkham!$H$58</definedName>
    <definedName name="input_mgmt_srm_recovery_gateway">'Site Protection &amp; DR'!$D$382</definedName>
    <definedName name="cluster_storage_cluster_name">'Value Reference Tables'!$I$96</definedName>
    <definedName name="sample_mgmt_nsxt_global_mgra_hostname">'Configure Management Domain'!$C$400</definedName>
    <definedName name="mgmt_mgmt_rp">'Value Reference Tables'!$C$79</definedName>
    <definedName name="sample_wld_cl01_vds02_lag_name">'Deploy Workload Domain'!$C$253</definedName>
    <definedName name="sample_wld_az1_rack6_tor1_peer_bgp_password">Arkham!$N$76</definedName>
    <definedName name="flt_auto_node_pool_start_ip">Arkham!$R$34</definedName>
    <definedName name="input_mgmt_nsx_rp">'Deploy Management Domain'!$M$351</definedName>
    <definedName name="sample_vvs_mgmt_dr_vlr_fqdn">'Site Protection &amp; DR'!$C$105</definedName>
    <definedName name="input_flt_logs_nodeb_fqdn">'Deploy Fleet Management Day-N'!$D$226</definedName>
    <definedName name="sample_cbr_vcdr_site_name">'Cloud-Based Ransomware Recovery'!$C$29</definedName>
    <definedName name="sample_xreg_vrslcm_ip">'Deploy Management Domain'!$K$306</definedName>
    <definedName name="input_flt_vidb_mail">'Deploy Fleet Management Day-N'!$D$199</definedName>
    <definedName name="sample_mgmt_az1_vmotion_vlan">'Deploy Management Domain'!$K$159</definedName>
    <definedName name="input_wld_cl01_vmfs_datastore_name">'Deploy Workload Domain'!$D$205</definedName>
    <definedName name="sample_cluster_az1_storage_cluster_network">'Deploy Cluster'!$C$76</definedName>
    <definedName name="dri_vcenter_vsan_datastore">'Value Reference Tables'!$U$13</definedName>
    <definedName name="sample_mgmt_srm_recovery_vcenter_fqdn">'Site Protection &amp; DR'!$C$217</definedName>
    <definedName name="wld_ec01_en02_host_group_affinity_rule_name">'Value Reference Tables'!$F$156</definedName>
    <definedName name="input_wld_az1_rack3_edge_overlay_mtu">Arkham!$F$70</definedName>
    <definedName name="mgmt_az2_edge_overlay_network">'Value Reference Tables - MR'!$F$314</definedName>
    <definedName name="mgmt_nsxt_mgrb_hostname">'Value Reference Tables'!$C$42</definedName>
    <definedName name="input_wld_az1_rack2_secondary_storage_network">'Dumping Ground'!$D$510</definedName>
    <definedName name="sample_wld_az1_rack4_vmotion_mask">'Additional Racks'!$C$225</definedName>
    <definedName name="sizing_inv_disk">'Static Reference Tables'!$C$210</definedName>
    <definedName name="mgmt_az1_host14_hostname">'Value Reference Tables - MR'!$F$231</definedName>
    <definedName name="input_mgmt_user_edge_rp">'Deploy Management Domain'!$M$352</definedName>
    <definedName name="wld_az1_rack8_vmotion_pool_start_ip">'Value Reference Tables - MR'!$AD$149</definedName>
    <definedName name="sample_cluster_az2_host5_mgmt_ip">'Deploy Cluster'!$C$265</definedName>
    <definedName name="flt_net_disk_mode_chosen">'Deploy Fleet Management Day-N'!$D$318</definedName>
    <definedName name="input_mgmt_az2_host13_vrms_ip">'Site Protection &amp; DR'!$D$205</definedName>
    <definedName name="input_xreg_vrslcm_fqdn">'Deploy Management Domain'!$L$65</definedName>
    <definedName name="input_smtp_server">Arkham!$C$16</definedName>
    <definedName name="wld_az2_principal_storage_mtu">'Value Reference Tables - MR'!$I$356</definedName>
    <definedName name="sample_wld_az1_rack3_mgmt_cidr">'Additional Racks'!$C$104</definedName>
    <definedName name="sample_cluster_nfs_share_path">'Deploy Cluster'!$C$135</definedName>
    <definedName name="wld_az1_rack6_en1_edge_overlay_interface_ip_2_ip">'Value Reference Tables - MR'!$X$245</definedName>
    <definedName name="sample_mgmt_az1_en1_eth1_uplink1">'Configure Management Domain'!$C$114</definedName>
    <definedName name="wld_az1_rack4_en1_edge_overlay_interface_ip_2_ip">'Value Reference Tables - MR'!$R$245</definedName>
    <definedName name="input_wld_az1_rack4_edge_overlay_network">Arkham!$I$61</definedName>
    <definedName name="sample_wld_az1_rack7_tor2_peer_asn">Arkham!$Q$81</definedName>
    <definedName name="sample_cluster_witness_dns1_ip">'Deploy Cluster'!$C$363</definedName>
    <definedName name="input_wld_az1_rack5_host4_mgmt_ip">'Additional Racks'!$D$296</definedName>
    <definedName name="wld_az2_host_overlay_network_profile_name">'Value Reference Tables - MR'!$I$407</definedName>
    <definedName name="input_xreg_vra_admin_password">'Deploy Management Domain'!$L$79</definedName>
    <definedName name="sample_wld_az1_host3_fqdn">'Deploy Workload Domain'!$C$122</definedName>
    <definedName name="sample_mgmt_az2_secondary_storage_pool_end_ip">'Configure Management Domain'!$C$274</definedName>
    <definedName name="wld_az1_rack4_en2_uplink01_interface_ip">'Value Reference Tables - MR'!$R$252</definedName>
    <definedName name="cbr_vcdr_email_sender">'Value Reference Tables'!$U$151</definedName>
    <definedName name="vsphere_8u1_evc_table">'Static Reference Tables'!$B$307:$B$330</definedName>
    <definedName name="sizing_w15_vcenter_storage_size">'Management Domain Sizing'!$F$50</definedName>
    <definedName name="sample_cluster_az2_host13_fqdn">'Deploy Cluster'!$C$329</definedName>
    <definedName name="sample_wld_az1_rack5_host6_fqdn">'Additional Racks'!$C$338</definedName>
    <definedName name="input_wld_az1_rack3_secondary_storage_mtu">'Dumping Ground'!$D$517</definedName>
    <definedName name="input_wld_az1_rack8_host16_mgmt_ip">'Additional Racks'!$D$587</definedName>
    <definedName name="wld_srm_recovery_vcenter_password">'Value Reference Tables'!$U$120</definedName>
    <definedName name="sample_flt_logs_ou_cert">'Deploy Fleet Management Day-N'!$C$219</definedName>
    <definedName name="flt_net_admin_password_alias">'Value Reference Tables'!$L$269</definedName>
    <definedName name="cluster_az2_host9_mgmt_ip">'Value Reference Tables'!$I$213</definedName>
    <definedName name="mgmt_cl01_az1_mgmt_vm_pg">'Value Reference Tables - MR'!$F$110</definedName>
    <definedName name="xreg_vrops_nodeb_hostname">'Value Reference Tables'!$R$87</definedName>
    <definedName name="mgmt_az2_vsan_mask">'Value Reference Tables - MR'!$F$323</definedName>
    <definedName name="sample_wld_az1_rack4_host_hostnames">'Additional Racks'!$C$240:$C$255</definedName>
    <definedName name="input_wld_az2_vmotion_network">'Configure Workload Domain'!$D$199</definedName>
    <definedName name="sample_wld_az1_rack4_tor1_peer_ip">Arkham!$H$74</definedName>
    <definedName name="wld_az1_rack5_host10_mgmt_ip">'Value Reference Tables - MR'!$U$192</definedName>
    <definedName name="input_mgmt_vrms_pg">'Site Protection &amp; DR'!$D$162</definedName>
    <definedName name="mgmt_domain_result">'VCF &amp; VVF Planning'!$L$18</definedName>
    <definedName name="wld_az1_vrms_vlan">'Value Reference Tables - MR'!$I$19</definedName>
    <definedName name="sample_wld_az1_rack6_host10_fqdn">'Additional Racks'!$C$435</definedName>
    <definedName name="sample_wld_az1_mgmt_vm_mtu">'Deploy Workload Domain'!$C$349</definedName>
    <definedName name="wld_az1_uplink02_cidr">'Value Reference Tables - MR'!$I$31</definedName>
    <definedName name="flt_net_resource_pool">'Value Reference Tables'!$L$256</definedName>
    <definedName name="mgmt_nsxt_global_mgr_certificate_id">'Value Reference Tables'!$O$22</definedName>
    <definedName name="wld_az1_rack8_edge_overlay_gateway_ip">'Value Reference Tables - MR'!$AD$94</definedName>
    <definedName name="sample_wld_az1_rack2_tor1_peer_bgp_password">Arkham!$B$76</definedName>
    <definedName name="mgmt_vc_ip">'Value Reference Tables'!$C$16</definedName>
    <definedName name="cluster_az1_principal_storage_mtu">'Value Reference Tables'!$I$27</definedName>
    <definedName name="cluster_az2_secondary_storage_pool_start_ip">'Value Reference Tables'!$I$246</definedName>
    <definedName name="sample_mgmt_cl01_vds01_lag_name">'Deploy Management Domain'!$K$191</definedName>
    <definedName name="child_svc_vsphere_ad_password">'Value Reference Tables'!$L$111</definedName>
    <definedName name="mgmt_witness_ip">'Value Reference Tables'!$L$176</definedName>
    <definedName name="sample_flt_custom_network_ops_vip_fqdn">'Deploy Fleet Management Day-N'!$C$32</definedName>
    <definedName name="wld_az1_rack7_principal_storage_pool_start_ip">'Value Reference Tables - MR'!$AA$151</definedName>
    <definedName name="sample_wld_az1_rack7_host10_fqdn">'Additional Racks'!$C$528</definedName>
    <definedName name="sample_wld_az1_rack2_uplink01_vlan">Arkham!$B$56</definedName>
    <definedName name="input_cluster_az1_host_overlay_uplink_profile_name">'Deploy Cluster'!$D$246</definedName>
    <definedName name="wld_az1_rack2_edge_overlay_mask">'Value Reference Tables - MR'!$L$62</definedName>
    <definedName name="input_wld_az1_rack7_edge_overlay_network">Arkham!$R$64</definedName>
    <definedName name="wld_az1_rack5_tor1_peer_ip">'Value Reference Tables - MR'!$U$101</definedName>
    <definedName name="wld_az1_uplink01_cidr">'Value Reference Tables - MR'!$I$30</definedName>
    <definedName name="input_wld_az1_rack8_host_overlay_uplink_profile_name">'Additional Racks'!$D$639</definedName>
    <definedName name="input_wld_az1_rack3_principal_storage_mtu">'Additional Racks'!$D$138</definedName>
    <definedName name="input_mgmt_az2_host_overlay_vlan">'Configure Management Domain'!$D$365</definedName>
    <definedName name="mgmt_nsx_default_operation_mode_chosen">'Deploy Management Domain'!$L$246</definedName>
    <definedName name="input_vvs_dr_vr_username">'Site Protection &amp; DR'!$D$134</definedName>
    <definedName name="input_vcf_automation_admin_password_alias">'Deploy Fleet Management Day-N'!$D$96</definedName>
    <definedName name="mgmt_witness_mgmt_pg">'Value Reference Tables'!$X$36</definedName>
    <definedName name="sizing_cpu_oversubscription">'Management Domain Sizing'!$E$15</definedName>
    <definedName name="input_wld_az1_rack6_secondary_storage_cidr">Arkham!$C$38</definedName>
    <definedName name="cluster_az2_principal_storage_mtu">'Value Reference Tables'!$I$233</definedName>
    <definedName name="wld_az1_rack4_host_overlay_gateway_ip">'Value Reference Tables - MR'!$R$89</definedName>
    <definedName name="sample_mgmt_auth_encrypted_cert">'Deploy Fleet Management Day-N'!$C$183</definedName>
    <definedName name="sample_flt_logs_root_password_alias">'Deploy Fleet Management Day-N'!$C$254</definedName>
    <definedName name="input_cluster_az2_secondary_storage_network">'Deploy Cluster'!$D$301</definedName>
    <definedName name="input_wld_az1_storage_cluster_mask">'Deploy Workload Domain'!$D$112</definedName>
    <definedName name="input_cluster_az1_secondary_storage_pool_start_ip">'Deploy Cluster'!$D$71</definedName>
    <definedName name="input_cluster_az1_secondary_storage_pool_end_ip">'Deploy Cluster'!$D$72</definedName>
    <definedName name="mgmt_az1_host11_fqdn">'Value Reference Tables - MR'!$F$247</definedName>
    <definedName name="sample_wld_avilb_mgrc_ip">'Configure Workload Domain'!$C$158</definedName>
    <definedName name="wld_az1_rack7_host2_fqdn">'Value Reference Tables - MR'!$AA$222</definedName>
    <definedName name="sample_mgmt_cl01_vds03_uplink_count">'Deploy Management Domain'!$K$217</definedName>
    <definedName name="sample_cbr_recovery_management_subnet">'Cloud-Based Ransomware Recovery'!$C$24</definedName>
    <definedName name="input_wld_az1_rack7_principal_storage_gateway_ip">'Additional Racks'!$D$513</definedName>
    <definedName name="mgmt_az1_host_overlay_cidr">'Value Reference Tables - MR'!$F$27</definedName>
    <definedName name="input_wld_az1_rtep_overlay_cidr">'Configure Workload Domain'!$D$469</definedName>
    <definedName name="sample_mgmt_az1_host_overlay_gateway_ip">'Deploy Management Domain'!$K$260</definedName>
    <definedName name="wld_az1_rack3_uplink02_mtu">'Value Reference Tables - MR'!$O$77</definedName>
    <definedName name="mgmt_az1_host11_mgmt_ip">'Value Reference Tables - MR'!$F$193</definedName>
    <definedName name="sample_wld_az1_rack5_principal_storage_vlan">'Additional Racks'!$C$323</definedName>
    <definedName name="input_flt_custom_network_flt_admin_password">'Deploy Fleet Management Day-N'!$D$29</definedName>
    <definedName name="input_wld_az1_en1_mgmt_cidr">'Configure Workload Domain'!$D$50</definedName>
    <definedName name="wld_az1_vmotion_cidr">'Value Reference Tables - MR'!$I$25</definedName>
    <definedName name="sample_mgmt_az2_host_overlay_uplink_profile_name">'Configure Management Domain'!$C$364</definedName>
    <definedName name="wld_nsxt_global_mgra_hostname">'Value Reference Tables'!$F$36</definedName>
    <definedName name="wld_az1_rack5_host6_mgmt_ip">'Value Reference Tables - MR'!$U$188</definedName>
    <definedName name="svc_vra_nsx_password">'Value Reference Tables'!$L$119</definedName>
    <definedName name="input_wld_az1_rack8_tor2_peer_asn">Arkham!$U$78</definedName>
    <definedName name="input_wld_az1_rack3_host12_fqdn">'Additional Racks'!$D$158</definedName>
    <definedName name="sample_vvs_mgmt_dr_vlr_hostname">'Site Protection &amp; DR'!$C$101</definedName>
    <definedName name="input_sddc_mgr_admin_local_password">'Deploy Management Domain'!$L$269</definedName>
    <definedName name="asn_mgmt_az1">'Value Reference Tables - MR'!$AH$19</definedName>
    <definedName name="sample_wld_az1_rack5_uplink01_network">Arkham!$K$59</definedName>
    <definedName name="input_wld_az1_rack3_host1_mgmt_ip">'Additional Racks'!$D$107</definedName>
    <definedName name="svc_vra_vrops_password">'Value Reference Tables'!$L$121</definedName>
    <definedName name="wld_az1_rack6_host5_mgmt_ip">'Value Reference Tables - MR'!$X$187</definedName>
    <definedName name="wld_rwr_cl02_cluster">'Value Reference Tables'!$U$195</definedName>
    <definedName name="sample_child_svc_nsx_ad_user">'Active Directory Inputs'!$D$19</definedName>
    <definedName name="flt_vidb_system_user_description">'Value Reference Tables'!$C$242</definedName>
    <definedName name="sample_wld_az1_rack3_host10_fqdn">'Additional Racks'!$C$156</definedName>
    <definedName name="First_Instance">'Static Reference Tables'!$G$11:$G$13</definedName>
    <definedName name="sample_wld_az1_rack5_principal_storage_cidr">Arkham!$B$33</definedName>
    <definedName name="sample_wld_az1_rack3_host_mgmt_ips">'Additional Racks'!$C$107:$C$122</definedName>
    <definedName name="sizing_w04_gm_chosen">'Management Domain Sizing'!$L$39</definedName>
    <definedName name="mgmt_nsxt_xreg_t1_name">'Value Reference Tables'!$O$27</definedName>
    <definedName name="input_wld_nsxt_gm_audit_password">'Configure Workload Domain'!$D$369</definedName>
    <definedName name="input_flt_logs_datastore">'Deploy Fleet Management Day-N'!$D$239</definedName>
    <definedName name="input_cluster_nfs_share_path">'Deploy Cluster'!$D$135</definedName>
    <definedName name="wld_secondary_storage_result">'Deploy Workload Domain'!$D$16</definedName>
    <definedName name="input_wld_nsxt_en_admin_password">'Configure Workload Domain'!$D$93</definedName>
    <definedName name="sample_svc_iom_vcf_user">'Active Directory Inputs'!$D$27</definedName>
    <definedName name="input_mgmt_az1_en2_mgmt_cidr">'Configure Management Domain'!$D$133</definedName>
    <definedName name="xreg_vrslcm_ip">'Value Reference Tables'!$R$8</definedName>
    <definedName name="wld_az1_edge_overlay_pool_end_ip">'Value Reference Tables - MR'!$I$160</definedName>
    <definedName name="flt_net_admin_password_description">'Value Reference Tables'!$L$271</definedName>
    <definedName name="wld_az1_rack2_reuse_vcf_networkpool_chosen">'Additional Racks'!$D$33</definedName>
    <definedName name="flt_net_node_portgroup">'Value Reference Tables'!$L$259</definedName>
    <definedName name="wld_vsan_type">'Value Reference Tables'!$F$170</definedName>
    <definedName name="input_mgmt_offline_depot_fqdn">'Deploy Management Domain'!$L$10</definedName>
    <definedName name="wld_rwr_vcfops_vr_username">'Value Reference Tables'!$U$211</definedName>
    <definedName name="sample_mgmt_srm_recovery_cluster">'Site Protection &amp; DR'!$C$324</definedName>
    <definedName name="input_wld_az1_rack6_host15_mgmt_ip">'Additional Racks'!$D$400</definedName>
    <definedName name="input_wld_az1_rack8_principal_storage_vlan">'Additional Racks'!$D$602</definedName>
    <definedName name="input_wld_az2_mgmt_vlan">'Configure Workload Domain'!$D$169</definedName>
    <definedName name="sample_mgmt_az1_uplink01_mtu">'Configure Management Domain'!$C$162</definedName>
    <definedName name="wld_az1_rack5_principal_storage_cidr">'Value Reference Tables - MR'!$U$26</definedName>
    <definedName name="sample_mgmt_az1_rtep_overlay_gateway_ip">'Configure Management Domain'!$C$495</definedName>
    <definedName name="sizing_w18_nsxt_gm_appliance_size">'Management Domain Sizing'!$M$53</definedName>
    <definedName name="input_cbr_recovery_vpc">'Cloud-Based Ransomware Recovery'!$D$22</definedName>
    <definedName name="mgmt_az1_host3_fqdn">'Value Reference Tables - MR'!$F$239</definedName>
    <definedName name="cluster_az2_vmotion_mask">'Value Reference Tables'!$I$226</definedName>
    <definedName name="sample_mgmt_nsxt_mgra_fqdn">'Deploy Management Domain'!$K$105</definedName>
    <definedName name="input_wld_az1_rack3_mgmt_vm_vlan">'Value Reference Tables - MR'!$L$260</definedName>
    <definedName name="input_wld_vlr_replication_user">'On-Premises Ransomware Recovery'!$D$44</definedName>
    <definedName name="input_flt_custom_network_auto_nodef_ip">Arkham!$Q$12</definedName>
    <definedName name="wld_az1_rack7_rtep_overlay_vlan">'Value Reference Tables - MR'!$AA$18</definedName>
    <definedName name="input_mgmt_az1_en2_uplink02_interface_cidr">'Configure Management Domain'!$D$181</definedName>
    <definedName name="input_cluster_vsan_datastore">'Deploy Cluster'!$D$129</definedName>
    <definedName name="sample_vvs_dr_sso_domain">'Site Protection &amp; DR'!$C$133</definedName>
    <definedName name="wld_witnessaz_mgmt_cidr">'Value Reference Tables'!$F$134</definedName>
    <definedName name="sample_mgmt_srm_vrops_pg">'Site Protection &amp; DR'!$C$256</definedName>
    <definedName name="cluster_vsan_ftt_chosen">'Deploy Cluster'!$D$131</definedName>
    <definedName name="input_ccm_hcx_cdp_hostname">'Cross Cloud Mobility'!$E$9</definedName>
    <definedName name="Additional_Instance">'Static Reference Tables'!$H$11:$H$13</definedName>
    <definedName name="mgmt_srm_recovery_mask">'Value Reference Tables'!$O$127</definedName>
    <definedName name="sample_k8s_cluster_name">'Private AI Ready Infrastructure'!$C$46</definedName>
    <definedName name="input_wld_az1_rack5_uplink01_network">Arkham!$L$59</definedName>
    <definedName name="sample_mgmt_az2_host13_fqdn">'Configure Management Domain'!$C$291</definedName>
    <definedName name="sample_wld_az1_rack3_principal_storage_pool_end_ip">'Additional Racks'!$C$143</definedName>
    <definedName name="input_mgmt_az2_tor2_peer_bgp_password">'Configure Management Domain'!$D$393</definedName>
    <definedName name="input_mgmt_az2_host6_fqdn">'Configure Management Domain'!$D$284</definedName>
    <definedName name="input_air_GPU_network_operator_namespace">'Private AI Ready Infrastructure'!$D$82</definedName>
    <definedName name="mgmt_witnessaz_mgmt_vlan">'Value Reference Tables'!$X$32</definedName>
    <definedName name="sizing_w15_nsxt_appliance_size">'Management Domain Sizing'!$I$50</definedName>
    <definedName name="prefix_wld_tor_asn">'Value Reference Tables'!$AA$82</definedName>
    <definedName name="input_wld_cl01_vds02_mtu">'Deploy Workload Domain'!$D$251</definedName>
    <definedName name="input_mgmt_az1_secondary_storage_gateway_ip">'Deploy Management Domain'!$L$174</definedName>
    <definedName name="input_wld_sddc_domain">'Deploy Workload Domain'!$D$148</definedName>
    <definedName name="sample_flt_custom_network_ops_nodec_ip">'Deploy Fleet Management Day-N'!$C$39</definedName>
    <definedName name="mgmt_domain_password_creation_chosen">'Deploy Management Domain'!$L$49</definedName>
    <definedName name="sizing_inv_platform_node_cpu">'Static Reference Tables'!$C$202</definedName>
    <definedName name="mgmt_az1_mgmt_vlan">'Value Reference Tables - MR'!$F$9</definedName>
    <definedName name="input_wld_ec_mtu">'Configure Workload Domain'!$D$39</definedName>
    <definedName name="sample_wld_az1_rack4_tor2_peer_bgp_password">Arkham!$H$79</definedName>
    <definedName name="wld_az2_tor1_peer_ip">'Value Reference Tables - MR'!$I$369</definedName>
    <definedName name="input_wld_az1_rack4_mgmt_mtu">'Additional Racks'!$D$198</definedName>
    <definedName name="wld_nsxt_appliance_size_chosen">'Deploy Workload Domain'!$D$174</definedName>
    <definedName name="mgmt_domain_existing_nsx_manager_chosen">'Deploy Management Domain'!$L$32</definedName>
    <definedName name="sample_vvs_dr_flt_net_nodea_fqdn">'Site Protection &amp; DR'!$C$38</definedName>
    <definedName name="sample_wld_az2_host12_mgmt_ip">'Configure Workload Domain'!$C$185</definedName>
    <definedName name="input_cluster_az1_host_overlay_network_pool_name">'Deploy Cluster'!$D$234</definedName>
    <definedName name="wld_iaas_chosen">'Deploy Workload Domain'!$B$18</definedName>
    <definedName name="table_vcfops_appliance_ram">'Static Reference Tables'!$B$157:$C$161</definedName>
    <definedName name="input_svc_vro_vsphere_password">'Active Directory Inputs'!$G$40</definedName>
    <definedName name="sample_mgmt_az2_host_hostnames">'Configure Management Domain'!$C$279:$C$294</definedName>
    <definedName name="mgmt_az1_host6_hostname">'Value Reference Tables - MR'!$F$223</definedName>
    <definedName name="cluster_az2_host14_mgmt_ip">'Value Reference Tables'!$I$218</definedName>
    <definedName name="mgmt_internet_proxy_email">'Value Reference Tables'!$L$37</definedName>
    <definedName name="wld_az1_uplink01_vlan">'Value Reference Tables - MR'!$I$15</definedName>
    <definedName name="input_wld_az1_rack7_host13_mgmt_ip">'Additional Racks'!$D$491</definedName>
    <definedName name="cluster_vsan_client_network">'Deploy Cluster'!$D$130</definedName>
    <definedName name="cbr_recovery_subnet">'Value Reference Tables'!$U$136</definedName>
    <definedName name="wld_az1_rack4_host_overlay_new_pool_chosen">'Additional Racks'!$D$265</definedName>
    <definedName name="sample_mgmt_cl01_vds02_name">'Deploy Management Domain'!$K$199</definedName>
    <definedName name="flt_vidb_user_principal_name">'Value Reference Tables'!$C$186</definedName>
    <definedName name="mgmt_az2_host_fqdns">'Value Reference Tables - MR'!$F$469:$F$484</definedName>
    <definedName name="input_nsxt_gm_audit_password">'Configure Management Domain'!$D$408</definedName>
    <definedName name="wld_az1_rack2_host3_mgmt_ip">'Value Reference Tables - MR'!$L$185</definedName>
    <definedName name="sample_cluster_witnessaz_mgmt_mtu">'Deploy Cluster'!$C$345</definedName>
    <definedName name="sample_vcf_automation_folder">'Deploy Fleet Management Day-N'!$C$83</definedName>
    <definedName name="input_wld_az1_rack2_host_overlay_cidr">Arkham!$C$23</definedName>
    <definedName name="input_wld_az1_rack4_edge_overlay_pool_start_ip">Arkham!$I$71</definedName>
    <definedName name="mgmt_az2_host_overlay_new_pool_chosen">'Configure Management Domain'!$D$362</definedName>
    <definedName name="wld_az1_rack2_host6_mgmt_ip">'Value Reference Tables - MR'!$L$188</definedName>
    <definedName name="input_cluster_az1_principal_storage_network">'Deploy Cluster'!$D$60</definedName>
    <definedName name="input_wld_az1_rack4_host5_fqdn">'Additional Racks'!$D$244</definedName>
    <definedName name="sample_wld_az1_rack2_host9_fqdn">'Additional Racks'!$C$62</definedName>
    <definedName name="input_wld_az1_rack6_secondary_storage_vlan">'Dumping Ground'!$D$540</definedName>
    <definedName name="input_wld_cl01_cluster">'Deploy Workload Domain'!$D$163</definedName>
    <definedName name="sample_mgmt_az1_host4_vrms_ip">'Site Protection &amp; DR'!$C$179</definedName>
    <definedName name="sample_flt_net_prxy_fqdn">'Deploy Fleet Management Day-N'!$C$305</definedName>
    <definedName name="sample_wld_rwr_recoverysite_fd">'On-Premises Ransomware Recovery'!$C$144</definedName>
    <definedName name="input_wld_az1_rack2_mgmt_vm_mtu">'Value Reference Tables - MR'!$R$259</definedName>
    <definedName name="sample_mgmt_az1_vmotion_mtu">'Deploy Management Domain'!$K$162</definedName>
    <definedName name="input_vcf_automation_mask">'Deploy Fleet Management Day-N'!$D$94</definedName>
    <definedName name="wld_az1_rack7_tor2_peer_ip">'Value Reference Tables - MR'!$AA$104</definedName>
    <definedName name="wld_az1_rack4_host_overlay_network_profile_name">'Value Reference Tables - MR'!$R$167</definedName>
    <definedName name="input_cbr_recovery_region">'Cloud-Based Ransomware Recovery'!$D$19</definedName>
    <definedName name="input_wld_az2_storage_cluster_network">'Configure Workload Domain'!$D$223</definedName>
    <definedName name="input_wld_az1_host_overlay_vlan">'Deploy Workload Domain'!$D$303</definedName>
    <definedName name="sizing_w20_gm_chosen">'Management Domain Sizing'!$L$55</definedName>
    <definedName name="sample_wld_srm_p12_password">'Dumping Ground'!$C$83</definedName>
    <definedName name="sizing_w22_avi_appliance_size">'Management Domain Sizing'!$S$57</definedName>
    <definedName name="input_wld_az1_rack8_host3_mgmt_ip">'Additional Racks'!$D$574</definedName>
    <definedName name="wld_srm_sso_domain_membership">'Value Reference Tables'!$U$122</definedName>
    <definedName name="input_flt_vidb_distinguished_name">'Deploy Fleet Management Day-N'!$D$197</definedName>
    <definedName name="local_configadmin_password_alias">'Value Reference Tables'!$AA$23</definedName>
    <definedName name="wld_nsx_vlan_transport_zone_name">'Value Reference Tables'!$F$173</definedName>
    <definedName name="input_wld_srm_site_name">'Dumping Ground'!$D$81</definedName>
    <definedName name="input_parent_ad_users_ou">'Active Directory Inputs'!$G$10</definedName>
    <definedName name="sample_wld_az1_rack3_host_overlay_network_pool_name">'Additional Racks'!$C$173</definedName>
    <definedName name="sample_cluster_az1_storage_cluster_pool_start_ip">'Deploy Cluster'!$C$79</definedName>
    <definedName name="input_mgmt_srm_rpo">'Site Protection &amp; DR'!$D$253</definedName>
    <definedName name="sample_flt_vidb_cert_locality">'Deploy Fleet Management Day-N'!$C$134</definedName>
    <definedName name="sample_ccm_hcx_dc_location">'Cross Cloud Mobility'!$C$32</definedName>
    <definedName name="wld_az1_rack8_en2_uplink01_interface_ip">'Value Reference Tables - MR'!$AD$252</definedName>
    <definedName name="sample_mgmt_az1_vmotion_pool_end_ip">'Deploy Management Domain'!$K$164</definedName>
    <definedName name="input_vcf_automation_root_password_description">'Deploy Fleet Management Day-N'!$D$102</definedName>
    <definedName name="wld_az2_tor2_peer_ip">'Value Reference Tables - MR'!$I$372</definedName>
    <definedName name="sample_wld_az1_rack2_host9_mgmt_ip">'Additional Racks'!$C$22</definedName>
    <definedName name="sizing_w05_spr_chosen">'Management Domain Sizing'!$P$40</definedName>
    <definedName name="wld_az1_rack7_rtep_overlay_gateway_ip">'Value Reference Tables - MR'!$AA$95</definedName>
    <definedName name="input_wld_cl01_supervisor_private_transit_gateway_cidr">'Deploy Workload Domain'!$D$333</definedName>
    <definedName name="input_xreg_vrops_nodea_ip">'Deploy Management Domain'!$L$308</definedName>
    <definedName name="sample_wld_az1_rack3_host16_mgmt_ip">'Additional Racks'!$C$122</definedName>
    <definedName name="input_wld_az1_rack5_host7_mgmt_ip">'Additional Racks'!$D$299</definedName>
    <definedName name="sample_wld_az1_rack4_host5_fqdn">'Additional Racks'!$C$244</definedName>
    <definedName name="wld_az1_rack8_vmotion_pg">'Value Reference Tables - MR'!$AD$112</definedName>
    <definedName name="input_wld_vrms_p12_password">'Dumping Ground'!$D$75</definedName>
    <definedName name="wld_az1_rack7_edge_overlay_network">'Value Reference Tables - MR'!$AA$47</definedName>
    <definedName name="sample_mgmt_az1_host4_fqdn">'Deploy Management Domain'!$K$131</definedName>
    <definedName name="input_wld_az1_rack5_host_overlay_cidr">Arkham!$C$35</definedName>
    <definedName name="wld_cl01_vds_vsanmax_preconfigured_profiles">'Static Reference Tables'!$E$44:$E$45</definedName>
    <definedName name="sizing_w14_vcenter_storage_size">'Management Domain Sizing'!$F$49</definedName>
    <definedName name="wld_az1_rack8_host10_fqdn">'Value Reference Tables - MR'!$AD$230</definedName>
    <definedName name="mgmt_ec01_en01_host_group_affinity_rule_name">'Value Reference Tables'!$C$133</definedName>
    <definedName name="sample_wld_az1_rack2_vmotion_mask">'Additional Racks'!$C$39</definedName>
    <definedName name="input_mgmt_cl01_nfs_server_ip">'Deploy Management Domain'!$L$121</definedName>
    <definedName name="sample_vcf_automation_root_password_alias">'Deploy Fleet Management Day-N'!$C$100</definedName>
    <definedName name="sample_wld_az1_rack7_host13_mgmt_ip">'Additional Racks'!$C$491</definedName>
    <definedName name="input_vcf_automation_root_password">'Deploy Fleet Management Day-N'!$D$101</definedName>
    <definedName name="input_gg_vra_org_owners_group">'Active Directory Inputs'!$E$94</definedName>
    <definedName name="input_ccm_aws_host_type">'Cross Cloud Mobility'!$D$22</definedName>
    <definedName name="k8s_harbor_hostname">'Value Reference Tables'!$R$31</definedName>
    <definedName name="mgmt_srm_vra_rp">'Value Reference Tables'!$U$89</definedName>
    <definedName name="input_wld_az1_rack4_host4_mgmt_ip">'Additional Racks'!$D$203</definedName>
    <definedName name="input_wld_az1_rack2_pool_name">'Additional Racks'!$D$34</definedName>
    <definedName name="mgmt_az2_host11_hostname">'Value Reference Tables - MR'!$F$460</definedName>
    <definedName name="sample_wld_rwr_vcfops_vr_username">'On-Premises Ransomware Recovery'!$C$205</definedName>
    <definedName name="vcf_vi_isolated_domain_count">'Value Reference Tables'!$AA$106</definedName>
    <definedName name="wld_az1_rack6_host3_fqdn">'Value Reference Tables - MR'!$X$223</definedName>
    <definedName name="wld_az1_rack2_vmotion_pg">'Value Reference Tables - MR'!$L$112</definedName>
    <definedName name="wld_az2_vm_vlan">'Value Reference Tables'!$AE$29</definedName>
    <definedName name="input_cluster_witness_vsan_datastore">'Deploy Cluster'!$D$354</definedName>
    <definedName name="input_flt_logs_root_password">'Deploy Fleet Management Day-N'!$D$255</definedName>
    <definedName name="input_wld_az1_rack5_uplink01_vlan">Arkham!$L$56</definedName>
    <definedName name="input_wld_nsxt_mgrc_ip">'Deploy Workload Domain'!$D$180</definedName>
    <definedName name="sample_wld_az2_host15_fqdn">'Configure Workload Domain'!$C$246</definedName>
    <definedName name="wld_az1_rack2_host15_hostname">'Value Reference Tables - MR'!$L$216</definedName>
    <definedName name="wld_az1_rack2_host7_mgmt_ip">'Value Reference Tables - MR'!$L$189</definedName>
    <definedName name="mgmt_az1_host5_hostname">'Value Reference Tables - MR'!$F$222</definedName>
    <definedName name="sample_vvs_dr_flt_net_nodec_fqdn">'Site Protection &amp; DR'!$C$40</definedName>
    <definedName name="mgmt_srm_vm_size">'Value Reference Tables'!$U$80</definedName>
    <definedName name="input_mgmt_az1_vrms_mtu">'Site Protection &amp; DR'!$D$174</definedName>
    <definedName name="input_xreg_vra_node_pool_end_ip">Arkham!$Q$38</definedName>
    <definedName name="sizing_w02_spr_chosen">'Management Domain Sizing'!$P$37</definedName>
    <definedName name="input_mgmt_cl01_az1_mgmt_pg">'Deploy Management Domain'!$L$221</definedName>
    <definedName name="vcf_installer_ip">'Value Reference Tables'!$C$14</definedName>
    <definedName name="wld_az1_rack7_principal_storage_pool_end_ip">'Value Reference Tables - MR'!$AA$152</definedName>
    <definedName name="wld_az1_rack8_host1_mgmt_ip">'Value Reference Tables - MR'!$AD$183</definedName>
    <definedName name="sizing_w17_nsxt_appliance_size">'Management Domain Sizing'!$I$52</definedName>
    <definedName name="input_wld_az1_rack7_host_overlay_vlan">'Additional Racks'!$D$556</definedName>
    <definedName name="sample_gg_vra_cloud_assembly_users_group">'Active Directory Inputs'!$D$96</definedName>
    <definedName name="sample_svc_vra_nsx_user">'Active Directory Inputs'!$D$38</definedName>
    <definedName name="sample_wld_az1_host9_fqdn">'Deploy Workload Domain'!$C$128</definedName>
    <definedName name="sample_wld_az2_host8_fqdn">'Configure Workload Domain'!$C$239</definedName>
    <definedName name="wld_az1_rack3_reuse_vcf_networkpool_chosen">'Additional Racks'!$D$126</definedName>
    <definedName name="input_vcf_automation_nodee_ip">Arkham!$Q$14</definedName>
    <definedName name="input_wld_az1_rack5_secondary_storage_cidr">Arkham!$C$34</definedName>
    <definedName name="input_wld_az1_host14_mgmt_ip">'Deploy Workload Domain'!$D$76</definedName>
    <definedName name="wld_az1_rack6_host7_fqdn">'Value Reference Tables - MR'!$X$227</definedName>
    <definedName name="input_sftp_server_protocol">'Configure Management Domain'!$D$23</definedName>
    <definedName name="flt_vidb_noded_ip">'Value Reference Tables'!$C$33</definedName>
    <definedName name="sample_wld_az1_rack8_principal_storage_mtu">'Additional Racks'!$C$603</definedName>
    <definedName name="sample_ca_locality">'Configure Management Domain'!$C$63</definedName>
    <definedName name="region_vrli_nodeb_fqdn">'Value Reference Tables'!$R$72</definedName>
    <definedName name="sample_wld_az1_rack8_host11_mgmt_ip">'Additional Racks'!$C$582</definedName>
    <definedName name="wld_az1_rack5_principal_storage_gateway_ip">'Value Reference Tables - MR'!$U$88</definedName>
    <definedName name="input_rwr_sso_domain_name">'On-Premises Ransomware Recovery'!$D$43</definedName>
    <definedName name="mgmt_az1_host13_fqdn">'Value Reference Tables - MR'!$F$249</definedName>
    <definedName name="sample_cluster_az2_host15_mgmt_ip">'Deploy Cluster'!$C$275</definedName>
    <definedName name="sample_mgmt_az1_rtep_overlay_vlan">'Configure Management Domain'!$C$518</definedName>
    <definedName name="wld_az1_rack7_en1_uplink01_interface_ip">'Value Reference Tables - MR'!$AA$242</definedName>
    <definedName name="sample_wld_az2_tor1_peer_bgp_password">'Configure Workload Domain'!$C$349</definedName>
    <definedName name="flt_net_nodec_fqdn">'Value Reference Tables'!$L$243</definedName>
    <definedName name="sample_wld_ec_mtu">'Configure Workload Domain'!$C$39</definedName>
    <definedName name="wld_az1_rack6_host4_hostname">'Value Reference Tables - MR'!$X$205</definedName>
    <definedName name="sample_cluster_az1_host11_fqdn">'Deploy Cluster'!$C$94</definedName>
    <definedName name="k8s_vcenter_category">'Value Reference Tables'!$U$24</definedName>
    <definedName name="sample_wld_az1_uplink01_cidr">'Configure Workload Domain'!$C$138</definedName>
    <definedName name="input_wld_az1_rack3_vmotion_pool_end_ip">'Additional Racks'!$D$135</definedName>
    <definedName name="child_dns_zone">'Value Reference Tables'!$L$67</definedName>
    <definedName name="input_wld_az1_tor2_peer_asn">'Configure Workload Domain'!$D$113</definedName>
    <definedName name="wld_az1_uplink02_mtu">'Value Reference Tables - MR'!$I$77</definedName>
    <definedName name="mgmt_rwr_vc_fqdn">'Value Reference Tables'!$U$191</definedName>
    <definedName name="region_vrli_nodec_hostname">'Value Reference Tables'!$R$66</definedName>
    <definedName name="wld_az2_rtep_overlay_mtu">'Value Reference Tables - MR'!$I$363</definedName>
    <definedName name="sample_parent_dns_zone">'Deploy Management Domain'!$K$43</definedName>
    <definedName name="sample_wld_az1_rack3_tor2_peer_asn">Arkham!$E$78</definedName>
    <definedName name="sample_vcf_automation_version">'Deploy Fleet Management Day-N'!$C$64</definedName>
    <definedName name="xreg_vrops_srm_sso_username">'Value Reference Tables'!$U$59</definedName>
    <definedName name="input_wld_nsxt_mgrb_fqdn">'Deploy Workload Domain'!$D$177</definedName>
    <definedName name="input_wld_az1_rtep_ip_pool_name">'Configure Workload Domain'!$D$466</definedName>
    <definedName name="input_wld_az1_rack6_vmotion_gateway_ip">'Additional Racks'!$D$412</definedName>
    <definedName name="sample_wld_az1_rack7_tor2_peer_ip">Arkham!$Q$80</definedName>
    <definedName name="sample_wld_az2_mgmt_gateway_ip">'Configure Workload Domain'!$C$170</definedName>
    <definedName name="input_cluster_az1_principal_storage_pg">'Deploy Cluster'!$D$215</definedName>
    <definedName name="sample_wld_az2_host2_mgmt_ip">'Configure Workload Domain'!$C$175</definedName>
    <definedName name="input_wld_az1_rack5_host16_mgmt_ip">'Additional Racks'!$D$308</definedName>
    <definedName name="sizing_mgmt_cluster_host_ram_count">'Management Domain Sizing'!$E$14</definedName>
    <definedName name="flt_logs_vip_ip">'Value Reference Tables'!$L$220</definedName>
    <definedName name="wld_az1_rack3_host9_fqdn">'Value Reference Tables - MR'!$O$229</definedName>
    <definedName name="wld_witness_root_password">'Value Reference Tables'!$L$35</definedName>
    <definedName name="other_prefix_wld_stretched_cidr">'Value Reference Tables'!$AA$87</definedName>
    <definedName name="input_mgmt_az1_host12_fqdn">'Deploy Management Domain'!$L$139</definedName>
    <definedName name="sizing_w06_nsxt_model">'Management Domain Sizing'!$H$41</definedName>
    <definedName name="input_cluster_vsan_type_without_client_network">'Static Reference Tables'!$E$52:$E$53</definedName>
    <definedName name="sizing_w08_avi_appliance_size">'Management Domain Sizing'!$S$43</definedName>
    <definedName name="wld_az1_rack5_host2_fqdn">'Value Reference Tables - MR'!$U$222</definedName>
    <definedName name="sample_wld_az1_vrms_vlan">'On-Premises Ransomware Recovery'!$C$72</definedName>
    <definedName name="cluster_az2_tor2_peer_asn">'Value Reference Tables'!$I$310</definedName>
    <definedName name="input_wld_cl01_evc_mode">'Dumping Ground'!$S$7</definedName>
    <definedName name="input_flt_vidb_base_dn">'Deploy Fleet Management Day-N'!$D$189</definedName>
    <definedName name="sample_ccm_firewall_rule_hcx">'Cross Cloud Mobility'!$C$28</definedName>
    <definedName name="mgmt_az2_vrms_mtu">'Value Reference Tables - MR'!$F$358</definedName>
    <definedName name="wld_az1_rack2_host2_hostname">'Value Reference Tables - MR'!$L$203</definedName>
    <definedName name="sample_wld_nsxt_gm_audit_password">'Configure Workload Domain'!$C$369</definedName>
    <definedName name="vcf_automation_nodec_ip">'Value Reference Tables'!$L$347</definedName>
    <definedName name="sample_mgmt_vc_fqdn">'Deploy Management Domain'!$K$90</definedName>
    <definedName name="input_flt_vidb_secondary_domain_controller">'Deploy Fleet Management Day-N'!$D$186</definedName>
    <definedName name="mgmt_consolidated_result">'Value Reference Tables'!$AA$107</definedName>
    <definedName name="wld_az1_rack3_host7_mgmt_ip">'Value Reference Tables - MR'!$O$189</definedName>
    <definedName name="input_mgmt_az1_host15_fqdn">'Deploy Management Domain'!$L$142</definedName>
    <definedName name="wld_az1_host8_vrms_ip">'Value Reference Tables - MR'!$I$206</definedName>
    <definedName name="input_wld_az1_rack4_uplink01_network">Arkham!$I$59</definedName>
    <definedName name="wld_az1_rack5_secondary_storage_mtu">'Value Reference Tables - MR'!$U$74</definedName>
    <definedName name="input_cbr_vcdr_cloud_file_system">'Cloud-Based Ransomware Recovery'!$D$28</definedName>
    <definedName name="input_wld_az1_principal_storage_network">'Deploy Workload Domain'!$D$95</definedName>
    <definedName name="sample_wld_az1_rack7_secondary_storage_mtu">'Dumping Ground'!$C$549</definedName>
    <definedName name="sample_wld_az1_rack4_mgmt_mtu">'Additional Racks'!$C$198</definedName>
    <definedName name="input_cluster_az1_nsx_uplink2_active">'Deploy Cluster'!$D$249</definedName>
    <definedName name="wld_az1_rack7_vrms_mtu">'Value Reference Tables - MR'!$AA$80</definedName>
    <definedName name="sample_wld_az1_rack5_host_overlay_network_pool_name">'Additional Racks'!$C$359</definedName>
    <definedName name="wld_rack7_en_asn">'Value Reference Tables - MR'!$AA$100</definedName>
    <definedName name="sample_wld_witnessaz_mgmt_gateway_ip">'Configure Workload Domain'!$C$258</definedName>
    <definedName name="dri_vcenter_datacenter">'Value Reference Tables'!$U$10</definedName>
    <definedName name="wld_az1_rack8_host5_hostname">'Value Reference Tables - MR'!$AD$206</definedName>
    <definedName name="sample_wld_az1_rack5_tor1_peer_ip">Arkham!$K$74</definedName>
    <definedName name="sample_wld_az1_rack6_uplink02_gateway_ip">Arkham!$N$63</definedName>
    <definedName name="input_wld_az1_rack8_host15_mgmt_ip">'Additional Racks'!$D$586</definedName>
    <definedName name="mgmt_az1_mgmt_vm_gateway_ip">'Value Reference Tables - MR'!$F$85</definedName>
    <definedName name="sample_flt_custom_network_local_reg_gateway_ip">'Deploy Fleet Management Day-N'!$C$19</definedName>
    <definedName name="input_wld_az1_rack3_principal_storage_vlan">'Additional Racks'!$D$137</definedName>
    <definedName name="mgmt_az2_host12_fqdn">'Value Reference Tables - MR'!$F$480</definedName>
    <definedName name="input_wld_az1_vmotion_vlan">'Deploy Workload Domain'!$D$85</definedName>
    <definedName name="sample_cluster_az1_mgmt_gateway_ip">'Deploy Cluster'!$C$25</definedName>
    <definedName name="sample_wld_az1_rack8_host10_fqdn">'Additional Racks'!$C$621</definedName>
    <definedName name="input_mgmt_az1_en1_fqdn">'Configure Management Domain'!$D$99</definedName>
    <definedName name="wld_az1_rack3_host7_fqdn">'Value Reference Tables - MR'!$O$227</definedName>
    <definedName name="wld_principal_storage_chosen">'Deploy Workload Domain'!$B$14</definedName>
    <definedName name="wld_az1_rack6_edge_overlay_network_pool_name">'Value Reference Tables - MR'!$X$172</definedName>
    <definedName name="cluster_az1_host1_fqdn">'Value Reference Tables'!$I$71</definedName>
    <definedName name="sizing_w01_chosen">'Management Domain Sizing'!$C$36</definedName>
    <definedName name="sample_flt_logs_nodea_ip">'Deploy Fleet Management Day-N'!$C$229</definedName>
    <definedName name="wld_az1_nsx_uplink1_active_chosen">'Deploy Workload Domain'!$D$320</definedName>
    <definedName name="wld_az1_rack7_tor2_peer_asn">'Value Reference Tables - MR'!$AA$105</definedName>
    <definedName name="table_nsxt_edge_ram">'Static Reference Tables'!$B$86:$C$89</definedName>
    <definedName name="wld_az1_rack6_host12_hostname">'Value Reference Tables - MR'!$X$213</definedName>
    <definedName name="wld_az1_rack3_host14_hostname">'Value Reference Tables - MR'!$O$215</definedName>
    <definedName name="sizing_vcfauto_chosen">'Management Domain Sizing'!$E$23</definedName>
    <definedName name="input_cluster_az1_host12_mgmt_ip">'Deploy Cluster'!$D$40</definedName>
    <definedName name="sample_wld_az1_rack5_host1_mgmt_ip">'Additional Racks'!$C$293</definedName>
    <definedName name="cluster_vds02_mtu">'Value Reference Tables'!$I$115</definedName>
    <definedName name="region_vrli_nodec_ip">'Value Reference Tables'!$R$59</definedName>
    <definedName name="sample_wld_az2_vmotion_pool_start_ip">'Configure Workload Domain'!$C$202</definedName>
    <definedName name="mgmt_witness_zone_vc_ip">'Value Reference Tables'!$C$213</definedName>
    <definedName name="wld_az1_rack6_vmotion_gateway_ip">'Value Reference Tables - MR'!$X$87</definedName>
    <definedName name="wld_az1_rack3_edge_overlay_mtu">'Value Reference Tables - MR'!$O$78</definedName>
    <definedName name="wld_az1_vmotion_mask">'Value Reference Tables - MR'!$I$55</definedName>
    <definedName name="wld_az1_rack6_edge_overlay_gateway_ip">'Value Reference Tables - MR'!$X$94</definedName>
    <definedName name="wld_az1_rack6_host_overlay_network">'Value Reference Tables - MR'!$X$42</definedName>
    <definedName name="sample_mgmt_cl01_vds03_uplink1">'Deploy Management Domain'!$K$218</definedName>
    <definedName name="input_wld_az1_rack2_edge_overlay_vlan">Arkham!$C$58</definedName>
    <definedName name="sample_wld_az1_rack4_host_overlay_cidr">Arkham!$B$31</definedName>
    <definedName name="sample_cluster_witness_fqdn">'Deploy Cluster'!$C$371</definedName>
    <definedName name="input_xregion_ntp2_server">Arkham!$C$19</definedName>
    <definedName name="wld_az1_reuse_vcf_networkpool_chosen">'Deploy Workload Domain'!$B$15</definedName>
    <definedName name="input_flt_vidb_bind_username">'Deploy Fleet Management Day-N'!$D$190</definedName>
    <definedName name="wld_az1_rack2_en1_fqdn">'Value Reference Tables - MR'!$L$240</definedName>
    <definedName name="input_cluster_az2_host1_fqdn">'Deploy Cluster'!$D$317</definedName>
    <definedName name="input_wld_az2_host13_fqdn">'Configure Workload Domain'!$D$244</definedName>
    <definedName name="sample_wld_az1_rack6_vmotion_gateway_ip">'Additional Racks'!$C$412</definedName>
    <definedName name="wld_az1_rack8_tor1_peer_asn">'Value Reference Tables - MR'!$AD$102</definedName>
    <definedName name="sample_wld_az1_rack7_mgmt_vm_cidr">'Value Reference Tables - MR'!$M$259</definedName>
    <definedName name="flt_net_cert_alias">'Value Reference Tables'!$L$229</definedName>
    <definedName name="wld_az1_rack5_host_overlay_network">'Value Reference Tables - MR'!$U$42</definedName>
    <definedName name="input_wld_az1_rack4_principal_storage_vlan">'Additional Racks'!$D$230</definedName>
    <definedName name="mgmt_az2_edge_overlay_cidr">'Value Reference Tables - MR'!$F$300</definedName>
    <definedName name="sample_mgmt_az1_host15_vrms_ip">'Site Protection &amp; DR'!$C$190</definedName>
    <definedName name="mgmt_rtep_overlay_pool_start_ip">'Value Reference Tables - MR'!$F$161</definedName>
    <definedName name="input_wld_vcenter_root_password">'Deploy Workload Domain'!$D$158</definedName>
    <definedName name="sizing_w01_gm_chosen">'Management Domain Sizing'!$L$36</definedName>
    <definedName name="wld_vpc_ext_ip_blocks">'Value Reference Tables'!$O$71</definedName>
    <definedName name="sample_wld_az1_rack4_host10_fqdn">'Additional Racks'!$C$249</definedName>
    <definedName name="input_wld_srm_recovery_vcenter_username">'Dumping Ground'!$D$86</definedName>
    <definedName name="ccm_firewall_group">'Value Reference Tables'!$U$174</definedName>
    <definedName name="xreg_vra_virtual_fqdn">'Value Reference Tables'!$R$52</definedName>
    <definedName name="input_mgmt_az2_host9_fqdn">'Configure Management Domain'!$D$287</definedName>
    <definedName name="wld_az1_rack3_vmotion_pool_end_ip">'Value Reference Tables - MR'!$O$150</definedName>
    <definedName name="wld_az1_rack3_vrms_mtu">'Value Reference Tables - MR'!$O$80</definedName>
    <definedName name="sample_wld_az1_rack6_host7_mgmt_ip">'Additional Racks'!$C$392</definedName>
    <definedName name="wld_az1_host13_fqdn">'Value Reference Tables - MR'!$I$249</definedName>
    <definedName name="input_mgmt_az2_host8_mgmt_ip">'Configure Management Domain'!$D$237</definedName>
    <definedName name="cluster_az2_host1_mgmt_ip">'Value Reference Tables'!$I$205</definedName>
    <definedName name="sample_mgmt_srm_p12_password">'Dumping Ground'!$C$42</definedName>
    <definedName name="wld_stretched_cluster_chosen">'Configure Workload Domain'!$B$14</definedName>
    <definedName name="sample_wld_vlr_fqdn">'On-Premises Ransomware Recovery'!$C$15</definedName>
    <definedName name="input_mgmt_nsxt_xreg_t1_name">'Configure Management Domain'!$D$522</definedName>
    <definedName name="mgmt_az2_host5_mgmt_ip">'Value Reference Tables - MR'!$F$419</definedName>
    <definedName name="mgmt_az1_en1_uplink02_interface_cidr">'Value Reference Tables - MR'!$F$260</definedName>
    <definedName name="sample_mgmt_az1_host16_mgmt_ip">'Deploy Management Domain'!$K$345</definedName>
    <definedName name="mgmt_az2_host_overlay_cidr">'Value Reference Tables - MR'!$F$296</definedName>
    <definedName name="flt_custom_network_flt_fqdn">'Value Reference Tables'!$L$292</definedName>
    <definedName name="input_child_svc_vsphere_ad_user">'Active Directory Inputs'!$E$18</definedName>
    <definedName name="mgmt_witness_vcenter_hostname">'Value Reference Tables'!$C$192</definedName>
    <definedName name="wld_az1_rack3_host_overlay_vlan">'Value Reference Tables - MR'!$O$12</definedName>
    <definedName name="input_wld_az1_rack2_tor2_peer_bgp_password">Arkham!$C$79</definedName>
    <definedName name="input_wld_az1_rack2_host_overlay_mask">'Additional Racks'!$D$94</definedName>
    <definedName name="input_cbr_vcdr_cdp2_hostname">'Cloud-Based Ransomware Recovery'!$E$10</definedName>
    <definedName name="wld_az1_rack7_host_overlay_pool_end_ip">'Value Reference Tables - MR'!$AA$154</definedName>
    <definedName name="sample_mgmt_az1_host14_mgmt_ip">'Deploy Management Domain'!$K$343</definedName>
    <definedName name="group_gg_vrops_admins">'Value Reference Tables'!$L$139</definedName>
    <definedName name="sizing_w17_vcenter_storage_size">'Management Domain Sizing'!$F$52</definedName>
    <definedName name="wld_az1_rack2_mgmt_mtu">'Value Reference Tables - MR'!$L$70</definedName>
    <definedName name="sizing_w13_nsxt_model">'Management Domain Sizing'!$H$48</definedName>
    <definedName name="table_wsa_appliance_disk">'Static Reference Tables'!$B$120:$C$125</definedName>
    <definedName name="sample_flt_logs_cert_state">'Deploy Fleet Management Day-N'!$C$222</definedName>
    <definedName name="input_wld_az1_rack7_secondary_storage_network">'Dumping Ground'!$D$550</definedName>
    <definedName name="input_flt_custom_network_x_reg_pg">'Deploy Fleet Management Day-N'!$D$21</definedName>
    <definedName name="input_mgmt_witness_zone_vc_ip">'Configure Management Domain'!$D$311</definedName>
    <definedName name="wld_az1_rack3_principal_storage_vlan">'Value Reference Tables - MR'!$O$11</definedName>
    <definedName name="wld_az1_rack3_edge_overlay_mask">'Value Reference Tables - MR'!$O$62</definedName>
    <definedName name="input_wld_az1_rack2_host1_fqdn">'Additional Racks'!$D$54</definedName>
    <definedName name="mgmt_cl01_vds03_lacp_mode_chosen">'Deploy Management Domain'!$L$214</definedName>
    <definedName name="cluster_az1_principal_storage_pool_end_ip">'Value Reference Tables'!$I$33</definedName>
    <definedName name="sample_wld_nsxt_global_mgr_certificate_id">'Configure Workload Domain'!$C$452</definedName>
    <definedName name="wld_az1_rack6_host4_fqdn">'Value Reference Tables - MR'!$X$224</definedName>
    <definedName name="sample_flt_custom_network_auto_vip_ip">'Deploy Fleet Management Day-N'!$C$52</definedName>
    <definedName name="sample_witness_dns_zone">Arkham!$B$12</definedName>
    <definedName name="mgmt_recovery_lb_creation_method">'Value Reference Tables'!$U$64</definedName>
    <definedName name="wld_srm_root_password">'Value Reference Tables'!$U$111</definedName>
    <definedName name="cluster_az2_vmotion_mtu">'Value Reference Tables'!$I$224</definedName>
    <definedName name="ccm_aws_host_count">'Value Reference Tables'!$U$168</definedName>
    <definedName name="sample_certificate_authority_fqdn">'Configure Management Domain'!$C$33</definedName>
    <definedName name="input_mgmt_az2_host6_vrms_ip">'Site Protection &amp; DR'!$D$198</definedName>
    <definedName name="sample_cluster_az1_principal_storage_pool_start_ip">'Deploy Cluster'!$C$63</definedName>
    <definedName name="wld_az1_rack7_mgmt_pg">'Value Reference Tables - MR'!$AA$111</definedName>
    <definedName name="flt_vidb_encrypted_connection_chosen">'Deploy Fleet Management Day-N'!$D$182</definedName>
    <definedName name="input_mgmt_cl01_cluster">'Deploy Management Domain'!$L$94</definedName>
    <definedName name="input_wld_az1_rack8_host5_mgmt_ip">'Additional Racks'!$D$576</definedName>
    <definedName name="input_wld_az2_host4_sddc_id">'Configure Workload Domain'!$D$306</definedName>
    <definedName name="input_wld_cl01_vds03_lag_name">'Deploy Workload Domain'!$D$264</definedName>
    <definedName name="mgmt_nsxt_global_mgrc_fqdn">'Value Reference Tables'!$C$63</definedName>
    <definedName name="input_mgmt_az2_host_overlay_pool_end_ip">'Configure Management Domain'!$D$370</definedName>
    <definedName name="wld_az1_host5_fqdn">'Value Reference Tables - MR'!$I$241</definedName>
    <definedName name="sample_flt_vidb_vcenter_fqdn">'Deploy Fleet Management Day-N'!$C$141</definedName>
    <definedName name="flt_net_install_type_chosen">'Deploy Fleet Management Day-N'!$D$288</definedName>
    <definedName name="flt_logs_chosen">'Deploy Fleet Management Day-N'!$B$10</definedName>
    <definedName name="wld_az1_rack5_en1_mgmt_ip">'Value Reference Tables - MR'!$U$241</definedName>
    <definedName name="mgmt_az2_vmotion_pool_end_ip">'Value Reference Tables - MR'!$F$386</definedName>
    <definedName name="input_flt_logs_nodea_ip">'Deploy Fleet Management Day-N'!$D$229</definedName>
    <definedName name="cluster_az2_secondary_storage_network">'Value Reference Tables'!$I$243</definedName>
    <definedName name="sample_mgmt_az2_host5_fqdn">'Configure Management Domain'!$C$283</definedName>
    <definedName name="sample_wld_az2_host_overlay_mtu">'Configure Workload Domain'!$C$326</definedName>
    <definedName name="sample_mgmt_nsxt_global_mgrb_ip">'Configure Management Domain'!$C$427</definedName>
    <definedName name="xreg_vrops_srm_sso_password">'Value Reference Tables'!$U$60</definedName>
    <definedName name="input_flt_lc_fqdn">Arkham!$Q$28</definedName>
    <definedName name="sample_wld_az2_host12_vrms_ip">'Dumping Ground'!$C$321</definedName>
    <definedName name="input_cluster_az1_vmotion_network">'Deploy Cluster'!$D$52</definedName>
    <definedName name="input_wld_az1_rack2_vmotion_pool_end_ip">'Additional Racks'!$D$42</definedName>
    <definedName name="sample_vcf_automation_cert_country_code">'Deploy Fleet Management Day-N'!$C$73</definedName>
    <definedName name="sample_esxi_root_password">'Deploy Management Domain'!$K$127</definedName>
    <definedName name="sample_wld_az1_rack7_edge_overlay_network">Arkham!$Q$64</definedName>
    <definedName name="sample_wld_az1_rack5_secondary_storage_mtu">'Dumping Ground'!$C$533</definedName>
    <definedName name="sample_wld_az1_rack8_mgmt_vm_gateway_ip">'Value Reference Tables - MR'!$O$265</definedName>
    <definedName name="flt_net_nodec_hostname">'Value Reference Tables'!$L$251</definedName>
    <definedName name="sample_mgmt_az1_host6_fqdn">'Deploy Management Domain'!$K$133</definedName>
    <definedName name="input_wld_az1_rack7_host_overlay_network_profile_name">'Additional Racks'!$D$543</definedName>
    <definedName name="wld_tier0_ha_chosen">'Configure Workload Domain'!$D$97</definedName>
    <definedName name="input_wld_az1_rack3_host4_fqdn">'Additional Racks'!$D$150</definedName>
    <definedName name="input_flt_net_nodeb_ip">'Deploy Fleet Management Day-N'!$D$307</definedName>
    <definedName name="mgmt_cl01_az1_mgmt_pg">'Value Reference Tables - MR'!$F$111</definedName>
    <definedName name="wld_az2_host10_mgmt_ip">'Value Reference Tables - MR'!$I$432</definedName>
    <definedName name="input_mgmt_az1_en1_uplink01_interface_cidr">'Configure Management Domain'!$D$159</definedName>
    <definedName name="cluster_esx_root_password">'Value Reference Tables'!$I$92</definedName>
    <definedName name="sizing_w14_avi_appliance_size">'Management Domain Sizing'!$S$49</definedName>
    <definedName name="flt_vidb_version">'Value Reference Tables'!$C$147</definedName>
    <definedName name="sample_wld_az1_secondary_storage_mtu">'Deploy Workload Domain'!$C$102</definedName>
    <definedName name="wld_az1_host2_fqdn">'Value Reference Tables - MR'!$I$238</definedName>
    <definedName name="input_wld_az1_rack7_vmotion_network">'Additional Racks'!$D$503</definedName>
    <definedName name="sample_wld_az2_tor1_peer_asn">'Configure Workload Domain'!$C$346</definedName>
    <definedName name="sample_mgmt_tier0_name">'Configure Management Domain'!$C$153</definedName>
    <definedName name="sample_wld_az1_rack6_host5_fqdn">'Additional Racks'!$C$430</definedName>
    <definedName name="input_k8s_vm_class">'Private AI Ready Infrastructure'!$D$27</definedName>
    <definedName name="wld_az1_host7_vrms_ip">'Value Reference Tables - MR'!$I$205</definedName>
    <definedName name="wld_az2_storage_cluster_pool_start_ip">'Value Reference Tables - MR'!$I$399</definedName>
    <definedName name="wld_az1_rack7_principal_storage_mtu">'Value Reference Tables - MR'!$AA$72</definedName>
    <definedName name="sample_mgmt_az2_host9_fqdn">'Configure Management Domain'!$C$287</definedName>
    <definedName name="sample_cluster_az1_host1_mgmt_ip">'Deploy Cluster'!$C$29</definedName>
    <definedName name="mgmt_az1_host_overlay_mask">'Value Reference Tables - MR'!$F$57</definedName>
    <definedName name="cbr_vcdr_vsphere_role">'Value Reference Tables'!$U$127</definedName>
    <definedName name="cluster_az1_host8_fqdn">'Value Reference Tables'!$I$78</definedName>
    <definedName name="user_svc_vra_vcf">'Value Reference Tables'!$L$105</definedName>
    <definedName name="mgmt_nsxt_mgrb_ip">'Value Reference Tables'!$C$19</definedName>
    <definedName name="sample_gg_vrops_admins_group">'Active Directory Inputs'!$D$84</definedName>
    <definedName name="wld_cl01_az1_nsx_uplink2_chosen">'Deploy Workload Domain'!$D$317</definedName>
    <definedName name="wld_az1_rack3_pool_name">'Value Reference Tables - MR'!$O$166</definedName>
    <definedName name="ccm_chosen">'Management Domain Sizing'!$B$66</definedName>
    <definedName name="sizing_w20_nsxt_gm_appliance_size">'Management Domain Sizing'!$M$55</definedName>
    <definedName name="sample_wld_nsxt_lm_admin_password">'Deploy Workload Domain'!$C$183</definedName>
    <definedName name="input_wld_az1_rack7_host5_mgmt_ip">'Additional Racks'!$D$483</definedName>
    <definedName name="wld_az2_storage_cluster_pool_end_ip">'Value Reference Tables - MR'!$I$400</definedName>
    <definedName name="flt_net_time_sync_mode_chosen">'Deploy Fleet Management Day-N'!$D$323</definedName>
    <definedName name="wld_az1_edge_overlay_gateway_ip">'Value Reference Tables - MR'!$I$94</definedName>
    <definedName name="mgmt_az2_rtep_overlay_vlan">'Value Reference Tables - MR'!$F$287</definedName>
    <definedName name="wld_witness_az_mgmt_mask">'Value Reference Tables'!$AA$43</definedName>
    <definedName name="cluster_az2_host8_mgmt_ip">'Value Reference Tables'!$I$212</definedName>
    <definedName name="wld_az2_host7_fqdn">'Value Reference Tables - MR'!$I$483</definedName>
    <definedName name="sample_cbr_vcdr_cdp2_ip">'Cloud-Based Ransomware Recovery'!$F$10</definedName>
    <definedName name="mgmt_az2_vmotion_mtu">'Value Reference Tables - MR'!$F$350</definedName>
    <definedName name="sample_wld_vc_ip">'Deploy Workload Domain'!$C$373</definedName>
    <definedName name="wld_az1_rack2_uplink02_network">'Value Reference Tables - MR'!$L$46</definedName>
    <definedName name="sample_wld_az1_rack3_edge_overlay_mask">Arkham!$E$67</definedName>
    <definedName name="cluster_az2_host10_mgmt_ip">'Value Reference Tables'!$I$214</definedName>
    <definedName name="mgmt_stretched_cluster_chosen">'Configure Management Domain'!$B$15</definedName>
    <definedName name="sample_rwr_cert_organisation">'On-Premises Ransomware Recovery'!$C$30</definedName>
    <definedName name="sample_flt_logs_cert_organisation">'Deploy Fleet Management Day-N'!$C$218</definedName>
    <definedName name="input_xreg_vrops_nodeb_ip">'Deploy Management Domain'!$L$309</definedName>
    <definedName name="mgmt_nsxt_global_mgrc_hostname">'Value Reference Tables'!$C$47</definedName>
    <definedName name="input_wld_az1_rack2_mgmt_cidr">'Additional Racks'!$D$11</definedName>
    <definedName name="input_wld_az1_rack4_host3_mgmt_ip">'Additional Racks'!$D$202</definedName>
    <definedName name="sample_mgmt_cl01_az1_vsan_pg">'Deploy Management Domain'!$K$236</definedName>
    <definedName name="mgmt_az2_host16_mgmt_ip">'Value Reference Tables - MR'!$F$430</definedName>
    <definedName name="wld_az1_rack6_vrms_gateway_ip">'Value Reference Tables - MR'!$X$96</definedName>
    <definedName name="sample_mgmt_az1_host3_vrms_ip">'Site Protection &amp; DR'!$C$178</definedName>
    <definedName name="flt_net_cert_country_code">'Value Reference Tables'!$L$237</definedName>
    <definedName name="wld_az1_rack5_secondary_storage_mask">'Value Reference Tables - MR'!$U$58</definedName>
    <definedName name="vvs_dr_mgmt_cl01_cluster">'Value Reference Tables'!$O$109</definedName>
    <definedName name="wld_az1_rack8_tor1_peer_bgp_password">'Value Reference Tables - MR'!$AD$103</definedName>
    <definedName name="sample_wld_az1_rack2_tor2_peer_asn">Arkham!$B$78</definedName>
    <definedName name="wld_az1_rack4_host_fqdns">'Value Reference Tables - MR'!$R$221:$R$236</definedName>
    <definedName name="input_mgmt_nsxt_gm_fingerprint">'Configure Management Domain'!$D$501</definedName>
    <definedName name="wld_az1_rack3_en1_uplink01_interface_ip">'Value Reference Tables - MR'!$O$242</definedName>
    <definedName name="vcf_automation_vip_fqdn">'Value Reference Tables'!$L$343</definedName>
    <definedName name="wld_az1_rack4_mgmt_vm_gateway_ip">'Value Reference Tables - MR'!$R$85</definedName>
    <definedName name="input_esxi_root_password">'Deploy Management Domain'!$L$127</definedName>
    <definedName name="wld_multi_rack_count_result">'Deploy Workload Domain'!$D$12</definedName>
    <definedName name="wld_az1_rack2_en2_fqdn">'Value Reference Tables - MR'!$L$250</definedName>
    <definedName name="flt_net_nodea_fqdn">'Value Reference Tables'!$L$241</definedName>
    <definedName name="mgmt_az2_edge_overlay_mask">'Value Reference Tables - MR'!$F$328</definedName>
    <definedName name="dri_vcenter_vds_name">'Value Reference Tables'!$U$12</definedName>
    <definedName name="sample_wld_az1_rack6_principal_storage_pool_end_ip">'Additional Racks'!$C$422</definedName>
    <definedName name="input_wld_az1_rack2_uplink01_mtu">Arkham!$C$68</definedName>
    <definedName name="wld_az1_host11_hostname">'Value Reference Tables - MR'!$I$228</definedName>
    <definedName name="table_nsxt_deployment_model">'Static Reference Tables'!$C$303:$C$305</definedName>
    <definedName name="vcf_automation_additional_vips">'Value Reference Tables'!$L$365</definedName>
    <definedName name="wld_az1_secondary_storage_pool_start_ip">'Value Reference Tables - MR'!$I$155</definedName>
    <definedName name="wld_az1_rack3_en2_hostname">'Value Reference Tables - MR'!$O$249</definedName>
    <definedName name="mgmt_az1_host1_hostname">'Value Reference Tables - MR'!$F$218</definedName>
    <definedName name="input_flt_vidb_vip_fqdn">'Deploy Fleet Management Day-N'!$D$137</definedName>
    <definedName name="input_flt_auto_sr_fqdn">Arkham!$Q$32</definedName>
    <definedName name="sample_wld_az1_rack5_vmotion_network">'Additional Racks'!$C$317</definedName>
    <definedName name="parent_ad_groups_ou">'Value Reference Tables'!$L$82</definedName>
    <definedName name="wld_cl01_az1_mgmt_vm_lbt_chosen">'Deploy Workload Domain'!$D$278</definedName>
    <definedName name="sample_flt_custom_network_flt_root_password">'Deploy Fleet Management Day-N'!$C$28</definedName>
    <definedName name="input_wld_az2_storage_cluster_vlan">'Configure Workload Domain'!$D$221</definedName>
    <definedName name="input_wld_az1_storage_cluster_vlan">'Deploy Workload Domain'!$D$109</definedName>
    <definedName name="user_svc_vra_vrops">'Value Reference Tables'!$L$107</definedName>
    <definedName name="deployment_type_vcf">'Static Reference Tables'!$E$15:$E$18</definedName>
    <definedName name="flt_logs_ou_cert">'Value Reference Tables'!$L$186</definedName>
    <definedName name="wld_az1_rack5_mgmt_cidr">'Value Reference Tables - MR'!$U$24</definedName>
    <definedName name="VMware_vSphere_Foundation">'Static Reference Tables'!$I$11</definedName>
    <definedName name="input_wld_az1_tor2_peer_ip">'Configure Workload Domain'!$D$110</definedName>
    <definedName name="input_ccm_firewall_group">'Cross Cloud Mobility'!$D$29</definedName>
    <definedName name="sizing_w19_nsxt_gm_appliance_size">'Management Domain Sizing'!$M$54</definedName>
    <definedName name="cluster_az2_mgmt_cidr">'Value Reference Tables'!$I$203</definedName>
    <definedName name="sizing_w03_nsxt_appliance_size">'Management Domain Sizing'!$I$38</definedName>
    <definedName name="mgmt_nsxt_global_mgra_ip">'Value Reference Tables'!$C$22</definedName>
    <definedName name="input_wld_az1_rack8_host8_mgmt_ip">'Additional Racks'!$D$579</definedName>
    <definedName name="sample_wld_az1_host_overlay_uplink_profile_name">'Deploy Workload Domain'!$C$318</definedName>
    <definedName name="input_wld_az2_storage_cluster_mtu">'Configure Workload Domain'!$D$222</definedName>
    <definedName name="input_mgmt_rwr_vc_fqdn">'On-Premises Ransomware Recovery'!$D$9</definedName>
    <definedName name="input_wld_az1_rack4_host9_fqdn">'Additional Racks'!$D$248</definedName>
    <definedName name="wld_az1_rack6_host7_mgmt_ip">'Value Reference Tables - MR'!$X$189</definedName>
    <definedName name="sizing_w18_vcenter_appliance_size">'Management Domain Sizing'!$D$53</definedName>
    <definedName name="sample_wld_az1_rack7_host9_fqdn">'Additional Racks'!$C$527</definedName>
    <definedName name="mgmt_az1_en2_mgmt_ip">Arkham!$R$18</definedName>
    <definedName name="flt_logs_vcenter_fqdn">'Value Reference Tables'!$L$204</definedName>
    <definedName name="input_wld_az1_host_overlay_pool_start_ip">'Deploy Workload Domain'!$D$309</definedName>
    <definedName name="wld_az1_rack5_en1_uplink02_interface_ip">'Value Reference Tables - MR'!$U$243</definedName>
    <definedName name="input_cluster_az1_storage_cluster_network">'Deploy Cluster'!$D$76</definedName>
    <definedName name="input_wld_az1_rack5_vmotion_gateway_ip">'Additional Racks'!$D$319</definedName>
    <definedName name="input_mgmt_sso_domain">'Deploy Management Domain'!$L$95</definedName>
    <definedName name="wld_az1_rack3_host_overlay_network_profile_name">'Value Reference Tables - MR'!$O$167</definedName>
    <definedName name="input_wld_az1_host11_mgmt_ip">'Deploy Workload Domain'!$D$73</definedName>
    <definedName name="input_cluster_az2_storage_cluster_mtu">'Deploy Cluster'!$D$308</definedName>
    <definedName name="input_wld_rack5_en_asn">Arkham!$L$73</definedName>
    <definedName name="sizing_mgmt_cluster_host_core_count">'Management Domain Sizing'!$E$13</definedName>
    <definedName name="wld_az1_rack3_host12_fqdn">'Value Reference Tables - MR'!$O$232</definedName>
    <definedName name="wld_az1_rack6_host16_mgmt_ip">'Value Reference Tables - MR'!$X$198</definedName>
    <definedName name="sample_wld_az1_rack5_uplink01_mtu">Arkham!$K$68</definedName>
    <definedName name="flt_logs_admin_password_alias">'Value Reference Tables'!$L$207</definedName>
    <definedName name="input_wld_az1_rack6_secondary_storage_gateway_ip">'Dumping Ground'!$D$544</definedName>
    <definedName name="flt_logs_root_password_alias">'Value Reference Tables'!$L$211</definedName>
    <definedName name="wld_az1_rack2_vmotion_pool_end_ip">'Value Reference Tables - MR'!$L$150</definedName>
    <definedName name="input_wld_az1_rack2_host10_mgmt_ip">'Additional Racks'!$D$23</definedName>
    <definedName name="sample_cluster_az1_host13_fqdn">'Deploy Cluster'!$C$96</definedName>
    <definedName name="wld_az1_rack8_principal_storage_pg">'Value Reference Tables - MR'!$AD$113</definedName>
    <definedName name="sample_wld_az1_rack5_host11_fqdn">'Additional Racks'!$C$343</definedName>
    <definedName name="sizing_w24_vcenter_storage_size">'Management Domain Sizing'!$F$59</definedName>
    <definedName name="wld_az1_rack7_host7_mgmt_ip">'Value Reference Tables - MR'!$AA$189</definedName>
    <definedName name="wld_az1_rack2_uplink02_mask">'Value Reference Tables - MR'!$L$61</definedName>
    <definedName name="wld_az1_mgmt_vm_mtu">'Value Reference Tables - MR'!$I$69</definedName>
    <definedName name="sample_wld_rwr_az1_vrms_gateway_ip">'On-Premises Ransomware Recovery'!$C$99</definedName>
    <definedName name="wld_az2_principal_storage_vlan">'Value Reference Tables - MR'!$I$281</definedName>
    <definedName name="sample_mgmt_az1_en2_mgmt_cidr">'Configure Management Domain'!$C$133</definedName>
    <definedName name="cluster_az2_pool_name">'Value Reference Tables'!$I$221</definedName>
    <definedName name="sample_wld_az1_rack6_host10_mgmt_ip">'Additional Racks'!$C$395</definedName>
    <definedName name="wld_az1_host9_vrms_ip">'Value Reference Tables - MR'!$I$207</definedName>
    <definedName name="wld_az1_rack8_host2_hostname">'Value Reference Tables - MR'!$AD$203</definedName>
    <definedName name="mgmt_srm_admin_password">'Value Reference Tables'!$U$75</definedName>
    <definedName name="input_cluster_az2_host13_mgmt_ip">'Deploy Cluster'!$D$273</definedName>
    <definedName name="sample_smtp_server">Arkham!$B$16</definedName>
    <definedName name="wld_az1_rack7_host12_fqdn">'Value Reference Tables - MR'!$AA$232</definedName>
    <definedName name="group_gg_nsx_auditors">'Value Reference Tables'!$L$160</definedName>
    <definedName name="sample_wld_az1_rack2_host12_fqdn">'Additional Racks'!$C$65</definedName>
    <definedName name="sizing_w20_ssp_chosen">'Management Domain Sizing'!$V$55</definedName>
    <definedName name="wld_cl01_vds01_link_type_chosen">'Deploy Workload Domain'!$D$241</definedName>
    <definedName name="wld_az2_host12_fqdn">'Value Reference Tables - MR'!$I$488</definedName>
    <definedName name="wld_az1_rack5_uplink01_network">'Value Reference Tables - MR'!$U$45</definedName>
    <definedName name="wld_az1_rack4_mgmt_vm_cidr">'Value Reference Tables - MR'!$R$23</definedName>
    <definedName name="mgmt_az2_host11_mgmt_ip">'Value Reference Tables - MR'!$F$425</definedName>
    <definedName name="input_wld_az1_en2_mgmt_ip">Arkham!$Q$20</definedName>
    <definedName name="wld_az1_rack2_secondary_storage_pool_end_ip">'Value Reference Tables - MR'!$L$156</definedName>
    <definedName name="sample_wld_az1_rack4_principal_storage_mask">'Additional Racks'!$C$233</definedName>
    <definedName name="input_wld_vrms_mgmt_ip">'Dumping Ground'!$G$10</definedName>
    <definedName name="sample_wld_rack8_en_asn">Arkham!$T$73</definedName>
    <definedName name="wld_cl01_vds_name">'Value Reference Tables'!$O$66</definedName>
    <definedName name="sample_wld_cl01_supervisor_dns">'Deploy Workload Domain'!$C$335</definedName>
    <definedName name="input_xreg_vrops_collector_root_password">'Deploy Management Domain'!$L$72</definedName>
    <definedName name="flt_vidb_last_name">'Value Reference Tables'!$C$182</definedName>
    <definedName name="wld_az1_rack2_uplink02_mtu">'Value Reference Tables - MR'!$L$77</definedName>
    <definedName name="sample_mgmt_srm_net_pg">'Site Protection &amp; DR'!$C$307</definedName>
    <definedName name="sample_mgmt_az1_vrms_gateway_ip">'Site Protection &amp; DR'!$C$173</definedName>
    <definedName name="user_svc_vrops_vsphere">'Value Reference Tables'!$L$97</definedName>
    <definedName name="mgmt_nsxt_federation_location_name">'Value Reference Tables'!$O$24</definedName>
    <definedName name="sample_wld_az1_rack3_host13_mgmt_ip">'Additional Racks'!$C$119</definedName>
    <definedName name="input_wld_bf_vc_sso_username">'Deploy Workload Domain'!$D$31</definedName>
    <definedName name="cluster_az2_storage_cluster_pool_end_ip">'Value Reference Tables'!$I$256</definedName>
    <definedName name="cluster_vds01_pnics">'Value Reference Tables'!$I$111</definedName>
    <definedName name="wld_az2_mgmt_network">'Value Reference Tables - MR'!$I$309</definedName>
    <definedName name="input_wld_az1_rack8_secondary_storage_vlan">'Dumping Ground'!$D$556</definedName>
    <definedName name="input_wld_az1_edge_overlay_pool_start_ip">'Configure Workload Domain'!$D$61</definedName>
    <definedName name="input_wld_az1_rack7_host_overlay_network">'Additional Racks'!$D$558</definedName>
    <definedName name="wld_az1_rack4_edge_overlay_mtu">'Value Reference Tables - MR'!$R$78</definedName>
    <definedName name="sample_wld_az1_rack2_vsan_fault_domain">'Additional Racks'!$C$86</definedName>
    <definedName name="input_cluster_vds03_uplink_count">'Deploy Cluster'!$D$196</definedName>
    <definedName name="input_wld_az1_rack4_mgmt_vlan">'Additional Racks'!$D$195</definedName>
    <definedName name="sample_mgmt_avilb_mgra_ip">'Configure Management Domain'!$C$213</definedName>
    <definedName name="mgmt_az1_host13_mgmt_ip">'Value Reference Tables - MR'!$F$195</definedName>
    <definedName name="wld_cl01_vds02_mtu">'Value Reference Tables'!$F$81</definedName>
    <definedName name="wld_az1_rack3_host16_fqdn">'Value Reference Tables - MR'!$O$236</definedName>
    <definedName name="input_wld_az1_en1_fqdn">'Configure Workload Domain'!$D$42</definedName>
    <definedName name="wld_cl01_cluster_zn_name">'Value Reference Tables'!$F$179</definedName>
    <definedName name="input_mgmt_witness_hostname">'Configure Management Domain'!$D$312</definedName>
    <definedName name="sample_wld_az1_rack8_uplink01_mask">Arkham!$T$65</definedName>
    <definedName name="input_wld_az2_host10_mgmt_ip">'Configure Workload Domain'!$D$183</definedName>
    <definedName name="sample_nsxt_gm_root_password">'Configure Management Domain'!$C$406</definedName>
    <definedName name="vvs_dr_vr_password">'Value Reference Tables'!$O$130</definedName>
    <definedName name="wld_az1_rack6_uplink02_pg">'Value Reference Tables - MR'!$X$115</definedName>
    <definedName name="wld_az2_host14_mgmt_ip">'Value Reference Tables - MR'!$I$436</definedName>
    <definedName name="mgmt_az2_host4_mgmt_ip">'Value Reference Tables - MR'!$F$418</definedName>
    <definedName name="input_wld_avilb_mgrb_ip">'Configure Workload Domain'!$D$157</definedName>
    <definedName name="sample_mgmt_witness_cluster">'Configure Management Domain'!$C$313</definedName>
    <definedName name="input_wld_az1_rack8_vsan_fault_domain">'Additional Racks'!$D$644</definedName>
    <definedName name="input_flt_vidb_nodec_ip">'Deploy Fleet Management Day-N'!$D$172</definedName>
    <definedName name="wld_az1_rack2_en2_uplink01_interface_ip">'Value Reference Tables - MR'!$L$252</definedName>
    <definedName name="sample_wld_az1_rack8_uplink02_mask">Arkham!$T$66</definedName>
    <definedName name="wld_az1_rack4_host15_fqdn">'Value Reference Tables - MR'!$R$235</definedName>
    <definedName name="wld_az1_rack5_rtep_overlay_pool_start_ip">'Value Reference Tables - MR'!$U$161</definedName>
    <definedName name="mgmt_tier0_name">'Value Reference Tables'!$O$17</definedName>
    <definedName name="sample_wld_az1_rack2_uplink02_mask">Arkham!$B$66</definedName>
    <definedName name="sample_wld_az2_mgmt_cidr">'Configure Workload Domain'!$C$171</definedName>
    <definedName name="sample_flt_net_cert_organisation">'Deploy Fleet Management Day-N'!$C$296</definedName>
    <definedName name="input_xreg_vrops_vrms_sso_password">'Site Protection &amp; DR'!$D$479</definedName>
    <definedName name="sample_cluster_az2_host11_fqdn">'Deploy Cluster'!$C$327</definedName>
    <definedName name="wld_az1_rack4_uplink01_gateway_ip">'Value Reference Tables - MR'!$R$92</definedName>
    <definedName name="table_ssp_cpu">'Static Reference Tables'!$B$257:$C$259</definedName>
    <definedName name="wld_az1_rack8_principal_storage_mtu">'Value Reference Tables - MR'!$AD$72</definedName>
    <definedName name="input_wld_az1_principal_storage_vlan">'Deploy Workload Domain'!$D$93</definedName>
    <definedName name="sample_wld_rwr_cl02_vds01">'On-Premises Ransomware Recovery'!$C$70</definedName>
    <definedName name="input_mgmt_az1_en1_uplink02_interface_cidr">'Configure Management Domain'!$D$166</definedName>
    <definedName name="input_flt_custom_network_auto_vip_fqdn">'Deploy Fleet Management Day-N'!$D$50</definedName>
    <definedName name="wld_az1_rack5_principal_storage_vlan">'Value Reference Tables - MR'!$U$11</definedName>
    <definedName name="recovery_mgmt_result">'Value Reference Tables'!$AA$98</definedName>
    <definedName name="wld_bf_nsxt_vip_fqdn">'Value Reference Tables'!$I$190</definedName>
    <definedName name="sample_flt_vidb_node_prefix">'Deploy Fleet Management Day-N'!$C$166</definedName>
    <definedName name="flt_net_nodec_size_chosen">'Deploy Fleet Management Day-N'!$D$352</definedName>
    <definedName name="sample_flt_net_datastore">'Deploy Fleet Management Day-N'!$C$317</definedName>
    <definedName name="mgmt_az2_host6_mgmt_ip">'Value Reference Tables - MR'!$F$420</definedName>
    <definedName name="wld_az1_rack7_rtep_ip_pool_name">'Value Reference Tables - MR'!$AA$173</definedName>
    <definedName name="input_wld_az1_rack7_host12_fqdn">'Additional Racks'!$D$530</definedName>
    <definedName name="sample_wld_az1_rack5_host_overlay_network">'Additional Racks'!$C$372</definedName>
    <definedName name="input_mgmt_az2_host11_mgmt_ip">'Configure Management Domain'!$D$240</definedName>
    <definedName name="sample_wld_cl01_supervisor_private_transit_gateway_cidr">'Deploy Workload Domain'!$C$333</definedName>
    <definedName name="wld_az1_rack2_principal_storage_mask">'Value Reference Tables - MR'!$L$56</definedName>
    <definedName name="sizing_w08_spr_chosen">'Management Domain Sizing'!$P$43</definedName>
    <definedName name="wld_az1_rack4_reuse_vcf_networkpool_chosen">'Additional Racks'!$D$219</definedName>
    <definedName name="sample_wld_az1_rack6_mgmt_vm_gateway_ip">'Value Reference Tables - MR'!$O$263</definedName>
    <definedName name="input_wld_az1_host3_mgmt_ip">'Deploy Workload Domain'!$D$65</definedName>
    <definedName name="input_wld_az1_rack5_host7_fqdn">'Additional Racks'!$D$339</definedName>
    <definedName name="wld_az1_en2_eth0_uplink0">'Value Reference Tables'!$C$257</definedName>
    <definedName name="sample_flt_logs_root_password_description">'Deploy Fleet Management Day-N'!$C$256</definedName>
    <definedName name="sample_mgmt_az2_host3_fqdn">'Configure Management Domain'!$C$281</definedName>
    <definedName name="wld_az1_rack6_host3_mgmt_ip">'Value Reference Tables - MR'!$X$185</definedName>
    <definedName name="xreg_vrops_collector_root_password">'Value Reference Tables'!$L$39</definedName>
    <definedName name="input_mgmt_az2_host10_fqdn">'Configure Management Domain'!$D$288</definedName>
    <definedName name="sample_wld_az2_principal_storage_vlan">'Configure Workload Domain'!$C$205</definedName>
    <definedName name="wld_az2_storage_cluster_network">'Value Reference Tables - MR'!$I$314</definedName>
    <definedName name="wld_az1_rack4_host2_fqdn">'Value Reference Tables - MR'!$R$222</definedName>
    <definedName name="wld_az1_rack8_host16_fqdn">'Value Reference Tables - MR'!$AD$236</definedName>
    <definedName name="wld_cl01_vds01_lacp_timeout_chosen">'Deploy Workload Domain'!$D$245</definedName>
    <definedName name="wld_az1_rack6_uplink01_cidr">'Value Reference Tables - MR'!$X$30</definedName>
    <definedName name="sample_cluster_az1_host3_fqdn">'Deploy Cluster'!$C$86</definedName>
    <definedName name="input_vcf_automation_ou_cert">'Deploy Fleet Management Day-N'!$D$72</definedName>
    <definedName name="mgmt_avilb_cluster_name">'Value Reference Tables'!$O$30</definedName>
    <definedName name="input_wld_az1_rack7_secondary_storage_pool_start_ip">'Dumping Ground'!$D$553</definedName>
    <definedName name="sample_flt_vidb_secondary_domain_controller">'Deploy Fleet Management Day-N'!$C$186</definedName>
    <definedName name="vrms_appliance_size">'Value Reference Tables'!$U$55</definedName>
    <definedName name="input_mgmt_rtep_overlay_pool_end_ip">'Configure Management Domain'!$D$493</definedName>
    <definedName name="wld_az1_secondary_storage_cidr">'Value Reference Tables - MR'!$I$28</definedName>
    <definedName name="sample_cluster_az2_host13_mgmt_ip">'Deploy Cluster'!$C$273</definedName>
    <definedName name="cluster_az2_host_overlay_vlan">'Value Reference Tables'!$I$285</definedName>
    <definedName name="sample_wld_az1_rack2_host15_fqdn">'Additional Racks'!$C$68</definedName>
    <definedName name="input_cluster_az1_storage_cluster_vlan">'Deploy Cluster'!$D$74</definedName>
    <definedName name="wld_az1_rtep_overlay_gateway_ip">'Value Reference Tables - MR'!$I$95</definedName>
    <definedName name="wld_az1_rack4_en2_uplink02_interface_ip">'Value Reference Tables - MR'!$R$253</definedName>
    <definedName name="wld_az1_rack6_edge_overlay_mtu">'Value Reference Tables - MR'!$X$78</definedName>
    <definedName name="wld_az1_rack6_edge_overlay_network">'Value Reference Tables - MR'!$X$47</definedName>
    <definedName name="input_wld_az1_rack5_host8_mgmt_ip">'Additional Racks'!$D$300</definedName>
    <definedName name="sample_cluster_az1_host2_fqdn">'Deploy Cluster'!$C$85</definedName>
    <definedName name="input_wld_az1_rack8_host9_fqdn">'Additional Racks'!$D$620</definedName>
    <definedName name="wld_az1_vm_cidr">'Value Reference Tables'!$AD$37</definedName>
    <definedName name="flt_custom_network_ops_collector_size_chosen">'Deploy Fleet Management Day-N'!$D$47</definedName>
    <definedName name="input_wld_az1_rack4_vmotion_network">'Additional Racks'!$D$224</definedName>
    <definedName name="wld_cl01_az1_mgmt_vm_uplink1_chosen">'Deploy Workload Domain'!$D$279</definedName>
    <definedName name="sample_gg_vrslcm_content_developers_group">'Active Directory Inputs'!$D$56</definedName>
    <definedName name="sample_ccm_aws_admin_password">'Cross Cloud Mobility'!$C$37</definedName>
    <definedName name="input_cluster_az1_host4_mgmt_ip">'Deploy Cluster'!$D$32</definedName>
    <definedName name="wld_az1_rack7_vmotion_vlan">'Value Reference Tables - MR'!$AA$10</definedName>
    <definedName name="wld_az1_rack4_edge_overlay_mask">'Value Reference Tables - MR'!$R$62</definedName>
    <definedName name="pnp_version_number">'Value Reference Tables'!$C$11</definedName>
    <definedName name="input_mgmt_az1_host14_fqdn">'Deploy Management Domain'!$L$141</definedName>
    <definedName name="input_wld_az1_host2_fqdn">'Deploy Workload Domain'!$D$121</definedName>
    <definedName name="wld_az1_rack8_host14_fqdn">'Value Reference Tables - MR'!$AD$234</definedName>
    <definedName name="sample_flt_vidb_cert_alias">'Deploy Fleet Management Day-N'!$C$128</definedName>
    <definedName name="wld_az1_rack4_host6_fqdn">'Value Reference Tables - MR'!$R$226</definedName>
    <definedName name="flt_custom_network_ops_admin_password">'Value Reference Tables'!$L$307</definedName>
    <definedName name="flt_net_cluster">'Value Reference Tables'!$L$254</definedName>
    <definedName name="input_flt_vidb_nodea_ip">'Deploy Fleet Management Day-N'!$D$170</definedName>
    <definedName name="sample_wld_cl01_cluster">'Deploy Workload Domain'!$C$163</definedName>
    <definedName name="wld_az1_rack8_host5_mgmt_ip">'Value Reference Tables - MR'!$AD$187</definedName>
    <definedName name="input_mgmt_az1_host16_vrms_ip">'Site Protection &amp; DR'!$D$191</definedName>
    <definedName name="input_wld_az1_host_overlay_gateway_ip">'Deploy Workload Domain'!$D$311</definedName>
    <definedName name="sample_wld_cl01_vds03_lag_name">'Deploy Workload Domain'!$C$264</definedName>
    <definedName name="input_flt_vidb_group_base_dn">'Deploy Fleet Management Day-N'!$D$202</definedName>
    <definedName name="sample_wld_az1_rack3_host_overlay_uplink_profile_name">'Additional Racks'!$C$174</definedName>
    <definedName name="input_wld_az1_rack4_secondary_storage_cidr">Arkham!$C$30</definedName>
    <definedName name="wld_bf_nsxt_audit_password">'Value Reference Tables'!$I$196</definedName>
    <definedName name="mgmt_az1_tor1_peer_asn">'Value Reference Tables - MR'!$F$102</definedName>
    <definedName name="input_wld_az1_rack6_host15_fqdn">'Additional Racks'!$D$440</definedName>
    <definedName name="sample_mgmt_az1_host14_fqdn">'Deploy Management Domain'!$K$141</definedName>
    <definedName name="flt_net_ou_cert">'Value Reference Tables'!$L$236</definedName>
    <definedName name="input_mgmt_az2_host1_vrms_ip">'Site Protection &amp; DR'!$D$193</definedName>
    <definedName name="sample_cluster_vds03_name">'Deploy Cluster'!$C$189</definedName>
    <definedName name="input_flt_vidb_system_user_alias">'Deploy Fleet Management Day-N'!$D$156</definedName>
    <definedName name="wld_az1_edge_overlay_pg">'Value Reference Tables - MR'!$I$118</definedName>
    <definedName name="mgmt_az2_host15_mgmt_ip">'Value Reference Tables - MR'!$F$429</definedName>
    <definedName name="sftp_server_sshfingerprint">'Value Reference Tables'!$O$50</definedName>
    <definedName name="wld_az1_rack8_host15_fqdn">'Value Reference Tables - MR'!$AD$235</definedName>
    <definedName name="wld_az1_rack3_vmotion_network">'Value Reference Tables - MR'!$O$40</definedName>
    <definedName name="mgmt_domain_deployment_type_result">'VCF &amp; VVF Planning'!$L$17</definedName>
    <definedName name="input_wld_az2_host5_vrms_ip">'Dumping Ground'!$D$314</definedName>
    <definedName name="flt_vidb_cert_locality">'Value Reference Tables'!$C$154</definedName>
    <definedName name="sample_wld_az1_rack4_host12_fqdn">'Additional Racks'!$C$251</definedName>
    <definedName name="sample_svc_inv_ad_password">'Active Directory Inputs'!$F$32</definedName>
    <definedName name="cluster_az2_host_overlay_gateway_ip">'Value Reference Tables'!$I$287</definedName>
    <definedName name="mgmt_cl01_vds02_name">'Value Reference Tables'!$C$99</definedName>
    <definedName name="sample_wld_az1_rack6_vmotion_mtu">'Additional Racks'!$C$409</definedName>
    <definedName name="sample_mgmt_az1_uplink02_mtu">'Configure Management Domain'!$C$169</definedName>
    <definedName name="input_mgmt_witnessaz_mgmt_cidr">'Configure Management Domain'!$D$307</definedName>
    <definedName name="input_sddc_mgr_vcf_password">'Deploy Management Domain'!$L$268</definedName>
    <definedName name="mgmt_az2_host9_vrms_ip">'Value Reference Tables - MR'!$F$439</definedName>
    <definedName name="wld_az1_rack5_vsan_fault_domain">'Value Reference Tables - MR'!$U$174</definedName>
    <definedName name="input_wld_az1_host_overlay_pool_end_ip">'Deploy Workload Domain'!$D$310</definedName>
    <definedName name="sample_wld_az1_rack4_mgmt_vlan">'Additional Racks'!$C$195</definedName>
    <definedName name="wld_ec_mtu">'Value Reference Tables'!$F$190</definedName>
    <definedName name="input_wld_az1_rack4_uplink02_network">Arkham!$I$60</definedName>
    <definedName name="sample_cbr_vm_folder">'Cloud-Based Ransomware Recovery'!$C$17</definedName>
    <definedName name="wld_datacenter">'Value Reference Tables'!$O$88</definedName>
    <definedName name="input_mgmt_az2_secondary_storage_pool_start_ip">'Configure Management Domain'!$D$273</definedName>
    <definedName name="input_wld_az1_rack7_host16_mgmt_ip">'Additional Racks'!$D$494</definedName>
    <definedName name="wld_az1_rack3_mgmt_vm_vlan">'Value Reference Tables - MR'!$O$8</definedName>
    <definedName name="wld_az1_rack5_uplink02_network">'Value Reference Tables - MR'!$U$46</definedName>
    <definedName name="wld_az1_rack4_host1_mgmt_ip">'Value Reference Tables - MR'!$R$183</definedName>
    <definedName name="wld_srm_vm_folder">'Value Reference Tables'!$U$110</definedName>
    <definedName name="sample_mgmt_nsxt_en_root_password">'Configure Management Domain'!$C$149</definedName>
    <definedName name="sample_wld_az1_rack3_pool_name">'Additional Racks'!$C$127</definedName>
    <definedName name="mgmt_vrms_p12_password">'Value Reference Tables'!$U$71</definedName>
    <definedName name="cluster_datacenter">'Value Reference Tables'!$I$280</definedName>
    <definedName name="mgmt_az1_host12_fqdn">'Value Reference Tables - MR'!$F$248</definedName>
    <definedName name="wld_avilb_mgrc_ip">'Value Reference Tables'!$F$26</definedName>
    <definedName name="sample_cluster_az2_vmotion_pool_end_ip">'Deploy Cluster'!$C$289</definedName>
    <definedName name="input_wld_vpc_transit_gateway_ip_blocks">'Configure Workload Domain'!$D$132</definedName>
    <definedName name="wld_az1_rack5_vmotion_pool_start_ip">'Value Reference Tables - MR'!$U$149</definedName>
    <definedName name="ccm_hcx_vsphere_svc_password">'Value Reference Tables'!$U$159</definedName>
    <definedName name="navigation_site_protection_wld">'Dumping Ground'!$B$217</definedName>
    <definedName name="mgmt_cl01_cluster">'Value Reference Tables'!$C$77</definedName>
    <definedName name="input_mgmt_srm_vrops_pg">'Site Protection &amp; DR'!$D$256</definedName>
    <definedName name="wld_az2_edge_overlay_gateway_ip">'Value Reference Tables - MR'!$I$347</definedName>
    <definedName name="sample_wld_az2_host4_fqdn">'Configure Workload Domain'!$C$235</definedName>
    <definedName name="input_wld_vrms_pg">'Dumping Ground'!$D$74</definedName>
    <definedName name="wld_az1_rack7_host14_fqdn">'Value Reference Tables - MR'!$AA$234</definedName>
    <definedName name="wld_az1_rack6_host14_mgmt_ip">'Value Reference Tables - MR'!$X$196</definedName>
    <definedName name="sample_wld_az1_uplink01_vlan">'Configure Workload Domain'!$C$101</definedName>
    <definedName name="input_wld_az1_host10_mgmt_ip">'Deploy Workload Domain'!$D$72</definedName>
    <definedName name="sample_wld_az1_rack6_host_overlay_network">'Additional Racks'!$C$465</definedName>
    <definedName name="sample_mgmt_az1_mgmt_vm_vlan">'Deploy Management Domain'!$K$154</definedName>
    <definedName name="sample_mgmt_cl01_nfs_server_ip">'Deploy Management Domain'!$K$121</definedName>
    <definedName name="input_wld_bf_nsxt_audit_password">'Deploy Workload Domain'!$D$50</definedName>
    <definedName name="sample_wld_az1_rack6_host2_mgmt_ip">'Additional Racks'!$C$387</definedName>
    <definedName name="wld_az1_rack6_vmotion_network">'Value Reference Tables - MR'!$X$40</definedName>
    <definedName name="sample_mgmt_az2_host_overlay_vlan">'Configure Management Domain'!$C$365</definedName>
    <definedName name="input_sftp_server_backup_dir">'Configure Management Domain'!$D$26</definedName>
    <definedName name="input_wld_az1_rack4_host5_mgmt_ip">'Additional Racks'!$D$204</definedName>
    <definedName name="input_xreg_vrops_nodeb_fqdn">'Deploy Management Domain'!$L$58</definedName>
    <definedName name="sizing_vcfops_net_chosen">'Management Domain Sizing'!$E$25</definedName>
    <definedName name="mgmt_srm_net_rp">'Value Reference Tables'!$O$123</definedName>
    <definedName name="sample_mgmt_existing_cross_instance_t0_name">'Configure Management Domain'!$C$532</definedName>
    <definedName name="wld_az1_en1_uplink01_interface_cidr">'Value Reference Tables - MR'!$I$259</definedName>
    <definedName name="cbr_aria_logs_url">'Value Reference Tables'!$U$152</definedName>
    <definedName name="wld_az1_rack8_host10_mgmt_ip">'Value Reference Tables - MR'!$AD$192</definedName>
    <definedName name="input_wld_az1_rack2_host1_mgmt_ip">'Additional Racks'!$D$14</definedName>
    <definedName name="input_wld_az2_host1_fqdn">'Configure Workload Domain'!$D$232</definedName>
    <definedName name="cluster_az1_principal_storage_uplink1_chosen">'Deploy Cluster'!$D$217</definedName>
    <definedName name="sample_mgmt_az1_en2_fqdn">'Configure Management Domain'!$C$125</definedName>
    <definedName name="input_wld_az1_rack7_host_overlay_gateway_ip">'Additional Racks'!$D$560</definedName>
    <definedName name="wld_az1_rack3_host11_fqdn">'Value Reference Tables - MR'!$O$231</definedName>
    <definedName name="sample_wld_az1_rack7_host16_fqdn">'Additional Racks'!$C$534</definedName>
    <definedName name="cbr_aria_logs_key">'Value Reference Tables'!$U$153</definedName>
    <definedName name="cluster_az1_principal_storage_vlan">'Value Reference Tables'!$I$26</definedName>
    <definedName name="wld_az1_rack7_uplink01_mtu">'Value Reference Tables - MR'!$AA$76</definedName>
    <definedName name="wld_az1_rack6_rtep_overlay_gateway_ip">'Value Reference Tables - MR'!$X$95</definedName>
    <definedName name="sample_cluster_az1_secondary_storage_vlan">'Deploy Cluster'!$C$66</definedName>
    <definedName name="flt_vidb_cert_alias">'Value Reference Tables'!$C$149</definedName>
    <definedName name="input_wld_az1_rack5_vmotion_mtu">'Additional Racks'!$D$316</definedName>
    <definedName name="sample_flt_vidb_mask">'Deploy Fleet Management Day-N'!$C$154</definedName>
    <definedName name="input_wld_az1_rack3_host15_mgmt_ip">'Additional Racks'!$D$121</definedName>
    <definedName name="sample_wld_az1_rack7_host11_mgmt_ip">'Additional Racks'!$C$489</definedName>
    <definedName name="input_wld_az1_rack6_edge_overlay_gateway_ip">Arkham!$O$64</definedName>
    <definedName name="sample_wld_cl01_az1_vsan_storage_client_pg">'Deploy Workload Domain'!$C$292</definedName>
    <definedName name="sample_xreg_wsa_vm_folder">'Dumping Ground'!$C$105</definedName>
    <definedName name="group_gg_vra_project_users_sample">'Value Reference Tables'!$L$151</definedName>
    <definedName name="sample_wld_bf_sddc_domain">'Deploy Workload Domain'!$C$23</definedName>
    <definedName name="sample_wld_az1_rack3_host_overlay_mtu">'Additional Racks'!$C$185</definedName>
    <definedName name="sample_wld_avilb_mgrb_ip">'Configure Workload Domain'!$C$157</definedName>
    <definedName name="cluster_az1_vsan_storage_client_pg">'Value Reference Tables'!$I$147</definedName>
    <definedName name="mgmt_az2_vmotion_mask">'Value Reference Tables - MR'!$F$322</definedName>
    <definedName name="sample_wld_az1_rack8_host3_mgmt_ip">'Additional Racks'!$C$574</definedName>
    <definedName name="sample_mgmt_az1_vsan_vlan">'Deploy Management Domain'!$K$166</definedName>
    <definedName name="input_wld_az1_rack8_host_overlay_network">'Additional Racks'!$D$651</definedName>
    <definedName name="input_avilb_root_password">'Configure Management Domain'!$D$212</definedName>
    <definedName name="input_wld_az1_rack6_host16_mgmt_ip">'Additional Racks'!$D$401</definedName>
    <definedName name="input_cluster_az2_host3_fqdn">'Deploy Cluster'!$D$319</definedName>
    <definedName name="sample_wld_az1_rack3_host5_fqdn">'Additional Racks'!$C$151</definedName>
    <definedName name="sample_wld_az2_principal_storage_network">'Configure Workload Domain'!$C$207</definedName>
    <definedName name="cluster_az2_host10_fqdn">'Value Reference Tables'!$I$301</definedName>
    <definedName name="wld_srm_database_password">'Value Reference Tables'!$U$113</definedName>
    <definedName name="sample_mgmt_cl01_az1_mgmt_pg">'Deploy Management Domain'!$K$221</definedName>
    <definedName name="wld_cl01_az2_principal_storage_pg">'Value Reference Tables - MR'!$I$381</definedName>
    <definedName name="sample_svc_cbr_vcdr_vsphere_user">'Cloud-Based Ransomware Recovery'!$C$15</definedName>
    <definedName name="wld_ec_api_chosen">'Configure Workload Domain'!$D$134</definedName>
    <definedName name="input_mgmt_az2_secondary_storage_mask">'Configure Management Domain'!$D$271</definedName>
    <definedName name="input_wld_az1_rack4_host1_mgmt_ip">'Additional Racks'!$D$200</definedName>
    <definedName name="wld_cl01_az1_mgmt_vm_uplink2_chosen">'Deploy Workload Domain'!$D$280</definedName>
    <definedName name="input_wld_az1_rack2_vmotion_mtu">'Additional Racks'!$D$37</definedName>
    <definedName name="input_wld_az1_uplink01_gateway_ip">'Configure Workload Domain'!$D$137</definedName>
    <definedName name="sample_region_ad_child_fqdn">'Value Reference Tables'!$C$10</definedName>
    <definedName name="input_wld_az1_rack4_secondary_storage_pool_start_ip">'Dumping Ground'!$D$529</definedName>
    <definedName name="flt_logs_install_type_chosen">'Deploy Fleet Management Day-N'!$D$209</definedName>
    <definedName name="input_wld_az1_rack2_host11_mgmt_ip">'Additional Racks'!$D$24</definedName>
    <definedName name="input_wld_az1_rack3_tor2_peer_bgp_password">Arkham!$F$79</definedName>
    <definedName name="input_wld_az1_rack6_tor1_peer_asn">Arkham!$O$75</definedName>
    <definedName name="wld_avi_loadbalancer_chosen">'Configure Workload Domain'!$B$13</definedName>
    <definedName name="cluster_az1_host16_mgmt_ip">'Value Reference Tables'!$I$68</definedName>
    <definedName name="flt_vidb_bind_password">'Value Reference Tables'!$C$179</definedName>
    <definedName name="sample_mgmt_rtep_overlay_pool_end_ip">'Configure Management Domain'!$C$493</definedName>
    <definedName name="input_flt_net_platform_password">'Deploy Fleet Management Day-N'!$D$337</definedName>
    <definedName name="wld_az1_rack3_host3_fqdn">'Value Reference Tables - MR'!$O$223</definedName>
    <definedName name="sample_cbr_vcdr_anti_affinity">'Cloud-Based Ransomware Recovery'!$C$35</definedName>
    <definedName name="flt_custom_network_ops_collector_version">'Value Reference Tables'!$L$310</definedName>
    <definedName name="wld_az1_rack5_rtep_overlay_pool_end_ip">'Value Reference Tables - MR'!$U$162</definedName>
    <definedName name="flt_vidb_distinguished_name">'Value Reference Tables'!$C$183</definedName>
    <definedName name="input_wld_az1_rack3_uplink01_vlan">Arkham!$F$56</definedName>
    <definedName name="wld_cl01_supervisor_ntp">'Value Reference Tables'!$F$184</definedName>
    <definedName name="input_wld_az1_rack6_host8_fqdn">'Additional Racks'!$D$433</definedName>
    <definedName name="sample_wld_az1_rack6_host_overlay_mask">'Additional Racks'!$C$466</definedName>
    <definedName name="svc_vra_vcf_password">'Value Reference Tables'!$L$120</definedName>
    <definedName name="sample_mgmt_az2_host4_fqdn">'Configure Management Domain'!$C$282</definedName>
    <definedName name="input_wld_az1_rack5_pool_name">'Additional Racks'!$D$313</definedName>
    <definedName name="input_flt_vidb_vcenter_fqdn">'Deploy Fleet Management Day-N'!$D$141</definedName>
    <definedName name="input_gg_vra_cloud_assembly_users_group">'Active Directory Inputs'!$E$96</definedName>
    <definedName name="sample_wld_az1_rack7_secondary_storage_mask">'Dumping Ground'!$C$551</definedName>
    <definedName name="wld_esx_root_username">'Value Reference Tables'!$L$40</definedName>
    <definedName name="input_flt_vidb_cert_common_name">'Deploy Fleet Management Day-N'!$D$130</definedName>
    <definedName name="sample_wld_rtep_overlay_pool_start_ip">'Configure Workload Domain'!$C$467</definedName>
    <definedName name="wld_az1_rack7_host13_fqdn">'Value Reference Tables - MR'!$AA$233</definedName>
    <definedName name="k8s_cluster_endpoint_fqdn">'Value Reference Tables'!$U$33</definedName>
    <definedName name="input_gg_vrni_member_group">'Active Directory Inputs'!$E$90</definedName>
    <definedName name="sample_mgmt_cl01_vds03_uplink2">'Deploy Management Domain'!$K$219</definedName>
    <definedName name="wld_az1_host1_fqdn">'Value Reference Tables - MR'!$I$237</definedName>
    <definedName name="sample_cluster_az2_host3_fqdn">'Deploy Cluster'!$C$319</definedName>
    <definedName name="wld_rwr_az1_vrms_gateway_mask">'Value Reference Tables'!$U$208</definedName>
    <definedName name="sample_wld_az1_rack8_host_mgmt_ips">'Additional Racks'!$C$572:$C$587</definedName>
    <definedName name="sample_wld_az1_rack6_mgmt_vm_mtu">'Value Reference Tables - MR'!$Q$263</definedName>
    <definedName name="sample_wld_az2_storage_cluster_pool_end_ip">'Configure Workload Domain'!$C$227</definedName>
    <definedName name="wld_az1_rack4_tor2_peer_asn">'Value Reference Tables - MR'!$R$105</definedName>
    <definedName name="wld_az1_rack3_host6_hostname">'Value Reference Tables - MR'!$O$207</definedName>
    <definedName name="sample_sftp_server_protocol">'Configure Management Domain'!$C$23</definedName>
    <definedName name="mgmt_az1_en1_mgmt_ip">Arkham!$R$17</definedName>
    <definedName name="mgmt_nsxt_federation_chosen">'Configure Management Domain'!$B$16</definedName>
    <definedName name="input_wld_az1_host_overlay_network_pool_description">'Deploy Workload Domain'!$D$307</definedName>
    <definedName name="input_wld_az1_rack6_uplink02_mtu">Arkham!$O$69</definedName>
    <definedName name="mgmt_witness_fqdn">'Value Reference Tables'!$C$72</definedName>
    <definedName name="vcf_automation_cert_type_chosen">'Deploy Fleet Management Day-N'!$D$67</definedName>
    <definedName name="sample_wld_az1_rack8_host1_fqdn">'Additional Racks'!$C$612</definedName>
    <definedName name="vcf_pnp_result_exclude">'Static Reference Tables'!$E$8</definedName>
    <definedName name="sample_wld_az1_rack3_principal_storage_mask">'Additional Racks'!$C$140</definedName>
    <definedName name="wld_az1_rack7_vmotion_pg">'Value Reference Tables - MR'!$AA$112</definedName>
    <definedName name="wld_az1_rack2_uplink02_gateway_ip">'Value Reference Tables - MR'!$L$93</definedName>
    <definedName name="input_vcf_automation_nodea_ip">'Deploy Fleet Management Day-N'!$D$113</definedName>
    <definedName name="sample_wld_az1_rack8_tor1_peer_bgp_password">Arkham!$T$76</definedName>
    <definedName name="input_mgmt_az2_host1_mgmt_ip">'Configure Management Domain'!$D$230</definedName>
    <definedName name="sample_svc_cbr_vcdr_vsphere_password">'Cloud-Based Ransomware Recovery'!$C$16</definedName>
    <definedName name="mgmt_az2_secondary_storage_gateway_ip">'Value Reference Tables - MR'!$F$339</definedName>
    <definedName name="wld_nsxt_mgra_ip">'Value Reference Tables'!$F$16</definedName>
    <definedName name="input_wld_az1_secondary_storage_mask">'Deploy Workload Domain'!$D$104</definedName>
    <definedName name="input_mgmt_az1_host2_fqdn">'Deploy Management Domain'!$L$129</definedName>
    <definedName name="rwr_datacenter">'Value Reference Tables'!$U$203</definedName>
    <definedName name="sample_wld_az1_principal_storage_mask">'Deploy Workload Domain'!$C$96</definedName>
    <definedName name="flt_custom_management_cidr">Arkham!$B$3</definedName>
    <definedName name="wld_az1_host16_vrms_ip">'Value Reference Tables - MR'!$I$214</definedName>
    <definedName name="sample_wld_az2_mgmt_mtu">'Configure Workload Domain'!$C$172</definedName>
    <definedName name="sample_wld_az1_rack8_host7_fqdn">'Additional Racks'!$C$618</definedName>
    <definedName name="sample_wld_az1_rack6_host14_mgmt_ip">'Additional Racks'!$C$399</definedName>
    <definedName name="sample_wld_az1_rack8_tor2_peer_asn">Arkham!$T$78</definedName>
    <definedName name="k8s_vm_class">'Value Reference Tables'!$U$38</definedName>
    <definedName name="sizing_w09_vcenter_storage_size">'Management Domain Sizing'!$F$44</definedName>
    <definedName name="sample_xreg_vra_admin_password">'Deploy Management Domain'!$K$79</definedName>
    <definedName name="wld_az1_rack2_host5_hostname">'Value Reference Tables - MR'!$L$206</definedName>
    <definedName name="input_gg_nsx_enterprise_admins_group">'Active Directory Inputs'!$E$70</definedName>
    <definedName name="input_wld_az1_rack3_edge_overlay_mask">Arkham!$F$67</definedName>
    <definedName name="sizing_w03_nsxt_model">'Management Domain Sizing'!$H$38</definedName>
    <definedName name="prefix_portable_component">'Value Reference Tables'!$AA$85</definedName>
    <definedName name="cluster_az2_host12_mgmt_ip">'Value Reference Tables'!$I$216</definedName>
    <definedName name="input_wld_az1_rack7_secondary_storage_gateway_ip">'Dumping Ground'!$D$552</definedName>
    <definedName name="input_mgmt_avilb_cluster_name">'Configure Management Domain'!$D$218</definedName>
    <definedName name="sample_cluster_az2_storage_cluster_gateway_ip">'Deploy Cluster'!$C$311</definedName>
    <definedName name="sample_cluster_az1_vmotion_pool_start_ip">'Deploy Cluster'!$C$55</definedName>
    <definedName name="mgmt_az2_host1_hostname">'Value Reference Tables - MR'!$F$450</definedName>
    <definedName name="sample_wld_rack6_en_asn">Arkham!$N$73</definedName>
    <definedName name="wld_bf_vc_root_password">'Value Reference Tables'!$I$180</definedName>
    <definedName name="input_cluster_az1_mgmt_vlan">'Deploy Cluster'!$D$24</definedName>
    <definedName name="input_wld_az1_rack3_host_overlay_network_profile_name">'Additional Racks'!$D$171</definedName>
    <definedName name="input_wld_az1_rack3_host_overlay_network">'Additional Racks'!$D$186</definedName>
    <definedName name="input_vvs_mgmt_dr_vlr_fqdn">'Site Protection &amp; DR'!$D$105</definedName>
    <definedName name="input_xreg_vra_node_pool_start_ip">Arkham!$Q$37</definedName>
    <definedName name="wld_az1_rack5_vmotion_gateway_ip">'Value Reference Tables - MR'!$U$87</definedName>
    <definedName name="wld_az1_rack5_host15_mgmt_ip">'Value Reference Tables - MR'!$U$197</definedName>
    <definedName name="sample_wld_az1_rack7_host4_fqdn">'Additional Racks'!$C$522</definedName>
    <definedName name="flt_custom_network_x_reg_mask">'Value Reference Tables'!$L$323</definedName>
    <definedName name="input_cluster_az1_host6_mgmt_ip">'Deploy Cluster'!$D$34</definedName>
    <definedName name="mgmt_cl01_az1_uplink01_pg">'Value Reference Tables - MR'!$F$116</definedName>
    <definedName name="mgmt_nsxt_en_admin_password">'Value Reference Tables'!$C$232</definedName>
    <definedName name="wld_az1_rack6_host9_fqdn">'Value Reference Tables - MR'!$X$229</definedName>
    <definedName name="sample_wld_az1_rack2_secondary_storage_gateway_ip">'Dumping Ground'!$C$512</definedName>
    <definedName name="wld_az2_vmotion_mtu">'Value Reference Tables - MR'!$I$355</definedName>
    <definedName name="input_cluster_nfs_server_address">'Deploy Cluster'!$D$136</definedName>
    <definedName name="sample_wld_az1_rack2_host_overlay_pool_end_ip">'Additional Racks'!$C$97</definedName>
    <definedName name="sample_wld_az1_rack3_tor2_peer_bgp_password">Arkham!$E$79</definedName>
    <definedName name="sample_wld_az1_rack8_host_overlay_uplink_profile_name">'Additional Racks'!$C$639</definedName>
    <definedName name="sample_wld_az1_rack8_edge_overlay_mask">Arkham!$T$67</definedName>
    <definedName name="input_wld_bf_nsxt_mgra_fqdn">'Deploy Workload Domain'!$D$41</definedName>
    <definedName name="wld_rack4_en_asn">'Value Reference Tables - MR'!$R$100</definedName>
    <definedName name="sample_wld_az1_rack5_edge_overlay_gateway_ip">Arkham!$K$64</definedName>
    <definedName name="wld_az1_rack4_tor1_peer_ip">'Value Reference Tables - MR'!$R$101</definedName>
    <definedName name="wld_az1_en1_edge_overlay_interface_ip_1_ip">'Value Reference Tables - MR'!$I$261</definedName>
    <definedName name="sample_wld_az1_rack6_vmotion_cidr">Arkham!$B$36</definedName>
    <definedName name="sample_mgmt_az1_host8_vrms_ip">'Site Protection &amp; DR'!$C$183</definedName>
    <definedName name="input_cluster_az2_host_overlay_vlan">'Deploy Cluster'!$D$409</definedName>
    <definedName name="wld_az1_rack6_host_hostnames">'Value Reference Tables - MR'!$X$202:$X$217</definedName>
    <definedName name="sizing_vm_cpu_requirements">'Management Domain Sizing'!$K$28</definedName>
    <definedName name="input_wld_az1_rack8_principal_storage_pool_end_ip">'Additional Racks'!$D$608</definedName>
    <definedName name="parent_ad_users_ou">'Value Reference Tables'!$L$87</definedName>
    <definedName name="wld_az1_rack2_mgmt_vm_mtu">'Value Reference Tables - MR'!$L$69</definedName>
    <definedName name="wld_rwr_recoverysite_prefix">'Value Reference Tables'!$U$205</definedName>
    <definedName name="input_flt_logs_cert_country_code">'Deploy Fleet Management Day-N'!$D$220</definedName>
    <definedName name="wld_cl01_az1_vmotion_uplink2_chosen">'Deploy Workload Domain'!$D$285</definedName>
    <definedName name="sample_wld_az1_host2_mgmt_ip">'Deploy Workload Domain'!$C$64</definedName>
    <definedName name="flt_net_console_password">'Value Reference Tables'!$L$276</definedName>
    <definedName name="sample_mgmt_az1_en1_mgmt_cidr">'Configure Management Domain'!$C$107</definedName>
    <definedName name="sample_xreg_vra_nodee_ip">Arkham!$P$8</definedName>
    <definedName name="input_wld_nsxt_mgra_ip">'Deploy Workload Domain'!$D$176</definedName>
    <definedName name="wld_az1_rack3_mgmt_pg">'Value Reference Tables - MR'!$O$111</definedName>
    <definedName name="input_wld_az2_host_overlay_cidr">'Configure Workload Domain'!$D$325</definedName>
    <definedName name="wld_witness_dns1_ip">'Value Reference Tables'!$F$123</definedName>
    <definedName name="input_wld_az1_rack4_tor2_peer_bgp_password">Arkham!$I$79</definedName>
    <definedName name="sizing_w10_nsxt_model">'Management Domain Sizing'!$H$45</definedName>
    <definedName name="sample_parent_gg_wsa_directory_admins_group">'Active Directory Inputs'!$D$60</definedName>
    <definedName name="sample_wld_az2_host6_mgmt_ip">'Configure Workload Domain'!$C$179</definedName>
    <definedName name="sample_wld_az1_rack3_vmotion_cidr">Arkham!$B$24</definedName>
    <definedName name="input_flt_logs_admin_password_alias">'Deploy Fleet Management Day-N'!$D$250</definedName>
    <definedName name="sample_xreg_vrops_nodeb_ip">'Deploy Management Domain'!$K$309</definedName>
    <definedName name="sample_cbr_aria_logs_url">'Cloud-Based Ransomware Recovery'!$C$38</definedName>
    <definedName name="wld_az1_rack2_host12_mgmt_ip">'Value Reference Tables - MR'!$L$194</definedName>
    <definedName name="mgmt_az2_host2_hostname">'Value Reference Tables - MR'!$F$451</definedName>
    <definedName name="mgmt_cl01_az2_vsan_pg">'Value Reference Tables - MR'!$F$375</definedName>
    <definedName name="wld_az1_rack2_host12_fqdn">'Value Reference Tables - MR'!$L$232</definedName>
    <definedName name="sample_mgmt_srm_recovery_vcenter_username">'Site Protection &amp; DR'!$C$218</definedName>
    <definedName name="asn_start">'Value Reference Tables - MR'!$AH$17</definedName>
    <definedName name="sizing_w09_nsxt_appliance_size">'Management Domain Sizing'!$I$44</definedName>
    <definedName name="input_mgmt_az2_host15_fqdn">'Configure Management Domain'!$D$293</definedName>
    <definedName name="input_mgmt_az2_host12_mgmt_ip">'Configure Management Domain'!$D$241</definedName>
    <definedName name="flt_custom_network_x_reg_gateway_ip">'Value Reference Tables'!$L$324</definedName>
    <definedName name="input_ccm_aws_host_count">'Cross Cloud Mobility'!$D$23</definedName>
    <definedName name="input_wld_az1_rack3_host7_fqdn">'Additional Racks'!$D$153</definedName>
    <definedName name="sample_flt_net_nodeb_fqdn">'Deploy Fleet Management Day-N'!$C$303</definedName>
    <definedName name="sample_mgmt_az1_tor1_peer_bgp_password">'Configure Management Domain'!$C$164</definedName>
    <definedName name="input_wld_az1_rack5_mgmt_cidr">'Additional Racks'!$D$290</definedName>
    <definedName name="sample_wld_az1_rack7_host15_fqdn">'Additional Racks'!$C$533</definedName>
    <definedName name="sample_wld_az1_rack7_host8_mgmt_ip">'Additional Racks'!$C$486</definedName>
    <definedName name="parent_dns_zone">'Value Reference Tables'!$L$66</definedName>
    <definedName name="input_ccm_aws_admin_password">'Cross Cloud Mobility'!$D$37</definedName>
    <definedName name="wld_az2_principal_storage_network">'Value Reference Tables - MR'!$I$311</definedName>
    <definedName name="wld_az2_vmotion_vlan">'Value Reference Tables - MR'!$I$280</definedName>
    <definedName name="sample_gg_vrslcm_admins_group">'Active Directory Inputs'!$D$54</definedName>
    <definedName name="mgmt_nsxt_appliance_size_chosen">'Deploy Management Domain'!$L$103</definedName>
    <definedName name="wld_az1_rack2_host12_hostname">'Value Reference Tables - MR'!$L$213</definedName>
    <definedName name="sample_wld_az1_rack8_host1_mgmt_ip">'Additional Racks'!$C$572</definedName>
    <definedName name="sample_xreg_vrops_nodeb_fqdn">'Deploy Management Domain'!$K$58</definedName>
    <definedName name="cluster_az1_host6_fqdn">'Value Reference Tables'!$I$76</definedName>
    <definedName name="cluster_az1_secondary_storage_network">'Value Reference Tables'!$I$37</definedName>
    <definedName name="sample_cluster_az2_mgmt_gateway_ip">'Deploy Cluster'!$C$257</definedName>
    <definedName name="sample_mgmt_az1_host7_mgmt_ip">'Deploy Management Domain'!$K$336</definedName>
    <definedName name="sample_wld_nsxt_global_mgr_cluster_id">'Configure Workload Domain'!$C$416</definedName>
    <definedName name="wld_az1_rack4_tor2_peer_bgp_password">'Value Reference Tables - MR'!$R$106</definedName>
    <definedName name="input_wld_az1_rack7_edge_overlay_network_pool_name">'Additional Racks'!$D$547</definedName>
    <definedName name="sample_wld_az2_host5_fqdn">'Configure Workload Domain'!$C$236</definedName>
    <definedName name="sample_wld_vrms_admin_email">'Dumping Ground'!$C$73</definedName>
    <definedName name="input_wld_rwr_vc_fqdn">'On-Premises Ransomware Recovery'!$D$42</definedName>
    <definedName name="sample_gg_vc_read_only_group">'Active Directory Inputs'!$D$68</definedName>
    <definedName name="sample_mgmt_witnessaz_mgmt_gateway_ip">'Configure Management Domain'!$C$306</definedName>
    <definedName name="sample_mgmt_az1_mgmt_vm_prefix">'On-Premises Ransomware Recovery'!$C$24</definedName>
    <definedName name="first_domain_mgmt_only_viable">'Value Reference Tables'!$AA$100</definedName>
    <definedName name="cluster_az1_vmotion_uplink2_chosen">'Deploy Cluster'!$D$213</definedName>
    <definedName name="input_mgmt_srm_recovery_mask">'Site Protection &amp; DR'!$D$383</definedName>
    <definedName name="input_wld_az1_rack5_host1_fqdn">'Additional Racks'!$D$333</definedName>
    <definedName name="input_gg_vrli_users_group">'Active Directory Inputs'!$E$80</definedName>
    <definedName name="wld_az1_rack4_host_overlay_pool_end_ip">'Value Reference Tables - MR'!$R$154</definedName>
    <definedName name="cbr_vcdr_anti_affinity">'Value Reference Tables'!$U$149</definedName>
    <definedName name="sizing_w16_avi_appliance_size">'Management Domain Sizing'!$S$51</definedName>
    <definedName name="input_wld_az2_host2_fqdn">'Configure Workload Domain'!$D$233</definedName>
    <definedName name="sample_mgmt_az1_tor1_peer_asn">'Configure Management Domain'!$C$163</definedName>
    <definedName name="sizing_w24_gm_chosen">'Management Domain Sizing'!$L$59</definedName>
    <definedName name="input_wld_nsxt_global_mgra_ip">'Configure Workload Domain'!$D$371</definedName>
    <definedName name="sample_mgmt_cross_instance_linked_t0_name">'Configure Management Domain'!$C$523</definedName>
    <definedName name="mgmt_az2_host3_sddc_id">'Value Reference Tables'!$C$199</definedName>
    <definedName name="mgmt_az1_host12_mgmt_ip">'Value Reference Tables - MR'!$F$194</definedName>
    <definedName name="sample_region_dns1_ip">'Deploy Management Domain'!$K$44</definedName>
    <definedName name="mgmt_az2_mgmt_cidr">'Value Reference Tables - MR'!$F$293</definedName>
    <definedName name="input_mgmt_cl01_vds02_uplink2">'Deploy Management Domain'!$L$208</definedName>
    <definedName name="wld_az1_rack4_host12_hostname">'Value Reference Tables - MR'!$R$213</definedName>
    <definedName name="sample_cluster_az1_host9_mgmt_ip">'Deploy Cluster'!$C$37</definedName>
    <definedName name="input_wld_az1_rack2_principal_storage_cidr">Arkham!$C$21</definedName>
    <definedName name="mgmt_az2_host13_hostname">'Value Reference Tables - MR'!$F$462</definedName>
    <definedName name="sample_wld_az2_host15_mgmt_ip">'Configure Workload Domain'!$C$188</definedName>
    <definedName name="input_mgmt_az2_host_overlay_cidr">'Configure Management Domain'!$D$367</definedName>
    <definedName name="wld_az1_rack6_reuse_vcf_networkpool_chosen">'Additional Racks'!$D$405</definedName>
    <definedName name="input_wld_az1_rack6_tor2_peer_bgp_password">Arkham!$O$79</definedName>
    <definedName name="wld_az1_host5_hostname">'Value Reference Tables - MR'!$I$222</definedName>
    <definedName name="wld_az1_rack3_host_overlay_gateway_ip">'Value Reference Tables - MR'!$O$89</definedName>
    <definedName name="input_wld_rack2_en_asn">Arkham!$C$73</definedName>
    <definedName name="wld_nsxt_global_mgrc_fqdn">'Value Reference Tables'!$F$51</definedName>
    <definedName name="sample_mgmt_sso_domain_username">'Deploy Management Domain'!$K$96</definedName>
    <definedName name="sample_cluster_witness_dns2_ip">'Deploy Cluster'!$C$364</definedName>
    <definedName name="input_wld_az1_storage_cluster_pool_end_ip">'Deploy Workload Domain'!$D$115</definedName>
    <definedName name="wld_az1_rack6_host5_fqdn">'Value Reference Tables - MR'!$X$225</definedName>
    <definedName name="sample_cluster_az2_principal_storage_mask">'Deploy Cluster'!$C$294</definedName>
    <definedName name="sample_cluster_az1_host_overlay_uplink_profile_name">'Deploy Cluster'!$C$246</definedName>
    <definedName name="sample_wld_az1_rack6_uplink01_mask">Arkham!$N$65</definedName>
    <definedName name="input_mgmt_nsxt_global_mgra_ip">'Configure Management Domain'!$D$410</definedName>
    <definedName name="wld_az1_rack8_edge_overlay_pool_end_ip">'Value Reference Tables - MR'!$AD$160</definedName>
    <definedName name="wld_az2_host14_fqdn">'Value Reference Tables - MR'!$I$490</definedName>
    <definedName name="sizing_cbr_disk">'Static Reference Tables'!$C$238</definedName>
    <definedName name="sample_mgmt_az1_en1_uplink01_interface_cidr">'Configure Management Domain'!$C$159</definedName>
    <definedName name="wld_az1_rack3_tor2_peer_asn">'Value Reference Tables - MR'!$O$105</definedName>
    <definedName name="region_ntp2_server">'Value Reference Tables'!$L$45</definedName>
    <definedName name="wld_cl01_vds02_lacp_timeout_chosen">'Deploy Workload Domain'!$D$256</definedName>
    <definedName name="flt_net_vcenter_fqdn">'Value Reference Tables'!$L$258</definedName>
    <definedName name="wld_vpc_transit_gateway_ip_blocks">'Value Reference Tables'!$O$72</definedName>
    <definedName name="wld_az2_mgmt_vlan">'Value Reference Tables - MR'!$I$279</definedName>
    <definedName name="wld_ec_rp_name">'Value Reference Tables'!$F$153</definedName>
    <definedName name="sample_flt_vidb_base_dn">'Deploy Fleet Management Day-N'!$C$189</definedName>
    <definedName name="input_wld_az1_vrms_mtu">'Dumping Ground'!$D$271</definedName>
    <definedName name="rwr_vrms_pg">'Value Reference Tables'!$U$201</definedName>
    <definedName name="ca_administrator_password">'Value Reference Tables'!$L$31</definedName>
    <definedName name="wld_az2_host9_vrms_ip">'Value Reference Tables - MR'!$I$447</definedName>
    <definedName name="input_svc_cbr_vcdr_vsphere_password">'Cloud-Based Ransomware Recovery'!$D$16</definedName>
    <definedName name="sizing_vcfops_deployment_model_chosen">'Management Domain Sizing'!$E$20</definedName>
    <definedName name="sample_wld_az1_rack8_edge_overlay_pool_start_ip">Arkham!$T$71</definedName>
    <definedName name="cluster_az1_vmotion_mtu">'Value Reference Tables'!$I$18</definedName>
    <definedName name="sample_wld_az1_rack3_host7_mgmt_ip">'Additional Racks'!$C$113</definedName>
    <definedName name="sample_ca_key_size">'Configure Management Domain'!$C$65</definedName>
    <definedName name="sizing_w10_vcenter_storage_size">'Management Domain Sizing'!$F$45</definedName>
    <definedName name="sample_k8s_vcenter_category">'Private AI Ready Infrastructure'!$C$22</definedName>
    <definedName name="sample_mgmt_vrms_hostname">'Dumping Ground'!$D$4</definedName>
    <definedName name="sample_wld_az2_host10_vrms_ip">'Dumping Ground'!$C$319</definedName>
    <definedName name="input_wld_witness_zone_vc_fqdn">'Configure Workload Domain'!$D$265</definedName>
    <definedName name="ccm_hcx_admin_password">'Value Reference Tables'!$U$179</definedName>
    <definedName name="wld_cl01_az1_mgmt_lbt_chosen">'Deploy Workload Domain'!$D$273</definedName>
    <definedName name="input_wld_az1_rack2_edge_overlay_mtu">Arkham!$C$70</definedName>
    <definedName name="sample_mgmt_az2_host11_fqdn">'Configure Management Domain'!$C$289</definedName>
    <definedName name="input_cluster_witnessaz_mask">'Deploy Cluster'!$D$359</definedName>
    <definedName name="sample_wld_az1_rack4_uplink02_network">Arkham!$H$60</definedName>
    <definedName name="sample_wld_az1_storage_cluster_pool_end_ip">'Deploy Workload Domain'!$C$115</definedName>
    <definedName name="flt_custom_network_auto_nodec_ip">'Value Reference Tables'!$L$318</definedName>
    <definedName name="cbr_vcdr_cdp2_ip">'Value Reference Tables'!$U$144</definedName>
    <definedName name="cluster_witness_ntp1_server">'Value Reference Tables'!$I$277</definedName>
    <definedName name="input_mgmt_az2_host4_vrms_ip">'Site Protection &amp; DR'!$D$196</definedName>
    <definedName name="wld_az1_rack6_host16_hostname">'Value Reference Tables - MR'!$X$217</definedName>
    <definedName name="input_wld_az1_rack3_secondary_storage_pool_start_ip">'Dumping Ground'!$D$521</definedName>
    <definedName name="wld_az1_en2_fqdn">'Value Reference Tables'!$F$53</definedName>
    <definedName name="sample_mgmt_az1_edge_overlay_network_pool_name">'Configure Management Domain'!$C$117</definedName>
    <definedName name="cluster_witness_ip">'Value Reference Tables'!$I$273</definedName>
    <definedName name="flt_fc_ip">Arkham!$R$25</definedName>
    <definedName name="table_vcfo_appliance_ram">'Static Reference Tables'!$B$159:$C$161</definedName>
    <definedName name="sample_flt_custom_network_ops_nodea_ip">'Deploy Fleet Management Day-N'!$C$37</definedName>
    <definedName name="sample_wld_az2_secondary_storage_network">'Configure Workload Domain'!$C$215</definedName>
    <definedName name="input_wld_az1_rack5_host1_mgmt_ip">'Additional Racks'!$D$293</definedName>
    <definedName name="vcf_instance_name">'Value Reference Tables'!$C$86</definedName>
    <definedName name="wld_az1_rack5_host3_hostname">'Value Reference Tables - MR'!$U$204</definedName>
    <definedName name="sample_mgmt_az2_host11_mgmt_ip">'Configure Management Domain'!$C$240</definedName>
    <definedName name="input_wld_az1_rack2_vmotion_pool_start_ip">'Additional Racks'!$D$41</definedName>
    <definedName name="sample_mgmt_az2_secondary_storage_mtu">'Configure Management Domain'!$C$269</definedName>
    <definedName name="input_wld_az1_rack6_edge_overlay_network">Arkham!$O$61</definedName>
    <definedName name="input_wld_az1_host12_vrms_ip">'Dumping Ground'!$D$304</definedName>
    <definedName name="wld_az1_rack2_host14_mgmt_ip">'Value Reference Tables - MR'!$L$196</definedName>
    <definedName name="input_wld_az2_host_overlay_network_profile_name">'Configure Workload Domain'!$D$319</definedName>
    <definedName name="input_cluster_az2_tor1_peer_asn">'Deploy Cluster'!$D$432</definedName>
    <definedName name="input_wld_az1_host15_fqdn">'Deploy Workload Domain'!$D$134</definedName>
    <definedName name="cluster_vmfs_datastore_name">'Value Reference Tables'!$I$101</definedName>
    <definedName name="wld_az1_rack3_vmotion_cidr">'Value Reference Tables - MR'!$O$25</definedName>
    <definedName name="input_wld_az1_rack8_uplink02_mtu">Arkham!$U$69</definedName>
    <definedName name="input_wld_az2_mgmt_gateway_ip">'Configure Workload Domain'!$D$170</definedName>
    <definedName name="wld_cl01_vds03_mtu">'Value Reference Tables'!$F$87</definedName>
    <definedName name="sample_nsxt_lm_audit_password">'Deploy Management Domain'!$K$110</definedName>
    <definedName name="wld_az2_host5_hostname">'Value Reference Tables - MR'!$I$462</definedName>
    <definedName name="sample_wld_az1_vmotion_vlan">'Deploy Workload Domain'!$C$85</definedName>
    <definedName name="smtp_server_port">'Value Reference Tables'!$L$62</definedName>
    <definedName name="sample_vcf_automation_mask">'Deploy Fleet Management Day-N'!$C$94</definedName>
    <definedName name="input_mgmt_srm_recovery_sddc_manager_username">'Dumping Ground'!$D$18</definedName>
    <definedName name="k8s_api_endpoint_fqdn">'Value Reference Tables'!$U$36</definedName>
    <definedName name="input_wld_az1_rack8_pool_name">'Additional Racks'!$D$592</definedName>
    <definedName name="input_mgmt_az2_tor2_peer_ip">'Configure Management Domain'!$D$389</definedName>
    <definedName name="wld_az1_rack2_secondary_storage_pool_start_ip">'Value Reference Tables - MR'!$L$155</definedName>
    <definedName name="cluster_az2_host11_mgmt_ip">'Value Reference Tables'!$I$215</definedName>
    <definedName name="mgmt_cl01_az1_uplink02_pg">'Value Reference Tables - MR'!$F$117</definedName>
    <definedName name="input_mgmt_az2_host_overlay_pool_start_ip">'Configure Management Domain'!$D$369</definedName>
    <definedName name="cbr_chosen">'Management Domain Sizing'!$B$65</definedName>
    <definedName name="input_wld_az1_rack3_secondary_storage_pool_end_ip">'Dumping Ground'!$D$522</definedName>
    <definedName name="sample_wld_az1_rack4_host6_mgmt_ip">'Additional Racks'!$C$205</definedName>
    <definedName name="sample_mgmt_az1_host10_fqdn">'Deploy Management Domain'!$K$137</definedName>
    <definedName name="sample_wld_az1_rack2_secondary_storage_pool_start_ip">'Dumping Ground'!$C$513</definedName>
    <definedName name="mgmt_az1_rtep_overlay_cidr">'Value Reference Tables - MR'!$F$33</definedName>
    <definedName name="wld_az1_rack4_uplink01_cidr">'Value Reference Tables - MR'!$R$30</definedName>
    <definedName name="flt_custom_network_vcf_ops_automation_chosen">'Deploy Fleet Management Day-N'!$B$8</definedName>
    <definedName name="sizing_w02_chosen">'Management Domain Sizing'!$C$37</definedName>
    <definedName name="wld_ec_name">'Value Reference Tables'!$O$67</definedName>
    <definedName name="sample_wld_az1_rack4_secondary_storage_network">'Dumping Ground'!$C$526</definedName>
    <definedName name="dri_vcenter_fqdn">'Value Reference Tables'!$U$9</definedName>
    <definedName name="user_svc_vrops_vra">'Value Reference Tables'!$L$100</definedName>
    <definedName name="wld_az1_rack3_host3_hostname">'Value Reference Tables - MR'!$O$204</definedName>
    <definedName name="sample_wld_az1_rack3_host11_mgmt_ip">'Additional Racks'!$C$117</definedName>
    <definedName name="input_wld_cl01_az1_vsan_storage_client_pg">'Deploy Workload Domain'!$D$292</definedName>
    <definedName name="xreg_vra_admin_password">'Value Reference Tables'!$C$225</definedName>
    <definedName name="sample_wld_az1_rack7_host_overlay_mask">'Additional Racks'!$C$559</definedName>
    <definedName name="wld_az1_rack2_host5_mgmt_ip">'Value Reference Tables - MR'!$L$187</definedName>
    <definedName name="input_wld_az1_rack4_vmotion_cidr">Arkham!$C$28</definedName>
    <definedName name="wld_az1_rack7_host_overlay_network">'Value Reference Tables - MR'!$AA$42</definedName>
    <definedName name="wld_az2_host5_vrms_ip">'Value Reference Tables - MR'!$I$443</definedName>
    <definedName name="wld_az1_rack5_vmotion_network">'Value Reference Tables - MR'!$U$40</definedName>
    <definedName name="input_vcf_automation_admin_password_description">'Deploy Fleet Management Day-N'!$D$98</definedName>
    <definedName name="cluster_vds02_uplink_count">'Value Reference Tables'!$I$116</definedName>
    <definedName name="wld_az1_rack5_rtep_overlay_cidr">'Value Reference Tables - MR'!$U$33</definedName>
    <definedName name="input_wld_az1_rack4_host_overlay_cidr">Arkham!$C$31</definedName>
    <definedName name="input_wld_az1_rack2_host11_fqdn">'Additional Racks'!$D$64</definedName>
    <definedName name="sample_cluster_vds01_name">'Deploy Cluster'!$C$167</definedName>
    <definedName name="sample_wld_az1_rack5_host8_mgmt_ip">'Additional Racks'!$C$300</definedName>
    <definedName name="wld_srm_fqdn">'Value Reference Tables'!$R$130</definedName>
    <definedName name="sizing_w05_chosen">'Management Domain Sizing'!$C$40</definedName>
    <definedName name="xreg_vrops_nodeb_ip">'Value Reference Tables'!$R$79</definedName>
    <definedName name="input_wld_az2_host_overlay_vlan">'Configure Workload Domain'!$D$323</definedName>
    <definedName name="wld_az1_rack2_secondary_storage_gateway_ip">'Value Reference Tables - MR'!$L$90</definedName>
    <definedName name="cbr_vcdr_email_recipient">'Value Reference Tables'!$U$150</definedName>
    <definedName name="sample_wld_az1_rack7_principal_storage_pool_end_ip">'Additional Racks'!$C$515</definedName>
    <definedName name="input_mgmt_offline_depot_port">'Deploy Management Domain'!$L$11</definedName>
    <definedName name="wld_az1_rack8_en1_uplink02_interface_ip">'Value Reference Tables - MR'!$AD$243</definedName>
    <definedName name="wld_az1_uplink01_gateway_ip">'Value Reference Tables - MR'!$I$92</definedName>
    <definedName name="sizing_w10_spr_chosen">'Management Domain Sizing'!$P$45</definedName>
    <definedName name="wld_az1_rack7_tor1_peer_ip">'Value Reference Tables - MR'!$AA$101</definedName>
    <definedName name="wld_az1_rack4_host3_fqdn">'Value Reference Tables - MR'!$R$223</definedName>
    <definedName name="input_cluster_az1_vmotion_mtu">'Deploy Cluster'!$D$51</definedName>
    <definedName name="wld_vrms_pg">'Value Reference Tables'!$U$108</definedName>
    <definedName name="input_vvs_dr_dns2_ip">'Site Protection &amp; DR'!$D$70</definedName>
    <definedName name="flt_vidb_result">'Deploy Fleet Management Day-N'!$D$9</definedName>
    <definedName name="group_gg_vrli_viewers">'Value Reference Tables'!$L$144</definedName>
    <definedName name="sample_mgmt_az1_mgmt_cidr">'Deploy Management Domain'!$K$150</definedName>
    <definedName name="flt_logs_cert_organisation">'Value Reference Tables'!$L$185</definedName>
    <definedName name="wld_az1_rack8_en2_fqdn">'Value Reference Tables - MR'!$AD$250</definedName>
    <definedName name="input_cluster_vds01_pnics">'Deploy Cluster'!$D$175</definedName>
    <definedName name="wld_az1_rack6_uplink01_vlan">'Value Reference Tables - MR'!$X$15</definedName>
    <definedName name="sample_cbr_recovery_subnet">'Cloud-Based Ransomware Recovery'!$C$23</definedName>
    <definedName name="sample_cbr_aria_logs_key">'Cloud-Based Ransomware Recovery'!$C$39</definedName>
    <definedName name="sample_cluster_az1_mgmt_vlan">'Deploy Cluster'!$C$24</definedName>
    <definedName name="input_flt_logs_admin_username">'Deploy Fleet Management Day-N'!$D$253</definedName>
    <definedName name="sample_wld_az1_edge_overlay_vlan">'Workload Domain As Built'!$C$25</definedName>
    <definedName name="sample_mgmt_az1_secondary_storage_gateway_ip">'Deploy Management Domain'!$K$174</definedName>
    <definedName name="input_sddc_mgr_ip">'Deploy Management Domain'!$L$322</definedName>
    <definedName name="mgmt_az1_host14_vrms_ip">'Value Reference Tables - MR'!$F$212</definedName>
    <definedName name="wld_cl01_az1_mgmt_pg">'Value Reference Tables - MR'!$I$111</definedName>
    <definedName name="cluster_vds01_lag_lbt_chosen">'Deploy Cluster'!$D$172</definedName>
    <definedName name="sample_wld_az1_rack8_host_overlay_network_profile_name">'Additional Racks'!$C$636</definedName>
    <definedName name="table_masks">'Static Reference Tables'!$C$269:$C$292</definedName>
    <definedName name="sample_mgmt_az2_host4_mgmt_ip">'Configure Management Domain'!$C$233</definedName>
    <definedName name="input_wld_az1_rack8_vmotion_mtu">'Additional Racks'!$D$595</definedName>
    <definedName name="sample_wld_rwr_recovery_site_nsx_ec_t1_name">'On-Premises Ransomware Recovery'!$C$125</definedName>
    <definedName name="sample_wld_az1_rack8_uplink02_gateway_ip">Arkham!$T$63</definedName>
    <definedName name="input_wld_az1_rack8_host5_fqdn">'Additional Racks'!$D$616</definedName>
    <definedName name="input_wld_az2_storage_cluster_gateway_ip">'Configure Workload Domain'!$D$225</definedName>
    <definedName name="sizing_w13_nsxt_gm_appliance_size">'Management Domain Sizing'!$M$48</definedName>
    <definedName name="sample_wld_az1_rack8_host14_mgmt_ip">'Additional Racks'!$C$585</definedName>
    <definedName name="wld_az1_rack3_host13_mgmt_ip">'Value Reference Tables - MR'!$O$195</definedName>
    <definedName name="sample_wld_az1_rack2_secondary_storage_mask">'Dumping Ground'!$C$511</definedName>
    <definedName name="wld_az1_rack5_host16_hostname">'Value Reference Tables - MR'!$U$217</definedName>
    <definedName name="sample_cluster_az1_nsx_uplink1_active">'Deploy Cluster'!$C$248</definedName>
    <definedName name="smtp_server">'Value Reference Tables'!$L$61</definedName>
    <definedName name="input_mgmt_nsxt_global_mgrc_ip">'Configure Management Domain'!$D$444</definedName>
    <definedName name="sizing_w09_ssp_chosen">'Management Domain Sizing'!$V$44</definedName>
    <definedName name="mgmt_az1_vrms_vlan">'Value Reference Tables - MR'!$F$19</definedName>
    <definedName name="input_mgmt_witness_vsan_datastore">'Configure Management Domain'!$D$315</definedName>
    <definedName name="wld_az1_rack6_uplink02_gateway_ip">'Value Reference Tables - MR'!$X$93</definedName>
    <definedName name="sample_cluster_vc_fqdn">'Deploy Cluster'!$C$369</definedName>
    <definedName name="input_wld_az1_rack5_secondary_storage_mask">'Dumping Ground'!$D$535</definedName>
    <definedName name="input_wld_az1_rack7_uplink02_mtu">Arkham!$R$72</definedName>
    <definedName name="mgmt_cl01_az1_mgmt_vm_uplink2_chosen">'Deploy Management Domain'!$L$229</definedName>
    <definedName name="wld_az1_host_overlay_uplink_profile_name">'Value Reference Tables - MR'!$I$171</definedName>
    <definedName name="input_mgmt_az1_host2_mgmt_ip">'Deploy Management Domain'!$L$331</definedName>
    <definedName name="input_wld_az1_rack3_uplink01_mask">Arkham!$F$65</definedName>
    <definedName name="sizing_w16_nsxt_appliance_size">'Management Domain Sizing'!$I$51</definedName>
    <definedName name="prefix_wld_az2_rack_cidr">'Value Reference Tables - MR'!$AH$10</definedName>
    <definedName name="sample_mgmt_az1_host12_fqdn">'Deploy Management Domain'!$K$139</definedName>
    <definedName name="wld_az1_rack6_secondary_storage_mtu">'Value Reference Tables - MR'!$X$74</definedName>
    <definedName name="sample_wld_az1_rack3_tor1_peer_asn">Arkham!$E$75</definedName>
    <definedName name="vcf_granular_option_chosen">'VCF &amp; VVF Planning'!$J$19</definedName>
    <definedName name="sample_mgmt_az2_host1_mgmt_ip">'Configure Management Domain'!$C$230</definedName>
    <definedName name="wld_az1_rack5_tor1_peer_asn">'Value Reference Tables - MR'!$U$102</definedName>
    <definedName name="sample_mgmt_az1_en2_edge_overlay_interface_ip_2_ip">'Configure Management Domain'!$C$145</definedName>
    <definedName name="input_wld_az1_host2_vrms_ip">'Dumping Ground'!$D$294</definedName>
    <definedName name="input_wld_az1_rack8_host8_fqdn">'Additional Racks'!$D$619</definedName>
    <definedName name="sample_wld_az1_rack3_rtep_ip_pool_name">'Additional Racks'!$C$176</definedName>
    <definedName name="sample_wld_az1_rack5_host15_mgmt_ip">'Additional Racks'!$C$307</definedName>
    <definedName name="wld_az1_rack8_host12_fqdn">'Value Reference Tables - MR'!$AD$232</definedName>
    <definedName name="input_wld_cl01_az1_principal_storage_pg">'Deploy Workload Domain'!$D$287</definedName>
    <definedName name="sample_wld_az1_rack8_mgmt_vm_vlan">'Value Reference Tables - MR'!$K$265</definedName>
    <definedName name="wld_nsxt_federation_global_manager_name">'Value Reference Tables'!$O$80</definedName>
    <definedName name="sample_mgmt_srm_ip">'Dumping Ground'!$F$6</definedName>
    <definedName name="wld_az1_rack4_host_overlay_network">'Value Reference Tables - MR'!$R$42</definedName>
    <definedName name="sample_cluster_host_overlay_transportzone">'Deploy Cluster'!$C$230</definedName>
    <definedName name="input_mgmt_az2_host13_fqdn">'Configure Management Domain'!$D$291</definedName>
    <definedName name="wld_az1_rack6_host_overlay_uplink_profile_name">'Value Reference Tables - MR'!$X$171</definedName>
    <definedName name="input_mgmt_az2_host4_fqdn">'Configure Management Domain'!$D$282</definedName>
    <definedName name="input_wld_az1_rack5_principal_storage_mtu">'Additional Racks'!$D$324</definedName>
    <definedName name="sample_xreg_vra_prefix">'Deploy Management Domain'!$K$84</definedName>
    <definedName name="input_wld_az1_rack3_host_overlay_cidr">Arkham!$C$27</definedName>
    <definedName name="input_wld_az1_rack6_host10_mgmt_ip">'Additional Racks'!$D$395</definedName>
    <definedName name="wld_vrms_recovery_replication_cidr">'Value Reference Tables'!$U$121</definedName>
    <definedName name="sample_mgmt_az2_host_overlay_cidr">'Configure Management Domain'!$C$367</definedName>
    <definedName name="input_wld_az1_pool_name">'Deploy Workload Domain'!$D$83</definedName>
    <definedName name="input_mgmt_srm_recovery_t1_si_ip">'Dumping Ground'!$G$7</definedName>
    <definedName name="cluster_az2_host6_fqdn">'Value Reference Tables'!$I$297</definedName>
    <definedName name="sizing_w04_spr_chosen">'Management Domain Sizing'!$P$39</definedName>
    <definedName name="wld_witness_hostname">'Value Reference Tables'!$F$107</definedName>
    <definedName name="input_xreg_vrops_vrms_sso_username">'Site Protection &amp; DR'!$D$478</definedName>
    <definedName name="sample_flt_net_nodec_fqdn">'Deploy Fleet Management Day-N'!$C$304</definedName>
    <definedName name="input_cbr_aria_logs_url">'Cloud-Based Ransomware Recovery'!$D$38</definedName>
    <definedName name="wld_az1_rack5_principal_storage_pool_end_ip">'Value Reference Tables - MR'!$U$152</definedName>
    <definedName name="vcf_installer_hostname">'Value Reference Tables'!$C$37</definedName>
    <definedName name="input_wld_az2_host11_mgmt_ip">'Configure Workload Domain'!$D$184</definedName>
    <definedName name="mgmt_domain_existing_vcf_operations_chosen">'Deploy Management Domain'!$L$30</definedName>
    <definedName name="cluster_multi_rack_count_chosen">'Deploy Cluster'!$B$10</definedName>
    <definedName name="flt_vidb_size_chosen">'Deploy Fleet Management Day-N'!$D$125</definedName>
    <definedName name="group_gg_kub_readonly">'Value Reference Tables'!$L$132</definedName>
    <definedName name="wld_az1_rack6_uplink02_mask">'Value Reference Tables - MR'!$X$61</definedName>
    <definedName name="flt_vidb_primary_domain_controller_port">'Value Reference Tables'!$C$173</definedName>
    <definedName name="sizing_inv_platform_node_ram">'Static Reference Tables'!$C$203</definedName>
    <definedName name="wld_az2_host6_vrms_ip">'Value Reference Tables - MR'!$I$444</definedName>
    <definedName name="mgmt_az1_host1_fqdn">'Value Reference Tables - MR'!$F$237</definedName>
    <definedName name="sample_mgmt_az1_uplink02_vlan">'Configure Management Domain'!$C$165</definedName>
    <definedName name="prefix_wld_stretched_cidr">'Value Reference Tables'!$AA$79</definedName>
    <definedName name="input_vvs_dr_flt_logs_nodec_fqdn">'Site Protection &amp; DR'!$D$37</definedName>
    <definedName name="sample_wld_srm_hostname">'Dumping Ground'!$D$12</definedName>
    <definedName name="wld_az1_host_overlay_network_pool_description">'Value Reference Tables - MR'!$I$168</definedName>
    <definedName name="sample_wld_bf_nsxt_vip_fqdn">'Deploy Workload Domain'!$C$44</definedName>
    <definedName name="sample_mgmt_cl01_az1_mgmt_vm_pg">'Deploy Management Domain'!$K$226</definedName>
    <definedName name="input_vcf_automation_resource_pool">'Deploy Fleet Management Day-N'!$D$84</definedName>
    <definedName name="mgmt_az1_host2_mgmt_ip">'Value Reference Tables - MR'!$F$184</definedName>
    <definedName name="mgmt_cl01_vds01_lacp_timeout_chosen">'Deploy Management Domain'!$L$194</definedName>
    <definedName name="input_flt_logs_admin_email">'Deploy Fleet Management Day-N'!$D$266</definedName>
    <definedName name="wld_az1_rack2_principal_storage_cidr">'Value Reference Tables - MR'!$L$26</definedName>
    <definedName name="asn_wld_az2">'Value Reference Tables - MR'!$AH$22</definedName>
    <definedName name="wld_az1_rack4_vmotion_cidr">'Value Reference Tables - MR'!$R$25</definedName>
    <definedName name="mgmt_az2_vsan_pool_start_ip">'Value Reference Tables - MR'!$F$387</definedName>
    <definedName name="input_wld_az1_rack7_uplink01_gateway_ip">Arkham!$R$65</definedName>
    <definedName name="input_vcf_automation_cert_common_name">'Deploy Fleet Management Day-N'!$D$70</definedName>
    <definedName name="wld_az1_rack4_mgmt_gateway_ip">'Value Reference Tables - MR'!$R$86</definedName>
    <definedName name="wld_az1_rack8_host4_hostname">'Value Reference Tables - MR'!$AD$205</definedName>
    <definedName name="wld_az1_rack8_rtep_ip_pool_name">'Value Reference Tables - MR'!$AD$173</definedName>
    <definedName name="flt_custom_network_ops_nodea_fqdn">'Value Reference Tables'!$L$298</definedName>
    <definedName name="vvs_dr_flt_ops_nodec_fqdn">'Value Reference Tables'!$O$100</definedName>
    <definedName name="input_wld_nsxt_vip_ip">'Deploy Workload Domain'!$D$182</definedName>
    <definedName name="cluster_az1_nsx_uplink1">'Value Reference Tables'!$I$169</definedName>
    <definedName name="wld_az1_rack4_secondary_storage_pool_end_ip">'Value Reference Tables - MR'!$R$156</definedName>
    <definedName name="input_wld_az1_rack5_mgmt_gateway_ip">'Additional Racks'!$D$289</definedName>
    <definedName name="group_gg_kub_admins">'Value Reference Tables'!$L$131</definedName>
    <definedName name="mgmt_witnessaz_mgmt_mtu">'Value Reference Tables'!$X$48</definedName>
    <definedName name="wld_az1_rack4_host16_fqdn">'Value Reference Tables - MR'!$R$236</definedName>
    <definedName name="cluster_witness_cluster">'Value Reference Tables'!$I$266</definedName>
    <definedName name="sample_flt_vidb_resource_pool">'Deploy Fleet Management Day-N'!$C$144</definedName>
    <definedName name="input_wld_cl01_nfs_server_address">'Deploy Workload Domain'!$D$208</definedName>
    <definedName name="wld_az1_rack5_host11_mgmt_ip">'Value Reference Tables - MR'!$U$193</definedName>
    <definedName name="wld_az1_rack4_host1_fqdn">'Value Reference Tables - MR'!$R$221</definedName>
    <definedName name="input_mgmt_az1_vsan_pool_end_ip">'Deploy Management Domain'!$L$171</definedName>
    <definedName name="wld_az1_rack4_en2_fqdn">'Value Reference Tables - MR'!$R$250</definedName>
    <definedName name="mgmt_az1_secondary_storage_cidr">'Value Reference Tables - MR'!$F$28</definedName>
    <definedName name="input_wld_az1_rack4_vmotion_mtu">'Additional Racks'!$D$223</definedName>
    <definedName name="input_mgmt_internet_proxy_address">'Deploy Management Domain'!$L$15</definedName>
    <definedName name="sample_wld_az1_rack6_vmotion_network">'Additional Racks'!$C$410</definedName>
    <definedName name="flt_vidb_nodea_ip">'Value Reference Tables'!$C$30</definedName>
    <definedName name="mgmt_az2_host4_hostname">'Value Reference Tables - MR'!$F$453</definedName>
    <definedName name="mgmt_az2_mgmt_vm_mtu">'Value Reference Tables - MR'!$F$348</definedName>
    <definedName name="sample_mgmt_az1_uplink01_gateway_ip">'Configure Management Domain'!$C$194</definedName>
    <definedName name="input_wld_az1_rack6_host_overlay_gateway_ip">'Additional Racks'!$D$467</definedName>
    <definedName name="mgmt_az2_host4_sddc_id">'Value Reference Tables'!$C$200</definedName>
    <definedName name="wld_az1_en1_mgmt_cidr">'Value Reference Tables - MR'!$I$258</definedName>
    <definedName name="ccm_hcx_nsx_svc_password">'Value Reference Tables'!$U$164</definedName>
    <definedName name="sample_wld_az1_rack4_edge_overlay_network_pool_name">'Additional Racks'!$C$268</definedName>
    <definedName name="input_wld_az1_rack6_uplink02_gateway_ip">Arkham!$O$63</definedName>
    <definedName name="input_wld_az1_rack4_host11_mgmt_ip">'Additional Racks'!$D$210</definedName>
    <definedName name="wld_az1_rack6_en1_hostname">'Value Reference Tables - MR'!$X$239</definedName>
    <definedName name="input_mgmt_az1_host1_mgmt_ip">'Deploy Management Domain'!$L$330</definedName>
    <definedName name="sample_wld_az2_host_overlay_pool_start_ip">'Configure Workload Domain'!$C$327</definedName>
    <definedName name="sample_vcf_automation_gateway_ip">'Deploy Fleet Management Day-N'!$C$93</definedName>
    <definedName name="sample_cluster_az2_host_overlay_gateway_mtu">'Deploy Cluster'!$C$412</definedName>
    <definedName name="input_flt_logs_resource_pool">'Deploy Fleet Management Day-N'!$D$237</definedName>
    <definedName name="input_mgmt_az2_host12_fqdn">'Configure Management Domain'!$D$290</definedName>
    <definedName name="navigation_site_protection_solution_interop">'Site Protection &amp; DR'!$B$367</definedName>
    <definedName name="sample_svc_inv_ad_user">'Active Directory Inputs'!$D$32</definedName>
    <definedName name="sample_wld_srm_vm_folder">'Dumping Ground'!$C$77</definedName>
    <definedName name="sizing_w14_vcenter_appliance_size">'Management Domain Sizing'!$D$49</definedName>
    <definedName name="input_mgmt_az2_vmotion_pool_start_ip">'Configure Management Domain'!$D$257</definedName>
    <definedName name="sample_cluster_az1_host_overlay_cidr">'Deploy Cluster'!$C$236</definedName>
    <definedName name="input_wld_cl01_supervisor_dns">'Deploy Workload Domain'!$D$335</definedName>
    <definedName name="wld_az1_rack4_vmotion_vlan">'Value Reference Tables - MR'!$R$10</definedName>
    <definedName name="mgmt_az1_en2_eth0_uplink0">'Value Reference Tables'!$C$248</definedName>
    <definedName name="cluster_az1_host5_fqdn">'Value Reference Tables'!$I$75</definedName>
    <definedName name="input_mgmt_az1_host2_vrms_ip">'Site Protection &amp; DR'!$D$177</definedName>
    <definedName name="sample_flt_custom_network_auto_nodee_ip">Arkham!$P$11</definedName>
    <definedName name="sample_wld_az1_rack3_mgmt_mtu">'Additional Racks'!$C$105</definedName>
    <definedName name="mgmt_az1_vsan_network">'Value Reference Tables - MR'!$F$41</definedName>
    <definedName name="mgmt_avilb_fqdn">'Value Reference Tables'!$C$66</definedName>
    <definedName name="sample_wld_srm_recovery_vcenter_password">'Dumping Ground'!$C$87</definedName>
    <definedName name="sample_cluster_az1_host1_fqdn">'Deploy Cluster'!$C$84</definedName>
    <definedName name="wld_az1_rack4_host11_fqdn">'Value Reference Tables - MR'!$R$231</definedName>
    <definedName name="input_svc_inv_ad_password">'Active Directory Inputs'!$G$32</definedName>
    <definedName name="sample_wld_witnessaz_mgmt_cidr">'Configure Workload Domain'!$C$259</definedName>
    <definedName name="sample_wld_az1_edge_overlay_network_pool_name">'Configure Workload Domain'!$C$60</definedName>
    <definedName name="xreg_wsa_cert_name">'Value Reference Tables'!$AA$15</definedName>
    <definedName name="wld_az1_rack6_principal_storage_pool_end_ip">'Value Reference Tables - MR'!$X$152</definedName>
    <definedName name="input_xreg_vra_noded_ip">'Deploy Management Domain'!$L$83</definedName>
    <definedName name="input_wld_az1_host5_fqdn">'Deploy Workload Domain'!$D$124</definedName>
    <definedName name="input_sftp_server_passphrase">'Configure Management Domain'!$D$28</definedName>
    <definedName name="input_cbr_vcdr_orchestrator_fqdn">'Cloud-Based Ransomware Recovery'!$D$32</definedName>
    <definedName name="sample_wld_az1_host13_vrms_ip">'Dumping Ground'!$C$305</definedName>
    <definedName name="input_flt_vidb_node_prefix">'Deploy Fleet Management Day-N'!$D$166</definedName>
    <definedName name="sizing_vm_ram_requirements">'Management Domain Sizing'!$L$28</definedName>
    <definedName name="input_wld_az1_rack3_tor1_peer_ip">Arkham!$F$74</definedName>
    <definedName name="sample_gg_vrslcm_release_managers_group">'Active Directory Inputs'!$D$55</definedName>
    <definedName name="prefix_mgmt_tor_asn">'Value Reference Tables'!$AA$72</definedName>
    <definedName name="cluster_az1_host14_mgmt_ip">'Value Reference Tables'!$I$66</definedName>
    <definedName name="wld_az1_rack4_vmotion_pool_start_ip">'Value Reference Tables - MR'!$R$149</definedName>
    <definedName name="wld_az1_host3_hostname">'Value Reference Tables - MR'!$I$220</definedName>
    <definedName name="wld_az1_rack2_host13_mgmt_ip">'Value Reference Tables - MR'!$L$195</definedName>
    <definedName name="sample_mgmt_witness_mgmt_pg">'Configure Management Domain'!$C$316</definedName>
    <definedName name="input_mgmt_internet_proxy_email">'Deploy Management Domain'!$L$18</definedName>
    <definedName name="sample_flt_net_platform_password">'Deploy Fleet Management Day-N'!$C$337</definedName>
    <definedName name="cluster_az1_nsx_uplink2_active">'Value Reference Tables'!$I$174</definedName>
    <definedName name="input_mgmt_az1_secondary_storage_mtu">'Deploy Management Domain'!$L$176</definedName>
    <definedName name="input_cluster_az1_nsx_uplink_count">'Deploy Cluster'!$D$243</definedName>
    <definedName name="sample_wld_az1_rack4_uplink01_mtu">Arkham!$H$68</definedName>
    <definedName name="mgmt_az2_host14_vrms_ip">'Value Reference Tables - MR'!$F$444</definedName>
    <definedName name="wld_az1_principal_storage_gateway_ip">'Value Reference Tables - MR'!$I$88</definedName>
    <definedName name="sample_cluster_az2_storage_cluster_mask">'Deploy Cluster'!$C$310</definedName>
    <definedName name="input_mgmt_srm_net_pg">'Site Protection &amp; DR'!$D$307</definedName>
    <definedName name="wld_az1_rack7_uplink02_mask">'Value Reference Tables - MR'!$AA$61</definedName>
    <definedName name="input_flt_logs_portgroup">'Deploy Fleet Management Day-N'!$D$238</definedName>
    <definedName name="sample_flt_logs_root_password">'Deploy Fleet Management Day-N'!$C$255</definedName>
    <definedName name="input_mgmt_az1_en2_edge_overlay_interface_ip_2_ip">'Configure Management Domain'!$D$145</definedName>
    <definedName name="input_wld_az1_rack4_host12_fqdn">'Additional Racks'!$D$251</definedName>
    <definedName name="wld_az1_host12_fqdn">'Value Reference Tables - MR'!$I$248</definedName>
    <definedName name="input_flt_vidb_primary_domain_controller_port">'Deploy Fleet Management Day-N'!$D$185</definedName>
    <definedName name="wld_az1_rack2_host6_fqdn">'Value Reference Tables - MR'!$L$226</definedName>
    <definedName name="mgmt_az2_tor2_peer_asn">'Value Reference Tables - MR'!$F$367</definedName>
    <definedName name="sample_mgmt_nsxt_federation_location_name">'Configure Management Domain'!$C$512</definedName>
    <definedName name="sample_wld_az2_host13_fqdn">'Configure Workload Domain'!$C$244</definedName>
    <definedName name="input_wld_vrms_vrms_ip">'Dumping Ground'!$G$11</definedName>
    <definedName name="wld_az1_rack6_en2_fqdn">'Value Reference Tables - MR'!$X$250</definedName>
    <definedName name="sample_mgmt_nsx_rp">'Deploy Management Domain'!$K$351</definedName>
    <definedName name="input_wld_az1_rack8_secondary_storage_network">'Dumping Ground'!$D$558</definedName>
    <definedName name="wld_az1_rack3_uplink02_mask">'Value Reference Tables - MR'!$O$61</definedName>
    <definedName name="wld_az1_rack5_uplink02_mask">'Value Reference Tables - MR'!$U$61</definedName>
    <definedName name="wld_az1_rack7_host7_hostname">'Value Reference Tables - MR'!$AA$208</definedName>
    <definedName name="sample_k8s_vcenter_storage_policy">'Private AI Ready Infrastructure'!$C$47</definedName>
    <definedName name="table_cidr_to_mask">'Static Reference Tables'!$B$269:$C$301</definedName>
    <definedName name="mgmt_az1_vmotion_pool_end_ip">'Value Reference Tables - MR'!$F$150</definedName>
    <definedName name="input_wld_az1_rack6_uplink01_mask">Arkham!$O$65</definedName>
    <definedName name="wld_az1_rack6_vmotion_mtu">'Value Reference Tables - MR'!$X$71</definedName>
    <definedName name="input_mgmt_az1_host_overlay_pool_start_ip">'Deploy Management Domain'!$L$258</definedName>
    <definedName name="vvs_dr_flt_logs_nodeb_fqdn">'Value Reference Tables'!$O$102</definedName>
    <definedName name="sample_cluster_az1_host7_fqdn">'Deploy Cluster'!$C$90</definedName>
    <definedName name="sizing_ram_oversubscription">'Management Domain Sizing'!$E$16</definedName>
    <definedName name="sample_cluster_az1_host16_fqdn">'Deploy Cluster'!$C$99</definedName>
    <definedName name="wld_az1_host2_vrms_ip">'Value Reference Tables - MR'!$I$200</definedName>
    <definedName name="sizing_w13_gm_chosen">'Management Domain Sizing'!$L$48</definedName>
    <definedName name="flt_logs_resource_pool">'Value Reference Tables'!$L$200</definedName>
    <definedName name="wld_multi_rack_count_chosen">'Deploy Workload Domain'!$B$12</definedName>
    <definedName name="input_cluster_az2_host_overlay_gateway_mtu">'Deploy Cluster'!$D$412</definedName>
    <definedName name="sample_wld_az1_rack8_host15_mgmt_ip">'Additional Racks'!$C$586</definedName>
    <definedName name="sample_wld_nsxt_lm_fingerprint">'Configure Workload Domain'!$C$491</definedName>
    <definedName name="input_wld_az1_rack2_edge_overlay_mask">Arkham!$C$67</definedName>
    <definedName name="input_wld_az1_rack8_edge_overlay_pool_end_ip">Arkham!$U$72</definedName>
    <definedName name="sample_mgmt_srm_sso_domain_membership">'Dumping Ground'!$C$64</definedName>
    <definedName name="mgmt_az2_vrms_mask">'Value Reference Tables - MR'!$F$330</definedName>
    <definedName name="sizing_vcffm_ram">'Static Reference Tables'!$C$99</definedName>
    <definedName name="sizing_w01_nsxt_appliance_size">'Management Domain Sizing'!$I$36</definedName>
    <definedName name="input_mgmt_az1_host3_fqdn">'Deploy Management Domain'!$L$130</definedName>
    <definedName name="sample_wld_az1_rack6_secondary_storage_mtu">'Dumping Ground'!$C$541</definedName>
    <definedName name="wld_az2_edge_overlay_vlan">'Value Reference Tables - MR'!$I$287</definedName>
    <definedName name="wld_az1_en1_fqdn">'Value Reference Tables'!$F$52</definedName>
    <definedName name="input_cluster_witness_dns1_ip">'Deploy Cluster'!$D$363</definedName>
    <definedName name="input_svc_cbr_vcdr_vsphere_user">'Cloud-Based Ransomware Recovery'!$D$15</definedName>
    <definedName name="wld_az1_rack6_vrms_mtu">'Value Reference Tables - MR'!$X$80</definedName>
    <definedName name="user_svc_vra_vsphere">'Value Reference Tables'!$L$103</definedName>
    <definedName name="cluster_nsx_vlan_transport_zone_chosen">'Deploy Cluster'!$D$228</definedName>
    <definedName name="wld_az1_rack3_host8_mgmt_ip">'Value Reference Tables - MR'!$O$190</definedName>
    <definedName name="cluster_az1_principal_storage_cidr">'Value Reference Tables'!$I$30</definedName>
    <definedName name="cluster_az1_storage_cluster_mtu">'Value Reference Tables'!$I$45</definedName>
    <definedName name="sample_wld_az1_rack3_principal_storage_vlan">'Additional Racks'!$C$137</definedName>
    <definedName name="sample_wld_az2_principal_storage_gateway_ip">'Configure Workload Domain'!$C$209</definedName>
    <definedName name="wld_az1_rack6_host10_fqdn">'Value Reference Tables - MR'!$X$230</definedName>
    <definedName name="sample_wld_az1_host16_vrms_ip">'Dumping Ground'!$C$308</definedName>
    <definedName name="mgmt_az2_host5_fqdn">'Value Reference Tables - MR'!$F$473</definedName>
    <definedName name="input_wld_cl01_az1_mgmt_vm_pg">'Deploy Workload Domain'!$D$277</definedName>
    <definedName name="flt_vidb_nodeb_ip">'Value Reference Tables'!$C$31</definedName>
    <definedName name="input_wld_az1_en2_mgmt_cidr">'Configure Workload Domain'!$D$76</definedName>
    <definedName name="wld_cl01_az1_vsan_storage_client_uplink2_chosen">'Deploy Workload Domain'!$D$295</definedName>
    <definedName name="input_wld_az1_rack2_uplink02_mask">Arkham!$C$66</definedName>
    <definedName name="wld_az1_rack8_vrms_vlan">'Value Reference Tables - MR'!$AD$19</definedName>
    <definedName name="wld_az1_rack3_tor1_peer_asn">'Value Reference Tables - MR'!$O$102</definedName>
    <definedName name="sample_wld_az1_rack8_host8_mgmt_ip">'Additional Racks'!$C$579</definedName>
    <definedName name="input_cluster_az2_host10_mgmt_ip">'Deploy Cluster'!$D$270</definedName>
    <definedName name="wld_witness_vm_folder">'Value Reference Tables'!$F$122</definedName>
    <definedName name="sample_wld_az1_mgmt_vlan">'Deploy Workload Domain'!$C$58</definedName>
    <definedName name="input_xreg_vrops_collector_ip">'Deploy Management Domain'!$L$311</definedName>
    <definedName name="input_wld_az1_rack2_uplink01_vlan">Arkham!$C$56</definedName>
    <definedName name="wld_az1_rack6_uplink02_cidr">'Value Reference Tables - MR'!$X$31</definedName>
    <definedName name="sample_vcf_automation_noded_ip">'Deploy Fleet Management Day-N'!$C$116</definedName>
    <definedName name="mgmt_nsxt_mgra_hostname">'Value Reference Tables'!$C$41</definedName>
    <definedName name="sample_mgmt_srm_instances_per_day">'Site Protection &amp; DR'!$C$254</definedName>
    <definedName name="mgmt_az1_host9_fqdn">'Value Reference Tables - MR'!$F$245</definedName>
    <definedName name="sample_mgmt_az2_host8_fqdn">'Configure Management Domain'!$C$286</definedName>
    <definedName name="input_wld_az1_principal_storage_mtu">'Deploy Workload Domain'!$D$94</definedName>
    <definedName name="sample_mgmt_az1_uplink01_cidr">'Configure Management Domain'!$C$195</definedName>
    <definedName name="cluster_principal_storage_result">'Deploy Cluster'!$D$11</definedName>
    <definedName name="mgmt_az2_reuse_vcf_networkpool_chosen">'Configure Management Domain'!$D$249</definedName>
    <definedName name="wld_az2_principal_storage_mask">'Value Reference Tables - MR'!$I$326</definedName>
    <definedName name="mgmt_az2_host10_fqdn">'Value Reference Tables - MR'!$F$478</definedName>
    <definedName name="sample_cluster_az2_vmotion_gateway_ip">'Deploy Cluster'!$C$287</definedName>
    <definedName name="mgmt_az1_uplink02_mask">'Value Reference Tables - MR'!$F$61</definedName>
    <definedName name="sample_cluster_witnessaz_mgmt_vlan">'Deploy Cluster'!$C$342</definedName>
    <definedName name="input_wld_cl01_supervisor_nsx_project">'Deploy Workload Domain'!$D$331</definedName>
    <definedName name="mgmt_witness_sddc_domain">'Value Reference Tables'!$C$206</definedName>
    <definedName name="input_cluster_witness_ntp2_server">'Deploy Cluster'!$D$366</definedName>
    <definedName name="sizing_w01_nsxt_model">'Management Domain Sizing'!$H$36</definedName>
    <definedName name="input_wld_az1_rack8_principal_storage_mask">'Additional Racks'!$D$605</definedName>
    <definedName name="navigation_nsx_routing_wld_domain">'Configure Workload Domain'!$B$29</definedName>
    <definedName name="wld_az1_rack6_vmotion_pool_start_ip">'Value Reference Tables - MR'!$X$149</definedName>
    <definedName name="sample_wld_az1_rack2_uplink01_mask">Arkham!$B$65</definedName>
    <definedName name="input_region_dns2_ip">'Deploy Management Domain'!$L$45</definedName>
    <definedName name="sample_mgmt_az1_mgmt_vm_mtu">'Deploy Management Domain'!$K$157</definedName>
    <definedName name="input_wld_rtep_overlay_pool_end_ip">'Configure Workload Domain'!$D$468</definedName>
    <definedName name="sample_wld_az1_rack3_uplink02_network">Arkham!$E$60</definedName>
    <definedName name="mgmt_az1_host14_fqdn">'Value Reference Tables - MR'!$F$250</definedName>
    <definedName name="wld_az1_rack4_uplink02_vlan">'Value Reference Tables - MR'!$R$16</definedName>
    <definedName name="wld_az1_rack4_secondary_storage_gateway_ip">'Value Reference Tables - MR'!$R$90</definedName>
    <definedName name="sample_wld_srm_root_password">'Dumping Ground'!$C$78</definedName>
    <definedName name="input_mgmt_srm_root_password">'Dumping Ground'!$D$37</definedName>
    <definedName name="input_wld_az1_rack8_tor1_peer_asn">Arkham!$U$75</definedName>
    <definedName name="input_wld_az1_rack4_uplink01_gateway_ip">Arkham!$I$62</definedName>
    <definedName name="mgmt_nsxt_mgrc_fqdn">'Value Reference Tables'!$C$59</definedName>
    <definedName name="input_wld_az1_rack7_host11_mgmt_ip">'Additional Racks'!$D$489</definedName>
    <definedName name="sample_wld_az1_rack8_principal_storage_vlan">'Additional Racks'!$C$602</definedName>
    <definedName name="input_wld_az1_rack7_host7_fqdn">'Additional Racks'!$D$525</definedName>
    <definedName name="sample_wld_az2_host4_mgmt_ip">'Configure Workload Domain'!$C$177</definedName>
    <definedName name="cluster_az2_storage_cluster_cidr">'Value Reference Tables'!$I$253</definedName>
    <definedName name="input_wld_az2_host16_mgmt_ip">'Configure Workload Domain'!$D$189</definedName>
    <definedName name="input_wld_az1_rack6_vmotion_network">'Additional Racks'!$D$410</definedName>
    <definedName name="input_mgmt_witness_cluster">'Configure Management Domain'!$D$313</definedName>
    <definedName name="mgmt_domain_vcf_operations_ha_mode_chosen">'Deploy Management Domain'!$L$41</definedName>
    <definedName name="input_wld_az1_rack2_secondary_storage_mtu">'Dumping Ground'!$D$509</definedName>
    <definedName name="wld_az1_rack3_host2_mgmt_ip">'Value Reference Tables - MR'!$O$184</definedName>
    <definedName name="sample_svc_iom_vsphere_user">'Active Directory Inputs'!$D$28</definedName>
    <definedName name="input_wld_az1_rack6_host9_fqdn">'Additional Racks'!$D$434</definedName>
    <definedName name="input_wld_az1_rack6_principal_storage_vlan">'Additional Racks'!$D$416</definedName>
    <definedName name="input_wld_az1_rack5_tor1_peer_bgp_password">Arkham!$L$76</definedName>
    <definedName name="sample_region_ad_parent_fqdn">'Value Reference Tables'!$C$9</definedName>
    <definedName name="sample_wld_az1_rack2_host8_mgmt_ip">'Additional Racks'!$C$21</definedName>
    <definedName name="k8s_segment_mask">'Value Reference Tables'!$AA$48</definedName>
    <definedName name="sample_flt_custom_network_ops_nodeb_ip">'Deploy Fleet Management Day-N'!$C$38</definedName>
    <definedName name="wld_cl01_az1_vmotion_lbt_chosen">'Deploy Workload Domain'!$D$283</definedName>
    <definedName name="sample_xreg_vra_virtual_fqdn">'Deploy Management Domain'!$K$78</definedName>
    <definedName name="input_wld_cl01_cluster_sddc_id">'Configure Workload Domain'!$D$332</definedName>
    <definedName name="wld_az1_host6_vrms_ip">'Value Reference Tables - MR'!$I$204</definedName>
    <definedName name="cluster_az2_host12_fqdn">'Value Reference Tables'!$I$303</definedName>
    <definedName name="wld_az1_rack6_mgmt_vm_pg">'Value Reference Tables - MR'!$X$110</definedName>
    <definedName name="wld_nsxt_federation_chosen">'Configure Workload Domain'!$B$15</definedName>
    <definedName name="input_mgmt_az1_uplink02_cidr">'Configure Management Domain'!$D$199</definedName>
    <definedName name="input_wld_az1_rack6_edge_overlay_pool_start_ip">Arkham!$O$71</definedName>
    <definedName name="wld_az1_rack7_host12_mgmt_ip">'Value Reference Tables - MR'!$AA$194</definedName>
    <definedName name="input_wld_az1_rack2_mgmt_vm_vlan">'Value Reference Tables - MR'!$L$259</definedName>
    <definedName name="sample_gg_vrni_auditor_group">'Active Directory Inputs'!$D$91</definedName>
    <definedName name="input_wld_az1_rack3_uplink02_mask">Arkham!$F$66</definedName>
    <definedName name="sizing_mgmt_nsxt_global_appliance_chosen">'Configure Management Domain'!$D$97</definedName>
    <definedName name="cluster_az1_mgmt_pg">'Value Reference Tables'!$I$127</definedName>
    <definedName name="input_cluster_az1_host5_fqdn">'Deploy Cluster'!$D$88</definedName>
    <definedName name="mgmt_az1_en1_eth0_uplink1">'Value Reference Tables'!$C$245</definedName>
    <definedName name="wld_vrms_admin_password">'Value Reference Tables'!$U$105</definedName>
    <definedName name="sizing_w06_vcenter_storage_size">'Management Domain Sizing'!$F$41</definedName>
    <definedName name="input_cluster_az2_host8_fqdn">'Deploy Cluster'!$D$324</definedName>
    <definedName name="input_wld_srm_hostname">'Dumping Ground'!$E$12</definedName>
    <definedName name="sample_cluster_az1_host6_fqdn">'Deploy Cluster'!$C$89</definedName>
    <definedName name="sample_mgmt_az1_uplink02_gateway_ip">'Configure Management Domain'!$C$198</definedName>
    <definedName name="input_mgmt_az1_uplink02_mtu">'Configure Management Domain'!$D$169</definedName>
    <definedName name="sample_wld_az1_host10_mgmt_ip">'Deploy Workload Domain'!$C$72</definedName>
    <definedName name="wld_az1_rack6_host_overlay_pool_end_ip">'Value Reference Tables - MR'!$X$154</definedName>
    <definedName name="wld_cl01_nfs_server_address">'Value Reference Tables'!$F$102</definedName>
    <definedName name="sample_vvs_dr_flt_fleet_manager_fqdn">'Site Protection &amp; DR'!$C$13</definedName>
    <definedName name="sample_gg_vra_service_broker_users_group">'Active Directory Inputs'!$D$99</definedName>
    <definedName name="mgmt_srm_recovery_sddc_manager_domain">'Value Reference Tables'!$U$93</definedName>
    <definedName name="wld_az1_rack5_en1_uplink01_interface_ip">'Value Reference Tables - MR'!$U$242</definedName>
    <definedName name="input_cluster_nfs_datastore_name">'Deploy Cluster'!$D$134</definedName>
    <definedName name="wld_az1_rack8_host_overlay_gateway_ip">'Value Reference Tables - MR'!$AD$89</definedName>
    <definedName name="sample_vvs_dr_ntp1_server">'Site Protection &amp; DR'!$C$23</definedName>
    <definedName name="mgmt_tier1_name">'Value Reference Tables'!$O$18</definedName>
    <definedName name="sizing_w02_vcenter_appliance_size">'Management Domain Sizing'!$D$37</definedName>
    <definedName name="sample_wld_srm_database_password">'Dumping Ground'!$C$80</definedName>
    <definedName name="sample_wld_az1_rack2_secondary_storage_vlan">'Dumping Ground'!$C$508</definedName>
    <definedName name="wld_az1_rack5_tor2_peer_asn">'Value Reference Tables - MR'!$U$105</definedName>
    <definedName name="sample_wld_az1_rack7_host6_mgmt_ip">'Additional Racks'!$C$484</definedName>
    <definedName name="sample_wld_az1_rack6_uplink01_network">Arkham!$N$59</definedName>
    <definedName name="sample_wld_az1_rack7_host5_fqdn">'Additional Racks'!$C$523</definedName>
    <definedName name="input_mgmt_az2_secondary_storage_vlan">'Configure Management Domain'!$D$268</definedName>
    <definedName name="wld_az1_rack2_en1_mgmt_ip">'Value Reference Tables - MR'!$L$241</definedName>
    <definedName name="input_wld_az1_en2_edge_overlay_interface_ip_2_ip">'Configure Workload Domain'!$D$88</definedName>
    <definedName name="sample_flt_custom_network_auto_nodea_ip">'Deploy Fleet Management Day-N'!$C$53</definedName>
    <definedName name="mgmt_az1_host_hostnames">'Value Reference Tables - MR'!$F$218:$F$233</definedName>
    <definedName name="input_wld_az1_rack3_secondary_storage_network">'Dumping Ground'!$D$518</definedName>
    <definedName name="wld_az1_rack7_vmotion_gateway_ip">'Value Reference Tables - MR'!$AA$87</definedName>
    <definedName name="input_wld_az1_rack4_host12_mgmt_ip">'Additional Racks'!$D$211</definedName>
    <definedName name="sample_wld_az1_rack8_host_overlay_mtu">'Additional Racks'!$C$650</definedName>
    <definedName name="k8s_vcenter_storage_policy">'Value Reference Tables'!$U$26</definedName>
    <definedName name="sample_wld_az1_rack7_host_overlay_pool_start_ip">'Additional Racks'!$C$561</definedName>
    <definedName name="wld_az1_rack5_principal_storage_pool_start_ip">'Value Reference Tables - MR'!$U$151</definedName>
    <definedName name="input_xregion_dns1_ip">Arkham!$C$13</definedName>
    <definedName name="wld_az1_host16_hostname">'Value Reference Tables - MR'!$I$233</definedName>
    <definedName name="sample_wld_az2_host13_mgmt_ip">'Configure Workload Domain'!$C$186</definedName>
    <definedName name="input_cluster_az1_host8_fqdn">'Deploy Cluster'!$D$91</definedName>
    <definedName name="input_wld_az1_rack7_principal_storage_network">'Additional Racks'!$D$511</definedName>
    <definedName name="sample_wld_az1_rack7_uplink02_gateway_ip">Arkham!$Q$66</definedName>
    <definedName name="mgmt_nsxt_hostname">'Value Reference Tables'!$C$40</definedName>
    <definedName name="wld_en02_bfd_chosen">'Configure Workload Domain'!$D$119</definedName>
    <definedName name="sample_mgmt_az2_host14_vrms_ip">'Site Protection &amp; DR'!$C$206</definedName>
    <definedName name="mgmt_nsxt_global_mgra_fqdn">'Value Reference Tables'!$C$61</definedName>
    <definedName name="sample_flt_logs_vip_fqdn">'Deploy Fleet Management Day-N'!$C$224</definedName>
    <definedName name="sample_wld_az1_rack6_uplink02_mtu">Arkham!$N$69</definedName>
    <definedName name="input_mgmt_az1_edge_overlay_network_pool_name">'Configure Management Domain'!$D$117</definedName>
    <definedName name="wld_az1_rack8_host9_mgmt_ip">'Value Reference Tables - MR'!$AD$191</definedName>
    <definedName name="sample_wld_az1_rack5_host_overlay_pool_end_ip">'Additional Racks'!$C$376</definedName>
    <definedName name="mgmt_cl01_vds02_link_type_chosen">'Deploy Management Domain'!$L$201</definedName>
    <definedName name="wld_nsxt_global_mgrb_hostname">'Value Reference Tables'!$F$37</definedName>
    <definedName name="input_wld_az1_rack5_host11_fqdn">'Additional Racks'!$D$343</definedName>
    <definedName name="xreg_vrops_admin_password">'Value Reference Tables'!$C$226</definedName>
    <definedName name="sample_wld_az1_en2_eth0_uplink1">'Configure Workload Domain'!$C$81</definedName>
    <definedName name="wld_az2_host2_sddc_id">'Value Reference Tables'!$F$112</definedName>
    <definedName name="sizing_w03_vcenter_storage_size">'Management Domain Sizing'!$F$38</definedName>
    <definedName name="sample_wld_az1_rack8_edge_overlay_mtu">Arkham!$T$70</definedName>
    <definedName name="cluster_vds01_mtu">'Value Reference Tables'!$I$108</definedName>
    <definedName name="wld_az2_storage_cluster_gateway_ip">'Value Reference Tables - MR'!$I$344</definedName>
    <definedName name="mgmt_az1_vmotion_gateway_ip">'Value Reference Tables - MR'!$F$87</definedName>
    <definedName name="input_wld_az2_host2_vrms_ip">'Dumping Ground'!$D$311</definedName>
    <definedName name="wld_az2_rtep_overlay_network">'Value Reference Tables - MR'!$I$318</definedName>
    <definedName name="sizing_w19_ssp_chosen">'Management Domain Sizing'!$V$54</definedName>
    <definedName name="wld_az1_rack5_mgmt_pg">'Value Reference Tables - MR'!$U$111</definedName>
    <definedName name="sample_mgmt_avilb_mgrb_ip">'Configure Management Domain'!$C$214</definedName>
    <definedName name="input_cluster_witnessaz_mgmt_gateway_ip">'Deploy Cluster'!$D$343</definedName>
    <definedName name="sample_wld_az1_rack7_host10_mgmt_ip">'Additional Racks'!$C$488</definedName>
    <definedName name="input_wld_az1_rack6_principal_storage_cidr">Arkham!$C$37</definedName>
    <definedName name="input_mgmt_srm_ip">'Dumping Ground'!$G$6</definedName>
    <definedName name="input_cluster_vds01_mtu">'Deploy Cluster'!$D$168</definedName>
    <definedName name="wld_az2_pool_name">'Value Reference Tables - MR'!$I$406</definedName>
    <definedName name="xreg_vrops_nodea_hostname">'Value Reference Tables'!$R$86</definedName>
    <definedName name="cluster_witness_fqdn">'Value Reference Tables'!$I$281</definedName>
    <definedName name="wld_az1_rack6_secondary_storage_cidr">'Value Reference Tables - MR'!$X$28</definedName>
    <definedName name="sample_flt_net_admin_password_alias">'Deploy Fleet Management Day-N'!$C$328</definedName>
    <definedName name="mgmt_az2_uplink02_mask">'Value Reference Tables - MR'!$F$327</definedName>
    <definedName name="group_gg_sso_admins">'Value Reference Tables'!$L$157</definedName>
    <definedName name="navigation_site_protection_mgmt">'Site Protection &amp; DR'!$B$8</definedName>
    <definedName name="sample_mgmt_srm_vrslcm_wsa_rp">'Dumping Ground'!$C$47</definedName>
    <definedName name="input_wld_az1_rack7_rtep_ip_pool_name">'Additional Racks'!$D$548</definedName>
    <definedName name="sample_wld_az1_rack7_host_hostnames">'Additional Racks'!$C$519:$C$534</definedName>
    <definedName name="sample_mgmt_cl01_az1_nfs_pg">'Deploy Management Domain'!$K$241</definedName>
    <definedName name="input_wld_az1_rack5_host4_fqdn">'Additional Racks'!$D$336</definedName>
    <definedName name="wld_az1_rack2_en1_hostname">'Value Reference Tables - MR'!$L$239</definedName>
    <definedName name="sample_wld_az1_rack8_host12_mgmt_ip">'Additional Racks'!$C$583</definedName>
    <definedName name="cluster_secondary_storage_result">'Deploy Cluster'!$D$12</definedName>
    <definedName name="wld_az1_storage_cluster_cidr">'Value Reference Tables - MR'!$I$29</definedName>
    <definedName name="mgmt_cl01_az2_mgmt_pg">'Value Reference Tables - MR'!$F$373</definedName>
    <definedName name="mgmt_cl01_vds03_uplink2">'Value Reference Tables'!$C$108</definedName>
    <definedName name="input_rwr_vrms_pg">'On-Premises Ransomware Recovery'!$D$71</definedName>
    <definedName name="mgmt_az2_uplink01_vlan">'Value Reference Tables - MR'!$F$284</definedName>
    <definedName name="sample_vcenter_root_password">'Deploy Management Domain'!$K$98</definedName>
    <definedName name="navigation_mgmt_configure_auth">'Deploy Fleet Management Day-N'!$B$118</definedName>
    <definedName name="input_parent_gg_wsa_admins_group">'Active Directory Inputs'!$E$59</definedName>
    <definedName name="input_cluster_az1_host3_fqdn">'Deploy Cluster'!$D$86</definedName>
    <definedName name="mgmt_az2_secondary_storage_cidr">'Value Reference Tables - MR'!$F$297</definedName>
    <definedName name="sizing_w10_vcenter_appliance_size">'Management Domain Sizing'!$D$45</definedName>
    <definedName name="input_wld_az1_rack5_edge_overlay_mask">Arkham!$L$67</definedName>
    <definedName name="input_cluster_host_overlay_transportzone">'Deploy Cluster'!$D$230</definedName>
    <definedName name="sample_wld_nsxt_mgrc_ip">'Deploy Workload Domain'!$C$180</definedName>
    <definedName name="sample_wld_az1_rack2_edge_overlay_gateway_ip">Arkham!$B$64</definedName>
    <definedName name="sample_mgmt_az2_host_overlay_network_pool_name">'Configure Management Domain'!$C$363</definedName>
    <definedName name="wld_az1_en2_ip_allocation_chosen">'Configure Workload Domain'!$D$74</definedName>
    <definedName name="sample_svc_vcf_bck_user">'Configure Management Domain'!$C$24</definedName>
    <definedName name="wld_az1_rack5_edge_overlay_pool_end_ip">'Value Reference Tables - MR'!$U$160</definedName>
    <definedName name="wld_cl01_supervisor_control_plane_ip_range">'Value Reference Tables'!$F$180</definedName>
    <definedName name="sample_cluster_az1_principal_storage_mtu">'Deploy Cluster'!$C$59</definedName>
    <definedName name="sample_wld_az2_host3_mgmt_ip">'Configure Workload Domain'!$C$176</definedName>
    <definedName name="wld_az1_rack6_host1_hostname">'Value Reference Tables - MR'!$X$202</definedName>
    <definedName name="input_mgmt_az2_host7_fqdn">'Configure Management Domain'!$D$285</definedName>
    <definedName name="sample_wld_az1_rack5_host6_mgmt_ip">'Additional Racks'!$C$298</definedName>
    <definedName name="flt_vidb_system_user_alias">'Value Reference Tables'!$C$240</definedName>
    <definedName name="cluster_witness_vm_folder">'Value Reference Tables'!$I$267</definedName>
    <definedName name="input_wld_az1_rack6_tor1_peer_ip">Arkham!$O$74</definedName>
    <definedName name="input_wld_az1_rack4_host10_mgmt_ip">'Additional Racks'!$D$209</definedName>
    <definedName name="cluster_az1_mgmt_gateway_ip">'Value Reference Tables'!$I$13</definedName>
    <definedName name="sample_wld_az1_rack3_edge_overlay_network">Arkham!$E$61</definedName>
    <definedName name="mgmt_az2_host10_mgmt_ip">'Value Reference Tables - MR'!$F$424</definedName>
    <definedName name="input_wld_az1_rack4_secondary_storage_mask">'Dumping Ground'!$D$527</definedName>
    <definedName name="vvf_mgmt_cl01_vds_standard_preconfigured_profiles">'Static Reference Tables'!$G$44:$G$46</definedName>
    <definedName name="input_mgmt_az2_tor1_peer_ip">'Configure Management Domain'!$D$384</definedName>
    <definedName name="wld_srm_recovery_vcenter_username">'Value Reference Tables'!$U$119</definedName>
    <definedName name="cluster_vds02_pnics">'Value Reference Tables'!$I$117</definedName>
    <definedName name="sample_wld_az1_rack5_edge_overlay_vlan">Arkham!$K$58</definedName>
    <definedName name="input_mgmt_az1_edge_overlay_gateway_ip">'Configure Management Domain'!$D$122</definedName>
    <definedName name="sample_wld_az1_rack4_host5_mgmt_ip">'Additional Racks'!$C$204</definedName>
    <definedName name="sizing_hrm_hvm_disk">'Static Reference Tables'!$C$198</definedName>
    <definedName name="wld_az1_rack3_en1_mgmt_ip">'Value Reference Tables - MR'!$O$241</definedName>
    <definedName name="sizing_w24_ssp_chosen">'Management Domain Sizing'!$V$59</definedName>
    <definedName name="mgmt_az1_host5_fqdn">'Value Reference Tables - MR'!$F$241</definedName>
    <definedName name="wld_az1_rack5_en2_fqdn">'Value Reference Tables - MR'!$U$250</definedName>
    <definedName name="sample_wld_az1_rack4_secondary_storage_gateway_ip">'Dumping Ground'!$C$528</definedName>
    <definedName name="input_wld_az1_host4_fqdn">'Deploy Workload Domain'!$D$123</definedName>
    <definedName name="sample_wld_az1_tor2_peer_bgp_password">'Configure Workload Domain'!$C$114</definedName>
    <definedName name="input_wld_cl01_az1_vmotion_pg">'Deploy Workload Domain'!$D$282</definedName>
    <definedName name="table_vrli_appliance_cpu">'Static Reference Tables'!$B$139:$C$141</definedName>
    <definedName name="wld_az2_tor2_peer_bgp_password">'Value Reference Tables - MR'!$I$374</definedName>
    <definedName name="input_wld_az2_tor2_peer_bgp_password">'Configure Workload Domain'!$D$354</definedName>
    <definedName name="vcf_automation_lb_type_chosen">'Deploy Fleet Management Day-N'!$D$108</definedName>
    <definedName name="input_region_ad_child_fqdn">'Active Directory Inputs'!$E$9</definedName>
    <definedName name="local_admin_password">'Value Reference Tables'!$AA$21</definedName>
    <definedName name="input_flt_net_cert_country_code">'Deploy Fleet Management Day-N'!$D$298</definedName>
    <definedName name="sample_child_svc_nsx_ad_password">'Active Directory Inputs'!$F$19</definedName>
    <definedName name="sample_wld_witness_zone_vc_ip">'Configure Workload Domain'!$C$266</definedName>
    <definedName name="vcenter_sizing_limits">'Static Reference Tables'!$E$26:$F$30</definedName>
    <definedName name="wld_az1_rack7_uplink02_mtu">'Value Reference Tables - MR'!$AA$77</definedName>
    <definedName name="mgmt_az2_host13_mgmt_ip">'Value Reference Tables - MR'!$F$427</definedName>
    <definedName name="input_mgmt_ec01_en01_host_group_affinity_rule_name">'Configure Management Domain'!$D$103</definedName>
    <definedName name="mgmt_az1_rtep_overlay_network">'Value Reference Tables - MR'!$F$48</definedName>
    <definedName name="sample_xreg_vrops_nodea_ip">'Deploy Management Domain'!$K$308</definedName>
    <definedName name="sample_mgmt_az1_host7_vrms_ip">'Site Protection &amp; DR'!$C$182</definedName>
    <definedName name="input_cluster_az2_secondary_storage_mask">'Deploy Cluster'!$D$302</definedName>
    <definedName name="wld_az1_mgmt_mtu">'Value Reference Tables - MR'!$I$70</definedName>
    <definedName name="sample_wld_az1_host9_vrms_ip">'Dumping Ground'!$C$301</definedName>
    <definedName name="wld_az1_rack5_mgmt_vm_pg">'Value Reference Tables - MR'!$U$110</definedName>
    <definedName name="input_wld_az1_rack6_host_overlay_cidr">Arkham!$C$39</definedName>
    <definedName name="input_mgmt_az1_en2_edge_overlay_interface_ip_1_ip">'Configure Management Domain'!$D$144</definedName>
    <definedName name="wld_cl01_vmfs_datastore_name">'Value Reference Tables'!$F$99</definedName>
    <definedName name="wld_az1_rack7_en1_hostname">'Value Reference Tables - MR'!$AA$239</definedName>
    <definedName name="sample_mgmt_az1_host2_vrms_ip">'Site Protection &amp; DR'!$C$177</definedName>
    <definedName name="flt_logs_ha_mode_chosen">'Deploy Fleet Management Day-N'!$D$211</definedName>
    <definedName name="wld_az2_host3_vrms_ip">'Value Reference Tables - MR'!$I$441</definedName>
    <definedName name="sample_cluster_az2_host_overlay_pool_end_ip">'Deploy Cluster'!$C$414</definedName>
    <definedName name="input_wld_az1_rack6_edge_overlay_pool_end_ip">Arkham!$O$72</definedName>
    <definedName name="input_xreg_vrops_srm_sso_password">'Site Protection &amp; DR'!$D$481</definedName>
    <definedName name="k8s_tanzu_k8s_cluster_service_pool_cidr">'Value Reference Tables'!$R$25</definedName>
    <definedName name="wld_cl01_az1_uplink01_pg">'Value Reference Tables - MR'!$I$116</definedName>
    <definedName name="input_wld_az1_rack6_tor2_peer_ip">Arkham!$O$77</definedName>
    <definedName name="sample_wld_az1_rack6_secondary_storage_vlan">'Dumping Ground'!$C$540</definedName>
    <definedName name="wld_az1_host15_mgmt_ip">'Value Reference Tables - MR'!$I$197</definedName>
    <definedName name="flt_logs_nodec_ip">'Value Reference Tables'!$L$223</definedName>
    <definedName name="table_nsxt_manager_cpu">'Static Reference Tables'!$B$62:$C$66</definedName>
    <definedName name="sample_flt_net_cert_country_code">'Deploy Fleet Management Day-N'!$C$298</definedName>
    <definedName name="sizing_w12_ssp_chosen">'Management Domain Sizing'!$V$47</definedName>
    <definedName name="wld_az1_rack5_host15_hostname">'Value Reference Tables - MR'!$U$216</definedName>
    <definedName name="sample_wld_az1_rack7_host2_fqdn">'Additional Racks'!$C$520</definedName>
    <definedName name="sample_wld_az1_host12_mgmt_ip">'Deploy Workload Domain'!$C$74</definedName>
    <definedName name="wld_az1_host7_fqdn">'Value Reference Tables - MR'!$I$243</definedName>
    <definedName name="input_wld_az1_rack6_host_overlay_network">'Additional Racks'!$D$465</definedName>
    <definedName name="cbr_firewall_rule_vcenter">'Value Reference Tables'!$U$138</definedName>
    <definedName name="wld_az1_rack4_host8_mgmt_ip">'Value Reference Tables - MR'!$R$190</definedName>
    <definedName name="xreg_vra_vm_folder">'Dumping Ground'!$D$107</definedName>
    <definedName name="wld_az1_rack8_rtep_overlay_mtu">'Value Reference Tables - MR'!$AD$79</definedName>
    <definedName name="sample_wld_az1_uplink02_cidr">'Configure Workload Domain'!$C$142</definedName>
    <definedName name="input_cluster_az2_principal_storage_mtu">'Deploy Cluster'!$D$292</definedName>
    <definedName name="sample_wld_az1_host_overlay_vlan">'Deploy Workload Domain'!$C$303</definedName>
    <definedName name="flt_vidb_directory_name">'Value Reference Tables'!$C$167</definedName>
    <definedName name="sample_wld_az1_rack8_edge_overlay_gateway_ip">Arkham!$T$64</definedName>
    <definedName name="input_mgmt_az1_host12_mgmt_ip">'Deploy Management Domain'!$L$341</definedName>
    <definedName name="sample_wld_az1_vrms_mtu">'Dumping Ground'!$C$271</definedName>
    <definedName name="wld_az1_rack4_rtep_overlay_cidr">'Value Reference Tables - MR'!$R$33</definedName>
    <definedName name="input_mgmt_az2_vmotion_vlan">'Configure Management Domain'!$D$252</definedName>
    <definedName name="wld_az2_host8_hostname">'Value Reference Tables - MR'!$I$465</definedName>
    <definedName name="input_cluster_datacenter">'Deploy Cluster'!$D$370</definedName>
    <definedName name="input_wld_az1_rack8_host7_mgmt_ip">'Additional Racks'!$D$578</definedName>
    <definedName name="wld_az1_rack4_host10_mgmt_ip">'Value Reference Tables - MR'!$R$192</definedName>
    <definedName name="sample_wld_az1_storage_cluster_vlan">'Deploy Workload Domain'!$C$109</definedName>
    <definedName name="wld_az1_rack3_host_overlay_mask">'Value Reference Tables - MR'!$O$57</definedName>
    <definedName name="sample_wld_az1_rack5_mgmt_vlan">'Additional Racks'!$C$288</definedName>
    <definedName name="input_wld_az1_rack4_secondary_storage_network">'Dumping Ground'!$D$526</definedName>
    <definedName name="wld_az1_rack8_principal_storage_pool_start_ip">'Value Reference Tables - MR'!$AD$151</definedName>
    <definedName name="input_flt_vidb_cert_alias">'Deploy Fleet Management Day-N'!$D$128</definedName>
    <definedName name="sizing_w14_ssp_chosen">'Management Domain Sizing'!$V$49</definedName>
    <definedName name="wld_az1_rack5_vmotion_pool_end_ip">'Value Reference Tables - MR'!$U$150</definedName>
    <definedName name="input_cbw_hcx_cdp_fqdn">'Cross Cloud Mobility'!$D$65</definedName>
    <definedName name="input_wld_az1_rack2_rtep_ip_pool_name">'Additional Racks'!$D$83</definedName>
    <definedName name="table_wsa_appliance_ram">'Static Reference Tables'!$B$113:$C$118</definedName>
    <definedName name="sample_wld_az1_rack2_host15_mgmt_ip">'Additional Racks'!$C$28</definedName>
    <definedName name="cluster_az2_host2_fqdn">'Value Reference Tables'!$I$293</definedName>
    <definedName name="mgmt_witness_vcenter_fqdn">'Value Reference Tables'!$L$167</definedName>
    <definedName name="input_wld_az1_rack7_principal_storage_mtu">'Additional Racks'!$D$510</definedName>
    <definedName name="cluster_az1_mgmt_vm_lbt_chosen">'Deploy Cluster'!$D$206</definedName>
    <definedName name="input_wld_az1_mgmt_cidr">'Deploy Workload Domain'!$D$60</definedName>
    <definedName name="wld_az2_vm_gateway_ip">'Value Reference Tables'!$AE$42</definedName>
    <definedName name="wld_az1_rack8_pool_name">'Value Reference Tables - MR'!$AD$166</definedName>
    <definedName name="input_mgmt_az1_edge_overlay_pool_end_ip">'Configure Management Domain'!$D$119</definedName>
    <definedName name="user_svc_vcf_ca_vcf">'Value Reference Tables'!$O$10</definedName>
    <definedName name="wld_nsxt_global_mgr_cluster_id">'Value Reference Tables'!$O$76</definedName>
    <definedName name="sample_mgmt_az2_vmotion_pool_start_ip">'Configure Management Domain'!$C$257</definedName>
    <definedName name="input_wld_az1_rack3_host9_mgmt_ip">'Additional Racks'!$D$115</definedName>
    <definedName name="sample_rwr_vlr_replication_password">'On-Premises Ransomware Recovery'!$C$45</definedName>
    <definedName name="input_wld_cl01_vds01_lag_name">'Deploy Workload Domain'!$D$242</definedName>
    <definedName name="sample_wld_az1_rack8_edge_overlay_network_pool_name">'Additional Racks'!$C$640</definedName>
    <definedName name="input_rwr_child_dns_zone">'On-Premises Ransomware Recovery'!$D$20</definedName>
    <definedName name="wld_avilb_hostname">'Value Reference Tables'!$F$39</definedName>
    <definedName name="input_wld_cl01_vds02_name">'Deploy Workload Domain'!$D$250</definedName>
    <definedName name="wld_az2_host5_mgmt_ip">'Value Reference Tables - MR'!$I$427</definedName>
    <definedName name="sample_mgmt_ec01_en02_host_group_affinity_rule_name">'Configure Management Domain'!$C$129</definedName>
    <definedName name="wld_az1_rack8_host15_hostname">'Value Reference Tables - MR'!$AD$216</definedName>
    <definedName name="input_gg_vra_orchestrator_admins_group">'Active Directory Inputs'!$E$101</definedName>
    <definedName name="vcf_automation_nodef_ip">Arkham!$R$15</definedName>
    <definedName name="sample_parent_ad_users_ou">'Active Directory Inputs'!$F$10</definedName>
    <definedName name="wld_az1_rack7_host_overlay_cidr">'Value Reference Tables - MR'!$AA$27</definedName>
    <definedName name="wld_az1_rack4_host5_fqdn">'Value Reference Tables - MR'!$R$225</definedName>
    <definedName name="sample_wld_az1_rack2_mgmt_vm_gateway_ip">'Value Reference Tables - MR'!$O$259</definedName>
    <definedName name="wld_az1_mgmt_cidr">'Value Reference Tables - MR'!$I$24</definedName>
    <definedName name="mgmt_az2_vsan_cidr">'Value Reference Tables - MR'!$F$295</definedName>
    <definedName name="flt_vidb_mask">'Value Reference Tables'!$C$159</definedName>
    <definedName name="sample_vcf_automation_root_password">'Deploy Fleet Management Day-N'!$C$101</definedName>
    <definedName name="mgmt_az2_vmotion_cidr">'Value Reference Tables - MR'!$F$294</definedName>
    <definedName name="sample_flt_logs_nodec_ip">'Deploy Fleet Management Day-N'!$C$231</definedName>
    <definedName name="region_vrli_virtual_ip">'Value Reference Tables'!$R$56</definedName>
    <definedName name="sample_wld_cl01_evc_mode">'Dumping Ground'!$R$7</definedName>
    <definedName name="wld_cl01_az1_mgmt_uplink2_chosen">'Deploy Workload Domain'!$D$275</definedName>
    <definedName name="ccm_hcx_license">'Value Reference Tables'!$U$176</definedName>
    <definedName name="input_xreg_vrops_virtual_ip">'Deploy Management Domain'!$L$313</definedName>
    <definedName name="sample_svc_vcf_ca_vcf_password">'Configure Management Domain'!$C$55</definedName>
    <definedName name="sizing_w09_vcenter_appliance_size">'Management Domain Sizing'!$D$44</definedName>
    <definedName name="sample_wld_avilb_mgra_ip">'Configure Workload Domain'!$C$156</definedName>
    <definedName name="wld_witnessaz_mgmt_vlan">'Value Reference Tables'!$X$52</definedName>
    <definedName name="wld_az1_uplink01_mask">'Value Reference Tables - MR'!$I$60</definedName>
    <definedName name="navigation_nsx_federation_for_wld_domain">'Configure Workload Domain'!$B$356</definedName>
    <definedName name="sample_wld_az2_host9_fqdn">'Configure Workload Domain'!$C$240</definedName>
    <definedName name="sample_vcf_automation_nodea_ip">'Deploy Fleet Management Day-N'!$C$113</definedName>
    <definedName name="wld_az1_rack6_host2_mgmt_ip">'Value Reference Tables - MR'!$X$184</definedName>
    <definedName name="xreg_vrops_virtual_hostname">'Value Reference Tables'!$R$85</definedName>
    <definedName name="wld_az1_rack4_host9_hostname">'Value Reference Tables - MR'!$R$210</definedName>
    <definedName name="input_flt_net_nodea_fqdn">'Deploy Fleet Management Day-N'!$D$302</definedName>
    <definedName name="sample_wld_az1_rack6_edge_overlay_pool_start_ip">Arkham!$N$71</definedName>
    <definedName name="mgmt_gateway_routing_type_chosen">'Configure Management Domain'!$D$155</definedName>
    <definedName name="input_flt_vidb_datastore">'Deploy Fleet Management Day-N'!$D$146</definedName>
    <definedName name="input_wld_vrms_admin_email">'Dumping Ground'!$D$73</definedName>
    <definedName name="input_wld_az1_rack7_host5_fqdn">'Additional Racks'!$D$523</definedName>
    <definedName name="input_mgmt_az1_en2_eth0_uplink1">'Configure Management Domain'!$D$138</definedName>
    <definedName name="input_mgmt_az1_vmotion_vlan">'Deploy Management Domain'!$L$159</definedName>
    <definedName name="wld_az1_rack4_principal_storage_mask">'Value Reference Tables - MR'!$R$56</definedName>
    <definedName name="input_wld_witnessaz_mgmt_cidr">'Configure Workload Domain'!$D$259</definedName>
    <definedName name="input_mgmt_az1_vsan_gateway_ip">'Deploy Management Domain'!$L$167</definedName>
    <definedName name="mgmt_cl01_evc_mode_chosen">'Deploy Management Domain'!$M$349</definedName>
    <definedName name="wld_bf_nsxt_enable_edge_sync_chosen">'Deploy Workload Domain'!$D$45</definedName>
    <definedName name="sample_cluster_az2_host8_fqdn">'Deploy Cluster'!$C$324</definedName>
    <definedName name="flt_logs_cert_type_chosen">'Deploy Fleet Management Day-N'!$D$213</definedName>
    <definedName name="sizing_w21_nsxt_model">'Management Domain Sizing'!$H$56</definedName>
    <definedName name="sample_wld_az1_rack5_mgmt_mtu">'Additional Racks'!$C$291</definedName>
    <definedName name="wld_az1_rack4_en2_hostname">'Value Reference Tables - MR'!$R$249</definedName>
    <definedName name="input_wld_az1_rack3_mgmt_vlan">'Additional Racks'!$D$102</definedName>
    <definedName name="sample_wld_az1_rack6_secondary_storage_pool_start_ip">'Dumping Ground'!$C$545</definedName>
    <definedName name="wld_az1_rack5_uplink02_mtu">'Value Reference Tables - MR'!$U$77</definedName>
    <definedName name="mgmt_witness_cluster">'Value Reference Tables'!$C$208</definedName>
    <definedName name="sample_wld_az2_vmotion_network">'Configure Workload Domain'!$C$199</definedName>
    <definedName name="sample_xreg_vrops_collector_root_password">'Deploy Management Domain'!$K$72</definedName>
    <definedName name="wld_cl01_supervisor_use_mgmt_vmk_chosen">'Deploy Workload Domain'!$D$328</definedName>
    <definedName name="sample_wld_az1_rack2_principal_storage_mask">'Additional Racks'!$C$47</definedName>
    <definedName name="wld_nsx_vlan_transport_zone_chosen">'Deploy Workload Domain'!$D$300</definedName>
    <definedName name="sample_avilb_root_password">'Configure Management Domain'!$C$212</definedName>
    <definedName name="flt_vidb_gateway_ip">'Value Reference Tables'!$C$158</definedName>
    <definedName name="sample_mgmt_user_vm_rp">'Deploy Management Domain'!$K$353</definedName>
    <definedName name="navigation_vcf_and_vvf_planning_tab">'VCF &amp; VVF Planning'!$A$1</definedName>
    <definedName name="input_flt_vidb_secondary_domain_controller_port">'Deploy Fleet Management Day-N'!$D$187</definedName>
    <definedName name="cluster_stretched_cluster_result">'Deploy Cluster'!$D$14</definedName>
    <definedName name="input_wld_az1_rack5_host14_fqdn">'Additional Racks'!$D$346</definedName>
    <definedName name="input_cluster_az2_principal_storage_mask">'Deploy Cluster'!$D$294</definedName>
    <definedName name="mgmt_az2_edge_overlay_vlan">'Value Reference Tables - MR'!$F$286</definedName>
    <definedName name="k8s_kubectl_path">'Value Reference Tables'!$U$34</definedName>
    <definedName name="sample_wld_cl01_supervisor_ntp">'Deploy Workload Domain'!$C$336</definedName>
    <definedName name="sample_mgmt_az1_en1_eth0_uplink1">'Configure Management Domain'!$C$112</definedName>
    <definedName name="sample_wld_az1_rack7_host16_mgmt_ip">'Additional Racks'!$C$494</definedName>
    <definedName name="vvs_dr_flt_logs_nodec_hostname">'Value Reference Tables'!$O$118</definedName>
    <definedName name="table_vrms_disk">'Static Reference Tables'!$B$184:$C$185</definedName>
    <definedName name="input_wld_az2_host9_fqdn">'Configure Workload Domain'!$D$240</definedName>
    <definedName name="flt_custom_network_ops_collector_root_password">'Value Reference Tables'!$L$312</definedName>
    <definedName name="table_vcenter_appliance_cpu">'Static Reference Tables'!$B$34:$C$38</definedName>
    <definedName name="cluster_nfs_share_path">'Value Reference Tables'!$I$103</definedName>
    <definedName name="input_ca_algorithm">'Configure Management Domain'!$D$58</definedName>
    <definedName name="flt_logs_nodeb_fqdn">'Value Reference Tables'!$L$193</definedName>
    <definedName name="wld_az1_rack6_secondary_storage_pool_end_ip">'Value Reference Tables - MR'!$X$156</definedName>
    <definedName name="wld_nsxt_global_mgrb_ip">'Value Reference Tables'!$F$21</definedName>
    <definedName name="vcf_automation_cert_key_length_chosen">'Deploy Fleet Management Day-N'!$D$76</definedName>
    <definedName name="sample_mgmt_az1_edge_overlay_pool_start_ip">'Configure Management Domain'!$C$118</definedName>
    <definedName name="input_wld_az1_rack7_mgmt_gateway_ip">'Additional Racks'!$D$475</definedName>
    <definedName name="sample_wld_nsxt_global_mgrb_fqdn">'Configure Workload Domain'!$C$387</definedName>
    <definedName name="wld_az1_rack5_host2_mgmt_ip">'Value Reference Tables - MR'!$U$184</definedName>
    <definedName name="mgmt_az2_vsan_network">'Value Reference Tables - MR'!$F$309</definedName>
    <definedName name="sizing_w13_avi_appliance_size">'Management Domain Sizing'!$S$48</definedName>
    <definedName name="flt_vidb_node_prefix">'Value Reference Tables'!$C$235</definedName>
    <definedName name="input_mgmt_az2_vsan_gateway_ip">'Configure Management Domain'!$D$264</definedName>
    <definedName name="sizing_virtual_machine_overhead">'Management Domain Sizing'!$E$8</definedName>
    <definedName name="cluster_az2_principal_storage_mask">'Value Reference Tables'!$I$235</definedName>
    <definedName name="wld_az1_rack2_tor2_peer_ip">'Value Reference Tables - MR'!$L$104</definedName>
    <definedName name="wld_az1_rack7_mgmt_vm_mtu">'Value Reference Tables - MR'!$AA$69</definedName>
    <definedName name="input_mgmt_az1_host8_fqdn">'Deploy Management Domain'!$L$135</definedName>
    <definedName name="sample_wld_az1_rack5_edge_overlay_network">Arkham!$K$61</definedName>
    <definedName name="input_wld_cl01_vds03_mtu">'Deploy Workload Domain'!$D$262</definedName>
    <definedName name="input_wld_az1_uplink02_cidr">'Configure Workload Domain'!$D$142</definedName>
    <definedName name="input_wld_az1_rack6_host_overlay_mask">'Additional Racks'!$D$466</definedName>
    <definedName name="flt_custom_network_auto_prefix">'Value Reference Tables'!$L$314</definedName>
    <definedName name="mgmt_srm_recovery_nsx_ec_name">'Value Reference Tables'!$U$95</definedName>
    <definedName name="input_flt_net_admin_username">'Deploy Fleet Management Day-N'!$D$331</definedName>
    <definedName name="input_cluster_az1_secondary_storage_gateway_ip">'Deploy Cluster'!$D$70</definedName>
    <definedName name="input_wld_az1_rack4_host1_fqdn">'Additional Racks'!$D$240</definedName>
    <definedName name="sample_wld_az2_host13_vrms_ip">'Dumping Ground'!$C$322</definedName>
    <definedName name="sample_xreg_vra_nodeb_ip">'Deploy Management Domain'!$K$81</definedName>
    <definedName name="sample_wld_az1_rack6_host1_mgmt_ip">'Additional Racks'!$C$386</definedName>
    <definedName name="input_flt_custom_network_auto_noded_ip">'Deploy Fleet Management Day-N'!$D$56</definedName>
    <definedName name="input_wld_az1_rack6_principal_storage_pool_start_ip">'Additional Racks'!$D$421</definedName>
    <definedName name="flt_logs_use_english_chosen">'Deploy Fleet Management Day-N'!$D$265</definedName>
    <definedName name="cluster_vds01_name">'Value Reference Tables'!$I$107</definedName>
    <definedName name="sample_vcf_automation_cert_state">'Deploy Fleet Management Day-N'!$C$75</definedName>
    <definedName name="input_flt_vidb_mask">'Deploy Fleet Management Day-N'!$D$154</definedName>
    <definedName name="wld_az1_rack2_principal_storage_pool_end_ip">'Value Reference Tables - MR'!$L$152</definedName>
    <definedName name="mgmt_cl01_vds02_mtu">'Value Reference Tables'!$C$103</definedName>
    <definedName name="mgmt_az1_host11_vrms_ip">'Value Reference Tables - MR'!$F$209</definedName>
    <definedName name="input_wld_az1_rack2_host_overlay_gateway_ip">'Additional Racks'!$D$95</definedName>
    <definedName name="wld_az1_rack6_uplink01_mtu">'Value Reference Tables - MR'!$X$76</definedName>
    <definedName name="wld_az1_rack5_host13_hostname">'Value Reference Tables - MR'!$U$214</definedName>
    <definedName name="input_mgmt_witness_zone_vc_fqdn">'Configure Management Domain'!$D$310</definedName>
    <definedName name="mgmt_az1_host9_vrms_ip">'Value Reference Tables - MR'!$F$207</definedName>
    <definedName name="input_wld_az1_rack7_vmotion_vlan">'Additional Racks'!$D$501</definedName>
    <definedName name="mgmt_az1_host8_vrms_ip">'Value Reference Tables - MR'!$F$206</definedName>
    <definedName name="sample_wld_az1_rack3_principal_storage_mtu">'Additional Racks'!$C$138</definedName>
    <definedName name="wld_nsx_overlay_transport_zone_chosen">'Deploy Workload Domain'!$D$299</definedName>
    <definedName name="sample_wld_az1_rack5_vsan_fault_domain">'Additional Racks'!$C$365</definedName>
    <definedName name="wld_az1_rack3_mgmt_network">'Value Reference Tables - MR'!$O$39</definedName>
    <definedName name="sample_wld_az1_rack6_host13_mgmt_ip">'Additional Racks'!$C$398</definedName>
    <definedName name="input_wld_az2_mgmt_cidr">'Configure Workload Domain'!$D$171</definedName>
    <definedName name="sample_mgmt_cl01_az1_uplink02_pg">'Configure Management Domain'!$C$197</definedName>
    <definedName name="input_cluster_az1_host13_fqdn">'Deploy Cluster'!$D$96</definedName>
    <definedName name="input_wld_az1_rack2_vsan_fault_domain">'Additional Racks'!$D$86</definedName>
    <definedName name="wld_az1_en2_eth1_uplink1">'Value Reference Tables'!$C$260</definedName>
    <definedName name="input_mgmt_vrms_admin_email">'Site Protection &amp; DR'!$D$153</definedName>
    <definedName name="input_wld_az1_rack4_uplink02_gateway_ip">Arkham!$I$63</definedName>
    <definedName name="vvs_dr_flt_net_nodec_fqdn">'Value Reference Tables'!$O$106</definedName>
    <definedName name="sample_ccm_hcx_cdp_ip">'Cross Cloud Mobility'!$F$9</definedName>
    <definedName name="sample_mgmt_az1_host13_mgmt_ip">'Deploy Management Domain'!$K$342</definedName>
    <definedName name="wld_az2_vmotion_mask">'Value Reference Tables - MR'!$I$325</definedName>
    <definedName name="wld_az1_mgmt_vm_mask">'Value Reference Tables - MR'!$I$53</definedName>
    <definedName name="sample_wld_srm_sso_domain_membership">'Dumping Ground'!$C$89</definedName>
    <definedName name="mgmt_az1_host_fqdns">'Value Reference Tables - MR'!$F$237:$F$252</definedName>
    <definedName name="mgmt_existing_active_nsx_gm">Arkham!$C$49</definedName>
    <definedName name="sample_wld_az1_rack3_secondary_storage_mtu">'Dumping Ground'!$C$517</definedName>
    <definedName name="mgmt_az1_vm_mtu">'Value Reference Tables'!$AD$25</definedName>
    <definedName name="sizing_w16_chosen">'Management Domain Sizing'!$C$51</definedName>
    <definedName name="sample_mgmt_az2_host6_fqdn">'Configure Management Domain'!$C$284</definedName>
    <definedName name="sample_wld_az1_uplink02_gateway_ip">'Configure Workload Domain'!$C$141</definedName>
    <definedName name="sample_mgmt_srm_recovery_gateway">'Site Protection &amp; DR'!$C$382</definedName>
    <definedName name="sample_wld_az1_rack4_uplink01_gateway_ip">Arkham!$H$62</definedName>
    <definedName name="mgmt_dpg_reuse_chosen">'Deploy Management Domain'!$L$153</definedName>
    <definedName name="input_wld_az1_rack6_mgmt_vm_cidr">'Value Reference Tables - MR'!$N$263</definedName>
    <definedName name="cluster_az1_host13_fqdn">'Value Reference Tables'!$I$83</definedName>
    <definedName name="input_wld_az1_rack3_host11_fqdn">'Additional Racks'!$D$157</definedName>
    <definedName name="input_wld_avilb_ip">'Configure Workload Domain'!$D$159</definedName>
    <definedName name="input_wld_az1_rack2_host7_mgmt_ip">'Additional Racks'!$D$20</definedName>
    <definedName name="wld_az2_host14_hostname">'Value Reference Tables - MR'!$I$471</definedName>
    <definedName name="svc_vrops_vsphere_password">'Value Reference Tables'!$L$113</definedName>
    <definedName name="input_wld_az1_rack6_mgmt_mtu">'Additional Racks'!$D$384</definedName>
    <definedName name="input_wld_az1_en2_edge_overlay_interface_ip_1_ip">'Configure Workload Domain'!$D$87</definedName>
    <definedName name="wld_az2_host12_vrms_ip">'Value Reference Tables - MR'!$I$450</definedName>
    <definedName name="wld_az1_rack3_host8_fqdn">'Value Reference Tables - MR'!$O$228</definedName>
    <definedName name="sample_ca_organization">'Configure Management Domain'!$C$60</definedName>
    <definedName name="sample_wld_az1_rack6_vmotion_pool_start_ip">'Additional Racks'!$C$413</definedName>
    <definedName name="vcf_automation_resource_pool">'Value Reference Tables'!$L$350</definedName>
    <definedName name="wld_vrms_root_password">'Value Reference Tables'!$U$104</definedName>
    <definedName name="sample_wld_az1_rack8_uplink02_vlan">Arkham!$T$57</definedName>
    <definedName name="sample_flt_custom_network_x_reg_pg">'Deploy Fleet Management Day-N'!$C$21</definedName>
    <definedName name="sample_mgmt_srm_recovery_pg">'Site Protection &amp; DR'!$C$376</definedName>
    <definedName name="wld_cl01_vds01_lacp_mode_chosen">'Deploy Workload Domain'!$D$243</definedName>
    <definedName name="sample_cbr_firewall_rule_vcenter">'Cloud-Based Ransomware Recovery'!$C$25</definedName>
    <definedName name="wld_az1_rack5_rtep_overlay_mtu">'Value Reference Tables - MR'!$U$79</definedName>
    <definedName name="wld_compute_hosts_per_rack_chosen">'Deploy Workload Domain'!$B$11</definedName>
    <definedName name="sample_nsxt_lm_root_password">'Deploy Management Domain'!$K$109</definedName>
    <definedName name="sizing_mgmt_avilb_cluster_chosen">'Configure Management Domain'!$D$210</definedName>
    <definedName name="input_vcf_automation_nodec_ip">'Deploy Fleet Management Day-N'!$D$115</definedName>
    <definedName name="svc_vra_vsphere_password">'Value Reference Tables'!$L$118</definedName>
    <definedName name="sample_wld_az1_rack3_host2_mgmt_ip">'Additional Racks'!$C$108</definedName>
    <definedName name="sample_wld_az1_rack6_mgmt_cidr">'Additional Racks'!$C$383</definedName>
    <definedName name="wld_az1_uplink01_mtu">'Value Reference Tables - MR'!$I$76</definedName>
    <definedName name="wld_az1_rack4_tor1_peer_asn">'Value Reference Tables - MR'!$R$102</definedName>
    <definedName name="input_wld_az1_rack4_vmotion_vlan">'Additional Racks'!$D$222</definedName>
    <definedName name="sample_wld_bf_nsxt_audit_password">'Deploy Workload Domain'!$C$50</definedName>
    <definedName name="wld_az1_host8_mgmt_ip">'Value Reference Tables - MR'!$I$190</definedName>
    <definedName name="sample_mgmt_ec_mtu">'Configure Management Domain'!$C$96</definedName>
    <definedName name="sample_mgmt_az2_host1_vrms_ip">'Site Protection &amp; DR'!$C$193</definedName>
    <definedName name="input_cluster_az2_storage_cluster_mask">'Deploy Cluster'!$D$310</definedName>
    <definedName name="sizing_w02_vcenter_storage_size">'Management Domain Sizing'!$F$37</definedName>
    <definedName name="rwr_chosen">'Management Domain Sizing'!$B$64</definedName>
    <definedName name="table_avi_lb_disk">'Static Reference Tables'!$B$252:$C$254</definedName>
    <definedName name="cluster_multi_rack_count_result">'Deploy Cluster'!$D$10</definedName>
    <definedName name="input_wld_az1_rack8_host10_fqdn">'Additional Racks'!$D$621</definedName>
    <definedName name="sample_mgmt_az2_host5_mgmt_ip">'Configure Management Domain'!$C$234</definedName>
    <definedName name="flt_net_common_name">'Value Reference Tables'!$L$234</definedName>
    <definedName name="wld_az1_rack5_host13_mgmt_ip">'Value Reference Tables - MR'!$U$195</definedName>
    <definedName name="input_mgmt_avilb_mgra_ip">'Configure Management Domain'!$D$213</definedName>
    <definedName name="input_flt_custom_network_ops_nodea_ip">'Deploy Fleet Management Day-N'!$D$37</definedName>
    <definedName name="input_ccm_aws_sddc_name">'Cross Cloud Mobility'!$D$20</definedName>
    <definedName name="input_mgmt_cl01_az1_uplink02_pg">'Configure Management Domain'!$D$197</definedName>
    <definedName name="sample_mgmt_az1_host5_fqdn">'Deploy Management Domain'!$K$132</definedName>
    <definedName name="sample_mgmt_az1_en1_uplink02_interface_cidr">'Configure Management Domain'!$C$166</definedName>
    <definedName name="wld_az1_rack5_en1_edge_overlay_interface_ip_2_ip">'Value Reference Tables - MR'!$U$245</definedName>
    <definedName name="input_flt_auto_node_pool_start_ip">Arkham!$Q$34</definedName>
    <definedName name="mgmt_srm_fqdn">'Value Reference Tables'!$R$125</definedName>
    <definedName name="flt_vidb_root_username">'Value Reference Tables'!$C$239</definedName>
    <definedName name="input_wld_az1_rack5_principal_storage_pool_start_ip">'Additional Racks'!$D$328</definedName>
    <definedName name="input_mgmt_az2_secondary_storage_pool_end_ip">'Configure Management Domain'!$D$274</definedName>
    <definedName name="input_wld_az1_host8_vrms_ip">'Dumping Ground'!$D$300</definedName>
    <definedName name="sample_wld_az1_rack3_uplink01_vlan">Arkham!$E$56</definedName>
    <definedName name="input_svc_ccm_hcx_nsx_user">'Active Directory Inputs'!$E$49</definedName>
    <definedName name="cluster_witnessaz_mgmt_gateway_ip">'Value Reference Tables'!$I$261</definedName>
    <definedName name="input_wld_az1_rack6_host11_fqdn">'Additional Racks'!$D$436</definedName>
    <definedName name="cluster_az1_host_overlay_vlan">'Value Reference Tables'!$I$158</definedName>
    <definedName name="input_wld_az1_rack4_host_overlay_mask">'Additional Racks'!$D$280</definedName>
    <definedName name="wld_az1_rack3_secondary_storage_mask">'Value Reference Tables - MR'!$O$58</definedName>
    <definedName name="mgmt_domain_deployment_type_chosen">'VCF &amp; VVF Planning'!$J$17</definedName>
    <definedName name="sample_wld_az1_rack2_host13_fqdn">'Additional Racks'!$C$66</definedName>
    <definedName name="sample_cluster_az2_mgmt_vlan">'Deploy Cluster'!$C$256</definedName>
    <definedName name="flt_net_cert_state">'Value Reference Tables'!$L$239</definedName>
    <definedName name="input_flt_vidb_password_description">'Deploy Fleet Management Day-N'!$D$161</definedName>
    <definedName name="sample_wld_nsxt_gm_fingerprint">'Configure Workload Domain'!$C$480</definedName>
    <definedName name="wld_az1_rack4_tor2_peer_ip">'Value Reference Tables - MR'!$R$104</definedName>
    <definedName name="input_wld_az1_rack4_host_overlay_uplink_profile_name">'Additional Racks'!$D$267</definedName>
    <definedName name="prefix_mgmt_stretched_vlan">'Value Reference Tables'!$AA$66</definedName>
    <definedName name="sample_wld_az1_rack3_host_overlay_cidr">Arkham!$B$27</definedName>
    <definedName name="input_wld_az1_rack8_uplink01_mask">Arkham!$U$65</definedName>
    <definedName name="sample_wld_az1_rack8_vmotion_mask">'Additional Racks'!$C$597</definedName>
    <definedName name="wld_az1_rack8_host_overlay_uplink_profile_name">'Value Reference Tables - MR'!$AD$171</definedName>
    <definedName name="wld_az1_principal_storage_network">'Value Reference Tables - MR'!$I$41</definedName>
    <definedName name="wld_az2_host11_mgmt_ip">'Value Reference Tables - MR'!$I$433</definedName>
    <definedName name="wld_witness_dns2_ip">'Value Reference Tables'!$F$124</definedName>
    <definedName name="sample_mgmt_nsxt_global_mgrb_hostname">'Configure Management Domain'!$C$417</definedName>
    <definedName name="sizing_w11_spr_chosen">'Management Domain Sizing'!$P$46</definedName>
    <definedName name="flt_logs_node_size_chosen">'Deploy Fleet Management Day-N'!$D$259</definedName>
    <definedName name="input_wld_az1_rack3_host12_mgmt_ip">'Additional Racks'!$D$118</definedName>
    <definedName name="xreg_vrni_nodea_ip">'Value Reference Tables'!$R$134</definedName>
    <definedName name="wld_az1_rack2_host9_mgmt_ip">'Value Reference Tables - MR'!$L$191</definedName>
    <definedName name="wld_az1_rack6_host_overlay_network_profile_name">'Value Reference Tables - MR'!$X$167</definedName>
    <definedName name="sizing_ccm_hcx_ram">'Static Reference Tables'!$C$241</definedName>
    <definedName name="sample_rwr_child_dns_zone">'On-Premises Ransomware Recovery'!$C$20</definedName>
    <definedName name="sample_gg_vra_service_broker_viewers_group">'Active Directory Inputs'!$D$100</definedName>
    <definedName name="mgmt_cl01_az1_vsan_uplink2_chosen">'Deploy Management Domain'!$L$239</definedName>
    <definedName name="cluster_az1_vmotion_gateway_ip">'Value Reference Tables'!$I$22</definedName>
    <definedName name="sample_vvs_dr_flt_ops_nodec_hostname">'Site Protection &amp; DR'!$C$251</definedName>
    <definedName name="wld_cl01_vds01_lag_lbt_chosen">'Deploy Workload Domain'!$D$244</definedName>
    <definedName name="input_wld_az2_host15_vrms_ip">'Dumping Ground'!$D$324</definedName>
    <definedName name="sample_flt_vidb_root_username">'Deploy Fleet Management Day-N'!$C$162</definedName>
    <definedName name="sample_wld_az1_mgmt_mtu">'Deploy Workload Domain'!$C$61</definedName>
    <definedName name="wld_avilb_mgrb_ip">'Value Reference Tables'!$F$25</definedName>
    <definedName name="input_wld_az1_rack2_host6_mgmt_ip">'Additional Racks'!$D$19</definedName>
    <definedName name="sample_mgmt_cl01_cluster_sddc_id">'Configure Management Domain'!$C$374</definedName>
    <definedName name="wld_az1_rack6_vmotion_mask">'Value Reference Tables - MR'!$X$55</definedName>
    <definedName name="wld_az1_ec01_password_creation_chosen">'Configure Workload Domain'!$D$91</definedName>
    <definedName name="wld_az1_rack3_host7_hostname">'Value Reference Tables - MR'!$O$208</definedName>
    <definedName name="sample_wld_az2_host_overlay_uplink_profile_name">'Configure Workload Domain'!$C$322</definedName>
    <definedName name="wld_witnessaz_mgmt_mask">'Value Reference Tables'!$F$136</definedName>
    <definedName name="sample_mgmt_az2_vsan_vlan">'Configure Management Domain'!$C$260</definedName>
    <definedName name="flt_vidb_primary_domain_controller">'Value Reference Tables'!$C$172</definedName>
    <definedName name="wld_az1_rack4_principal_storage_pg">'Value Reference Tables - MR'!$R$113</definedName>
    <definedName name="sample_wld_az1_rack2_vmotion_pool_start_ip">'Additional Racks'!$C$41</definedName>
    <definedName name="flt_net_prxy_ip">'Value Reference Tables'!$L$248</definedName>
    <definedName name="sample_wld_az1_rack6_host11_fqdn">'Additional Racks'!$C$436</definedName>
    <definedName name="wld_az2_host11_vrms_ip">'Value Reference Tables - MR'!$I$449</definedName>
    <definedName name="input_wld_srm_ip">'Dumping Ground'!$G$12</definedName>
    <definedName name="sample_wld_az1_rack4_host4_fqdn">'Additional Racks'!$C$243</definedName>
    <definedName name="mgmt_domain_ops_automation_later_chosen">'Deploy Management Domain'!$L$40</definedName>
    <definedName name="input_mgmt_az1_vsan_pool_start_ip">'Deploy Management Domain'!$L$170</definedName>
    <definedName name="sample_cluster_datacenter">'Deploy Cluster'!$C$370</definedName>
    <definedName name="input_wld_az1_rack5_host10_mgmt_ip">'Additional Racks'!$D$302</definedName>
    <definedName name="sample_wld_az2_host12_fqdn">'Configure Workload Domain'!$C$243</definedName>
    <definedName name="wld_az1_rack5_host10_fqdn">'Value Reference Tables - MR'!$U$230</definedName>
    <definedName name="sample_mgmt_az2_host2_fqdn">'Configure Management Domain'!$C$280</definedName>
    <definedName name="sample_wld_az1_rack5_host12_fqdn">'Additional Racks'!$C$344</definedName>
    <definedName name="sample_wld_az1_en1_mgmt_cidr">'Configure Workload Domain'!$C$50</definedName>
    <definedName name="sample_vcf_automation_additional_vips">'Deploy Fleet Management Day-N'!$C$112</definedName>
    <definedName name="input_flt_net_support_password">'Deploy Fleet Management Day-N'!$D$338</definedName>
    <definedName name="sample_wld_az1_rack2_host1_fqdn">'Additional Racks'!$C$54</definedName>
    <definedName name="sample_wld_az1_rack5_mgmt_vm_mtu">'Value Reference Tables - MR'!$Q$262</definedName>
    <definedName name="sample_wld_az2_storage_cluster_pool_start_ip">'Configure Workload Domain'!$C$226</definedName>
    <definedName name="input_vcf_automation_root_username">'Deploy Fleet Management Day-N'!$D$103</definedName>
    <definedName name="wld_az1_host4_fqdn">'Value Reference Tables - MR'!$I$240</definedName>
    <definedName name="sample_wld_az1_rack5_vmotion_mtu">'Additional Racks'!$C$316</definedName>
    <definedName name="wld_az2_host3_fqdn">'Value Reference Tables - MR'!$I$479</definedName>
    <definedName name="cluster_az2_host15_mgmt_ip">'Value Reference Tables'!$I$219</definedName>
    <definedName name="input_mgmt_az2_host3_mgmt_ip">'Configure Management Domain'!$D$232</definedName>
    <definedName name="input_wld_nsxt_en_root_password">'Configure Workload Domain'!$D$92</definedName>
    <definedName name="input_wld_az1_rack3_host10_mgmt_ip">'Additional Racks'!$D$116</definedName>
    <definedName name="sizing_w23_ssp_chosen">'Management Domain Sizing'!$V$58</definedName>
    <definedName name="input_wld_az2_secondary_storage_network">'Configure Workload Domain'!$D$215</definedName>
    <definedName name="sample_vvs_dr_dns1_ip">'Site Protection &amp; DR'!$C$69</definedName>
    <definedName name="input_flt_net_cert_organisation">'Deploy Fleet Management Day-N'!$D$296</definedName>
    <definedName name="prefix_wld_az2_vlan">'Value Reference Tables'!$AA$76</definedName>
    <definedName name="input_wld_az1_rack4_principal_storage_gateway_ip">'Additional Racks'!$D$234</definedName>
    <definedName name="input_wld_az1_rack7_edge_overlay_pool_end_ip">Arkham!$R$75</definedName>
    <definedName name="sample_wld_az1_rack6_tor2_peer_bgp_password">Arkham!$N$79</definedName>
    <definedName name="wld_az1_host13_hostname">'Value Reference Tables - MR'!$I$230</definedName>
    <definedName name="input_cbr_vcdr_cdp1_hostname">'Cloud-Based Ransomware Recovery'!$E$9</definedName>
    <definedName name="mgmt_az1_mgmt_vm_vlan">'Value Reference Tables - MR'!$F$8</definedName>
    <definedName name="wld_az1_rack5_rtep_ip_pool_name">'Value Reference Tables - MR'!$U$173</definedName>
    <definedName name="input_mgmt_cl01_vds03_uplink2">'Deploy Management Domain'!$L$219</definedName>
    <definedName name="wld_az1_rack4_uplink02_mask">'Value Reference Tables - MR'!$R$61</definedName>
    <definedName name="sample_cluster_az1_host12_mgmt_ip">'Deploy Cluster'!$C$40</definedName>
    <definedName name="wld_az1_rack4_uplink01_mask">'Value Reference Tables - MR'!$R$60</definedName>
    <definedName name="vcf_automation_cert_common_name">'Value Reference Tables'!$L$336</definedName>
    <definedName name="ccm_hcx_cdp_ip">'Value Reference Tables'!$U$181</definedName>
    <definedName name="sample_cluster_az2_host_overlay_network_profile_name">'Deploy Cluster'!$C$405</definedName>
    <definedName name="sample_wld_az1_en1_hostname">'Configure Workload Domain'!$C$520</definedName>
    <definedName name="sample_flt_net_support_password">'Deploy Fleet Management Day-N'!$C$338</definedName>
    <definedName name="sample_wld_az1_rack8_host5_mgmt_ip">'Additional Racks'!$C$576</definedName>
    <definedName name="xreg_vrslcm_fqdn">'Value Reference Tables'!$R$16</definedName>
    <definedName name="wld_bf_nsx_existing_chosen">'Deploy Workload Domain'!$D$33</definedName>
    <definedName name="input_mgmt_vpc_ext_ip_blocks">'Configure Management Domain'!$D$188</definedName>
    <definedName name="input_cluster_az1_host15_mgmt_ip">'Deploy Cluster'!$D$43</definedName>
    <definedName name="sample_wld_az1_uplink02_mtu">'Configure Workload Domain'!$C$112</definedName>
    <definedName name="wld_vrms_vrms_ip">'Value Reference Tables'!$R$109</definedName>
    <definedName name="mgmt_az2_uplink02_vlan">'Value Reference Tables - MR'!$F$285</definedName>
    <definedName name="sample_wld_az1_rack5_tor2_peer_bgp_password">Arkham!$K$79</definedName>
    <definedName name="wld_az2_tor1_peer_asn">'Value Reference Tables - MR'!$I$370</definedName>
    <definedName name="sample_flt_logs_admin_password">'Deploy Fleet Management Day-N'!$C$251</definedName>
    <definedName name="sample_mgmt_az1_host_overlay_mtu">'Deploy Management Domain'!$K$301</definedName>
    <definedName name="input_wld_administrator_vsphere_local_password">'Deploy Workload Domain'!$D$152</definedName>
    <definedName name="sample_cluster_az1_secondary_storage_pool_start_ip">'Deploy Cluster'!$C$71</definedName>
    <definedName name="sample_flt_custom_network_flt_admin_password">'Deploy Fleet Management Day-N'!$C$29</definedName>
    <definedName name="sample_wld_az1_rack3_uplink02_gateway_ip">Arkham!$E$63</definedName>
    <definedName name="cluster_az1_secondary_storage_mtu">'Value Reference Tables'!$I$36</definedName>
    <definedName name="wld_az1_rack4_vmotion_network">'Value Reference Tables - MR'!$R$40</definedName>
    <definedName name="sample_wld_az1_rack7_vmotion_gateway_ip">'Additional Racks'!$C$505</definedName>
    <definedName name="sample_wld_avilb_cluster_name">'Configure Workload Domain'!$C$161</definedName>
    <definedName name="sample_mgmt_internet_proxy_port">'Deploy Management Domain'!$K$16</definedName>
    <definedName name="input_wld_bf_nsxt_mgrc_fqdn">'Deploy Workload Domain'!$D$43</definedName>
    <definedName name="wld_az1_rack5_host3_mgmt_ip">'Value Reference Tables - MR'!$U$185</definedName>
    <definedName name="input_wld_az1_rack4_vmotion_gateway_ip">'Additional Racks'!$D$226</definedName>
    <definedName name="sizing_w07_avi_appliance_size">'Management Domain Sizing'!$S$42</definedName>
    <definedName name="wld_az1_rack7_uplink01_pg">'Value Reference Tables - MR'!$AA$114</definedName>
    <definedName name="table_vcfopsnet_collector_ram">'Static Reference Tables'!$B$224:$C$228</definedName>
    <definedName name="wld_az1_rack7_edge_overlay_gateway_ip">'Value Reference Tables - MR'!$AA$94</definedName>
    <definedName name="input_parent_gg_wsa_read_only_group">'Active Directory Inputs'!$E$61</definedName>
    <definedName name="wld_az1_rack8_en1_edge_overlay_interface_ip_1_ip">'Value Reference Tables - MR'!$AD$244</definedName>
    <definedName name="sample_wld_az1_rack5_vmotion_pool_start_ip">'Additional Racks'!$C$320</definedName>
    <definedName name="input_wld_az1_tor2_peer_bgp_password">'Configure Workload Domain'!$D$114</definedName>
    <definedName name="input_wld_az1_rack5_secondary_storage_pool_start_ip">'Dumping Ground'!$D$537</definedName>
    <definedName name="input_ccm_hcx_cdp_ip">'Cross Cloud Mobility'!$G$9</definedName>
    <definedName name="sample_k8s_vcenter_content_library">'Private AI Ready Infrastructure'!$C$95</definedName>
    <definedName name="input_wld_az1_rack6_tor1_peer_bgp_password">Arkham!$O$76</definedName>
    <definedName name="input_mgmt_cl01_vds01_uplink1">'Deploy Management Domain'!$L$196</definedName>
    <definedName name="sample_mgmt_srm_recovery_sddc_manager_fqdn">'Dumping Ground'!$C$17</definedName>
    <definedName name="svc_cbr_vcdr_vsphere_user">'Value Reference Tables'!$U$128</definedName>
    <definedName name="input_cluster_witness_vm_folder">'Deploy Cluster'!$D$353</definedName>
    <definedName name="mgmt_az2_mgmt_network">'Value Reference Tables - MR'!$F$307</definedName>
    <definedName name="input_mgmt_nsxt_gm_vip_ip">'Configure Management Domain'!$D$475</definedName>
    <definedName name="input_wld_az1_rack8_host_overlay_mask">'Additional Racks'!$D$652</definedName>
    <definedName name="sample_mgmt_az1_uplink02_cidr">'Configure Management Domain'!$C$199</definedName>
    <definedName name="sample_wld_az1_rack4_principal_storage_gateway_ip">'Additional Racks'!$C$234</definedName>
    <definedName name="mgmt_srm_admin_email">'Value Reference Tables'!$U$78</definedName>
    <definedName name="sample_wld_az1_rack7_edge_overlay_network_pool_name">'Additional Racks'!$C$547</definedName>
    <definedName name="sizing_w24_spr_chosen">'Management Domain Sizing'!$P$59</definedName>
    <definedName name="sample_flt_vidb_group_base_dn">'Deploy Fleet Management Day-N'!$C$202</definedName>
    <definedName name="input_mgmt_az1_host6_fqdn">'Deploy Management Domain'!$L$133</definedName>
    <definedName name="sample_wld_az1_rack8_uplink01_network">Arkham!$T$59</definedName>
    <definedName name="wld_az1_rack4_host15_mgmt_ip">'Value Reference Tables - MR'!$R$197</definedName>
    <definedName name="sample_wld_nsxt_gm_admin_password">'Configure Workload Domain'!$C$368</definedName>
    <definedName name="input_wld_az1_rack4_host_overlay_pool_start_ip">'Additional Racks'!$D$282</definedName>
    <definedName name="input_wld_az1_rack6_edge_overlay_vlan">Arkham!$O$58</definedName>
    <definedName name="sample_mgmt_cl01_vds03_name">'Deploy Management Domain'!$K$210</definedName>
    <definedName name="wld_az1_rack2_vsan_fault_domain">'Value Reference Tables - MR'!$L$174</definedName>
    <definedName name="wld_az1_rack3_tor2_peer_ip">'Value Reference Tables - MR'!$O$104</definedName>
    <definedName name="sample_wld_az1_tor1_peer_ip">'Configure Workload Domain'!$C$103</definedName>
    <definedName name="sample_wld_az1_rack5_edge_overlay_mtu">Arkham!$K$70</definedName>
    <definedName name="wld_az1_rack8_uplink02_gateway_ip">'Value Reference Tables - MR'!$AD$93</definedName>
    <definedName name="wld_az1_rack8_host3_hostname">'Value Reference Tables - MR'!$AD$204</definedName>
    <definedName name="wld_az1_rack7_principal_storage_cidr">'Value Reference Tables - MR'!$AA$26</definedName>
    <definedName name="cluster_az2_host_overlay_network_profile_name">'Value Reference Tables'!$I$282</definedName>
    <definedName name="sample_wld_az1_rack5_host_overlay_pool_start_ip">'Additional Racks'!$C$375</definedName>
    <definedName name="mgmt_az1_rtep_overlay_pg">'Value Reference Tables - MR'!$F$119</definedName>
    <definedName name="input_wld_witnessaz_mgmt_gateway_ip">'Configure Workload Domain'!$D$258</definedName>
    <definedName name="input_xreg_vrops_nodec_ip">'Deploy Management Domain'!$L$310</definedName>
    <definedName name="input_wld_az1_rack5_secondary_storage_pool_end_ip">'Dumping Ground'!$D$538</definedName>
    <definedName name="sizing_w20_nsxt_appliance_size">'Management Domain Sizing'!$I$55</definedName>
    <definedName name="wld_az1_rack4_principal_storage_vlan">'Value Reference Tables - MR'!$R$11</definedName>
    <definedName name="vcf_automation_noded_ip">'Value Reference Tables'!$L$348</definedName>
    <definedName name="sample_mgmt_az2_secondary_storage_mask">'Configure Management Domain'!$C$271</definedName>
    <definedName name="sample_wld_rack4_en_asn">Arkham!$H$73</definedName>
    <definedName name="input_wld_az1_rack3_host6_fqdn">'Additional Racks'!$D$152</definedName>
    <definedName name="sample_mgmt_witness_hostname">'Configure Management Domain'!$C$312</definedName>
    <definedName name="input_certificate_authority_fqdn">'Configure Management Domain'!$D$33</definedName>
    <definedName name="vcf_version_result">'VCF &amp; VVF Planning'!$L$16</definedName>
    <definedName name="flt_logs_nodec_fqdn">'Value Reference Tables'!$L$194</definedName>
    <definedName name="sample_flt_vidb_bind_username">'Deploy Fleet Management Day-N'!$C$190</definedName>
    <definedName name="vcf_automation_admin_password_description">'Value Reference Tables'!$L$356</definedName>
    <definedName name="wld_az1_rack8_principal_storage_mask">'Value Reference Tables - MR'!$AD$56</definedName>
    <definedName name="flt_auto_sr_ip">Arkham!$R$26</definedName>
    <definedName name="sample_mgmt_az1_vsan_mtu">'Deploy Management Domain'!$K$169</definedName>
    <definedName name="input_wld_az1_uplink02_gateway_ip">'Configure Workload Domain'!$D$141</definedName>
    <definedName name="sample_flt_custom_network_auto_nodeb_ip">'Deploy Fleet Management Day-N'!$C$54</definedName>
    <definedName name="flt_vcfms_node_pool_start_ip">Arkham!$R$40</definedName>
    <definedName name="input_mgmt_az1_host_overlay_cidr">'Deploy Management Domain'!$L$257</definedName>
    <definedName name="wld_az1_rack7_vrms_gateway_ip">'Value Reference Tables - MR'!$AA$96</definedName>
    <definedName name="wld_az1_rack6_host6_fqdn">'Value Reference Tables - MR'!$X$226</definedName>
    <definedName name="input_cluster_witness_hostname">'Deploy Cluster'!$D$351</definedName>
    <definedName name="input_flt_net_nodeb_fqdn">'Deploy Fleet Management Day-N'!$D$303</definedName>
    <definedName name="sftp_server">'Value Reference Tables'!$L$179</definedName>
    <definedName name="wld_az1_rack4_host_overlay_network_pool_name">'Value Reference Tables - MR'!$R$169</definedName>
    <definedName name="vrslcm_admin_password">'Value Reference Tables'!$C$228</definedName>
    <definedName name="wld_az1_rack6_mgmt_pg">'Value Reference Tables - MR'!$X$111</definedName>
    <definedName name="input_cluster_vds03_mtu">'Deploy Cluster'!$D$190</definedName>
    <definedName name="sample_mgmt_az2_host1_sddc_id">'Configure Management Domain'!$C$345</definedName>
    <definedName name="sample_cluster_az2_host16_mgmt_ip">'Deploy Cluster'!$C$276</definedName>
    <definedName name="cluster_nsx_default_operation_mode_chosen">'Deploy Cluster'!$D$225</definedName>
    <definedName name="cluster_az1_secondary_storage_vlan">'Value Reference Tables'!$I$35</definedName>
    <definedName name="input_cluster_az1_host9_fqdn">'Deploy Cluster'!$D$92</definedName>
    <definedName name="ccm_hcx_dc_location">'Value Reference Tables'!$U$177</definedName>
    <definedName name="sample_wld_az1_rack5_host1_fqdn">'Additional Racks'!$C$333</definedName>
    <definedName name="mgmt_nsx_vm_folder">'Value Reference Tables'!$O$35</definedName>
    <definedName name="sample_svc_inv_vsphere_user">'Active Directory Inputs'!$D$33</definedName>
    <definedName name="input_wld_az1_principal_storage_pool_end_ip">'Deploy Workload Domain'!$D$99</definedName>
    <definedName name="sample_cluster_az1_host6_mgmt_ip">'Deploy Cluster'!$C$34</definedName>
    <definedName name="sample_cluster_az2_storage_cluster_pool_end_ip">'Deploy Cluster'!$C$313</definedName>
    <definedName name="sample_flt_ic_ip">Arkham!$P$24</definedName>
    <definedName name="sample_wld_az1_rack7_edge_overlay_pool_end_ip">Arkham!$Q$75</definedName>
    <definedName name="input_wld_az1_rack6_principal_storage_gateway_ip">'Additional Racks'!$D$420</definedName>
    <definedName name="wld_nsxt_vip_ip">'Value Reference Tables'!$F$15</definedName>
    <definedName name="table_avi_lb_cpu">'Static Reference Tables'!$B$244:$C$246</definedName>
    <definedName name="sample_wld_az1_rack3_host5_mgmt_ip">'Additional Racks'!$C$111</definedName>
    <definedName name="sample_wld_az1_rack4_mgmt_gateway_ip">'Additional Racks'!$C$196</definedName>
    <definedName name="wld_az1_rack2_host_fqdns">'Value Reference Tables - MR'!$L$221:$L$236</definedName>
    <definedName name="esxi_root_password">'Value Reference Tables'!$L$13</definedName>
    <definedName name="sample_k8s_tanzu_k8s_cluster_pod_pool_cidr">'Private AI Ready Infrastructure'!$C$72</definedName>
    <definedName name="input_wld_az1_rack2_uplink02_vlan">Arkham!$C$57</definedName>
    <definedName name="wld_bf_nsx_appliance_size_chosen">'Deploy Workload Domain'!$D$40</definedName>
    <definedName name="input_cluster_vds01_lag_name">'Deploy Cluster'!$D$170</definedName>
    <definedName name="wld_az1_rack7_reuse_vcf_networkpool_chosen">'Additional Racks'!$D$498</definedName>
    <definedName name="wld_stretched_cluster_result">'Configure Workload Domain'!$D$14</definedName>
    <definedName name="flt_vidb_ou_cert">'Value Reference Tables'!$C$152</definedName>
    <definedName name="sample_wld_az2_host3_fqdn">'Configure Workload Domain'!$C$234</definedName>
    <definedName name="wld_az1_rack8_mgmt_vm_cidr">'Value Reference Tables - MR'!$AD$23</definedName>
    <definedName name="input_wld_az1_rack7_mgmt_vm_vlan">'Value Reference Tables - MR'!$L$264</definedName>
    <definedName name="sample_cluster_esx_root_password">'Deploy Cluster'!$C$105</definedName>
    <definedName name="sizing_w12_vcenter_appliance_size">'Management Domain Sizing'!$D$47</definedName>
    <definedName name="wld_ec_formfactor_chosen">'Configure Workload Domain'!$D$40</definedName>
    <definedName name="input_mgmt_az2_secondary_storage_mtu">'Configure Management Domain'!$D$269</definedName>
    <definedName name="mgmt_nsxt_mgrc_hostname">'Value Reference Tables'!$C$43</definedName>
    <definedName name="k8s_segment_gateway_ip">'Value Reference Tables'!$U$32</definedName>
    <definedName name="input_wld_az2_host7_mgmt_ip">'Configure Workload Domain'!$D$180</definedName>
    <definedName name="sample_mgmt_nsxt_en_admin_password">'Configure Management Domain'!$C$150</definedName>
    <definedName name="sample_mgmt_rwr_vc_fqdn">'On-Premises Ransomware Recovery'!$C$9</definedName>
    <definedName name="flt_net_node_mask">'Value Reference Tables'!$L$262</definedName>
    <definedName name="wld_az1_rack2_uplink01_vlan">'Value Reference Tables - MR'!$L$15</definedName>
    <definedName name="wld_az1_rack5_host12_hostname">'Value Reference Tables - MR'!$U$213</definedName>
    <definedName name="sample_flt_logs_cluster">'Deploy Fleet Management Day-N'!$C$235</definedName>
    <definedName name="input_mgmt_az1_rtep_overlay_cidr">'Configure Management Domain'!$D$494</definedName>
    <definedName name="input_flt_vidb_primary_domain_controller">'Deploy Fleet Management Day-N'!$D$184</definedName>
    <definedName name="wld_az2_host9_hostname">'Value Reference Tables - MR'!$I$466</definedName>
    <definedName name="input_wld_az1_rack7_tor1_peer_asn">Arkham!$R$78</definedName>
    <definedName name="sample_sftp_server_sshfingerprint">'Configure Management Domain'!$C$27</definedName>
    <definedName name="input_wld_az1_host16_vrms_ip">'Dumping Ground'!$D$308</definedName>
    <definedName name="wld_cl01_az2_vmotion_pg">'Value Reference Tables - MR'!$I$380</definedName>
    <definedName name="sample_cluster_az2_principal_storage_vlan">'Deploy Cluster'!$C$291</definedName>
    <definedName name="input_wld_az1_rack7_host2_fqdn">'Additional Racks'!$D$520</definedName>
    <definedName name="sample_cluster_az1_host16_mgmt_ip">'Deploy Cluster'!$C$44</definedName>
    <definedName name="flt_net_nodeb_fqdn">'Value Reference Tables'!$L$242</definedName>
    <definedName name="wld_az1_rack2_host5_fqdn">'Value Reference Tables - MR'!$L$225</definedName>
    <definedName name="cbr_recovery_region">'Value Reference Tables'!$U$132</definedName>
    <definedName name="sample_wld_az1_rack7_edge_overlay_gateway_ip">Arkham!$Q$67</definedName>
    <definedName name="sample_wld_witness_ntp1_server">'Configure Workload Domain'!$C$281</definedName>
    <definedName name="sample_wld_az1_rack5_principal_storage_network">'Additional Racks'!$C$325</definedName>
    <definedName name="group_gg_vcf_operators">'Value Reference Tables'!$L$153</definedName>
    <definedName name="sample_cluster_az2_host6_fqdn">'Deploy Cluster'!$C$322</definedName>
    <definedName name="flt_vidb_additional_vips">'Value Reference Tables'!$C$234</definedName>
    <definedName name="wld_nsxt_global_mgr_vmca_signed_thumbprint">'Value Reference Tables'!$O$75</definedName>
    <definedName name="input_mgmt_az1_mgmt_vm_vlan">'Deploy Management Domain'!$L$154</definedName>
    <definedName name="sample_wld_az1_rack7_pool_name">'Additional Racks'!$C$499</definedName>
    <definedName name="wld_az1_rack7_tor2_peer_bgp_password">'Value Reference Tables - MR'!$AA$106</definedName>
    <definedName name="flt_vidb_secondary_domain_controller">'Value Reference Tables'!$C$174</definedName>
    <definedName name="flt_custom_network_ops_nodec_fqdn">'Value Reference Tables'!$L$300</definedName>
    <definedName name="input_mgmt_az1_host4_vrms_ip">'Site Protection &amp; DR'!$D$179</definedName>
    <definedName name="wld_az1_rack4_secondary_storage_pool_start_ip">'Value Reference Tables - MR'!$R$155</definedName>
    <definedName name="input_cluster_image_name">'Deploy Cluster'!$D$122</definedName>
    <definedName name="input_wld_az1_rack7_host_overlay_pool_start_ip">'Additional Racks'!$D$561</definedName>
    <definedName name="wld_az2_host10_hostname">'Value Reference Tables - MR'!$I$467</definedName>
    <definedName name="sizing_w11_nsxt_appliance_size">'Management Domain Sizing'!$I$46</definedName>
    <definedName name="sample_wld_az1_rack3_host_hostnames">'Additional Racks'!$C$147:$C$162</definedName>
    <definedName name="wld_az1_rack2_vmotion_gateway_ip">'Value Reference Tables - MR'!$L$87</definedName>
  </definedNames>
  <calcPr/>
  <extLst>
    <ext uri="GoogleSheetsCustomDataVersion2">
      <go:sheetsCustomData xmlns:go="http://customooxmlschemas.google.com/" r:id="rId30" roundtripDataChecksum="k6nrOPbJgx62EqRen+OvLu299RfEdvwydsmuRyCaA7Y="/>
    </ext>
  </extLst>
</workbook>
</file>

<file path=xl/sharedStrings.xml><?xml version="1.0" encoding="utf-8"?>
<sst xmlns="http://schemas.openxmlformats.org/spreadsheetml/2006/main" count="13914" uniqueCount="4129">
  <si>
    <t>Prerequisite Checklist</t>
  </si>
  <si>
    <t>The following pre-requisites need to be completed before proceeding with deployments</t>
  </si>
  <si>
    <t>Hardware (Management Domain)</t>
  </si>
  <si>
    <t>Server Component</t>
  </si>
  <si>
    <t>Minimum Requirements</t>
  </si>
  <si>
    <t>Notes</t>
  </si>
  <si>
    <t>Server Type</t>
  </si>
  <si>
    <t>Two Supported Servers - Simple (Single-Node) Deployment
or
Four Supported Servers -  High Availability (Three-Node) Deployment</t>
  </si>
  <si>
    <t>Refer to the VMware Compatibility Guide at https://compatibilityguide.broadcom.com/ for supported configurations. Note that VMware Cloud Foundation supports three node vSAN clusters in Workload Domains. VMware recommends a minimum of four nodes for production.</t>
  </si>
  <si>
    <t>CPU</t>
  </si>
  <si>
    <t>Supported Configurations</t>
  </si>
  <si>
    <t>None</t>
  </si>
  <si>
    <t>Memory</t>
  </si>
  <si>
    <r>
      <rPr>
        <rFont val="Arial"/>
        <color theme="1"/>
        <sz val="12.0"/>
      </rPr>
      <t xml:space="preserve">Rainpole example suggests
- 1TB per host based on 4 hosts with ability to tolerate failure of a single host.
</t>
    </r>
    <r>
      <rPr>
        <rFont val="Arial"/>
        <b/>
        <color theme="1"/>
        <sz val="12.0"/>
      </rPr>
      <t>Use Management Domain Sizing for sizing based on your chosen options.</t>
    </r>
  </si>
  <si>
    <t>Storage (Boot)</t>
  </si>
  <si>
    <t>Supported configurations</t>
  </si>
  <si>
    <t>SD-Cards are considered legacy and not recommended.</t>
  </si>
  <si>
    <t>Storage VSAN-OSA  (Cache)</t>
  </si>
  <si>
    <r>
      <rPr>
        <rFont val="Arial"/>
        <color theme="1"/>
        <sz val="12.0"/>
      </rP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rFont val="Arial"/>
        <b/>
        <color theme="1"/>
        <sz val="12.0"/>
      </rPr>
      <t>Use Management Domain Sizing for sizing based on your chosen options.</t>
    </r>
  </si>
  <si>
    <t>Storage vSAN-OSA (Capacity)</t>
  </si>
  <si>
    <r>
      <rPr>
        <rFont val="Arial"/>
        <color theme="1"/>
        <sz val="12.0"/>
      </rPr>
      <t xml:space="preserve">Rainpole example suggests
- 12.5TB of Raw Capacity for the Capacity Tier (All-Flash) per host.
- Two disk groups, 6.25TB per disk group
Ensure no existing partitions exist on disks intended for use
</t>
    </r>
    <r>
      <rPr>
        <rFont val="Arial"/>
        <b/>
        <color theme="1"/>
        <sz val="12.0"/>
      </rPr>
      <t>Use Management Domain Sizing for sizing based on your chosen options.</t>
    </r>
  </si>
  <si>
    <t xml:space="preserve">Storage vSAN-ESA </t>
  </si>
  <si>
    <r>
      <rPr>
        <rFont val="Arial"/>
        <color theme="1"/>
        <sz val="12.0"/>
      </rPr>
      <t xml:space="preserve">Rainpole example suggests
- 12.5TB of Raw Capacity for the Capacity Tier (All-Flash) per host.
 - 4 x 3.2TB NVME SSD Drives per node.
Ensure no existing partitions exist on disks intended for use
</t>
    </r>
    <r>
      <rPr>
        <rFont val="Arial"/>
        <b/>
        <color theme="1"/>
        <sz val="12.0"/>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</si>
  <si>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</si>
  <si>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</si>
  <si>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</si>
  <si>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</si>
  <si>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</si>
  <si>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</si>
  <si>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</si>
  <si>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Type</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</si>
  <si>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</si>
  <si>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</si>
  <si>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</si>
  <si>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</si>
  <si>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</si>
  <si>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</si>
  <si>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Configuration</t>
  </si>
  <si>
    <t>Feature</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</si>
  <si>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</si>
  <si>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</si>
  <si>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</si>
  <si>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</si>
  <si>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</si>
  <si>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</si>
  <si>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</si>
  <si>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</si>
  <si>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</si>
  <si>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</si>
  <si>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</si>
  <si>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</si>
  <si>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</si>
  <si>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</si>
  <si>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</si>
  <si>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</si>
  <si>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</si>
  <si>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VCF-SDDC-Manager-Appliance-9.0.x.0.xxxxxxxx</t>
  </si>
  <si>
    <t>Certificate generation utility for VMware Validated Solutions</t>
  </si>
  <si>
    <t>VMware Knowledge Base article 85527</t>
  </si>
  <si>
    <t>CertGenVVS</t>
  </si>
  <si>
    <t>Use this tool to generate Certificate Signing Request (CSR), OpenSSL CA-signed certificates, and Microsoft CA-signed certificates for all VMware products that are included in the VMware Validated Design.
In the context of VMware Validated Solutions, use the CertGenVVS tool to save time in creating signed certificates.</t>
  </si>
  <si>
    <t>vSAN Witness Appliance</t>
  </si>
  <si>
    <t>VMware-VirtualSAN-Witness-x.x.x-xxxxxxxx.ova</t>
  </si>
  <si>
    <t>You use this when deploying a witness appliance to a different fault domain when adding secodary availability zones.</t>
  </si>
  <si>
    <t>Third Party Software</t>
  </si>
  <si>
    <t>Vendor</t>
  </si>
  <si>
    <t>Product / Version</t>
  </si>
  <si>
    <t xml:space="preserve">Virtual Infrastructure
</t>
  </si>
  <si>
    <t>Any Supported</t>
  </si>
  <si>
    <t>Operating system for VMware vSphere® deployment.</t>
  </si>
  <si>
    <t xml:space="preserve">A host machine in the data center that has access to the ESXi management and VM Management Network. </t>
  </si>
  <si>
    <t>Active Directory</t>
  </si>
  <si>
    <t>Active Directory Element</t>
  </si>
  <si>
    <t>Domain Instance</t>
  </si>
  <si>
    <t>Rainpole</t>
  </si>
  <si>
    <t>Active Directory Forest Configuration</t>
  </si>
  <si>
    <t>Parent Active Directory</t>
  </si>
  <si>
    <t>rainpole.io</t>
  </si>
  <si>
    <t>Contains Domain Name System (DNS) server, time server, SDDC users,  local and global groups.  Contains DNS records that replicate to all DNS servers in the forest.</t>
  </si>
  <si>
    <t>Active Directory Users and Groups</t>
  </si>
  <si>
    <t>All user accounts and groups from the Active Directory Inputs tab must exist in the Active Directory before installing and configuring the SDDC.</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</si>
  <si>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</si>
  <si>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</si>
  <si>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</si>
  <si>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</si>
  <si>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</si>
  <si>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</si>
  <si>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</si>
  <si>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DNS</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</si>
  <si>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</si>
  <si>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</si>
  <si>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</si>
  <si>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</si>
  <si>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</si>
  <si>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</si>
  <si>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</si>
  <si>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</si>
  <si>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</si>
  <si>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</si>
  <si>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</si>
  <si>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NTP</t>
  </si>
  <si>
    <t>Target</t>
  </si>
  <si>
    <t>NTP Sources</t>
  </si>
  <si>
    <t>An NTP source, for Rainpole,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for Rainpole, ntp.sfo.rainpole.io.</t>
  </si>
  <si>
    <t>NTP Configuration</t>
  </si>
  <si>
    <t>ESXi hosts
AD domain controllers
Virtual appliances of the management applications</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</si>
  <si>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</si>
  <si>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SMTP Mail Relay</t>
  </si>
  <si>
    <t>SMTP mail relay</t>
  </si>
  <si>
    <t>A mail relay instance, must be reachable from each SDDC component. As a best practice, limit the relay function to the management IP range(s) of the SDDC deployment.</t>
  </si>
  <si>
    <t>Certificate Authority</t>
  </si>
  <si>
    <t>CA must be able to ingest a Certificate Signing Request (CSR) from the SDDC components and issue a signed certificate.
Microsoft CAs must support basic authentication.</t>
  </si>
  <si>
    <t>SFTP Server</t>
  </si>
  <si>
    <t>An SFTP server must be used to provide backups for VMware NSX-T Data Center instances and SDDC Manager which is configured through SDDC Manager.</t>
  </si>
  <si>
    <t>Host Machine Access</t>
  </si>
  <si>
    <t>A virtual machine or physical server must be available to that is permitted to route to
 - ESXi Management networks
 - Internet for software downloads</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</si>
  <si>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</si>
  <si>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</si>
  <si>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</si>
  <si>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</si>
  <si>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Version</t>
  </si>
  <si>
    <t>VMware Cloud Foundation</t>
  </si>
  <si>
    <t>Deployment Type</t>
  </si>
  <si>
    <t>Select Option</t>
  </si>
  <si>
    <t>Final Result</t>
  </si>
  <si>
    <t>Information</t>
  </si>
  <si>
    <t>9.0.2.0</t>
  </si>
  <si>
    <t xml:space="preserve">Deployment Specification </t>
  </si>
  <si>
    <t>Additional Instance</t>
  </si>
  <si>
    <t>Instance to perform operation on</t>
  </si>
  <si>
    <t>Deploy a VCF Instance in an existing VCF fleet</t>
  </si>
  <si>
    <t>Operation to be performed</t>
  </si>
  <si>
    <t xml:space="preserve">        VMware Cloud Foundation Management Domain Sizing Inputs</t>
  </si>
  <si>
    <t>Management Domain Assumptions</t>
  </si>
  <si>
    <t>Management Domain Virtual Machine Requirement Summary</t>
  </si>
  <si>
    <t>Host Requirement Summary</t>
  </si>
  <si>
    <t>Component</t>
  </si>
  <si>
    <t>Value</t>
  </si>
  <si>
    <t>Nodes</t>
  </si>
  <si>
    <t>vCPU</t>
  </si>
  <si>
    <t>RAM (GB)</t>
  </si>
  <si>
    <t>Disk (GB)</t>
  </si>
  <si>
    <t>Management Hosts</t>
  </si>
  <si>
    <t>Number of Hosts</t>
  </si>
  <si>
    <r>
      <rPr>
        <rFont val="Arial"/>
        <b/>
        <color theme="1"/>
        <sz val="12.0"/>
      </rPr>
      <t>General Guidance</t>
    </r>
    <r>
      <rPr>
        <rFont val="Arial"/>
        <color theme="1"/>
        <sz val="12.0"/>
      </rPr>
      <t xml:space="preserve">
• Configure the Assumptions and Host parameters according to your preference. Set VCF Operations and Automation Deployment models and Sizes according to your requirements. Include Identity Broker if you plan to configure VCF Authentication using the Identity Broker appliance.
• The over-subscription ratio maximums of 2:1 are designed to ensure a performant management domain for most deployments. Regardless of the ratios you choose, you should monitor the platform continuously and add hardware if consistent performance bottlenecks are observed
• Appliance sizes are listed per appliance. Totals are calculated in the requirements summary table 
• vSAN and Non-vSAN storage Space capacity requirements are both listed as VCF 9.0 Supports Non-vSAN Storage in the Management Domain
</t>
    </r>
    <r>
      <rPr>
        <rFont val="Arial"/>
        <b/>
        <color theme="1"/>
        <sz val="12.0"/>
      </rPr>
      <t>vSphere and NSX Sizing</t>
    </r>
    <r>
      <rPr>
        <rFont val="Arial"/>
        <color theme="1"/>
        <sz val="12.0"/>
      </rPr>
      <t xml:space="preserve">
• As each workload domain requires additional vSphere and, optionally, NSX components to be deployed, this tab allows you to correctly calculate the requirements for your management domain by selecting the intended number and profile of workload domains you plan to deploy.
• This workbook allows for gathering inputs for the management domain and the first workload domain only (w01). To gather inputs for subsequent workload domains (w02 through w24), you should use separate copies of this file for each domain.
• The management domain is mandatory and cannot be deselected. Its NSX Manager instance is required and dedicated. 
• The NSX instance for the first workload domain is mandatory, subsequent workload domains may share this instance or deploy a dedicated instance.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t>
    </r>
    <r>
      <rPr>
        <rFont val="Arial"/>
        <b/>
        <color theme="1"/>
        <sz val="12.0"/>
      </rPr>
      <t>VCF Operations and Automation Sizing</t>
    </r>
    <r>
      <rPr>
        <rFont val="Arial"/>
        <color theme="1"/>
        <sz val="12.0"/>
      </rPr>
      <t xml:space="preserve">
• If VCF Operations is already existing, then sizing input is not required for VCF Operations and VCF Automation
• Appliance Deployment Model sets the HA deployment model for VCF Operations and VCF Automation
</t>
    </r>
    <r>
      <rPr>
        <rFont val="Arial"/>
        <b/>
        <color theme="1"/>
        <sz val="12.0"/>
      </rPr>
      <t>Security Service Platform:
SSPI</t>
    </r>
    <r>
      <rPr>
        <rFont val="Arial"/>
        <color theme="1"/>
        <sz val="12.0"/>
      </rPr>
      <t xml:space="preserve"> = Security Services Platform Installer; </t>
    </r>
    <r>
      <rPr>
        <rFont val="Arial"/>
        <b/>
        <color theme="1"/>
        <sz val="12.0"/>
      </rPr>
      <t>SSP</t>
    </r>
    <r>
      <rPr>
        <rFont val="Arial"/>
        <color theme="1"/>
        <sz val="12.0"/>
      </rPr>
      <t xml:space="preserve"> = Security Services Platform 
</t>
    </r>
    <r>
      <rPr>
        <rFont val="Arial"/>
        <b/>
        <color theme="1"/>
        <sz val="12.0"/>
      </rPr>
      <t>Medium</t>
    </r>
    <r>
      <rPr>
        <rFont val="Arial"/>
        <color theme="1"/>
        <sz val="12.0"/>
      </rPr>
      <t xml:space="preserve">  = 1 SSPI + 3 SSP Controller Nodes + 5 SSP Worker Nodes; 
</t>
    </r>
    <r>
      <rPr>
        <rFont val="Arial"/>
        <b/>
        <color theme="1"/>
        <sz val="12.0"/>
      </rPr>
      <t>Large</t>
    </r>
    <r>
      <rPr>
        <rFont val="Arial"/>
        <color theme="1"/>
        <sz val="12.0"/>
      </rPr>
      <t xml:space="preserve"> = 1 SSPI + 3 SSP Controller Nodes + 8 SSP Worker Node; 
</t>
    </r>
    <r>
      <rPr>
        <rFont val="Arial"/>
        <b/>
        <color theme="1"/>
        <sz val="12.0"/>
      </rPr>
      <t>X-Large</t>
    </r>
    <r>
      <rPr>
        <rFont val="Arial"/>
        <color theme="1"/>
        <sz val="12.0"/>
      </rPr>
      <t xml:space="preserve"> = 1 SSPI + 3 SSP Controller Nodes + 10 SSP Worker Nodes</t>
    </r>
  </si>
  <si>
    <t>Host and Operations Reserve (%)</t>
  </si>
  <si>
    <t>SDDC Manager</t>
  </si>
  <si>
    <t>Hosts count based on User Specification</t>
  </si>
  <si>
    <t>Storage Estimated Growth (%)</t>
  </si>
  <si>
    <t>Management Domain vSphere Cluster Services</t>
  </si>
  <si>
    <t>CPU usage Per Host (based on N-1 hosts)</t>
  </si>
  <si>
    <t>Management Domain vCenter Server</t>
  </si>
  <si>
    <t>RAM usage Per Host (based on N-1 hosts)</t>
  </si>
  <si>
    <t xml:space="preserve">Management Domain Host Parameters </t>
  </si>
  <si>
    <t>Management Domain NSX Managers (Local  Global)</t>
  </si>
  <si>
    <t>Attribute</t>
  </si>
  <si>
    <t>Management Domain NSX Edges</t>
  </si>
  <si>
    <t>vSAN Storage Requirements if used as Primary Storage</t>
  </si>
  <si>
    <t>CPU Cores</t>
  </si>
  <si>
    <t>Management Domain AVI Load Balancer</t>
  </si>
  <si>
    <t>vSAN Storage Type</t>
  </si>
  <si>
    <t>NFS</t>
  </si>
  <si>
    <t>RAM Count (GB)</t>
  </si>
  <si>
    <t>Management Workload Security Services Platform</t>
  </si>
  <si>
    <t>GB</t>
  </si>
  <si>
    <t>CPU Oversubscription (X:1)</t>
  </si>
  <si>
    <t>Workload Domain vCenter Servers</t>
  </si>
  <si>
    <t>Virtual Machine Capacity Requirements</t>
  </si>
  <si>
    <t>Memory Oversubscription (X:1)</t>
  </si>
  <si>
    <t>Workload Domain NSX Managers (Local  Global)</t>
  </si>
  <si>
    <t>Swap File Requirements</t>
  </si>
  <si>
    <t>Workload Domain AVI Load Balancer</t>
  </si>
  <si>
    <t>Interim Total  (VM Capacity + Swap File)</t>
  </si>
  <si>
    <t xml:space="preserve">VCF Operations and Automation </t>
  </si>
  <si>
    <t>Workload Domain Security Services Platform</t>
  </si>
  <si>
    <t>Allow for Redundancy based on FTT1</t>
  </si>
  <si>
    <t>Conponent</t>
  </si>
  <si>
    <t>VMware Cloud Foundation Operations fleet management</t>
  </si>
  <si>
    <t>Allow for Host Rebuild and Operations Reserve</t>
  </si>
  <si>
    <t>Appliance Deployment Model</t>
  </si>
  <si>
    <t>Deploy HA</t>
  </si>
  <si>
    <t>VMware Cloud Foundation Operations</t>
  </si>
  <si>
    <t>Allow for Estimated Growth</t>
  </si>
  <si>
    <t>VCF Operations</t>
  </si>
  <si>
    <t>Exclude</t>
  </si>
  <si>
    <t>VMware Cloud Foundation Operations collector</t>
  </si>
  <si>
    <t>Storage per Host (based on N-1 hosts)</t>
  </si>
  <si>
    <t>VCF Operations collector</t>
  </si>
  <si>
    <t>VMware Cloud Foundation Automation</t>
  </si>
  <si>
    <t>VCF Automation</t>
  </si>
  <si>
    <t xml:space="preserve">VMware Cloud Foundation Operations for logs </t>
  </si>
  <si>
    <t>VCF Operations for logs</t>
  </si>
  <si>
    <t>VMware Cloud Foundation Operations for networks</t>
  </si>
  <si>
    <t>VCF Operations for networks</t>
  </si>
  <si>
    <t>VMware Cloud Foundation Operations for networks collector</t>
  </si>
  <si>
    <t>VCF Operations for networks collector</t>
  </si>
  <si>
    <t>Identity Broker</t>
  </si>
  <si>
    <t>Validated Solution Requirements</t>
  </si>
  <si>
    <t>Totals</t>
  </si>
  <si>
    <t>Management Domain</t>
  </si>
  <si>
    <t>Domain</t>
  </si>
  <si>
    <t>Select</t>
  </si>
  <si>
    <t>vCenter               CPUs : RAM</t>
  </si>
  <si>
    <t>vCenter         Disk</t>
  </si>
  <si>
    <t>NSX Model</t>
  </si>
  <si>
    <t>NSX LM                           CPU : RAM : Disk</t>
  </si>
  <si>
    <t>NSX Edge                     CPU : RAM : Disk</t>
  </si>
  <si>
    <t>NSX GM                   CPU : RAM : Disk</t>
  </si>
  <si>
    <t>Avi LB                 CPU : RAM : Disk</t>
  </si>
  <si>
    <t>Security Services Platform             CPU : RAM : Disk</t>
  </si>
  <si>
    <t>m01</t>
  </si>
  <si>
    <t>Included</t>
  </si>
  <si>
    <t>Medium</t>
  </si>
  <si>
    <t>Default</t>
  </si>
  <si>
    <t>Mandatory - HA Cluster</t>
  </si>
  <si>
    <t>Excluded</t>
  </si>
  <si>
    <t>Workload Domains</t>
  </si>
  <si>
    <t>vCenter                CPUs : RAM</t>
  </si>
  <si>
    <t>vCenter          Disk</t>
  </si>
  <si>
    <t>NSX LM                 CPU : RAM : Disk</t>
  </si>
  <si>
    <t>Federation</t>
  </si>
  <si>
    <t>NSX GM                  CPU : RAM : Disk</t>
  </si>
  <si>
    <t>Site Protection DR                   CPU : RAM : Disk</t>
  </si>
  <si>
    <t>SSP                       CPU : RAM : Disk</t>
  </si>
  <si>
    <t>w01</t>
  </si>
  <si>
    <t>Large</t>
  </si>
  <si>
    <t>w02</t>
  </si>
  <si>
    <t>Dedicated - HA Cluster</t>
  </si>
  <si>
    <t>w03</t>
  </si>
  <si>
    <t>w04</t>
  </si>
  <si>
    <t>w05</t>
  </si>
  <si>
    <t>w06</t>
  </si>
  <si>
    <t>w07</t>
  </si>
  <si>
    <t>w08</t>
  </si>
  <si>
    <t>w09</t>
  </si>
  <si>
    <t>w10</t>
  </si>
  <si>
    <t>w11</t>
  </si>
  <si>
    <t>w12</t>
  </si>
  <si>
    <t>w13</t>
  </si>
  <si>
    <t>w14</t>
  </si>
  <si>
    <t>w15</t>
  </si>
  <si>
    <t>w16</t>
  </si>
  <si>
    <t>w17</t>
  </si>
  <si>
    <t>w18</t>
  </si>
  <si>
    <t>w19</t>
  </si>
  <si>
    <t>w20</t>
  </si>
  <si>
    <t>w21</t>
  </si>
  <si>
    <t>w22</t>
  </si>
  <si>
    <t>w23</t>
  </si>
  <si>
    <t>w24</t>
  </si>
  <si>
    <t>Validated Solutions: Deployment</t>
  </si>
  <si>
    <t>Site Protection and Disaster Recovery for VMware Cloud Foundation</t>
  </si>
  <si>
    <t>On Premise Ransomware Recovery for VMware Cloud Foundation</t>
  </si>
  <si>
    <t>Cloud-Based Ransomware Recovery for VMware Cloud Foundation</t>
  </si>
  <si>
    <t>Cross Cloud Mobility for VMware Cloud Foundation</t>
  </si>
  <si>
    <t>VMware Validated Solutions Sizing Details</t>
  </si>
  <si>
    <t>Name</t>
  </si>
  <si>
    <t xml:space="preserve">Memory </t>
  </si>
  <si>
    <t>Storage (GB)</t>
  </si>
  <si>
    <t>VMware Live Recovery Appliance Size MGMT Domain</t>
  </si>
  <si>
    <t>No sizing optionality for the appliance</t>
  </si>
  <si>
    <t>VMware Live Recovery Appliance Size VI Workload Domain</t>
  </si>
  <si>
    <t xml:space="preserve">On Premise Ransomware Recovery </t>
  </si>
  <si>
    <t>VMware Live Recovery Appliance Size</t>
  </si>
  <si>
    <t>Standard</t>
  </si>
  <si>
    <t xml:space="preserve">Cloud-Based Ransomware Recovery </t>
  </si>
  <si>
    <t>VMware Live Cyber Recovery Connector Appliance Size</t>
  </si>
  <si>
    <t>Cross Cloud Mobility  for VMware Cloud Foundation</t>
  </si>
  <si>
    <t>HCX Connector Appliance Size</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</si>
  <si>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</si>
  <si>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</si>
  <si>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</si>
  <si>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</si>
  <si>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Sample</t>
  </si>
  <si>
    <t>Your Value</t>
  </si>
  <si>
    <t>Depot Type</t>
  </si>
  <si>
    <t>Online</t>
  </si>
  <si>
    <t>Offline</t>
  </si>
  <si>
    <t>Offline Depot - Hostname</t>
  </si>
  <si>
    <t>my-offline-depot.rainpole.io</t>
  </si>
  <si>
    <t xml:space="preserve">Offline Depot - Port </t>
  </si>
  <si>
    <t>Download Token</t>
  </si>
  <si>
    <t>rqkOYDQRWJJbO7FIxdMgfgcKFOzPZRg4</t>
  </si>
  <si>
    <t>Enable Proxy Server</t>
  </si>
  <si>
    <t>Unselected</t>
  </si>
  <si>
    <t>Selected</t>
  </si>
  <si>
    <t>VCF Fleet</t>
  </si>
  <si>
    <t>Protocol</t>
  </si>
  <si>
    <t>HTTPS</t>
  </si>
  <si>
    <t>HTTP</t>
  </si>
  <si>
    <t>Proxy Address</t>
  </si>
  <si>
    <t>internet-proxy.rainpole.io</t>
  </si>
  <si>
    <t xml:space="preserve">Proxy Port </t>
  </si>
  <si>
    <t>Authenticated</t>
  </si>
  <si>
    <t>Username</t>
  </si>
  <si>
    <t>my_proxy_username@rainpole.io</t>
  </si>
  <si>
    <t>Password</t>
  </si>
  <si>
    <t>VMw@re1!VMw@re1!</t>
  </si>
  <si>
    <t>Deploy</t>
  </si>
  <si>
    <t>vCenter</t>
  </si>
  <si>
    <t>NSX Manager</t>
  </si>
  <si>
    <t>Deployment Wizard</t>
  </si>
  <si>
    <t>vSphere Cluster</t>
  </si>
  <si>
    <t>Deploy a new VCF fleet</t>
  </si>
  <si>
    <t>Values are set based on selections made in VCF VVF Planning Tab</t>
  </si>
  <si>
    <t>Existing Components</t>
  </si>
  <si>
    <t>Select the existing components you want to reuse in this VCF fleet</t>
  </si>
  <si>
    <t>VMware vCenter</t>
  </si>
  <si>
    <t>Use an existing vCenter as the management domain vCenter.</t>
  </si>
  <si>
    <t>VMware NSX</t>
  </si>
  <si>
    <t>General Information</t>
  </si>
  <si>
    <t>Enter the general configuration details for this deployment</t>
  </si>
  <si>
    <t>VCF Instance Name</t>
  </si>
  <si>
    <t>Minimum 3 Characters</t>
  </si>
  <si>
    <t>Management domain name</t>
  </si>
  <si>
    <t>Advanced: Custom networking for VCF Operations and VCF Automation</t>
  </si>
  <si>
    <t xml:space="preserve">Deployment model </t>
  </si>
  <si>
    <t>High Availability (Three-node)</t>
  </si>
  <si>
    <t>High Availability (Three-Node)</t>
  </si>
  <si>
    <t>This selection applies to newly deployed appliances of VCF Operations, VCF Automation and NSX Manager.</t>
  </si>
  <si>
    <t>Domain name</t>
  </si>
  <si>
    <t>Server #1</t>
  </si>
  <si>
    <t>Server #2</t>
  </si>
  <si>
    <t>Auto-generate passwords for newly installed appliances</t>
  </si>
  <si>
    <t>Enable Customer Experience Improvement Program (CEIP)</t>
  </si>
  <si>
    <t>Enter the configuration details for the VCF Operations appliances.</t>
  </si>
  <si>
    <t>Operations Appliance Size</t>
  </si>
  <si>
    <t>Operations primary FQDN</t>
  </si>
  <si>
    <t>Operations replica FQDN</t>
  </si>
  <si>
    <t>Operations data node FQDN</t>
  </si>
  <si>
    <t>Administrator Password</t>
  </si>
  <si>
    <t>Root Password</t>
  </si>
  <si>
    <t>Load Balancer</t>
  </si>
  <si>
    <t>Load Balancer FQDN</t>
  </si>
  <si>
    <t>Optional: For a high availability deployment, you can connect an external load balancer.</t>
  </si>
  <si>
    <t>Fleet management appliance</t>
  </si>
  <si>
    <t>Appliance FQDN</t>
  </si>
  <si>
    <t>Use same password as VCF Operations</t>
  </si>
  <si>
    <t>Root password</t>
  </si>
  <si>
    <t>Operations Collector Appliance</t>
  </si>
  <si>
    <t xml:space="preserve"> Minimum 15 Characters, 1 Uppercase, 1 Special</t>
  </si>
  <si>
    <t>Enter the configuration details for VCF Automation appliance</t>
  </si>
  <si>
    <t>I want to connect a VCF Automation instance later</t>
  </si>
  <si>
    <t>Node IP 1</t>
  </si>
  <si>
    <t>Node IP 2</t>
  </si>
  <si>
    <t>Node IP 3</t>
  </si>
  <si>
    <t>Node IP 4</t>
  </si>
  <si>
    <t>Node Name Prefix</t>
  </si>
  <si>
    <t>Internal Cluster CIDR</t>
  </si>
  <si>
    <t>198.18.0.0/15</t>
  </si>
  <si>
    <t>Enter the configuration details for the management domain vCenter.</t>
  </si>
  <si>
    <t>Appliance Size</t>
  </si>
  <si>
    <t>Small</t>
  </si>
  <si>
    <t>Appliance Storage Size</t>
  </si>
  <si>
    <t>Datacenter Name</t>
  </si>
  <si>
    <t>Cluster Name</t>
  </si>
  <si>
    <t>Domain Name</t>
  </si>
  <si>
    <t>vsphere.local</t>
  </si>
  <si>
    <t>SSO Username</t>
  </si>
  <si>
    <t>administrator@vsphere.local</t>
  </si>
  <si>
    <t>Enter configuration details for the NSX Manager to be deployed.</t>
  </si>
  <si>
    <t>Cluster FQDN</t>
  </si>
  <si>
    <t>Appliance 1 FQDN</t>
  </si>
  <si>
    <t>Appliance 2 FQDN</t>
  </si>
  <si>
    <t>Appliance 3 FQDN</t>
  </si>
  <si>
    <t>Audit Password</t>
  </si>
  <si>
    <t>Enable Edge cluster sync and import NSX Edge node VMs</t>
  </si>
  <si>
    <t>Storage</t>
  </si>
  <si>
    <t>Select your desired storage type and fill out the corresponding fields</t>
  </si>
  <si>
    <t>vSAN Architecture</t>
  </si>
  <si>
    <t>vSAN-ESA</t>
  </si>
  <si>
    <t>NFSv3</t>
  </si>
  <si>
    <t>Datastore Name</t>
  </si>
  <si>
    <t>Failures to Tolerate</t>
  </si>
  <si>
    <t>1</t>
  </si>
  <si>
    <t>Enable vSAN Deduplication and Compression</t>
  </si>
  <si>
    <t>Path to NFS Share</t>
  </si>
  <si>
    <t>NFS Server IP Address</t>
  </si>
  <si>
    <t>NFS Datastore with datastore bound to vmknic</t>
  </si>
  <si>
    <t>Hosts</t>
  </si>
  <si>
    <t>Add Hosts</t>
  </si>
  <si>
    <t>ESX Root Password</t>
  </si>
  <si>
    <t>VMw@re1!</t>
  </si>
  <si>
    <t xml:space="preserve">Host #1 FQDN </t>
  </si>
  <si>
    <t xml:space="preserve">Host #2 FQDN </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</si>
  <si>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</si>
  <si>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</si>
  <si>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</si>
  <si>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</si>
  <si>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</si>
  <si>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</si>
  <si>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</si>
  <si>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</si>
  <si>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</si>
  <si>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</si>
  <si>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</si>
  <si>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</si>
  <si>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</si>
  <si>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</si>
  <si>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</si>
  <si>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ESX Management Network</t>
  </si>
  <si>
    <t>VLAN ID</t>
  </si>
  <si>
    <t>Gateway</t>
  </si>
  <si>
    <t>CIDR Notation</t>
  </si>
  <si>
    <t>MTU</t>
  </si>
  <si>
    <t>VM Management Network</t>
  </si>
  <si>
    <t>Use same inputs from Management Network</t>
  </si>
  <si>
    <t>vMotion Network</t>
  </si>
  <si>
    <t>vMotion IP Address Range - Start</t>
  </si>
  <si>
    <t>vMotion IP Address Range - End</t>
  </si>
  <si>
    <t>vSAN Network</t>
  </si>
  <si>
    <t>vSAN IP Address Range - Start</t>
  </si>
  <si>
    <t>vSAN IP Address Range - End</t>
  </si>
  <si>
    <t>NFS Network</t>
  </si>
  <si>
    <t>NFS IP Address Range - Start</t>
  </si>
  <si>
    <t>NFS IP Address Range - End</t>
  </si>
  <si>
    <t>Distributed Switch</t>
  </si>
  <si>
    <t>Provide the vSphere Distributed Switch configuration to be applied to the hosts in the cluster.</t>
  </si>
  <si>
    <t>Selected Profile</t>
  </si>
  <si>
    <t>Storage Traffic Separation</t>
  </si>
  <si>
    <t>Distributed Switch Configuration</t>
  </si>
  <si>
    <t>Primary Distributed Switch</t>
  </si>
  <si>
    <t>Distributed Switch Name</t>
  </si>
  <si>
    <t>VDS Uplinks</t>
  </si>
  <si>
    <t>LAG Name</t>
  </si>
  <si>
    <t>LACP Mode</t>
  </si>
  <si>
    <t>Active</t>
  </si>
  <si>
    <t>LAG Load Balancing</t>
  </si>
  <si>
    <t>Source and destination IP and TCP/UDP port and vLAN</t>
  </si>
  <si>
    <t>LACP Time Out</t>
  </si>
  <si>
    <t>Slow</t>
  </si>
  <si>
    <t>Number of Uplinks</t>
  </si>
  <si>
    <t>vmnic0</t>
  </si>
  <si>
    <t>vmnic1</t>
  </si>
  <si>
    <t>Secondary Distributed Switch Name</t>
  </si>
  <si>
    <t>vmnic2</t>
  </si>
  <si>
    <t>vmnic3</t>
  </si>
  <si>
    <t>Tertiary Distributed Switch Name</t>
  </si>
  <si>
    <t>vmnic4</t>
  </si>
  <si>
    <t>vmnic5</t>
  </si>
  <si>
    <t>Network Traffic: ESX Management Network</t>
  </si>
  <si>
    <t>Distributed PortGroup Name</t>
  </si>
  <si>
    <t>Load Balancing</t>
  </si>
  <si>
    <t>Route Based on Physical NIC Load</t>
  </si>
  <si>
    <t>Route based on the source of the port ID</t>
  </si>
  <si>
    <t>uplink1</t>
  </si>
  <si>
    <t>uplink2</t>
  </si>
  <si>
    <t>Network Traffic: VM Management</t>
  </si>
  <si>
    <t>Network Traffic: vMotion</t>
  </si>
  <si>
    <t>Network Traffic: vSAN</t>
  </si>
  <si>
    <t>Network Traffic: NFS</t>
  </si>
  <si>
    <t>Network Traffic: NSX</t>
  </si>
  <si>
    <t>Apply default operation mode configured in NSX Manager</t>
  </si>
  <si>
    <t xml:space="preserve">Leaving this as selected enables Enhanced Datapath Standard by default. </t>
  </si>
  <si>
    <t>Operational Mode</t>
  </si>
  <si>
    <t>Enhanced Datapath Standard</t>
  </si>
  <si>
    <t>Route Based on the Source of the Port ID</t>
  </si>
  <si>
    <t>Transport Zones</t>
  </si>
  <si>
    <t>Transport Zone Name</t>
  </si>
  <si>
    <t>IP Assignment (TEP)</t>
  </si>
  <si>
    <t>IP Pool</t>
  </si>
  <si>
    <t>Pool name</t>
  </si>
  <si>
    <t>Description</t>
  </si>
  <si>
    <t>ESX Host Overlay TEP IP Pool</t>
  </si>
  <si>
    <t>CIDR</t>
  </si>
  <si>
    <t>IP Range Start:</t>
  </si>
  <si>
    <t>IP Range End:</t>
  </si>
  <si>
    <t>Enter the configuration details for the SDDC Manager appliance.</t>
  </si>
  <si>
    <t xml:space="preserve">VCF Installer deployed location </t>
  </si>
  <si>
    <t>Deployed on one of the hosts in the management domain</t>
  </si>
  <si>
    <t>VCF Password</t>
  </si>
  <si>
    <t xml:space="preserve">VCF MGMT Domain FQDN and IP Addresses </t>
  </si>
  <si>
    <t>Host Overlay Network</t>
  </si>
  <si>
    <t xml:space="preserve">Use this additional table to capture IP addressed required for each appliance being deployed </t>
  </si>
  <si>
    <t xml:space="preserve">VCF Fleet Management </t>
  </si>
  <si>
    <t>Reference IP Address</t>
  </si>
  <si>
    <t>Your IP Address</t>
  </si>
  <si>
    <t xml:space="preserve">VCF Operations </t>
  </si>
  <si>
    <t>n/a</t>
  </si>
  <si>
    <t>vCenter | VCF installer | SDDC Manager</t>
  </si>
  <si>
    <t>NSX</t>
  </si>
  <si>
    <t>ESX</t>
  </si>
  <si>
    <t>Management IP (ESX Host 1)</t>
  </si>
  <si>
    <t>Value Missing</t>
  </si>
  <si>
    <t>Management IP (ESX Host 2)</t>
  </si>
  <si>
    <t>Management IP (ESX Host 3)</t>
  </si>
  <si>
    <t>Management IP (ESX Host 4)</t>
  </si>
  <si>
    <t>Management IP (ESX Host 5)</t>
  </si>
  <si>
    <t>Management IP (ESX Host 6)</t>
  </si>
  <si>
    <t>Management IP (ESX Host 7)</t>
  </si>
  <si>
    <t>Management IP (ESX Host 8)</t>
  </si>
  <si>
    <t>Management IP (ESX Host 9)</t>
  </si>
  <si>
    <t>Management IP (ESX Host 10)</t>
  </si>
  <si>
    <t>Management IP (ESX Host 11)</t>
  </si>
  <si>
    <t>Management IP (ESX Host 12)</t>
  </si>
  <si>
    <t>Management IP (ESX Host 13)</t>
  </si>
  <si>
    <t>Management IP (ESX Host 14)</t>
  </si>
  <si>
    <t>Management IP (ESX Host 15)</t>
  </si>
  <si>
    <t>Management IP (ESX Host 16)</t>
  </si>
  <si>
    <t xml:space="preserve">Possible Advanced Settings  </t>
  </si>
  <si>
    <t>FIPS</t>
  </si>
  <si>
    <t>EVC Setting</t>
  </si>
  <si>
    <t>N/A</t>
  </si>
  <si>
    <t>Resource Pool SDDC Management</t>
  </si>
  <si>
    <t>Resource Pool SDDC Edge</t>
  </si>
  <si>
    <t>Resource Pool User Edge</t>
  </si>
  <si>
    <t>Resource Pool User VM</t>
  </si>
  <si>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</si>
  <si>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</si>
  <si>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</si>
  <si>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</si>
  <si>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</si>
  <si>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</si>
  <si>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Stretched Cluster</t>
  </si>
  <si>
    <t>NSX Federation for Management Domain</t>
  </si>
  <si>
    <t>Management Domain: Post-Deployment Options</t>
  </si>
  <si>
    <t>Microsoft CA</t>
  </si>
  <si>
    <t>Centralized Connectivity</t>
  </si>
  <si>
    <t>NSX Network Connectivity for MGMT Workload Domain</t>
  </si>
  <si>
    <t>vSAN Stretched Cluster</t>
  </si>
  <si>
    <t>Active Global Manager</t>
  </si>
  <si>
    <t>Configure SFTP Backups for SDDC Manager and NSX {VCF Operations}</t>
  </si>
  <si>
    <t>Configure SFTP Settings</t>
  </si>
  <si>
    <t xml:space="preserve">Host FQDN or IP </t>
  </si>
  <si>
    <t>20.10.5.10</t>
  </si>
  <si>
    <t>SFTP server for NSX Backups</t>
  </si>
  <si>
    <t>Port</t>
  </si>
  <si>
    <t>Transfer Protocol</t>
  </si>
  <si>
    <t>SFTP</t>
  </si>
  <si>
    <t>svc-vcf-bck</t>
  </si>
  <si>
    <t>Backup Directory</t>
  </si>
  <si>
    <t>/backups/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</si>
  <si>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</si>
  <si>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</si>
  <si>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</si>
  <si>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</si>
  <si>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</si>
  <si>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</si>
  <si>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</si>
  <si>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</si>
  <si>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</si>
  <si>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</si>
  <si>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</si>
  <si>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</si>
  <si>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</si>
  <si>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</si>
  <si>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</si>
  <si>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</si>
  <si>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</si>
  <si>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</si>
  <si>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</si>
  <si>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</si>
  <si>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Microsoft</t>
  </si>
  <si>
    <t>Installing Microsoft CA-Signed Certificates using VCF Operations</t>
  </si>
  <si>
    <t>Algorithm</t>
  </si>
  <si>
    <t>RSA</t>
  </si>
  <si>
    <t>Organization</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</si>
  <si>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</si>
  <si>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</si>
  <si>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</si>
  <si>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</si>
  <si>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</si>
  <si>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</si>
  <si>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</si>
  <si>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</si>
  <si>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</si>
  <si>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</si>
  <si>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</si>
  <si>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</si>
  <si>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</si>
  <si>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</si>
  <si>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</si>
  <si>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</si>
  <si>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</si>
  <si>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</si>
  <si>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</si>
  <si>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</si>
  <si>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NSX Routing for Management  Domain {vCenter}</t>
  </si>
  <si>
    <t>Create an NSX Edge Cluster</t>
  </si>
  <si>
    <t>Gateway Type</t>
  </si>
  <si>
    <t>External Network Connectivity</t>
  </si>
  <si>
    <t>Gateway CIDR IPv4</t>
  </si>
  <si>
    <t>10.11.98.1/24</t>
  </si>
  <si>
    <t>Edge Cluster</t>
  </si>
  <si>
    <t>Edge Cluster Name</t>
  </si>
  <si>
    <t>Tunnel Endpoint MTU</t>
  </si>
  <si>
    <t xml:space="preserve">Is configured as part of the Global Fabric setting </t>
  </si>
  <si>
    <t>Edge Form Factor</t>
  </si>
  <si>
    <t>Edge Node 1</t>
  </si>
  <si>
    <t>Edge Node 1: Edge Node Name (FQDN)</t>
  </si>
  <si>
    <t>Values are set based on vSphere Cluster configuration in the Deploy Management Domain Tab</t>
  </si>
  <si>
    <t>Resource Pool</t>
  </si>
  <si>
    <t xml:space="preserve">Resource Pool is optional and must be precreated in vCenter Prior to Starting this workflow </t>
  </si>
  <si>
    <t>Host Group Affinity</t>
  </si>
  <si>
    <t>No</t>
  </si>
  <si>
    <t>Host Group</t>
  </si>
  <si>
    <t>Datastore</t>
  </si>
  <si>
    <t>Values are set based on Datastoreconfiguration in the Deploy Management Domain Tab</t>
  </si>
  <si>
    <t>IP Allocation</t>
  </si>
  <si>
    <t>Static</t>
  </si>
  <si>
    <t>Port Group</t>
  </si>
  <si>
    <t>Values are set based on VM Management Network configuration in the Deploy Management Domain Tab</t>
  </si>
  <si>
    <t>Edge Node 1: Management IP (CIDR)</t>
  </si>
  <si>
    <t>Edge Node 1: Management Gateway</t>
  </si>
  <si>
    <t>Values are set based on VM Management Network configuration in the Deploy Management Domain Tab. Click to Redirect</t>
  </si>
  <si>
    <t>Use the host overlay network configuration from the selected vSphere Cluster</t>
  </si>
  <si>
    <t xml:space="preserve">Unselected </t>
  </si>
  <si>
    <t>Edge Node 1 Uplink Mapping</t>
  </si>
  <si>
    <t>fp-eth0</t>
  </si>
  <si>
    <t>Active PNIC</t>
  </si>
  <si>
    <t>Standby PNIC</t>
  </si>
  <si>
    <t>fp-eth1</t>
  </si>
  <si>
    <t>TEP VLAN</t>
  </si>
  <si>
    <t>IP Allocation (TEP)</t>
  </si>
  <si>
    <t>Static IP List</t>
  </si>
  <si>
    <t xml:space="preserve">IP Pool </t>
  </si>
  <si>
    <t>Edge Overlay Pool: Start IP</t>
  </si>
  <si>
    <t>Edge Overlay Pool: End IP</t>
  </si>
  <si>
    <t>IPv4 Static List - Edge Node 1: Edge TEP 1 IP</t>
  </si>
  <si>
    <t>IPv4 Static List - Edge Node 1: Edge TEP 2 IP</t>
  </si>
  <si>
    <t>Static IPv4 Gateway</t>
  </si>
  <si>
    <t>IPv4 Subnet Mask</t>
  </si>
  <si>
    <t>255.255.255.0</t>
  </si>
  <si>
    <t>Edge Node 2</t>
  </si>
  <si>
    <t>Edge Node 2: Edge Node Name (FQDN)</t>
  </si>
  <si>
    <t xml:space="preserve">Value is set based on Host Group Affinity for Edge node 1 </t>
  </si>
  <si>
    <t xml:space="preserve">Value is set based on IP allocation for Edge node 1 </t>
  </si>
  <si>
    <t>Edge Node 2: Management IP (CIDR)</t>
  </si>
  <si>
    <t>Edge Node 2: Management Gateway</t>
  </si>
  <si>
    <t xml:space="preserve">Value is set based on configuration for Edge node 1 </t>
  </si>
  <si>
    <t>Edge Node 2 Uplink Mapping</t>
  </si>
  <si>
    <t>IPv4 Static List - Edge Node 2: Edge TEP 1 IP (CIDR)</t>
  </si>
  <si>
    <t>IPv4 Static List - Edge Node 2: Edge TEP 2 IP (CIDR)</t>
  </si>
  <si>
    <t>Auto generate passwords with VCF to manage Edge node</t>
  </si>
  <si>
    <t>Edge Root Password</t>
  </si>
  <si>
    <t>Edge Admin Password</t>
  </si>
  <si>
    <t>Workload Domain Connectivity</t>
  </si>
  <si>
    <t>Skip Gateway and Routing configurations for now</t>
  </si>
  <si>
    <t>Gateway Name</t>
  </si>
  <si>
    <t>High Availability Mode</t>
  </si>
  <si>
    <t>Active-Active</t>
  </si>
  <si>
    <t>Gateway Routing Type</t>
  </si>
  <si>
    <t>BGP</t>
  </si>
  <si>
    <t>ASN</t>
  </si>
  <si>
    <t>Edge 01 Gateway Uplinks</t>
  </si>
  <si>
    <t xml:space="preserve">First Uplink - Gateway Interface VLAN </t>
  </si>
  <si>
    <t>NSX Edge Uplink 1 VLAN</t>
  </si>
  <si>
    <t xml:space="preserve">Gateway Interface IP </t>
  </si>
  <si>
    <t>Uplink 1 IP Address for Edge Node 1</t>
  </si>
  <si>
    <t xml:space="preserve">BGP Peer IP </t>
  </si>
  <si>
    <t>BFD</t>
  </si>
  <si>
    <t>BGP Peer ASN</t>
  </si>
  <si>
    <t>BGP Peer Password</t>
  </si>
  <si>
    <t xml:space="preserve">Second Uplink - Gateway Interface VLAN </t>
  </si>
  <si>
    <t>NSX Edge Uplink 2 VLAN</t>
  </si>
  <si>
    <t>Uplink 2 IP Address for Edge Node 2</t>
  </si>
  <si>
    <t>Edge 02 Gateway Uplinks</t>
  </si>
  <si>
    <t>Uplink 1 IP Address for Edge Node 2</t>
  </si>
  <si>
    <t>Top of Rack 1 - IP Address</t>
  </si>
  <si>
    <t>Top of Rack 1 - Autonomous System ID</t>
  </si>
  <si>
    <t>Top of Rack 1 - BGP Neighbor Password</t>
  </si>
  <si>
    <t>Top of Rack 2 - IP Address</t>
  </si>
  <si>
    <t>Top of Rack 2 - Autonomous System ID</t>
  </si>
  <si>
    <t>Top of Rack 2 - BGP Neighbor Password</t>
  </si>
  <si>
    <t>VPC Configuration</t>
  </si>
  <si>
    <t>VPC External IP Blocks</t>
  </si>
  <si>
    <t>192.168.21.0/24</t>
  </si>
  <si>
    <t>Provide External IPs to setup external connectivity</t>
  </si>
  <si>
    <t>Private - Transit Gateway IP Blocks</t>
  </si>
  <si>
    <t>172.23.0.0/16</t>
  </si>
  <si>
    <t>Provide Private IPs for VPC configuration</t>
  </si>
  <si>
    <t xml:space="preserve">Additonal Network Information </t>
  </si>
  <si>
    <t>Deploy Edges Using API</t>
  </si>
  <si>
    <t>Include</t>
  </si>
  <si>
    <t>Uplink 1 Network</t>
  </si>
  <si>
    <t>System generated PortGroup names are used unless NSX Edges are deployed using API</t>
  </si>
  <si>
    <t>Uplink 2 Network</t>
  </si>
  <si>
    <t xml:space="preserve">System generated PortGroup names are used unless NSX Edges are deployed using API </t>
  </si>
  <si>
    <t>Edge Overlay Network</t>
  </si>
  <si>
    <t>AVI Load Balancer  {SDDC}</t>
  </si>
  <si>
    <t>Deploy Advanced Load Balancer</t>
  </si>
  <si>
    <t>Select Version</t>
  </si>
  <si>
    <t>31.1.1</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</si>
  <si>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</si>
  <si>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</si>
  <si>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</si>
  <si>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</si>
  <si>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</si>
  <si>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</si>
  <si>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</si>
  <si>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</si>
  <si>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</si>
  <si>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</si>
  <si>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</si>
  <si>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</si>
  <si>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 xml:space="preserve">vSAN Stretched Cluster </t>
  </si>
  <si>
    <t>Initial Host Configuration</t>
  </si>
  <si>
    <t>Host 1</t>
  </si>
  <si>
    <t>Host 2</t>
  </si>
  <si>
    <t>Host 3</t>
  </si>
  <si>
    <t>Host 4</t>
  </si>
  <si>
    <t>Host 5</t>
  </si>
  <si>
    <t>Host 6</t>
  </si>
  <si>
    <t>Host 7</t>
  </si>
  <si>
    <t>Host 8</t>
  </si>
  <si>
    <t>Host 9</t>
  </si>
  <si>
    <t>Host 10</t>
  </si>
  <si>
    <t>Host 11</t>
  </si>
  <si>
    <t>Host 12</t>
  </si>
  <si>
    <t>Host 13</t>
  </si>
  <si>
    <t>Host 14</t>
  </si>
  <si>
    <t>Host 15</t>
  </si>
  <si>
    <t>Host 16</t>
  </si>
  <si>
    <t>Create Network Pool {vCenter}</t>
  </si>
  <si>
    <t xml:space="preserve">VCF Network Pool  Type </t>
  </si>
  <si>
    <t>Create a new VCF Network Pool</t>
  </si>
  <si>
    <t>Network Pool Name</t>
  </si>
  <si>
    <t>Network</t>
  </si>
  <si>
    <t>Subnet Mask</t>
  </si>
  <si>
    <t>Default Gateway</t>
  </si>
  <si>
    <t>Commission Hosts {vCenter}</t>
  </si>
  <si>
    <t xml:space="preserve">Commission Hosts </t>
  </si>
  <si>
    <t>Reference Value</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</si>
  <si>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</si>
  <si>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</si>
  <si>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</si>
  <si>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</si>
  <si>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</si>
  <si>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</si>
  <si>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</si>
  <si>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</si>
  <si>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</si>
  <si>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</si>
  <si>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</si>
  <si>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</si>
  <si>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</si>
  <si>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</si>
  <si>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</si>
  <si>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</si>
  <si>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</si>
  <si>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</si>
  <si>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</si>
  <si>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</si>
  <si>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</si>
  <si>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</si>
  <si>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</si>
  <si>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</si>
  <si>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</si>
  <si>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</si>
  <si>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</si>
  <si>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</si>
  <si>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</si>
  <si>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</si>
  <si>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</si>
  <si>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</si>
  <si>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</si>
  <si>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</si>
  <si>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</si>
  <si>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</si>
  <si>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</si>
  <si>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</si>
  <si>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a vSAN cluster using the SDDC Manager API</t>
  </si>
  <si>
    <t>Stretch a Cluster</t>
  </si>
  <si>
    <t>64d34a69-104d-443e-bd92-d949e278da83</t>
  </si>
  <si>
    <t>&lt;ESX host 1 ID&gt;</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</si>
  <si>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</si>
  <si>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</si>
  <si>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</si>
  <si>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</si>
  <si>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</si>
  <si>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</si>
  <si>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</si>
  <si>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</si>
  <si>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</si>
  <si>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</si>
  <si>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</si>
  <si>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</si>
  <si>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</si>
  <si>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</si>
  <si>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</si>
  <si>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</si>
  <si>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</si>
  <si>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</si>
  <si>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</si>
  <si>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</si>
  <si>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</si>
  <si>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</si>
  <si>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</si>
  <si>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</si>
  <si>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</si>
  <si>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</si>
  <si>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</si>
  <si>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</si>
  <si>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</si>
  <si>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</si>
  <si>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</si>
  <si>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</si>
  <si>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</si>
  <si>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</si>
  <si>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</si>
  <si>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</si>
  <si>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</si>
  <si>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</si>
  <si>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</si>
  <si>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</si>
  <si>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</si>
  <si>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</si>
  <si>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</si>
  <si>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</si>
  <si>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</si>
  <si>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</si>
  <si>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</si>
  <si>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NSX Configuration for Availability Zone 2</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</si>
  <si>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</si>
  <si>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</si>
  <si>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</si>
  <si>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</si>
  <si>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</si>
  <si>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</si>
  <si>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</si>
  <si>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</si>
  <si>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</si>
  <si>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</si>
  <si>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</si>
  <si>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</si>
  <si>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</si>
  <si>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</si>
  <si>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</si>
  <si>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rPr>
        <rFont val="Arial"/>
        <b/>
        <color theme="1"/>
        <sz val="12.0"/>
      </rPr>
      <t>Virtual Machine Name</t>
    </r>
    <r>
      <rPr>
        <rFont val="Arial"/>
        <b val="0"/>
        <i/>
        <color theme="1"/>
        <sz val="12.0"/>
      </rPr>
      <t xml:space="preserve"> (Node 1)</t>
    </r>
  </si>
  <si>
    <r>
      <rPr>
        <rFont val="Arial"/>
        <b/>
        <color theme="1"/>
        <sz val="12.0"/>
      </rPr>
      <t xml:space="preserve">Location </t>
    </r>
    <r>
      <rPr>
        <rFont val="Arial"/>
        <b val="0"/>
        <i/>
        <color theme="1"/>
        <sz val="12.0"/>
      </rPr>
      <t>(Node 1)</t>
    </r>
  </si>
  <si>
    <r>
      <rPr>
        <rFont val="Arial"/>
        <b/>
        <color theme="1"/>
        <sz val="12.0"/>
      </rPr>
      <t>Compute Resource</t>
    </r>
    <r>
      <rPr>
        <rFont val="Arial"/>
        <b val="0"/>
        <i/>
        <color theme="1"/>
        <sz val="12.0"/>
      </rPr>
      <t xml:space="preserve"> (Node 1)</t>
    </r>
  </si>
  <si>
    <r>
      <rPr>
        <rFont val="Arial"/>
        <b/>
        <color theme="1"/>
        <sz val="12.0"/>
      </rPr>
      <t>Deployment configuration size</t>
    </r>
    <r>
      <rPr>
        <rFont val="Arial"/>
        <b val="0"/>
        <i/>
        <color theme="1"/>
        <sz val="12.0"/>
      </rPr>
      <t xml:space="preserve"> (Node 1)</t>
    </r>
  </si>
  <si>
    <r>
      <rPr>
        <rFont val="Arial"/>
        <b/>
        <color theme="1"/>
        <sz val="12.0"/>
      </rPr>
      <t>Datastore</t>
    </r>
    <r>
      <rPr>
        <rFont val="Arial"/>
        <b val="0"/>
        <i/>
        <color theme="1"/>
        <sz val="12.0"/>
      </rPr>
      <t xml:space="preserve"> (Node 1)</t>
    </r>
  </si>
  <si>
    <r>
      <rPr>
        <rFont val="Arial"/>
        <b/>
        <color theme="1"/>
        <sz val="12.0"/>
      </rPr>
      <t>Network 1 (Management Network</t>
    </r>
    <r>
      <rPr>
        <rFont val="Arial"/>
        <b val="0"/>
        <i/>
        <color theme="1"/>
        <sz val="12.0"/>
      </rPr>
      <t>) (Node 1)</t>
    </r>
  </si>
  <si>
    <r>
      <rPr>
        <rFont val="Arial"/>
        <b/>
        <color theme="1"/>
        <sz val="12.0"/>
      </rPr>
      <t xml:space="preserve">System Root User Password </t>
    </r>
    <r>
      <rPr>
        <rFont val="Arial"/>
        <b val="0"/>
        <i/>
        <color theme="1"/>
        <sz val="12.0"/>
      </rPr>
      <t>(Node 1)</t>
    </r>
  </si>
  <si>
    <r>
      <rPr>
        <rFont val="Arial"/>
        <b/>
        <color theme="1"/>
        <sz val="12.0"/>
      </rPr>
      <t>CLI "admin" User Password</t>
    </r>
    <r>
      <rPr>
        <rFont val="Arial"/>
        <b val="0"/>
        <i/>
        <color theme="1"/>
        <sz val="12.0"/>
      </rPr>
      <t xml:space="preserve"> (Node 1)</t>
    </r>
  </si>
  <si>
    <r>
      <rPr>
        <rFont val="Arial"/>
        <b/>
        <color theme="1"/>
        <sz val="12.0"/>
      </rPr>
      <t xml:space="preserve">CLI "audit" User Password </t>
    </r>
    <r>
      <rPr>
        <rFont val="Arial"/>
        <b val="0"/>
        <i/>
        <color theme="1"/>
        <sz val="12.0"/>
      </rPr>
      <t>(Node 1)</t>
    </r>
  </si>
  <si>
    <r>
      <rPr>
        <rFont val="Arial"/>
        <b/>
        <color theme="1"/>
        <sz val="12.0"/>
      </rPr>
      <t xml:space="preserve">Hostname (FQDN) </t>
    </r>
    <r>
      <rPr>
        <rFont val="Arial"/>
        <b val="0"/>
        <i/>
        <color theme="1"/>
        <sz val="12.0"/>
      </rPr>
      <t>(Node 1)</t>
    </r>
  </si>
  <si>
    <t xml:space="preserve"> During OVA deployment FQDN is required. </t>
  </si>
  <si>
    <r>
      <rPr>
        <rFont val="Arial"/>
        <b/>
        <color theme="1"/>
        <sz val="12.0"/>
      </rPr>
      <t xml:space="preserve">Management Network IPv4 Address </t>
    </r>
    <r>
      <rPr>
        <rFont val="Arial"/>
        <b val="0"/>
        <i/>
        <color theme="1"/>
        <sz val="12.0"/>
      </rPr>
      <t>(Node 1)</t>
    </r>
  </si>
  <si>
    <r>
      <rPr>
        <rFont val="Arial"/>
        <b/>
        <color theme="1"/>
        <sz val="12.0"/>
      </rPr>
      <t xml:space="preserve">Management Network Netmask </t>
    </r>
    <r>
      <rPr>
        <rFont val="Arial"/>
        <b val="0"/>
        <i/>
        <color theme="1"/>
        <sz val="12.0"/>
      </rPr>
      <t>(Node 1)</t>
    </r>
  </si>
  <si>
    <r>
      <rPr>
        <rFont val="Arial"/>
        <b/>
        <color theme="1"/>
        <sz val="12.0"/>
      </rPr>
      <t>Default IPv4 Gateway</t>
    </r>
    <r>
      <rPr>
        <rFont val="Arial"/>
        <b val="0"/>
        <i/>
        <color theme="1"/>
        <sz val="12.0"/>
      </rPr>
      <t xml:space="preserve"> (Node 1)</t>
    </r>
  </si>
  <si>
    <r>
      <rPr>
        <rFont val="Arial"/>
        <b/>
        <color theme="1"/>
        <sz val="12.0"/>
      </rPr>
      <t xml:space="preserve">DNS Server list </t>
    </r>
    <r>
      <rPr>
        <rFont val="Arial"/>
        <b val="0"/>
        <i/>
        <color theme="1"/>
        <sz val="12.0"/>
      </rPr>
      <t>(Node 1)</t>
    </r>
  </si>
  <si>
    <r>
      <rPr>
        <rFont val="Arial"/>
        <b/>
        <color theme="1"/>
        <sz val="12.0"/>
      </rPr>
      <t>Domain Search List</t>
    </r>
    <r>
      <rPr>
        <rFont val="Arial"/>
        <b val="0"/>
        <i/>
        <color theme="1"/>
        <sz val="12.0"/>
      </rPr>
      <t xml:space="preserve"> (Node 1)</t>
    </r>
  </si>
  <si>
    <r>
      <rPr>
        <rFont val="Arial"/>
        <b/>
        <color theme="1"/>
        <sz val="12.0"/>
      </rPr>
      <t>NTP Server List</t>
    </r>
    <r>
      <rPr>
        <rFont val="Arial"/>
        <b val="0"/>
        <i/>
        <color theme="1"/>
        <sz val="12.0"/>
      </rPr>
      <t xml:space="preserve"> (Node 1)</t>
    </r>
  </si>
  <si>
    <t>NSX Global Manager #2</t>
  </si>
  <si>
    <r>
      <rPr>
        <rFont val="Arial"/>
        <b/>
        <color theme="1"/>
        <sz val="12.0"/>
      </rPr>
      <t>Virtual Machine Name</t>
    </r>
    <r>
      <rPr>
        <rFont val="Arial"/>
        <b val="0"/>
        <i/>
        <color theme="1"/>
        <sz val="12.0"/>
      </rPr>
      <t xml:space="preserve"> (Node 2)</t>
    </r>
  </si>
  <si>
    <r>
      <rPr>
        <rFont val="Arial"/>
        <b/>
        <color theme="1"/>
        <sz val="12.0"/>
      </rPr>
      <t xml:space="preserve">Location </t>
    </r>
    <r>
      <rPr>
        <rFont val="Arial"/>
        <b val="0"/>
        <i/>
        <color theme="1"/>
        <sz val="12.0"/>
      </rPr>
      <t>(Node 2)</t>
    </r>
  </si>
  <si>
    <r>
      <rPr>
        <rFont val="Arial"/>
        <b/>
        <color theme="1"/>
        <sz val="12.0"/>
      </rPr>
      <t>Compute Resource</t>
    </r>
    <r>
      <rPr>
        <rFont val="Arial"/>
        <b val="0"/>
        <i/>
        <color theme="1"/>
        <sz val="12.0"/>
      </rPr>
      <t xml:space="preserve"> (Node 2)</t>
    </r>
  </si>
  <si>
    <r>
      <rPr>
        <rFont val="Arial"/>
        <b/>
        <color theme="1"/>
        <sz val="12.0"/>
      </rPr>
      <t>Deployment configuration size</t>
    </r>
    <r>
      <rPr>
        <rFont val="Arial"/>
        <b val="0"/>
        <i/>
        <color theme="1"/>
        <sz val="12.0"/>
      </rPr>
      <t xml:space="preserve"> (Node 2)</t>
    </r>
  </si>
  <si>
    <r>
      <rPr>
        <rFont val="Arial"/>
        <b/>
        <color theme="1"/>
        <sz val="12.0"/>
      </rPr>
      <t>Datastore</t>
    </r>
    <r>
      <rPr>
        <rFont val="Arial"/>
        <b val="0"/>
        <i/>
        <color theme="1"/>
        <sz val="12.0"/>
      </rPr>
      <t xml:space="preserve"> (Node 2)</t>
    </r>
  </si>
  <si>
    <r>
      <rPr>
        <rFont val="Arial"/>
        <b/>
        <color theme="1"/>
        <sz val="12.0"/>
      </rPr>
      <t>Network 1 (Management Network</t>
    </r>
    <r>
      <rPr>
        <rFont val="Arial"/>
        <b val="0"/>
        <i/>
        <color theme="1"/>
        <sz val="12.0"/>
      </rPr>
      <t>) (Node 2)</t>
    </r>
  </si>
  <si>
    <r>
      <rPr>
        <rFont val="Arial"/>
        <b/>
        <color theme="1"/>
        <sz val="12.0"/>
      </rPr>
      <t xml:space="preserve">System Root User Password </t>
    </r>
    <r>
      <rPr>
        <rFont val="Arial"/>
        <b val="0"/>
        <i/>
        <color theme="1"/>
        <sz val="12.0"/>
      </rPr>
      <t>(Node 2)</t>
    </r>
  </si>
  <si>
    <r>
      <rPr>
        <rFont val="Arial"/>
        <b/>
        <color theme="1"/>
        <sz val="12.0"/>
      </rPr>
      <t>CLI "admin" User Password</t>
    </r>
    <r>
      <rPr>
        <rFont val="Arial"/>
        <b val="0"/>
        <i/>
        <color theme="1"/>
        <sz val="12.0"/>
      </rPr>
      <t xml:space="preserve"> (Node 2)</t>
    </r>
  </si>
  <si>
    <r>
      <rPr>
        <rFont val="Arial"/>
        <b/>
        <color theme="1"/>
        <sz val="12.0"/>
      </rPr>
      <t xml:space="preserve">CLI "audit" User Password </t>
    </r>
    <r>
      <rPr>
        <rFont val="Arial"/>
        <b val="0"/>
        <i/>
        <color theme="1"/>
        <sz val="12.0"/>
      </rPr>
      <t>(Node 2)</t>
    </r>
  </si>
  <si>
    <r>
      <rPr>
        <rFont val="Arial"/>
        <b/>
        <color theme="1"/>
        <sz val="12.0"/>
      </rPr>
      <t xml:space="preserve">Hostname (FQDN) </t>
    </r>
    <r>
      <rPr>
        <rFont val="Arial"/>
        <b val="0"/>
        <i/>
        <color theme="1"/>
        <sz val="12.0"/>
      </rPr>
      <t>(Node 2)</t>
    </r>
  </si>
  <si>
    <r>
      <rPr>
        <rFont val="Arial"/>
        <b/>
        <color theme="1"/>
        <sz val="12.0"/>
      </rPr>
      <t xml:space="preserve">Management Network IPv4 Address </t>
    </r>
    <r>
      <rPr>
        <rFont val="Arial"/>
        <b val="0"/>
        <i/>
        <color theme="1"/>
        <sz val="12.0"/>
      </rPr>
      <t>(Node 2)</t>
    </r>
  </si>
  <si>
    <r>
      <rPr>
        <rFont val="Arial"/>
        <b/>
        <color theme="1"/>
        <sz val="12.0"/>
      </rPr>
      <t xml:space="preserve">Management Network Netmask </t>
    </r>
    <r>
      <rPr>
        <rFont val="Arial"/>
        <b val="0"/>
        <i/>
        <color theme="1"/>
        <sz val="12.0"/>
      </rPr>
      <t>(Node 2)</t>
    </r>
  </si>
  <si>
    <r>
      <rPr>
        <rFont val="Arial"/>
        <b/>
        <color theme="1"/>
        <sz val="12.0"/>
      </rPr>
      <t>Default IPv4 Gateway</t>
    </r>
    <r>
      <rPr>
        <rFont val="Arial"/>
        <b val="0"/>
        <i/>
        <color theme="1"/>
        <sz val="12.0"/>
      </rPr>
      <t xml:space="preserve"> (Node 2)</t>
    </r>
  </si>
  <si>
    <r>
      <rPr>
        <rFont val="Arial"/>
        <b/>
        <color theme="1"/>
        <sz val="12.0"/>
      </rPr>
      <t xml:space="preserve">DNS Server list </t>
    </r>
    <r>
      <rPr>
        <rFont val="Arial"/>
        <b val="0"/>
        <i/>
        <color theme="1"/>
        <sz val="12.0"/>
      </rPr>
      <t>(Node 2)</t>
    </r>
  </si>
  <si>
    <r>
      <rPr>
        <rFont val="Arial"/>
        <b/>
        <color theme="1"/>
        <sz val="12.0"/>
      </rPr>
      <t>Domain Search List</t>
    </r>
    <r>
      <rPr>
        <rFont val="Arial"/>
        <b val="0"/>
        <i/>
        <color theme="1"/>
        <sz val="12.0"/>
      </rPr>
      <t xml:space="preserve"> (Node 2)</t>
    </r>
  </si>
  <si>
    <r>
      <rPr>
        <rFont val="Arial"/>
        <b/>
        <color theme="1"/>
        <sz val="12.0"/>
      </rPr>
      <t>NTP Server List</t>
    </r>
    <r>
      <rPr>
        <rFont val="Arial"/>
        <b val="0"/>
        <i/>
        <color theme="1"/>
        <sz val="12.0"/>
      </rPr>
      <t xml:space="preserve"> (Node 2)</t>
    </r>
  </si>
  <si>
    <t>NSX Global Manager #3</t>
  </si>
  <si>
    <r>
      <rPr>
        <rFont val="Arial"/>
        <b/>
        <color theme="1"/>
        <sz val="12.0"/>
      </rPr>
      <t>Virtual Machine Name</t>
    </r>
    <r>
      <rPr>
        <rFont val="Arial"/>
        <b val="0"/>
        <i/>
        <color theme="1"/>
        <sz val="12.0"/>
      </rPr>
      <t xml:space="preserve"> (Node 3)</t>
    </r>
  </si>
  <si>
    <r>
      <rPr>
        <rFont val="Arial"/>
        <b/>
        <color theme="1"/>
        <sz val="12.0"/>
      </rPr>
      <t xml:space="preserve">Location </t>
    </r>
    <r>
      <rPr>
        <rFont val="Arial"/>
        <b val="0"/>
        <i/>
        <color theme="1"/>
        <sz val="12.0"/>
      </rPr>
      <t>(Node 3)</t>
    </r>
  </si>
  <si>
    <r>
      <rPr>
        <rFont val="Arial"/>
        <b/>
        <color theme="1"/>
        <sz val="12.0"/>
      </rPr>
      <t>Compute Resource</t>
    </r>
    <r>
      <rPr>
        <rFont val="Arial"/>
        <b val="0"/>
        <i/>
        <color theme="1"/>
        <sz val="12.0"/>
      </rPr>
      <t xml:space="preserve"> (Node 3)</t>
    </r>
  </si>
  <si>
    <r>
      <rPr>
        <rFont val="Arial"/>
        <b/>
        <color theme="1"/>
        <sz val="12.0"/>
      </rPr>
      <t>Deployment configuration size</t>
    </r>
    <r>
      <rPr>
        <rFont val="Arial"/>
        <b val="0"/>
        <i/>
        <color theme="1"/>
        <sz val="12.0"/>
      </rPr>
      <t xml:space="preserve"> (Node 3)</t>
    </r>
  </si>
  <si>
    <r>
      <rPr>
        <rFont val="Arial"/>
        <b/>
        <color theme="1"/>
        <sz val="12.0"/>
      </rPr>
      <t>Datastore</t>
    </r>
    <r>
      <rPr>
        <rFont val="Arial"/>
        <b val="0"/>
        <i/>
        <color theme="1"/>
        <sz val="12.0"/>
      </rPr>
      <t xml:space="preserve"> (Node 3)</t>
    </r>
  </si>
  <si>
    <r>
      <rPr>
        <rFont val="Arial"/>
        <b/>
        <color theme="1"/>
        <sz val="12.0"/>
      </rPr>
      <t>Network 1 (Management Network</t>
    </r>
    <r>
      <rPr>
        <rFont val="Arial"/>
        <b val="0"/>
        <i/>
        <color theme="1"/>
        <sz val="12.0"/>
      </rPr>
      <t>) (Node 3)</t>
    </r>
  </si>
  <si>
    <r>
      <rPr>
        <rFont val="Arial"/>
        <b/>
        <color theme="1"/>
        <sz val="12.0"/>
      </rPr>
      <t xml:space="preserve">System Root User Password </t>
    </r>
    <r>
      <rPr>
        <rFont val="Arial"/>
        <b val="0"/>
        <i/>
        <color theme="1"/>
        <sz val="12.0"/>
      </rPr>
      <t>(Node 3)</t>
    </r>
  </si>
  <si>
    <r>
      <rPr>
        <rFont val="Arial"/>
        <b/>
        <color theme="1"/>
        <sz val="12.0"/>
      </rPr>
      <t>CLI "admin" User Password</t>
    </r>
    <r>
      <rPr>
        <rFont val="Arial"/>
        <b val="0"/>
        <i/>
        <color theme="1"/>
        <sz val="12.0"/>
      </rPr>
      <t xml:space="preserve"> (Node 3)</t>
    </r>
  </si>
  <si>
    <r>
      <rPr>
        <rFont val="Arial"/>
        <b/>
        <color theme="1"/>
        <sz val="12.0"/>
      </rPr>
      <t xml:space="preserve">CLI "audit" User Password </t>
    </r>
    <r>
      <rPr>
        <rFont val="Arial"/>
        <b val="0"/>
        <i/>
        <color theme="1"/>
        <sz val="12.0"/>
      </rPr>
      <t>(Node 3)</t>
    </r>
  </si>
  <si>
    <r>
      <rPr>
        <rFont val="Arial"/>
        <b/>
        <color theme="1"/>
        <sz val="12.0"/>
      </rPr>
      <t xml:space="preserve">Hostname (FQDN) </t>
    </r>
    <r>
      <rPr>
        <rFont val="Arial"/>
        <b val="0"/>
        <i/>
        <color theme="1"/>
        <sz val="12.0"/>
      </rPr>
      <t>(Node 3)</t>
    </r>
  </si>
  <si>
    <r>
      <rPr>
        <rFont val="Arial"/>
        <b/>
        <color theme="1"/>
        <sz val="12.0"/>
      </rPr>
      <t xml:space="preserve">Management Network IPv4 Address </t>
    </r>
    <r>
      <rPr>
        <rFont val="Arial"/>
        <b val="0"/>
        <i/>
        <color theme="1"/>
        <sz val="12.0"/>
      </rPr>
      <t>(Node 3)</t>
    </r>
  </si>
  <si>
    <r>
      <rPr>
        <rFont val="Arial"/>
        <b/>
        <color theme="1"/>
        <sz val="12.0"/>
      </rPr>
      <t xml:space="preserve">Management Network Netmask </t>
    </r>
    <r>
      <rPr>
        <rFont val="Arial"/>
        <b val="0"/>
        <i/>
        <color theme="1"/>
        <sz val="12.0"/>
      </rPr>
      <t>(Node 3)</t>
    </r>
  </si>
  <si>
    <r>
      <rPr>
        <rFont val="Arial"/>
        <b/>
        <color theme="1"/>
        <sz val="12.0"/>
      </rPr>
      <t>Default IPv4 Gateway</t>
    </r>
    <r>
      <rPr>
        <rFont val="Arial"/>
        <b val="0"/>
        <i/>
        <color theme="1"/>
        <sz val="12.0"/>
      </rPr>
      <t xml:space="preserve"> (Node 3)</t>
    </r>
  </si>
  <si>
    <r>
      <rPr>
        <rFont val="Arial"/>
        <b/>
        <color theme="1"/>
        <sz val="12.0"/>
      </rPr>
      <t xml:space="preserve">DNS Server list </t>
    </r>
    <r>
      <rPr>
        <rFont val="Arial"/>
        <b val="0"/>
        <i/>
        <color theme="1"/>
        <sz val="12.0"/>
      </rPr>
      <t>(Node 3)</t>
    </r>
  </si>
  <si>
    <r>
      <rPr>
        <rFont val="Arial"/>
        <b/>
        <color theme="1"/>
        <sz val="12.0"/>
      </rPr>
      <t>Domain Search List</t>
    </r>
    <r>
      <rPr>
        <rFont val="Arial"/>
        <b val="0"/>
        <i/>
        <color theme="1"/>
        <sz val="12.0"/>
      </rPr>
      <t xml:space="preserve"> (Node 3)</t>
    </r>
  </si>
  <si>
    <r>
      <rPr>
        <rFont val="Arial"/>
        <b/>
        <color theme="1"/>
        <sz val="12.0"/>
      </rPr>
      <t>NTP Server List</t>
    </r>
    <r>
      <rPr>
        <rFont val="Arial"/>
        <b val="0"/>
        <i/>
        <color theme="1"/>
        <sz val="12.0"/>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</si>
  <si>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</si>
  <si>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</si>
  <si>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</si>
  <si>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</si>
  <si>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</si>
  <si>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</si>
  <si>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rPr>
        <rFont val="Arial"/>
        <b/>
        <color rgb="FF000000"/>
        <sz val="12.0"/>
      </rPr>
      <t xml:space="preserve">FQDN </t>
    </r>
    <r>
      <rPr>
        <rFont val="Arial"/>
        <b val="0"/>
        <i/>
        <color rgb="FF000000"/>
        <sz val="12.0"/>
      </rPr>
      <t>(Node 2)</t>
    </r>
  </si>
  <si>
    <r>
      <rPr>
        <rFont val="Arial"/>
        <b/>
        <color rgb="FF000000"/>
        <sz val="12.0"/>
      </rPr>
      <t>first_node_IP</t>
    </r>
    <r>
      <rPr>
        <rFont val="Arial"/>
        <b val="0"/>
        <i/>
        <color rgb="FF000000"/>
        <sz val="12.0"/>
      </rPr>
      <t xml:space="preserve"> (Node 2)</t>
    </r>
  </si>
  <si>
    <r>
      <rPr>
        <rFont val="Arial"/>
        <b/>
        <color rgb="FF000000"/>
        <sz val="12.0"/>
      </rPr>
      <t>cluster_ID</t>
    </r>
    <r>
      <rPr>
        <rFont val="Arial"/>
        <b val="0"/>
        <i/>
        <color rgb="FF000000"/>
        <sz val="12.0"/>
      </rPr>
      <t xml:space="preserve"> (Node 2)</t>
    </r>
  </si>
  <si>
    <r>
      <rPr>
        <rFont val="Arial"/>
        <b/>
        <color rgb="FF000000"/>
        <sz val="12.0"/>
      </rPr>
      <t>username</t>
    </r>
    <r>
      <rPr>
        <rFont val="Arial"/>
        <b val="0"/>
        <i/>
        <color rgb="FF000000"/>
        <sz val="12.0"/>
      </rPr>
      <t xml:space="preserve"> (Node 2)</t>
    </r>
  </si>
  <si>
    <t>admin</t>
  </si>
  <si>
    <r>
      <rPr>
        <rFont val="Arial"/>
        <b/>
        <color rgb="FF000000"/>
        <sz val="12.0"/>
      </rPr>
      <t>nsx_admin_password</t>
    </r>
    <r>
      <rPr>
        <rFont val="Arial"/>
        <b val="0"/>
        <i/>
        <color rgb="FF000000"/>
        <sz val="12.0"/>
      </rPr>
      <t xml:space="preserve"> (Node 2)</t>
    </r>
  </si>
  <si>
    <r>
      <rPr>
        <rFont val="Arial"/>
        <b/>
        <color rgb="FF000000"/>
        <sz val="12.0"/>
      </rPr>
      <t>api_thumbprint</t>
    </r>
    <r>
      <rPr>
        <rFont val="Arial"/>
        <b val="0"/>
        <i/>
        <color rgb="FF000000"/>
        <sz val="12.0"/>
      </rPr>
      <t xml:space="preserve"> (Node 2)</t>
    </r>
  </si>
  <si>
    <r>
      <rPr>
        <rFont val="Arial"/>
        <b/>
        <color rgb="FF000000"/>
        <sz val="12.0"/>
      </rPr>
      <t xml:space="preserve">FQDN </t>
    </r>
    <r>
      <rPr>
        <rFont val="Arial"/>
        <b val="0"/>
        <i/>
        <color rgb="FF000000"/>
        <sz val="12.0"/>
      </rPr>
      <t>(Node 3)</t>
    </r>
  </si>
  <si>
    <r>
      <rPr>
        <rFont val="Arial"/>
        <b/>
        <color rgb="FF000000"/>
        <sz val="12.0"/>
      </rPr>
      <t xml:space="preserve">first_node_IP </t>
    </r>
    <r>
      <rPr>
        <rFont val="Arial"/>
        <b val="0"/>
        <i/>
        <color rgb="FF000000"/>
        <sz val="12.0"/>
      </rPr>
      <t xml:space="preserve"> (Node 3)</t>
    </r>
  </si>
  <si>
    <r>
      <rPr>
        <rFont val="Arial"/>
        <b/>
        <color rgb="FF000000"/>
        <sz val="12.0"/>
      </rPr>
      <t>cluster_ID</t>
    </r>
    <r>
      <rPr>
        <rFont val="Arial"/>
        <b val="0"/>
        <i/>
        <color rgb="FF000000"/>
        <sz val="12.0"/>
      </rPr>
      <t xml:space="preserve"> (Node 3)</t>
    </r>
  </si>
  <si>
    <r>
      <rPr>
        <rFont val="Arial"/>
        <b/>
        <color rgb="FF000000"/>
        <sz val="12.0"/>
      </rPr>
      <t>username</t>
    </r>
    <r>
      <rPr>
        <rFont val="Arial"/>
        <b val="0"/>
        <i/>
        <color rgb="FF000000"/>
        <sz val="12.0"/>
      </rPr>
      <t xml:space="preserve"> (Node 3)</t>
    </r>
  </si>
  <si>
    <r>
      <rPr>
        <rFont val="Arial"/>
        <b/>
        <color rgb="FF000000"/>
        <sz val="12.0"/>
      </rPr>
      <t>nsx_admin_password</t>
    </r>
    <r>
      <rPr>
        <rFont val="Arial"/>
        <b val="0"/>
        <i/>
        <color rgb="FF000000"/>
        <sz val="12.0"/>
      </rPr>
      <t xml:space="preserve"> (Node 3)</t>
    </r>
  </si>
  <si>
    <r>
      <rPr>
        <rFont val="Arial"/>
        <b/>
        <color rgb="FF000000"/>
        <sz val="12.0"/>
      </rPr>
      <t>api_thumbprint</t>
    </r>
    <r>
      <rPr>
        <rFont val="Arial"/>
        <b val="0"/>
        <i/>
        <color rgb="FF000000"/>
        <sz val="12.0"/>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</si>
  <si>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</si>
  <si>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</si>
  <si>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</si>
  <si>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</si>
  <si>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</si>
  <si>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</si>
  <si>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</si>
  <si>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</si>
  <si>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</si>
  <si>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</si>
  <si>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</si>
  <si>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</si>
  <si>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</si>
  <si>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</si>
  <si>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</si>
  <si>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</si>
  <si>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</si>
  <si>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</si>
  <si>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</si>
  <si>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</si>
  <si>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</si>
  <si>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</si>
  <si>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</si>
  <si>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</si>
  <si>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</si>
  <si>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</si>
  <si>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</si>
  <si>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</si>
  <si>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</si>
  <si>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</si>
  <si>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</si>
  <si>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</si>
  <si>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</si>
  <si>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</si>
  <si>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</si>
  <si>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</si>
  <si>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</si>
  <si>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</si>
  <si>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</si>
  <si>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</si>
  <si>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</si>
  <si>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</si>
  <si>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</si>
  <si>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</si>
  <si>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</si>
  <si>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</si>
  <si>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</si>
  <si>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</si>
  <si>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rPr>
        <rFont val="Arial"/>
        <b/>
        <color theme="1"/>
        <sz val="12.0"/>
      </rPr>
      <t>Name</t>
    </r>
    <r>
      <rPr>
        <rFont val="Arial"/>
        <b val="0"/>
        <i/>
        <color theme="1"/>
        <sz val="12.0"/>
      </rPr>
      <t xml:space="preserve"> (1st Additional Interface)</t>
    </r>
  </si>
  <si>
    <r>
      <rPr>
        <rFont val="Arial"/>
        <b/>
        <color theme="1"/>
        <sz val="12.0"/>
      </rPr>
      <t xml:space="preserve">Location </t>
    </r>
    <r>
      <rPr>
        <rFont val="Arial"/>
        <b val="0"/>
        <i/>
        <color theme="1"/>
        <sz val="12.0"/>
      </rPr>
      <t>(1st Additional Interface)</t>
    </r>
  </si>
  <si>
    <r>
      <rPr>
        <rFont val="Arial"/>
        <b/>
        <color theme="1"/>
        <sz val="12.0"/>
      </rPr>
      <t>IP Address/Mask</t>
    </r>
    <r>
      <rPr>
        <rFont val="Arial"/>
        <b val="0"/>
        <i/>
        <color theme="1"/>
        <sz val="12.0"/>
      </rPr>
      <t xml:space="preserve"> (1st Additional Interface)</t>
    </r>
  </si>
  <si>
    <r>
      <rPr>
        <rFont val="Arial"/>
        <b/>
        <color theme="1"/>
        <sz val="12.0"/>
      </rPr>
      <t xml:space="preserve">Segment </t>
    </r>
    <r>
      <rPr>
        <rFont val="Arial"/>
        <b val="0"/>
        <i/>
        <color theme="1"/>
        <sz val="12.0"/>
      </rPr>
      <t>(1st Additional Interface)</t>
    </r>
  </si>
  <si>
    <r>
      <rPr>
        <rFont val="Arial"/>
        <b/>
        <color theme="1"/>
        <sz val="12.0"/>
      </rPr>
      <t>Edge Node</t>
    </r>
    <r>
      <rPr>
        <rFont val="Arial"/>
        <b val="0"/>
        <i/>
        <color theme="1"/>
        <sz val="12.0"/>
      </rPr>
      <t xml:space="preserve"> (1st Additional Interface)</t>
    </r>
  </si>
  <si>
    <t>sfo-m01-en1</t>
  </si>
  <si>
    <r>
      <rPr>
        <rFont val="Arial"/>
        <b/>
        <color theme="1"/>
        <sz val="12.0"/>
      </rPr>
      <t xml:space="preserve">MTU </t>
    </r>
    <r>
      <rPr>
        <rFont val="Arial"/>
        <b val="0"/>
        <i/>
        <color theme="1"/>
        <sz val="12.0"/>
      </rPr>
      <t>(1st Additional Interface)</t>
    </r>
  </si>
  <si>
    <r>
      <rPr>
        <rFont val="Arial"/>
        <b/>
        <color theme="1"/>
        <sz val="12.0"/>
      </rPr>
      <t>Name</t>
    </r>
    <r>
      <rPr>
        <rFont val="Arial"/>
        <b val="0"/>
        <i/>
        <color theme="1"/>
        <sz val="12.0"/>
      </rPr>
      <t xml:space="preserve"> (2nd Additional Interface)</t>
    </r>
  </si>
  <si>
    <r>
      <rPr>
        <rFont val="Arial"/>
        <b/>
        <color theme="1"/>
        <sz val="12.0"/>
      </rPr>
      <t xml:space="preserve">Location </t>
    </r>
    <r>
      <rPr>
        <rFont val="Arial"/>
        <b val="0"/>
        <i/>
        <color theme="1"/>
        <sz val="12.0"/>
      </rPr>
      <t>(2nd Additional Interface)</t>
    </r>
  </si>
  <si>
    <r>
      <rPr>
        <rFont val="Arial"/>
        <b/>
        <color theme="1"/>
        <sz val="12.0"/>
      </rPr>
      <t xml:space="preserve">IP Address/Mask </t>
    </r>
    <r>
      <rPr>
        <rFont val="Arial"/>
        <b val="0"/>
        <i/>
        <color theme="1"/>
        <sz val="12.0"/>
      </rPr>
      <t>(2nd Additional Interface)</t>
    </r>
  </si>
  <si>
    <r>
      <rPr>
        <rFont val="Arial"/>
        <b/>
        <color rgb="FF000000"/>
        <sz val="12.0"/>
      </rPr>
      <t>Segment</t>
    </r>
    <r>
      <rPr>
        <rFont val="Arial"/>
        <b val="0"/>
        <i/>
        <color rgb="FF000000"/>
        <sz val="12.0"/>
      </rPr>
      <t xml:space="preserve"> (2nd Additional Interface)</t>
    </r>
  </si>
  <si>
    <r>
      <rPr>
        <rFont val="Arial"/>
        <b/>
        <color theme="1"/>
        <sz val="12.0"/>
      </rPr>
      <t>Edge Node</t>
    </r>
    <r>
      <rPr>
        <rFont val="Arial"/>
        <b val="0"/>
        <i/>
        <color theme="1"/>
        <sz val="12.0"/>
      </rPr>
      <t xml:space="preserve"> (2nd Additional Interface)</t>
    </r>
  </si>
  <si>
    <t>sfo-m01-en2</t>
  </si>
  <si>
    <r>
      <rPr>
        <rFont val="Arial"/>
        <b/>
        <color theme="1"/>
        <sz val="12.0"/>
      </rPr>
      <t xml:space="preserve">MTU </t>
    </r>
    <r>
      <rPr>
        <rFont val="Arial"/>
        <b val="0"/>
        <i/>
        <color theme="1"/>
        <sz val="12.0"/>
      </rPr>
      <t>(2nd Additional Interface)</t>
    </r>
  </si>
  <si>
    <r>
      <rPr>
        <rFont val="Arial"/>
        <b/>
        <color theme="1"/>
        <sz val="12.0"/>
      </rPr>
      <t>Name</t>
    </r>
    <r>
      <rPr>
        <rFont val="Arial"/>
        <b val="0"/>
        <i/>
        <color theme="1"/>
        <sz val="12.0"/>
      </rPr>
      <t xml:space="preserve"> (3rd Additional Interface)</t>
    </r>
  </si>
  <si>
    <r>
      <rPr>
        <rFont val="Arial"/>
        <b/>
        <color theme="1"/>
        <sz val="12.0"/>
      </rPr>
      <t xml:space="preserve">Location </t>
    </r>
    <r>
      <rPr>
        <rFont val="Arial"/>
        <b val="0"/>
        <i/>
        <color theme="1"/>
        <sz val="12.0"/>
      </rPr>
      <t>(3rd Additional Interface)</t>
    </r>
  </si>
  <si>
    <r>
      <rPr>
        <rFont val="Arial"/>
        <b/>
        <color theme="1"/>
        <sz val="12.0"/>
      </rPr>
      <t>IP Address/Mask</t>
    </r>
    <r>
      <rPr>
        <rFont val="Arial"/>
        <b val="0"/>
        <i/>
        <color theme="1"/>
        <sz val="12.0"/>
      </rPr>
      <t xml:space="preserve"> (3rd Additional Interface)</t>
    </r>
  </si>
  <si>
    <r>
      <rPr>
        <rFont val="Arial"/>
        <b/>
        <color rgb="FF000000"/>
        <sz val="12.0"/>
      </rPr>
      <t>Segment</t>
    </r>
    <r>
      <rPr>
        <rFont val="Arial"/>
        <b val="0"/>
        <i/>
        <color rgb="FF000000"/>
        <sz val="12.0"/>
      </rPr>
      <t xml:space="preserve"> (3rd Additional Interface)</t>
    </r>
  </si>
  <si>
    <r>
      <rPr>
        <rFont val="Arial"/>
        <b/>
        <color theme="1"/>
        <sz val="12.0"/>
      </rPr>
      <t xml:space="preserve">Edge Node </t>
    </r>
    <r>
      <rPr>
        <rFont val="Arial"/>
        <b val="0"/>
        <i/>
        <color theme="1"/>
        <sz val="12.0"/>
      </rPr>
      <t>(3rd Additional Interface)</t>
    </r>
  </si>
  <si>
    <r>
      <rPr>
        <rFont val="Arial"/>
        <b/>
        <color theme="1"/>
        <sz val="12.0"/>
      </rPr>
      <t xml:space="preserve">MTU </t>
    </r>
    <r>
      <rPr>
        <rFont val="Arial"/>
        <b val="0"/>
        <i/>
        <color theme="1"/>
        <sz val="12.0"/>
      </rPr>
      <t>(3rd Additional Interface)</t>
    </r>
  </si>
  <si>
    <r>
      <rPr>
        <rFont val="Arial"/>
        <b/>
        <color theme="1"/>
        <sz val="12.0"/>
      </rPr>
      <t>Name</t>
    </r>
    <r>
      <rPr>
        <rFont val="Arial"/>
        <b val="0"/>
        <i/>
        <color theme="1"/>
        <sz val="12.0"/>
      </rPr>
      <t xml:space="preserve"> (4th Additional Interface)</t>
    </r>
  </si>
  <si>
    <r>
      <rPr>
        <rFont val="Arial"/>
        <b/>
        <color theme="1"/>
        <sz val="12.0"/>
      </rPr>
      <t xml:space="preserve">Location </t>
    </r>
    <r>
      <rPr>
        <rFont val="Arial"/>
        <b val="0"/>
        <i/>
        <color theme="1"/>
        <sz val="12.0"/>
      </rPr>
      <t>(4th Additional Interface)</t>
    </r>
  </si>
  <si>
    <r>
      <rPr>
        <rFont val="Arial"/>
        <b/>
        <color theme="1"/>
        <sz val="12.0"/>
      </rPr>
      <t xml:space="preserve">IP Address/Mask </t>
    </r>
    <r>
      <rPr>
        <rFont val="Arial"/>
        <b val="0"/>
        <i/>
        <color theme="1"/>
        <sz val="12.0"/>
      </rPr>
      <t>(4th Additional Interface)</t>
    </r>
  </si>
  <si>
    <r>
      <rPr>
        <rFont val="Arial"/>
        <b/>
        <color rgb="FF000000"/>
        <sz val="12.0"/>
      </rPr>
      <t>Segment</t>
    </r>
    <r>
      <rPr>
        <rFont val="Arial"/>
        <b val="0"/>
        <i/>
        <color rgb="FF000000"/>
        <sz val="12.0"/>
      </rPr>
      <t xml:space="preserve"> (4th Additional Interface)</t>
    </r>
  </si>
  <si>
    <r>
      <rPr>
        <rFont val="Arial"/>
        <b/>
        <color theme="1"/>
        <sz val="12.0"/>
      </rPr>
      <t>Edge Node</t>
    </r>
    <r>
      <rPr>
        <rFont val="Arial"/>
        <b val="0"/>
        <i/>
        <color theme="1"/>
        <sz val="12.0"/>
      </rPr>
      <t xml:space="preserve"> (4th Additional Interface)</t>
    </r>
  </si>
  <si>
    <r>
      <rPr>
        <rFont val="Arial"/>
        <b/>
        <color theme="1"/>
        <sz val="12.0"/>
      </rPr>
      <t>MTU</t>
    </r>
    <r>
      <rPr>
        <rFont val="Arial"/>
        <b val="0"/>
        <i/>
        <color theme="1"/>
        <sz val="12.0"/>
      </rPr>
      <t xml:space="preserve"> (4th Additional Interface)</t>
    </r>
  </si>
  <si>
    <r>
      <rPr>
        <rFont val="Arial"/>
        <b/>
        <color theme="1"/>
        <sz val="12.0"/>
      </rPr>
      <t xml:space="preserve">IP Address </t>
    </r>
    <r>
      <rPr>
        <rFont val="Arial"/>
        <b val="0"/>
        <i/>
        <color theme="1"/>
        <sz val="12.0"/>
      </rPr>
      <t>(1st BGP Peer)</t>
    </r>
  </si>
  <si>
    <r>
      <rPr>
        <rFont val="Arial"/>
        <b/>
        <color theme="1"/>
        <sz val="12.0"/>
      </rPr>
      <t>Location</t>
    </r>
    <r>
      <rPr>
        <rFont val="Arial"/>
        <b val="0"/>
        <i/>
        <color theme="1"/>
        <sz val="12.0"/>
      </rPr>
      <t xml:space="preserve"> (1st BGP Peer)</t>
    </r>
  </si>
  <si>
    <r>
      <rPr>
        <rFont val="Arial"/>
        <b/>
        <color theme="1"/>
        <sz val="12.0"/>
      </rPr>
      <t xml:space="preserve">Remote AS Number </t>
    </r>
    <r>
      <rPr>
        <rFont val="Arial"/>
        <b val="0"/>
        <i/>
        <color theme="1"/>
        <sz val="12.0"/>
      </rPr>
      <t>(1st BGP Peer)</t>
    </r>
  </si>
  <si>
    <r>
      <rPr>
        <rFont val="Arial"/>
        <b/>
        <color theme="1"/>
        <sz val="12.0"/>
      </rPr>
      <t>1st Source Address</t>
    </r>
    <r>
      <rPr>
        <rFont val="Arial"/>
        <b val="0"/>
        <i/>
        <color theme="1"/>
        <sz val="12.0"/>
      </rPr>
      <t xml:space="preserve"> (1st BGP Peer)</t>
    </r>
  </si>
  <si>
    <r>
      <rPr>
        <rFont val="Arial"/>
        <b/>
        <color theme="1"/>
        <sz val="12.0"/>
      </rPr>
      <t xml:space="preserve">2nd Source Address </t>
    </r>
    <r>
      <rPr>
        <rFont val="Arial"/>
        <b val="0"/>
        <i/>
        <color theme="1"/>
        <sz val="12.0"/>
      </rPr>
      <t>(1st BGP Peer)</t>
    </r>
  </si>
  <si>
    <r>
      <rPr>
        <rFont val="Arial"/>
        <b/>
        <color theme="1"/>
        <sz val="12.0"/>
      </rPr>
      <t>Password</t>
    </r>
    <r>
      <rPr>
        <rFont val="Arial"/>
        <b val="0"/>
        <i/>
        <color theme="1"/>
        <sz val="12.0"/>
      </rPr>
      <t xml:space="preserve"> (1st BGP Peer)</t>
    </r>
  </si>
  <si>
    <r>
      <rPr>
        <rFont val="Arial"/>
        <b/>
        <color theme="1"/>
        <sz val="12.0"/>
      </rPr>
      <t xml:space="preserve">IP Address </t>
    </r>
    <r>
      <rPr>
        <rFont val="Arial"/>
        <b val="0"/>
        <i/>
        <color theme="1"/>
        <sz val="12.0"/>
      </rPr>
      <t>(2nd BGP Peer)</t>
    </r>
  </si>
  <si>
    <r>
      <rPr>
        <rFont val="Arial"/>
        <b/>
        <color theme="1"/>
        <sz val="12.0"/>
      </rPr>
      <t>Location</t>
    </r>
    <r>
      <rPr>
        <rFont val="Arial"/>
        <b val="0"/>
        <i/>
        <color theme="1"/>
        <sz val="12.0"/>
      </rPr>
      <t xml:space="preserve"> (2nd BGP Peer)</t>
    </r>
  </si>
  <si>
    <r>
      <rPr>
        <rFont val="Arial"/>
        <b/>
        <color theme="1"/>
        <sz val="12.0"/>
      </rPr>
      <t xml:space="preserve">Remote AS Number </t>
    </r>
    <r>
      <rPr>
        <rFont val="Arial"/>
        <b val="0"/>
        <i/>
        <color theme="1"/>
        <sz val="12.0"/>
      </rPr>
      <t>(2nd BGP Peer)</t>
    </r>
  </si>
  <si>
    <r>
      <rPr>
        <rFont val="Arial"/>
        <b/>
        <color theme="1"/>
        <sz val="12.0"/>
      </rPr>
      <t xml:space="preserve">1st Source Address </t>
    </r>
    <r>
      <rPr>
        <rFont val="Arial"/>
        <b val="0"/>
        <i/>
        <color theme="1"/>
        <sz val="12.0"/>
      </rPr>
      <t>(2nd BGP Peer)</t>
    </r>
  </si>
  <si>
    <r>
      <rPr>
        <rFont val="Arial"/>
        <b/>
        <color theme="1"/>
        <sz val="12.0"/>
      </rPr>
      <t>2nd Source Address</t>
    </r>
    <r>
      <rPr>
        <rFont val="Arial"/>
        <b val="0"/>
        <i/>
        <color theme="1"/>
        <sz val="12.0"/>
      </rPr>
      <t xml:space="preserve"> (2nd BGP Peer)</t>
    </r>
  </si>
  <si>
    <r>
      <rPr>
        <rFont val="Arial"/>
        <b/>
        <color theme="1"/>
        <sz val="12.0"/>
      </rPr>
      <t xml:space="preserve">Password </t>
    </r>
    <r>
      <rPr>
        <rFont val="Arial"/>
        <b val="0"/>
        <i/>
        <color theme="1"/>
        <sz val="12.0"/>
      </rPr>
      <t>(2nd BGP Peer)</t>
    </r>
  </si>
  <si>
    <t>Add Additional Instance as Locations to the Cross-Instance Tier-1 Gateway</t>
  </si>
  <si>
    <t xml:space="preserve">         VMware Cloud Foundation Fleet Components Deployment</t>
  </si>
  <si>
    <t xml:space="preserve"> VMware Cloud Foundation Fleet Components Deployment</t>
  </si>
  <si>
    <t>Shared Management Network</t>
  </si>
  <si>
    <t>Networking Model for Component Deployment</t>
  </si>
  <si>
    <t xml:space="preserve">Deploy VCF Operations and Automation </t>
  </si>
  <si>
    <t>Deploy VCF Authentication</t>
  </si>
  <si>
    <t>Deploy VCF Operations for Logs</t>
  </si>
  <si>
    <t>Deploy VCF Operations for Networks</t>
  </si>
  <si>
    <t>Deploy VCF Operations and Automation  {SDDC Manager}</t>
  </si>
  <si>
    <t xml:space="preserve">Deployment Type </t>
  </si>
  <si>
    <t xml:space="preserve">Use this section if VCF Operations and VCF Automation was skipped during the intial deployment. </t>
  </si>
  <si>
    <t xml:space="preserve">localRegionNetwork - VCF Ops Collectors </t>
  </si>
  <si>
    <t>networkName</t>
  </si>
  <si>
    <t>subnetMask</t>
  </si>
  <si>
    <t>gateway</t>
  </si>
  <si>
    <t xml:space="preserve">xRegionNetwork - VCF Ops and Automation network </t>
  </si>
  <si>
    <t>Create an overlay segment or portgroup based on these values. Must be available in vCenter prior to running workflow</t>
  </si>
  <si>
    <t>Fleet Deployment</t>
  </si>
  <si>
    <t>useExistingDeployment</t>
  </si>
  <si>
    <t>IP</t>
  </si>
  <si>
    <t>rootUserPassword</t>
  </si>
  <si>
    <t>adminUserPassword</t>
  </si>
  <si>
    <t>VCF OPS Deployment</t>
  </si>
  <si>
    <t>Operations Load Balancer FQDN</t>
  </si>
  <si>
    <t>Operations Load Balancer IP</t>
  </si>
  <si>
    <t>Operation primary IP</t>
  </si>
  <si>
    <t>Operations replica IP</t>
  </si>
  <si>
    <t>Operations data node IP</t>
  </si>
  <si>
    <t>applianceSize</t>
  </si>
  <si>
    <t>VCF OPS Collector</t>
  </si>
  <si>
    <t>9.0.0.0</t>
  </si>
  <si>
    <t>VCF Automation Deployment</t>
  </si>
  <si>
    <t>Node Prefix</t>
  </si>
  <si>
    <t>VCF Automation virtual machines will be deployed with flt-auto-&lt;generated id&gt;</t>
  </si>
  <si>
    <t>ipPool #1</t>
  </si>
  <si>
    <t>For Small/Standard deployments model two IPs are required and for High Availability four IPs are required</t>
  </si>
  <si>
    <t>ipPool #2</t>
  </si>
  <si>
    <t>ipPool #3</t>
  </si>
  <si>
    <t>ipPool #4</t>
  </si>
  <si>
    <t>Cluster Cidr</t>
  </si>
  <si>
    <t>The CIDR used for pods running the internal Kubernetes cluster</t>
  </si>
  <si>
    <t>Deploy VCF Automation  {VMware Cloud Foundation Operations}</t>
  </si>
  <si>
    <t>Deployment</t>
  </si>
  <si>
    <t>Installation Type</t>
  </si>
  <si>
    <t>New Install</t>
  </si>
  <si>
    <t xml:space="preserve">Use this section if  VCF Automation was skipped during the intial deployment. </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</si>
  <si>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</si>
  <si>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</si>
  <si>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</si>
  <si>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</si>
  <si>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</si>
  <si>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</si>
  <si>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</si>
  <si>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</si>
  <si>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</si>
  <si>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</si>
  <si>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</si>
  <si>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</si>
  <si>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4096</t>
  </si>
  <si>
    <t>VCF Automation  FQDN</t>
  </si>
  <si>
    <t>Create a comma seperated list of IPs for the IP Address field</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</si>
  <si>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</si>
  <si>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</si>
  <si>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</si>
  <si>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</si>
  <si>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</si>
  <si>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</si>
  <si>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</si>
  <si>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</si>
  <si>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</si>
  <si>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</si>
  <si>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</si>
  <si>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</si>
  <si>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</si>
  <si>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</si>
  <si>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</si>
  <si>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</si>
  <si>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</si>
  <si>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</si>
  <si>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</si>
  <si>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</si>
  <si>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</si>
  <si>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</si>
  <si>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</si>
  <si>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</si>
  <si>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</si>
  <si>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</si>
  <si>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</si>
  <si>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</si>
  <si>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</si>
  <si>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</si>
  <si>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</si>
  <si>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192.18.0.0/15</t>
  </si>
  <si>
    <t>Additional VIPs</t>
  </si>
  <si>
    <t>Cluster Node IP Pool #1</t>
  </si>
  <si>
    <t>Cluster Node IP Pool #2</t>
  </si>
  <si>
    <t>Cluster Node IP Pool #3</t>
  </si>
  <si>
    <t>Cluster Node IP Pool #4</t>
  </si>
  <si>
    <t xml:space="preserve">Configure Vmware Cloud Foundation Authentication </t>
  </si>
  <si>
    <t>Deploy Identity Broker  {VMware Cloud Foundation Operations}</t>
  </si>
  <si>
    <t>VIDB FQDN</t>
  </si>
  <si>
    <t>VIDB VIP IP Address</t>
  </si>
  <si>
    <t>ntp0.sfo.rainpole.io,ntp1.sfo.rainpole.io</t>
  </si>
  <si>
    <t>VMware System User Password Alias</t>
  </si>
  <si>
    <t>VCF VIDB Admin Password</t>
  </si>
  <si>
    <t>VCF Identtity Broker virtual machines will be deployed with NodePrefix-&lt;generated id&gt; E.G. flt-idb-&lt;generated id&gt;</t>
  </si>
  <si>
    <t>100.64.0.0/15</t>
  </si>
  <si>
    <t>Choose the Identity Provider</t>
  </si>
  <si>
    <t>Select A VCF Instance</t>
  </si>
  <si>
    <t>Deployment Mode</t>
  </si>
  <si>
    <t>Identity Broker Appliance</t>
  </si>
  <si>
    <t>Identity Provider</t>
  </si>
  <si>
    <t>AD/LDAP</t>
  </si>
  <si>
    <t>Directory name</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</si>
  <si>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</si>
  <si>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</si>
  <si>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</si>
  <si>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</si>
  <si>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</si>
  <si>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</si>
  <si>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</si>
  <si>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</si>
  <si>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</si>
  <si>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</si>
  <si>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</si>
  <si>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</si>
  <si>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</si>
  <si>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</si>
  <si>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</si>
  <si>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</si>
  <si>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</si>
  <si>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</si>
  <si>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</si>
  <si>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</si>
  <si>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</si>
  <si>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</si>
  <si>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Configure User and Group Provisioning  {VCF OPS}</t>
  </si>
  <si>
    <t>Atrribute Mappings</t>
  </si>
  <si>
    <t>userName</t>
  </si>
  <si>
    <t>firstName</t>
  </si>
  <si>
    <t>givenName</t>
  </si>
  <si>
    <t>lastName</t>
  </si>
  <si>
    <t>sn</t>
  </si>
  <si>
    <t>distinguisehedName</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</si>
  <si>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</si>
  <si>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</si>
  <si>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</si>
  <si>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</si>
  <si>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</si>
  <si>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</si>
  <si>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</si>
  <si>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</si>
  <si>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</si>
  <si>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</si>
  <si>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</si>
  <si>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Deploy VCF Operations for Logs {VCF OPS}</t>
  </si>
  <si>
    <t>Passphrase</t>
  </si>
  <si>
    <t>FQDN - Cluster VIP</t>
  </si>
  <si>
    <t>FQDN - Master</t>
  </si>
  <si>
    <t>FQDN - Worker 1</t>
  </si>
  <si>
    <t>FQDN - Worker 2</t>
  </si>
  <si>
    <t>IP - Cluster Virtual IP</t>
  </si>
  <si>
    <t>IP - Master</t>
  </si>
  <si>
    <t>IP - Worker 1</t>
  </si>
  <si>
    <t>IP - Worker 2</t>
  </si>
  <si>
    <t>Select Disk Mode</t>
  </si>
  <si>
    <t>Thin</t>
  </si>
  <si>
    <t>Admin Password Alias</t>
  </si>
  <si>
    <t>Admin Password Description</t>
  </si>
  <si>
    <t>VCF Operations for Logs Admin Password</t>
  </si>
  <si>
    <t>Admin Username</t>
  </si>
  <si>
    <t>VCF Operations for Logs root Password</t>
  </si>
  <si>
    <t>Select all applicable vCenters to discover components</t>
  </si>
  <si>
    <t xml:space="preserve">Node Size </t>
  </si>
  <si>
    <t>FIPS Compliance Mode</t>
  </si>
  <si>
    <t xml:space="preserve">Certificate </t>
  </si>
  <si>
    <t>Once the component is set to be FIPS Mode Compliant, post-deployment this action cannot be reverted.</t>
  </si>
  <si>
    <t>Anti-Affinity / Affinity Rule</t>
  </si>
  <si>
    <t>Configure Cluster Vip</t>
  </si>
  <si>
    <t>Upgrade VM Compatibility</t>
  </si>
  <si>
    <t>Always Use English</t>
  </si>
  <si>
    <t>Enabling this configuration causes Operations for Logs to ignore the browser language and display English for all users.</t>
  </si>
  <si>
    <t>Admin Email</t>
  </si>
  <si>
    <t>Component Password</t>
  </si>
  <si>
    <t>Cluster Virtual IP</t>
  </si>
  <si>
    <t>vrli-master</t>
  </si>
  <si>
    <t>VM Name</t>
  </si>
  <si>
    <t>flt-logs01a</t>
  </si>
  <si>
    <t>vrli-worker-1</t>
  </si>
  <si>
    <t>flt-logs01b</t>
  </si>
  <si>
    <t>vrli-worker-2</t>
  </si>
  <si>
    <t>flt-logs01c</t>
  </si>
  <si>
    <t>Deploy VCF Operations for Networks {VCF OPS}</t>
  </si>
  <si>
    <t>Cluster</t>
  </si>
  <si>
    <t>FQDN - Platform Node #1</t>
  </si>
  <si>
    <t>FQDN - Platform Node #2</t>
  </si>
  <si>
    <t>FQDN - Platform Node #3</t>
  </si>
  <si>
    <t>FQDN - Collector</t>
  </si>
  <si>
    <t>IP - Platform Node #1</t>
  </si>
  <si>
    <t>IP - Platform Node #2</t>
  </si>
  <si>
    <t>IP - Platform Node #3</t>
  </si>
  <si>
    <t>IP - Collector</t>
  </si>
  <si>
    <t>Must be available  in vCenter prior to running workflow</t>
  </si>
  <si>
    <t>VCF Operations for Networks Admin Password</t>
  </si>
  <si>
    <t>Integrate with Identity Manager</t>
  </si>
  <si>
    <t>Operations for Networks Platform Password</t>
  </si>
  <si>
    <t>Support Password</t>
  </si>
  <si>
    <t>Console Password</t>
  </si>
  <si>
    <t xml:space="preserve">Select all applicable vCenters to discover components. </t>
  </si>
  <si>
    <t>operations-network platform node</t>
  </si>
  <si>
    <t>flt-net01a</t>
  </si>
  <si>
    <t>Node Size</t>
  </si>
  <si>
    <t>flt-net01b</t>
  </si>
  <si>
    <t>flt-net01c</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</si>
  <si>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</si>
  <si>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</si>
  <si>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</si>
  <si>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</si>
  <si>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Virtual Infrastructure (VI) Workload Domain: Deployment</t>
  </si>
  <si>
    <t>Number of Compute Hosts per rack for initial cluster</t>
  </si>
  <si>
    <t>Number of additional racks available for Layer 3 Multi-Rack Deployments</t>
  </si>
  <si>
    <t>Separate VLAN for Management VMs and ESX Management VMK Interfaces</t>
  </si>
  <si>
    <t>Principal Storage Model</t>
  </si>
  <si>
    <t xml:space="preserve">Create or Re-use an exising VCF Network Pool </t>
  </si>
  <si>
    <t>Deploy Workload Domain using ESX Hosts with External Certificates</t>
  </si>
  <si>
    <t>Enable Single Management Zone vSphere Supervisor with NSX VPC Networking</t>
  </si>
  <si>
    <t>Import VI Workload Domain</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</si>
  <si>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</si>
  <si>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</si>
  <si>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</si>
  <si>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</si>
  <si>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</si>
  <si>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</si>
  <si>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</si>
  <si>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</si>
  <si>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</si>
  <si>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Provide details about the networking to use with this workload domain.</t>
  </si>
  <si>
    <t>NSX Manager Instance Options</t>
  </si>
  <si>
    <t>Create new NSX Manager Instance</t>
  </si>
  <si>
    <t>Deployment Size</t>
  </si>
  <si>
    <t>NSX Management Cluster</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</si>
  <si>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</si>
  <si>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</si>
  <si>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</si>
  <si>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</si>
  <si>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</si>
  <si>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</si>
  <si>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</si>
  <si>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</si>
  <si>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</si>
  <si>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</si>
  <si>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</si>
  <si>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</si>
  <si>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</si>
  <si>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</si>
  <si>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 xml:space="preserve">Deploy VI Workload Domain </t>
  </si>
  <si>
    <t>Initial Host Configuring</t>
  </si>
  <si>
    <t>Management IP (ESXHost 3)</t>
  </si>
  <si>
    <t>Create Network Pool</t>
  </si>
  <si>
    <t xml:space="preserve">vSAN Network - vSAN Storage Cluster </t>
  </si>
  <si>
    <t>Commission Hosts</t>
  </si>
  <si>
    <t>Deploy a VI Workload Domain</t>
  </si>
  <si>
    <t>Enable vSphere Supervisor</t>
  </si>
  <si>
    <t>Value is set based on choice in the Virtual Infrastructure (VI) Workload Domain: Deployment Options</t>
  </si>
  <si>
    <t>SSO Domain Name</t>
  </si>
  <si>
    <t>Auto-generate my passwords for newly installed appliances</t>
  </si>
  <si>
    <t>SSO Administration Password</t>
  </si>
  <si>
    <t>vCenter FQDN</t>
  </si>
  <si>
    <t>vCenter Root Password</t>
  </si>
  <si>
    <t>Enter the details for the first cluster that will be created as default in this new workload domain</t>
  </si>
  <si>
    <t>vSphere Zone Name</t>
  </si>
  <si>
    <t>sfo-w01-zn01</t>
  </si>
  <si>
    <t>Image</t>
  </si>
  <si>
    <t>Select an image and assign it to the selected clusters. You can import images from the Image Management catalog.</t>
  </si>
  <si>
    <t>High-Availability</t>
  </si>
  <si>
    <t>IP Address 1</t>
  </si>
  <si>
    <t>IP Address must be in the same subnet as the VM Management Network for the Management Workload Domain</t>
  </si>
  <si>
    <t>IP Address 2</t>
  </si>
  <si>
    <t>IP Address 3</t>
  </si>
  <si>
    <t>Cluster IP</t>
  </si>
  <si>
    <t>Configure Network Connectivity and VPC External IP Blocks</t>
  </si>
  <si>
    <t>Gateway CIDR IPv4 Address</t>
  </si>
  <si>
    <t>External IP Block</t>
  </si>
  <si>
    <t>172.24.0.0/16</t>
  </si>
  <si>
    <t>Private - Transit Gateway IP Block</t>
  </si>
  <si>
    <t>Storage Selection</t>
  </si>
  <si>
    <t>Enable vSAN ESA</t>
  </si>
  <si>
    <t>Select the cluster type and review the storage configuration.</t>
  </si>
  <si>
    <t xml:space="preserve">vSAN Storage Type </t>
  </si>
  <si>
    <t xml:space="preserve">vSAN HCI </t>
  </si>
  <si>
    <t xml:space="preserve">Workflow will auto generate the Datastore name. Datastore can be changed to the desired value post deployment. </t>
  </si>
  <si>
    <t>vSAN Storage Client Network</t>
  </si>
  <si>
    <t>vSAN: Deduplication and Compression</t>
  </si>
  <si>
    <t>VMFS on FC: Datastore Name</t>
  </si>
  <si>
    <t>NFS: Datastore Name</t>
  </si>
  <si>
    <t>NFS: Share Path</t>
  </si>
  <si>
    <t>NFS: Address of NFS Server</t>
  </si>
  <si>
    <t xml:space="preserve">Host Selection </t>
  </si>
  <si>
    <t>lax01-w01-r01-esx02.lax.rainpole.io</t>
  </si>
  <si>
    <t>lax01-w01-r01-esx03.lax.rainpole.io</t>
  </si>
  <si>
    <t>lax01-w01-r01-esx04.lax.rainpole.io</t>
  </si>
  <si>
    <t>lax01-w01-r01-esx05.lax.rainpole.io</t>
  </si>
  <si>
    <t>lax01-w01-r01-esx06.lax.rainpole.io</t>
  </si>
  <si>
    <t>lax01-w01-r01-esx07.lax.rainpole.io</t>
  </si>
  <si>
    <t>lax01-w01-r01-esx08.lax.rainpole.io</t>
  </si>
  <si>
    <t>lax01-w01-r01-esx09.lax.rainpole.io</t>
  </si>
  <si>
    <t>lax01-w01-r01-esx10.lax.rainpole.io</t>
  </si>
  <si>
    <t>lax01-w01-r01-esx11.lax.rainpole.io</t>
  </si>
  <si>
    <t>lax01-w01-r01-esx12.lax.rainpole.io</t>
  </si>
  <si>
    <t>lax01-w01-r01-esx13.lax.rainpole.io</t>
  </si>
  <si>
    <t>lax01-w01-r01-esx14.lax.rainpole.io</t>
  </si>
  <si>
    <t>lax01-w01-r01-esx15.lax.rainpole.io</t>
  </si>
  <si>
    <t>lax01-w01-r01-esx16.lax.rainpole.io</t>
  </si>
  <si>
    <t>Provide the VDS configuration to be applied to the hosts in the cluster.</t>
  </si>
  <si>
    <t xml:space="preserve">Copy From Preconfigured Profile </t>
  </si>
  <si>
    <r>
      <rPr>
        <rFont val="Arial"/>
        <color theme="1"/>
        <sz val="12.0"/>
      </rPr>
      <t xml:space="preserve">If MTU, Static Pools for Host TEP or custom configuration is required then use </t>
    </r>
    <r>
      <rPr>
        <rFont val="Arial"/>
        <b/>
        <color theme="1"/>
        <sz val="12.0"/>
      </rPr>
      <t>Copy from Preconfigured Profile</t>
    </r>
    <r>
      <rPr>
        <rFont val="Arial"/>
        <color theme="1"/>
        <sz val="12.0"/>
      </rPr>
      <t xml:space="preserve"> option</t>
    </r>
  </si>
  <si>
    <t>Primary Distributed Switch Name</t>
  </si>
  <si>
    <t>Primary vSphere Distributed Switch</t>
  </si>
  <si>
    <t>Physical Network Adapters Used</t>
  </si>
  <si>
    <t>vmnic0,vmnic1</t>
  </si>
  <si>
    <t>Supported Traffic Type</t>
  </si>
  <si>
    <t>Management,vMotion,vSan,Overlay</t>
  </si>
  <si>
    <t>Secondary vSphere Distributed Switch</t>
  </si>
  <si>
    <t>vmnic2,vmnic3</t>
  </si>
  <si>
    <t>Tertiary vSphere Distributed Switch</t>
  </si>
  <si>
    <t>Fast</t>
  </si>
  <si>
    <t>vmnic4,vmnic5</t>
  </si>
  <si>
    <t>NSX-Overlay</t>
  </si>
  <si>
    <t>Network Traffic: Management</t>
  </si>
  <si>
    <t>Portgroup will be created on Primary Distributed Switch</t>
  </si>
  <si>
    <t>Should be created manually on Primary Distributed Switch post Deployment. Used for NSX Edge MGMT Interface.</t>
  </si>
  <si>
    <t>Network Traffic: vSAN Storage Client</t>
  </si>
  <si>
    <t>Transport Zone Type: NSX-Overlay</t>
  </si>
  <si>
    <t>Transport Zone Type: NSX-VLAN</t>
  </si>
  <si>
    <t>Static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</si>
  <si>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</si>
  <si>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</si>
  <si>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</si>
  <si>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</si>
  <si>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</si>
  <si>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</si>
  <si>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</si>
  <si>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</si>
  <si>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</si>
  <si>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</si>
  <si>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</si>
  <si>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vSphere Supervisor</t>
  </si>
  <si>
    <t xml:space="preserve"> vSphere Supervisor requires centralized edge gateway deployment</t>
  </si>
  <si>
    <t>Supervisor Name</t>
  </si>
  <si>
    <t>Note: Only Single Zone vSphere Supervisor with NSX VPC Networking can be deployed during WLD Creation.Use vSphere Client or vCenter API for other topologies</t>
  </si>
  <si>
    <t>Service CIDR</t>
  </si>
  <si>
    <t>10.96.0.0/24</t>
  </si>
  <si>
    <t>Use ESXi Management VMK settings</t>
  </si>
  <si>
    <t>Control Plane IP Range</t>
  </si>
  <si>
    <t>Virtual Private Cloud Network</t>
  </si>
  <si>
    <t>NSX Project</t>
  </si>
  <si>
    <t>Default project</t>
  </si>
  <si>
    <t>VPC Connectivity Profile</t>
  </si>
  <si>
    <t>Default profile</t>
  </si>
  <si>
    <t>Private (Transit Gateway) CIDR</t>
  </si>
  <si>
    <t>172.25.0.0/16</t>
  </si>
  <si>
    <t>Correlates to Private - Transit Gateway IP Blocks in the NSX Network Connectivity for VI WLD workflow</t>
  </si>
  <si>
    <t>Private CIDR</t>
  </si>
  <si>
    <t>172.26.0.0/16</t>
  </si>
  <si>
    <t xml:space="preserve">Workload DNS </t>
  </si>
  <si>
    <t xml:space="preserve">Workload NTP </t>
  </si>
  <si>
    <t>VCF Workload Domain Reference Sheet</t>
  </si>
  <si>
    <t xml:space="preserve">VM Management Network can be used for NSX Edge Node Management Interface </t>
  </si>
  <si>
    <t>10.13.12.101</t>
  </si>
  <si>
    <t>10.13.12.116</t>
  </si>
  <si>
    <t>10.13.13.101</t>
  </si>
  <si>
    <t>10.13.13.116</t>
  </si>
  <si>
    <t>Hostnames</t>
  </si>
  <si>
    <t>NSX-T</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</si>
  <si>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</si>
  <si>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</si>
  <si>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</si>
  <si>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</si>
  <si>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</si>
  <si>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</si>
  <si>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</si>
  <si>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</si>
  <si>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</si>
  <si>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</si>
  <si>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</si>
  <si>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</si>
  <si>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</si>
  <si>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</si>
  <si>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</si>
  <si>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</si>
  <si>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Added Stuff</t>
  </si>
  <si>
    <t>pnp_version_history</t>
  </si>
  <si>
    <t>Fleet Deployment CIDR</t>
  </si>
  <si>
    <t>Fleet Deployment Network</t>
  </si>
  <si>
    <t>Fleet Deployment Gateway IP</t>
  </si>
  <si>
    <t>Use VM management network</t>
  </si>
  <si>
    <t>Fleet Deployment Mask</t>
  </si>
  <si>
    <t xml:space="preserve">sample </t>
  </si>
  <si>
    <t>input</t>
  </si>
  <si>
    <t>name</t>
  </si>
  <si>
    <t>Fleet Deployment MTU</t>
  </si>
  <si>
    <t xml:space="preserve">VCF Automation VCF Installer </t>
  </si>
  <si>
    <t>Fleet Deployment VLANID</t>
  </si>
  <si>
    <t>Moved Stuff</t>
  </si>
  <si>
    <t xml:space="preserve">Deploy VCF Automation  {SDDC Manager} </t>
  </si>
  <si>
    <t>Child DNS Zone</t>
  </si>
  <si>
    <t>vSAN Witness DNS Zone</t>
  </si>
  <si>
    <t>DNS Server 1 (Cross-Instance Components)</t>
  </si>
  <si>
    <t>DNS Server 2 (Cross-Instance Components)</t>
  </si>
  <si>
    <t>Domain Controller</t>
  </si>
  <si>
    <t>SMTP Server</t>
  </si>
  <si>
    <t>smtp.rainpole.io</t>
  </si>
  <si>
    <t xml:space="preserve">NSX Edge Clusters </t>
  </si>
  <si>
    <t>SMTP Server Port</t>
  </si>
  <si>
    <t>NTP Server 1 (Cross-Instance Components)</t>
  </si>
  <si>
    <t>NTP Server 2 (Cross-Instance Components)</t>
  </si>
  <si>
    <t>Fleet Components Ips</t>
  </si>
  <si>
    <t xml:space="preserve">License </t>
  </si>
  <si>
    <t>Services Runtime</t>
  </si>
  <si>
    <t xml:space="preserve">instance components </t>
  </si>
  <si>
    <t xml:space="preserve">fleet component </t>
  </si>
  <si>
    <t>auto services runtime</t>
  </si>
  <si>
    <t xml:space="preserve">not required for 9.0 </t>
  </si>
  <si>
    <t>Fleet Components FQDNs</t>
  </si>
  <si>
    <t>flt-vcfa-sr01.rainpole.io</t>
  </si>
  <si>
    <t>Deploy VCF Automation Node Range</t>
  </si>
  <si>
    <t>IPv4 address Range from</t>
  </si>
  <si>
    <t>IPv4 address Range To</t>
  </si>
  <si>
    <t>Deploy VCF MS Node Range</t>
  </si>
  <si>
    <t>MGMT Exisitng NSX-GM</t>
  </si>
  <si>
    <t xml:space="preserve">Cross instance Tier 0 </t>
  </si>
  <si>
    <t>Rack2</t>
  </si>
  <si>
    <t>Input</t>
  </si>
  <si>
    <t>Rack3</t>
  </si>
  <si>
    <t>Rack4</t>
  </si>
  <si>
    <t>Rack5</t>
  </si>
  <si>
    <t>Rack6</t>
  </si>
  <si>
    <t>Rack8</t>
  </si>
  <si>
    <t>VLAN Uplink1</t>
  </si>
  <si>
    <t>VLAN Uplink2</t>
  </si>
  <si>
    <t>VLAN Edge Overlay</t>
  </si>
  <si>
    <t>Rack7</t>
  </si>
  <si>
    <t>Network Uplink1</t>
  </si>
  <si>
    <t>Network Uplink2</t>
  </si>
  <si>
    <t>Network Edge Overlay</t>
  </si>
  <si>
    <t>Gateway Uplink1</t>
  </si>
  <si>
    <t>Gateway Uplink2</t>
  </si>
  <si>
    <t>Gateway Edge Overlay</t>
  </si>
  <si>
    <t>Mask Uplink1</t>
  </si>
  <si>
    <t>Mask Uplink2</t>
  </si>
  <si>
    <t>Mask Edge Overlay</t>
  </si>
  <si>
    <t>MTU Uplink1</t>
  </si>
  <si>
    <t>MTU Uplink2</t>
  </si>
  <si>
    <t>MTU Edge Overlay</t>
  </si>
  <si>
    <t>NSX Edge Nodes Autonomous System ID</t>
  </si>
  <si>
    <t xml:space="preserve">        VMware Cloud Foundation VI Workload Domain Post-Deployment </t>
  </si>
  <si>
    <t xml:space="preserve"> </t>
  </si>
  <si>
    <t>NSX Network Connectivity for the Workload Domain</t>
  </si>
  <si>
    <t>NSX Federation for Workload Domain</t>
  </si>
  <si>
    <t>Virtual Infrastructure (VI) Workload Domain: Post-Deployment Options</t>
  </si>
  <si>
    <t>NSX Network Connectivity for VI Workload Domain</t>
  </si>
  <si>
    <t>NSX Federation for VI Workload Domain</t>
  </si>
  <si>
    <t>Installing Microsoft CA-Signed Certificates using SDDC Manager</t>
  </si>
  <si>
    <t/>
  </si>
  <si>
    <t>NSX Network Connectivity for the Workload Domain {vCenter}</t>
  </si>
  <si>
    <t>Create an NSX-T Edge Cluster</t>
  </si>
  <si>
    <t>Configured as part of Global Fabric Setting</t>
  </si>
  <si>
    <t>Values are set based on vSphere Cluster configuration in the Deploy Workload Domain Tab. Click to Redirect</t>
  </si>
  <si>
    <t xml:space="preserve">Host Group is optional and must be precreated in vCenter Prior to Starting this workflow </t>
  </si>
  <si>
    <t>Data Store</t>
  </si>
  <si>
    <t>Values are set based on Datastore configuration in the Deploy Workload Domain Tab. Click to Redirect</t>
  </si>
  <si>
    <t>Must be precreated in vCenter, Value is deterimined based on input in Deploy Workload Domain Tab.</t>
  </si>
  <si>
    <t>Value is deterimined based on input in Deploy Workload Domain Tab. Click to Redirect</t>
  </si>
  <si>
    <t>Edge Node Uplink Mapping</t>
  </si>
  <si>
    <t>Overlay IP Address #01 for Edge Node 1</t>
  </si>
  <si>
    <t>Overlay IP Address #02  for Edge Node 1</t>
  </si>
  <si>
    <t>Values are set based on vSphere Cluster configuration in the Deploy Workload Domain Tab</t>
  </si>
  <si>
    <t xml:space="preserve">Value is set based on Host Group affinity for Edge node 1 </t>
  </si>
  <si>
    <t>Must be precreated in vCenter</t>
  </si>
  <si>
    <t xml:space="preserve">Input is determined based on your selection for Edge Node 01  </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</si>
  <si>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</si>
  <si>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</si>
  <si>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</si>
  <si>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</si>
  <si>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</si>
  <si>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</si>
  <si>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</si>
  <si>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</si>
  <si>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 xml:space="preserve">Top of Rack 2 - IP Address. Input is determined based on your selection for Edge Node 01  </t>
  </si>
  <si>
    <t>192.168.41.0/24</t>
  </si>
  <si>
    <t>Provide Private IPs for VPC configuration - Value is Private (Transit Gateway) CIDR</t>
  </si>
  <si>
    <t>System generated PortGroup names are used unless NSX Edges are deployed using API - Portgroup must be precreated in vCenter</t>
  </si>
  <si>
    <t>Deploy AVI Load Balancer</t>
  </si>
  <si>
    <t>vSAN Stretched Cluster {API}</t>
  </si>
  <si>
    <t>WLD Domain VLAN and IP Subnet Requirements (vSAN Witness Zone)</t>
  </si>
  <si>
    <t>Deploy and Configure vSAN Witness Host  {vCenter}</t>
  </si>
  <si>
    <t xml:space="preserve"> Minimum 8 Characters, 1 Uppercase, 1 Special</t>
  </si>
  <si>
    <t xml:space="preserve"> IP Address</t>
  </si>
  <si>
    <t>Available after host is comissioned in SDDC Manager</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</si>
  <si>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</si>
  <si>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</si>
  <si>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</si>
  <si>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</si>
  <si>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</si>
  <si>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</si>
  <si>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</si>
  <si>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</si>
  <si>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</si>
  <si>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</si>
  <si>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</si>
  <si>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</si>
  <si>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</si>
  <si>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rPr>
        <rFont val="Arial"/>
        <b/>
        <color rgb="FF000000"/>
        <sz val="12.0"/>
      </rPr>
      <t>Virtual Machine Name</t>
    </r>
    <r>
      <rPr>
        <rFont val="Arial"/>
        <b val="0"/>
        <i/>
        <color rgb="FF000000"/>
        <sz val="12.0"/>
      </rPr>
      <t xml:space="preserve"> (Node 1)</t>
    </r>
  </si>
  <si>
    <r>
      <rPr>
        <rFont val="Arial"/>
        <b/>
        <color rgb="FF000000"/>
        <sz val="12.0"/>
      </rPr>
      <t xml:space="preserve">Location </t>
    </r>
    <r>
      <rPr>
        <rFont val="Arial"/>
        <b val="0"/>
        <i/>
        <color rgb="FF000000"/>
        <sz val="12.0"/>
      </rPr>
      <t>(Node 1)</t>
    </r>
  </si>
  <si>
    <r>
      <rPr>
        <rFont val="Arial"/>
        <b/>
        <color rgb="FF000000"/>
        <sz val="12.0"/>
      </rPr>
      <t>Compute Resource</t>
    </r>
    <r>
      <rPr>
        <rFont val="Arial"/>
        <b val="0"/>
        <i/>
        <color rgb="FF000000"/>
        <sz val="12.0"/>
      </rPr>
      <t xml:space="preserve"> (Node 1)</t>
    </r>
  </si>
  <si>
    <r>
      <rPr>
        <rFont val="Arial"/>
        <b/>
        <color rgb="FF000000"/>
        <sz val="12.0"/>
      </rPr>
      <t>Deployment configuration size</t>
    </r>
    <r>
      <rPr>
        <rFont val="Arial"/>
        <b val="0"/>
        <i/>
        <color rgb="FF000000"/>
        <sz val="12.0"/>
      </rPr>
      <t xml:space="preserve"> (Node 1)</t>
    </r>
  </si>
  <si>
    <r>
      <rPr>
        <rFont val="Arial"/>
        <b/>
        <color rgb="FF000000"/>
        <sz val="12.0"/>
      </rPr>
      <t>Datastore</t>
    </r>
    <r>
      <rPr>
        <rFont val="Arial"/>
        <b val="0"/>
        <i/>
        <color rgb="FF000000"/>
        <sz val="12.0"/>
      </rPr>
      <t xml:space="preserve"> (Node 1)</t>
    </r>
  </si>
  <si>
    <r>
      <rPr>
        <rFont val="Arial"/>
        <b/>
        <color rgb="FF000000"/>
        <sz val="12.0"/>
      </rPr>
      <t>Network 1 (Management Network</t>
    </r>
    <r>
      <rPr>
        <rFont val="Arial"/>
        <b val="0"/>
        <i/>
        <color rgb="FF000000"/>
        <sz val="12.0"/>
      </rPr>
      <t>) (Node 1)</t>
    </r>
  </si>
  <si>
    <r>
      <rPr>
        <rFont val="Arial"/>
        <b/>
        <color rgb="FF000000"/>
        <sz val="12.0"/>
      </rPr>
      <t xml:space="preserve">System Root User Password </t>
    </r>
    <r>
      <rPr>
        <rFont val="Arial"/>
        <b val="0"/>
        <i/>
        <color rgb="FF000000"/>
        <sz val="12.0"/>
      </rPr>
      <t>(Node 1)</t>
    </r>
  </si>
  <si>
    <r>
      <rPr>
        <rFont val="Arial"/>
        <b/>
        <color rgb="FF000000"/>
        <sz val="12.0"/>
      </rPr>
      <t>CLI "admin" User Password</t>
    </r>
    <r>
      <rPr>
        <rFont val="Arial"/>
        <b val="0"/>
        <i/>
        <color rgb="FF000000"/>
        <sz val="12.0"/>
      </rPr>
      <t xml:space="preserve"> (Node 1)</t>
    </r>
  </si>
  <si>
    <r>
      <rPr>
        <rFont val="Arial"/>
        <b/>
        <color rgb="FF000000"/>
        <sz val="12.0"/>
      </rPr>
      <t xml:space="preserve">CLI "audit" User Password </t>
    </r>
    <r>
      <rPr>
        <rFont val="Arial"/>
        <b val="0"/>
        <i/>
        <color rgb="FF000000"/>
        <sz val="12.0"/>
      </rPr>
      <t>(Node 1)</t>
    </r>
  </si>
  <si>
    <r>
      <rPr>
        <rFont val="Arial"/>
        <b/>
        <color rgb="FF000000"/>
        <sz val="12.0"/>
      </rPr>
      <t xml:space="preserve">Hostname (FQDN) </t>
    </r>
    <r>
      <rPr>
        <rFont val="Arial"/>
        <b val="0"/>
        <i/>
        <color rgb="FF000000"/>
        <sz val="12.0"/>
      </rPr>
      <t>(Node 1)</t>
    </r>
  </si>
  <si>
    <r>
      <rPr>
        <rFont val="Arial"/>
        <b/>
        <color rgb="FF000000"/>
        <sz val="12.0"/>
      </rPr>
      <t xml:space="preserve">Management Network IPv4 Address </t>
    </r>
    <r>
      <rPr>
        <rFont val="Arial"/>
        <b val="0"/>
        <i/>
        <color rgb="FF000000"/>
        <sz val="12.0"/>
      </rPr>
      <t>(Node 1)</t>
    </r>
  </si>
  <si>
    <r>
      <rPr>
        <rFont val="Arial"/>
        <b/>
        <color rgb="FF000000"/>
        <sz val="12.0"/>
      </rPr>
      <t xml:space="preserve">Management Network Netmask </t>
    </r>
    <r>
      <rPr>
        <rFont val="Arial"/>
        <b val="0"/>
        <i/>
        <color rgb="FF000000"/>
        <sz val="12.0"/>
      </rPr>
      <t>(Node 1)</t>
    </r>
  </si>
  <si>
    <r>
      <rPr>
        <rFont val="Arial"/>
        <b/>
        <color rgb="FF000000"/>
        <sz val="12.0"/>
      </rPr>
      <t>Default IPv4 Gateway</t>
    </r>
    <r>
      <rPr>
        <rFont val="Arial"/>
        <b val="0"/>
        <i/>
        <color rgb="FF000000"/>
        <sz val="12.0"/>
      </rPr>
      <t xml:space="preserve"> (Node 1)</t>
    </r>
  </si>
  <si>
    <r>
      <rPr>
        <rFont val="Arial"/>
        <b/>
        <color rgb="FF000000"/>
        <sz val="12.0"/>
      </rPr>
      <t xml:space="preserve">DNS Server list </t>
    </r>
    <r>
      <rPr>
        <rFont val="Arial"/>
        <b val="0"/>
        <i/>
        <color rgb="FF000000"/>
        <sz val="12.0"/>
      </rPr>
      <t>(Node 1)</t>
    </r>
  </si>
  <si>
    <r>
      <rPr>
        <rFont val="Arial"/>
        <b/>
        <color rgb="FF000000"/>
        <sz val="12.0"/>
      </rPr>
      <t>Domain Search List</t>
    </r>
    <r>
      <rPr>
        <rFont val="Arial"/>
        <b val="0"/>
        <i/>
        <color rgb="FF000000"/>
        <sz val="12.0"/>
      </rPr>
      <t xml:space="preserve"> (Node 1)</t>
    </r>
  </si>
  <si>
    <r>
      <rPr>
        <rFont val="Arial"/>
        <b/>
        <color rgb="FF000000"/>
        <sz val="12.0"/>
      </rPr>
      <t>NTP Server List</t>
    </r>
    <r>
      <rPr>
        <rFont val="Arial"/>
        <b val="0"/>
        <i/>
        <color rgb="FF000000"/>
        <sz val="12.0"/>
      </rPr>
      <t xml:space="preserve"> (Node 1)</t>
    </r>
  </si>
  <si>
    <r>
      <rPr>
        <rFont val="Arial"/>
        <b/>
        <color rgb="FF000000"/>
        <sz val="12.0"/>
      </rPr>
      <t>Virtual Machine Name</t>
    </r>
    <r>
      <rPr>
        <rFont val="Arial"/>
        <b val="0"/>
        <i/>
        <color rgb="FF000000"/>
        <sz val="12.0"/>
      </rPr>
      <t xml:space="preserve"> (Node 2)</t>
    </r>
  </si>
  <si>
    <r>
      <rPr>
        <rFont val="Arial"/>
        <b/>
        <color rgb="FF000000"/>
        <sz val="12.0"/>
      </rPr>
      <t xml:space="preserve">Location </t>
    </r>
    <r>
      <rPr>
        <rFont val="Arial"/>
        <b val="0"/>
        <i/>
        <color rgb="FF000000"/>
        <sz val="12.0"/>
      </rPr>
      <t>(Node 2)</t>
    </r>
  </si>
  <si>
    <r>
      <rPr>
        <rFont val="Arial"/>
        <b/>
        <color rgb="FF000000"/>
        <sz val="12.0"/>
      </rPr>
      <t>Compute Resource</t>
    </r>
    <r>
      <rPr>
        <rFont val="Arial"/>
        <b val="0"/>
        <i/>
        <color rgb="FF000000"/>
        <sz val="12.0"/>
      </rPr>
      <t xml:space="preserve"> (Node 2)</t>
    </r>
  </si>
  <si>
    <r>
      <rPr>
        <rFont val="Arial"/>
        <b/>
        <color rgb="FF000000"/>
        <sz val="12.0"/>
      </rPr>
      <t>Deployment configuration size</t>
    </r>
    <r>
      <rPr>
        <rFont val="Arial"/>
        <b val="0"/>
        <i/>
        <color rgb="FF000000"/>
        <sz val="12.0"/>
      </rPr>
      <t xml:space="preserve"> (Node 2)</t>
    </r>
  </si>
  <si>
    <r>
      <rPr>
        <rFont val="Arial"/>
        <b/>
        <color rgb="FF000000"/>
        <sz val="12.0"/>
      </rPr>
      <t>Datastore</t>
    </r>
    <r>
      <rPr>
        <rFont val="Arial"/>
        <b val="0"/>
        <i/>
        <color rgb="FF000000"/>
        <sz val="12.0"/>
      </rPr>
      <t xml:space="preserve"> (Node 2)</t>
    </r>
  </si>
  <si>
    <r>
      <rPr>
        <rFont val="Arial"/>
        <b/>
        <color rgb="FF000000"/>
        <sz val="12.0"/>
      </rPr>
      <t>Network 1 (Management Network</t>
    </r>
    <r>
      <rPr>
        <rFont val="Arial"/>
        <b val="0"/>
        <i/>
        <color rgb="FF000000"/>
        <sz val="12.0"/>
      </rPr>
      <t>) (Node 2)</t>
    </r>
  </si>
  <si>
    <r>
      <rPr>
        <rFont val="Arial"/>
        <b/>
        <color rgb="FF000000"/>
        <sz val="12.0"/>
      </rPr>
      <t xml:space="preserve">System Root User Password </t>
    </r>
    <r>
      <rPr>
        <rFont val="Arial"/>
        <b val="0"/>
        <i/>
        <color rgb="FF000000"/>
        <sz val="12.0"/>
      </rPr>
      <t>(Node 2)</t>
    </r>
  </si>
  <si>
    <r>
      <rPr>
        <rFont val="Arial"/>
        <b/>
        <color rgb="FF000000"/>
        <sz val="12.0"/>
      </rPr>
      <t>CLI "admin" User Password</t>
    </r>
    <r>
      <rPr>
        <rFont val="Arial"/>
        <b val="0"/>
        <i/>
        <color rgb="FF000000"/>
        <sz val="12.0"/>
      </rPr>
      <t xml:space="preserve"> (Node 2)</t>
    </r>
  </si>
  <si>
    <r>
      <rPr>
        <rFont val="Arial"/>
        <b/>
        <color rgb="FF000000"/>
        <sz val="12.0"/>
      </rPr>
      <t xml:space="preserve">CLI "audit" User Password </t>
    </r>
    <r>
      <rPr>
        <rFont val="Arial"/>
        <b val="0"/>
        <i/>
        <color rgb="FF000000"/>
        <sz val="12.0"/>
      </rPr>
      <t>(Node 2)</t>
    </r>
  </si>
  <si>
    <r>
      <rPr>
        <rFont val="Arial"/>
        <b/>
        <color rgb="FF000000"/>
        <sz val="12.0"/>
      </rPr>
      <t xml:space="preserve">Hostname (FQDN) </t>
    </r>
    <r>
      <rPr>
        <rFont val="Arial"/>
        <b val="0"/>
        <i/>
        <color rgb="FF000000"/>
        <sz val="12.0"/>
      </rPr>
      <t>(Node 2)</t>
    </r>
  </si>
  <si>
    <r>
      <rPr>
        <rFont val="Arial"/>
        <b/>
        <color rgb="FF000000"/>
        <sz val="12.0"/>
      </rPr>
      <t xml:space="preserve">Management Network IPv4 Address </t>
    </r>
    <r>
      <rPr>
        <rFont val="Arial"/>
        <b val="0"/>
        <i/>
        <color rgb="FF000000"/>
        <sz val="12.0"/>
      </rPr>
      <t>(Node 2)</t>
    </r>
  </si>
  <si>
    <r>
      <rPr>
        <rFont val="Arial"/>
        <b/>
        <color rgb="FF000000"/>
        <sz val="12.0"/>
      </rPr>
      <t xml:space="preserve">Management Network Netmask </t>
    </r>
    <r>
      <rPr>
        <rFont val="Arial"/>
        <b val="0"/>
        <i/>
        <color rgb="FF000000"/>
        <sz val="12.0"/>
      </rPr>
      <t>(Node 2)</t>
    </r>
  </si>
  <si>
    <r>
      <rPr>
        <rFont val="Arial"/>
        <b/>
        <color rgb="FF000000"/>
        <sz val="12.0"/>
      </rPr>
      <t>Default IPv4 Gateway</t>
    </r>
    <r>
      <rPr>
        <rFont val="Arial"/>
        <b val="0"/>
        <i/>
        <color rgb="FF000000"/>
        <sz val="12.0"/>
      </rPr>
      <t xml:space="preserve"> (Node 2)</t>
    </r>
  </si>
  <si>
    <r>
      <rPr>
        <rFont val="Arial"/>
        <b/>
        <color rgb="FF000000"/>
        <sz val="12.0"/>
      </rPr>
      <t xml:space="preserve">DNS Server list </t>
    </r>
    <r>
      <rPr>
        <rFont val="Arial"/>
        <b val="0"/>
        <i/>
        <color rgb="FF000000"/>
        <sz val="12.0"/>
      </rPr>
      <t>(Node 2)</t>
    </r>
  </si>
  <si>
    <r>
      <rPr>
        <rFont val="Arial"/>
        <b/>
        <color rgb="FF000000"/>
        <sz val="12.0"/>
      </rPr>
      <t>Domain Search List</t>
    </r>
    <r>
      <rPr>
        <rFont val="Arial"/>
        <b val="0"/>
        <i/>
        <color rgb="FF000000"/>
        <sz val="12.0"/>
      </rPr>
      <t xml:space="preserve"> (Node 2)</t>
    </r>
  </si>
  <si>
    <r>
      <rPr>
        <rFont val="Arial"/>
        <b/>
        <color rgb="FF000000"/>
        <sz val="12.0"/>
      </rPr>
      <t>NTP Server List</t>
    </r>
    <r>
      <rPr>
        <rFont val="Arial"/>
        <b val="0"/>
        <i/>
        <color rgb="FF000000"/>
        <sz val="12.0"/>
      </rPr>
      <t xml:space="preserve"> (Node 2)</t>
    </r>
  </si>
  <si>
    <r>
      <rPr>
        <rFont val="Arial"/>
        <b/>
        <color rgb="FF000000"/>
        <sz val="12.0"/>
      </rPr>
      <t>Virtual Machine Name</t>
    </r>
    <r>
      <rPr>
        <rFont val="Arial"/>
        <b val="0"/>
        <i/>
        <color rgb="FF000000"/>
        <sz val="12.0"/>
      </rPr>
      <t xml:space="preserve"> (Node 3)</t>
    </r>
  </si>
  <si>
    <r>
      <rPr>
        <rFont val="Arial"/>
        <b/>
        <color rgb="FF000000"/>
        <sz val="12.0"/>
      </rPr>
      <t xml:space="preserve">Location </t>
    </r>
    <r>
      <rPr>
        <rFont val="Arial"/>
        <b val="0"/>
        <i/>
        <color rgb="FF000000"/>
        <sz val="12.0"/>
      </rPr>
      <t>(Node 3)</t>
    </r>
  </si>
  <si>
    <r>
      <rPr>
        <rFont val="Arial"/>
        <b/>
        <color rgb="FF000000"/>
        <sz val="12.0"/>
      </rPr>
      <t>Compute Resource</t>
    </r>
    <r>
      <rPr>
        <rFont val="Arial"/>
        <b val="0"/>
        <i/>
        <color rgb="FF000000"/>
        <sz val="12.0"/>
      </rPr>
      <t xml:space="preserve"> (Node 3)</t>
    </r>
  </si>
  <si>
    <r>
      <rPr>
        <rFont val="Arial"/>
        <b/>
        <color rgb="FF000000"/>
        <sz val="12.0"/>
      </rPr>
      <t>Deployment configuration size</t>
    </r>
    <r>
      <rPr>
        <rFont val="Arial"/>
        <b val="0"/>
        <i/>
        <color rgb="FF000000"/>
        <sz val="12.0"/>
      </rPr>
      <t xml:space="preserve"> (Node 3)</t>
    </r>
  </si>
  <si>
    <r>
      <rPr>
        <rFont val="Arial"/>
        <b/>
        <color rgb="FF000000"/>
        <sz val="12.0"/>
      </rPr>
      <t>Datastore</t>
    </r>
    <r>
      <rPr>
        <rFont val="Arial"/>
        <b val="0"/>
        <i/>
        <color rgb="FF000000"/>
        <sz val="12.0"/>
      </rPr>
      <t xml:space="preserve"> (Node 3)</t>
    </r>
  </si>
  <si>
    <r>
      <rPr>
        <rFont val="Arial"/>
        <b/>
        <color rgb="FF000000"/>
        <sz val="12.0"/>
      </rPr>
      <t>Network 1 (Management Network</t>
    </r>
    <r>
      <rPr>
        <rFont val="Arial"/>
        <b val="0"/>
        <i/>
        <color rgb="FF000000"/>
        <sz val="12.0"/>
      </rPr>
      <t>) (Node 3)</t>
    </r>
  </si>
  <si>
    <r>
      <rPr>
        <rFont val="Arial"/>
        <b/>
        <color rgb="FF000000"/>
        <sz val="12.0"/>
      </rPr>
      <t xml:space="preserve">System Root User Password </t>
    </r>
    <r>
      <rPr>
        <rFont val="Arial"/>
        <b val="0"/>
        <i/>
        <color rgb="FF000000"/>
        <sz val="12.0"/>
      </rPr>
      <t>(Node 3)</t>
    </r>
  </si>
  <si>
    <r>
      <rPr>
        <rFont val="Arial"/>
        <b/>
        <color rgb="FF000000"/>
        <sz val="12.0"/>
      </rPr>
      <t>CLI "admin" User Password</t>
    </r>
    <r>
      <rPr>
        <rFont val="Arial"/>
        <b val="0"/>
        <i/>
        <color rgb="FF000000"/>
        <sz val="12.0"/>
      </rPr>
      <t xml:space="preserve"> (Node 3)</t>
    </r>
  </si>
  <si>
    <r>
      <rPr>
        <rFont val="Arial"/>
        <b/>
        <color rgb="FF000000"/>
        <sz val="12.0"/>
      </rPr>
      <t xml:space="preserve">CLI "audit" User Password </t>
    </r>
    <r>
      <rPr>
        <rFont val="Arial"/>
        <b val="0"/>
        <i/>
        <color rgb="FF000000"/>
        <sz val="12.0"/>
      </rPr>
      <t>(Node 3)</t>
    </r>
  </si>
  <si>
    <r>
      <rPr>
        <rFont val="Arial"/>
        <b/>
        <color rgb="FF000000"/>
        <sz val="12.0"/>
      </rPr>
      <t xml:space="preserve">Hostname (FQDN) </t>
    </r>
    <r>
      <rPr>
        <rFont val="Arial"/>
        <b val="0"/>
        <i/>
        <color rgb="FF000000"/>
        <sz val="12.0"/>
      </rPr>
      <t>(Node 3)</t>
    </r>
  </si>
  <si>
    <r>
      <rPr>
        <rFont val="Arial"/>
        <b/>
        <color rgb="FF000000"/>
        <sz val="12.0"/>
      </rPr>
      <t xml:space="preserve">Management Network IPv4 Address </t>
    </r>
    <r>
      <rPr>
        <rFont val="Arial"/>
        <b val="0"/>
        <i/>
        <color rgb="FF000000"/>
        <sz val="12.0"/>
      </rPr>
      <t>(Node 3)</t>
    </r>
  </si>
  <si>
    <r>
      <rPr>
        <rFont val="Arial"/>
        <b/>
        <color rgb="FF000000"/>
        <sz val="12.0"/>
      </rPr>
      <t xml:space="preserve">Management Network Netmask </t>
    </r>
    <r>
      <rPr>
        <rFont val="Arial"/>
        <b val="0"/>
        <i/>
        <color rgb="FF000000"/>
        <sz val="12.0"/>
      </rPr>
      <t>(Node 3)</t>
    </r>
  </si>
  <si>
    <r>
      <rPr>
        <rFont val="Arial"/>
        <b/>
        <color rgb="FF000000"/>
        <sz val="12.0"/>
      </rPr>
      <t>Default IPv4 Gateway</t>
    </r>
    <r>
      <rPr>
        <rFont val="Arial"/>
        <b val="0"/>
        <i/>
        <color rgb="FF000000"/>
        <sz val="12.0"/>
      </rPr>
      <t xml:space="preserve"> (Node 3)</t>
    </r>
  </si>
  <si>
    <r>
      <rPr>
        <rFont val="Arial"/>
        <b/>
        <color rgb="FF000000"/>
        <sz val="12.0"/>
      </rPr>
      <t xml:space="preserve">DNS Server list </t>
    </r>
    <r>
      <rPr>
        <rFont val="Arial"/>
        <b val="0"/>
        <i/>
        <color rgb="FF000000"/>
        <sz val="12.0"/>
      </rPr>
      <t>(Node 3)</t>
    </r>
  </si>
  <si>
    <r>
      <rPr>
        <rFont val="Arial"/>
        <b/>
        <color rgb="FF000000"/>
        <sz val="12.0"/>
      </rPr>
      <t>Domain Search List</t>
    </r>
    <r>
      <rPr>
        <rFont val="Arial"/>
        <b val="0"/>
        <i/>
        <color rgb="FF000000"/>
        <sz val="12.0"/>
      </rPr>
      <t xml:space="preserve"> (Node 3)</t>
    </r>
  </si>
  <si>
    <r>
      <rPr>
        <rFont val="Arial"/>
        <b/>
        <color rgb="FF000000"/>
        <sz val="12.0"/>
      </rPr>
      <t>NTP Server List</t>
    </r>
    <r>
      <rPr>
        <rFont val="Arial"/>
        <b val="0"/>
        <i/>
        <color rgb="FF000000"/>
        <sz val="12.0"/>
      </rPr>
      <t xml:space="preserve"> (Node 3)</t>
    </r>
  </si>
  <si>
    <t>da3bd7dc-aa06-4f2d-a9e1-0c4999354c9b</t>
  </si>
  <si>
    <t>NSX Global Manager API Thumbprint</t>
  </si>
  <si>
    <t>d7a6264cd8f74033e851944a205110afdeb046386af42ce47240939c417acb93</t>
  </si>
  <si>
    <r>
      <rPr>
        <rFont val="Arial"/>
        <b/>
        <color rgb="FF000000"/>
        <sz val="12.0"/>
      </rPr>
      <t xml:space="preserve">FQDN </t>
    </r>
    <r>
      <rPr>
        <rFont val="Arial"/>
        <b val="0"/>
        <i/>
        <color rgb="FF000000"/>
        <sz val="12.0"/>
      </rPr>
      <t>(Node 2)</t>
    </r>
  </si>
  <si>
    <r>
      <rPr>
        <rFont val="Arial"/>
        <b/>
        <color rgb="FF000000"/>
        <sz val="12.0"/>
      </rPr>
      <t>first_node_IP</t>
    </r>
    <r>
      <rPr>
        <rFont val="Arial"/>
        <b val="0"/>
        <i/>
        <color rgb="FF000000"/>
        <sz val="12.0"/>
      </rPr>
      <t xml:space="preserve"> (Node 2)</t>
    </r>
  </si>
  <si>
    <r>
      <rPr>
        <rFont val="Arial"/>
        <b/>
        <color rgb="FF000000"/>
        <sz val="12.0"/>
      </rPr>
      <t>cluster_ID</t>
    </r>
    <r>
      <rPr>
        <rFont val="Arial"/>
        <b val="0"/>
        <i/>
        <color rgb="FF000000"/>
        <sz val="12.0"/>
      </rPr>
      <t xml:space="preserve"> (Node 2)</t>
    </r>
  </si>
  <si>
    <r>
      <rPr>
        <rFont val="Arial"/>
        <b/>
        <color rgb="FF000000"/>
        <sz val="12.0"/>
      </rPr>
      <t>username</t>
    </r>
    <r>
      <rPr>
        <rFont val="Arial"/>
        <b val="0"/>
        <i/>
        <color rgb="FF000000"/>
        <sz val="12.0"/>
      </rPr>
      <t xml:space="preserve"> (Node 2)</t>
    </r>
  </si>
  <si>
    <r>
      <rPr>
        <rFont val="Arial"/>
        <b/>
        <color rgb="FF000000"/>
        <sz val="12.0"/>
      </rPr>
      <t>nsx_admin_password</t>
    </r>
    <r>
      <rPr>
        <rFont val="Arial"/>
        <b val="0"/>
        <i/>
        <color rgb="FF000000"/>
        <sz val="12.0"/>
      </rPr>
      <t xml:space="preserve"> (Node 2)</t>
    </r>
  </si>
  <si>
    <r>
      <rPr>
        <rFont val="Arial"/>
        <b/>
        <color rgb="FF000000"/>
        <sz val="12.0"/>
      </rPr>
      <t>api_thumbprint</t>
    </r>
    <r>
      <rPr>
        <rFont val="Arial"/>
        <b val="0"/>
        <i/>
        <color rgb="FF000000"/>
        <sz val="12.0"/>
      </rPr>
      <t xml:space="preserve"> (Node 2)</t>
    </r>
  </si>
  <si>
    <r>
      <rPr>
        <rFont val="Arial"/>
        <b/>
        <color rgb="FF000000"/>
        <sz val="12.0"/>
      </rPr>
      <t xml:space="preserve">FQDN </t>
    </r>
    <r>
      <rPr>
        <rFont val="Arial"/>
        <b val="0"/>
        <i/>
        <color rgb="FF000000"/>
        <sz val="12.0"/>
      </rPr>
      <t>(Node 3)</t>
    </r>
  </si>
  <si>
    <r>
      <rPr>
        <rFont val="Arial"/>
        <b/>
        <color rgb="FF000000"/>
        <sz val="12.0"/>
      </rPr>
      <t>first_node_IP</t>
    </r>
    <r>
      <rPr>
        <rFont val="Arial"/>
        <b val="0"/>
        <i/>
        <color rgb="FF000000"/>
        <sz val="12.0"/>
      </rPr>
      <t xml:space="preserve"> (Node 3)</t>
    </r>
  </si>
  <si>
    <r>
      <rPr>
        <rFont val="Arial"/>
        <b/>
        <color rgb="FF000000"/>
        <sz val="12.0"/>
      </rPr>
      <t xml:space="preserve">cluster_ID </t>
    </r>
    <r>
      <rPr>
        <rFont val="Arial"/>
        <b val="0"/>
        <i/>
        <color rgb="FF000000"/>
        <sz val="12.0"/>
      </rPr>
      <t>(Node 3)</t>
    </r>
  </si>
  <si>
    <r>
      <rPr>
        <rFont val="Arial"/>
        <b/>
        <color rgb="FF000000"/>
        <sz val="12.0"/>
      </rPr>
      <t>username</t>
    </r>
    <r>
      <rPr>
        <rFont val="Arial"/>
        <b val="0"/>
        <i/>
        <color rgb="FF000000"/>
        <sz val="12.0"/>
      </rPr>
      <t xml:space="preserve"> (Node 3)</t>
    </r>
  </si>
  <si>
    <r>
      <rPr>
        <rFont val="Arial"/>
        <b/>
        <color rgb="FF000000"/>
        <sz val="12.0"/>
      </rPr>
      <t>nsx_admin_password</t>
    </r>
    <r>
      <rPr>
        <rFont val="Arial"/>
        <b val="0"/>
        <i/>
        <color rgb="FF000000"/>
        <sz val="12.0"/>
      </rPr>
      <t xml:space="preserve"> (Node 3)</t>
    </r>
  </si>
  <si>
    <r>
      <rPr>
        <rFont val="Arial"/>
        <b/>
        <color rgb="FF000000"/>
        <sz val="12.0"/>
      </rPr>
      <t>api_thumbprint</t>
    </r>
    <r>
      <rPr>
        <rFont val="Arial"/>
        <b val="0"/>
        <i/>
        <color rgb="FF000000"/>
        <sz val="12.0"/>
      </rPr>
      <t xml:space="preserve"> (Node 3)</t>
    </r>
  </si>
  <si>
    <t>b900065b-aeb5-457e-aca6-4612b17d06d9</t>
  </si>
  <si>
    <t>Note: Click this cell to redirect to the location for storing this output</t>
  </si>
  <si>
    <r>
      <rPr>
        <rFont val="Arial"/>
        <b/>
        <color theme="1"/>
        <sz val="12.0"/>
      </rPr>
      <t>Name</t>
    </r>
    <r>
      <rPr>
        <rFont val="Arial"/>
        <b val="0"/>
        <i/>
        <color theme="1"/>
        <sz val="12.0"/>
      </rPr>
      <t xml:space="preserve"> (1st Additional Interface)</t>
    </r>
  </si>
  <si>
    <r>
      <rPr>
        <rFont val="Arial"/>
        <b/>
        <color theme="1"/>
        <sz val="12.0"/>
      </rPr>
      <t xml:space="preserve">Location </t>
    </r>
    <r>
      <rPr>
        <rFont val="Arial"/>
        <b val="0"/>
        <i/>
        <color theme="1"/>
        <sz val="12.0"/>
      </rPr>
      <t>(1st Additional Interface)</t>
    </r>
  </si>
  <si>
    <r>
      <rPr>
        <rFont val="Arial"/>
        <b/>
        <color theme="1"/>
        <sz val="12.0"/>
      </rPr>
      <t>IP Address/Mask</t>
    </r>
    <r>
      <rPr>
        <rFont val="Arial"/>
        <b val="0"/>
        <i/>
        <color theme="1"/>
        <sz val="12.0"/>
      </rPr>
      <t xml:space="preserve"> (1st Additional Interface)</t>
    </r>
  </si>
  <si>
    <r>
      <rPr>
        <rFont val="Arial"/>
        <b/>
        <color theme="1"/>
        <sz val="12.0"/>
      </rPr>
      <t xml:space="preserve">Segment </t>
    </r>
    <r>
      <rPr>
        <rFont val="Arial"/>
        <b val="0"/>
        <i/>
        <color theme="1"/>
        <sz val="12.0"/>
      </rPr>
      <t>(1st Additional Interface)</t>
    </r>
  </si>
  <si>
    <r>
      <rPr>
        <rFont val="Arial"/>
        <b/>
        <color theme="1"/>
        <sz val="12.0"/>
      </rPr>
      <t xml:space="preserve">Edge Node </t>
    </r>
    <r>
      <rPr>
        <rFont val="Arial"/>
        <b val="0"/>
        <i/>
        <color theme="1"/>
        <sz val="12.0"/>
      </rPr>
      <t>(1st Additional Interface)</t>
    </r>
  </si>
  <si>
    <r>
      <rPr>
        <rFont val="Arial"/>
        <b/>
        <color theme="1"/>
        <sz val="12.0"/>
      </rPr>
      <t>MTU</t>
    </r>
    <r>
      <rPr>
        <rFont val="Arial"/>
        <b val="0"/>
        <i/>
        <color theme="1"/>
        <sz val="12.0"/>
      </rPr>
      <t xml:space="preserve"> (1st Additional Interface)</t>
    </r>
  </si>
  <si>
    <r>
      <rPr>
        <rFont val="Arial"/>
        <b/>
        <color theme="1"/>
        <sz val="12.0"/>
      </rPr>
      <t xml:space="preserve">Name </t>
    </r>
    <r>
      <rPr>
        <rFont val="Arial"/>
        <b val="0"/>
        <i/>
        <color theme="1"/>
        <sz val="12.0"/>
      </rPr>
      <t>(2nd Additional Interface)</t>
    </r>
  </si>
  <si>
    <r>
      <rPr>
        <rFont val="Arial"/>
        <b/>
        <color theme="1"/>
        <sz val="12.0"/>
      </rPr>
      <t>Location</t>
    </r>
    <r>
      <rPr>
        <rFont val="Arial"/>
        <b val="0"/>
        <i/>
        <color theme="1"/>
        <sz val="12.0"/>
      </rPr>
      <t xml:space="preserve"> (2nd Additional Interface)</t>
    </r>
  </si>
  <si>
    <r>
      <rPr>
        <rFont val="Arial"/>
        <b/>
        <color theme="1"/>
        <sz val="12.0"/>
      </rPr>
      <t xml:space="preserve">IP Address/Mask </t>
    </r>
    <r>
      <rPr>
        <rFont val="Arial"/>
        <b val="0"/>
        <i/>
        <color theme="1"/>
        <sz val="12.0"/>
      </rPr>
      <t>(2nd Additional Interface)</t>
    </r>
  </si>
  <si>
    <r>
      <rPr>
        <rFont val="Arial"/>
        <b/>
        <color rgb="FF000000"/>
        <sz val="12.0"/>
      </rPr>
      <t xml:space="preserve">Segment </t>
    </r>
    <r>
      <rPr>
        <rFont val="Arial"/>
        <b val="0"/>
        <i/>
        <color rgb="FF000000"/>
        <sz val="12.0"/>
      </rPr>
      <t>(2nd Additional Interface)</t>
    </r>
  </si>
  <si>
    <r>
      <rPr>
        <rFont val="Arial"/>
        <b/>
        <color theme="1"/>
        <sz val="12.0"/>
      </rPr>
      <t>Edge Node</t>
    </r>
    <r>
      <rPr>
        <rFont val="Arial"/>
        <b val="0"/>
        <i/>
        <color theme="1"/>
        <sz val="12.0"/>
      </rPr>
      <t xml:space="preserve"> (2nd Additional Interface)</t>
    </r>
  </si>
  <si>
    <r>
      <rPr>
        <rFont val="Arial"/>
        <b/>
        <color theme="1"/>
        <sz val="12.0"/>
      </rPr>
      <t xml:space="preserve">MTU </t>
    </r>
    <r>
      <rPr>
        <rFont val="Arial"/>
        <b val="0"/>
        <i/>
        <color theme="1"/>
        <sz val="12.0"/>
      </rPr>
      <t>(2nd Additional Interface)</t>
    </r>
  </si>
  <si>
    <r>
      <rPr>
        <rFont val="Arial"/>
        <b/>
        <color theme="1"/>
        <sz val="12.0"/>
      </rPr>
      <t>Name</t>
    </r>
    <r>
      <rPr>
        <rFont val="Arial"/>
        <b val="0"/>
        <i/>
        <color theme="1"/>
        <sz val="12.0"/>
      </rPr>
      <t xml:space="preserve"> (3rd Additional Interface)</t>
    </r>
  </si>
  <si>
    <r>
      <rPr>
        <rFont val="Arial"/>
        <b/>
        <color theme="1"/>
        <sz val="12.0"/>
      </rPr>
      <t>Location</t>
    </r>
    <r>
      <rPr>
        <rFont val="Arial"/>
        <b val="0"/>
        <i/>
        <color theme="1"/>
        <sz val="12.0"/>
      </rPr>
      <t xml:space="preserve"> (3rd Additional Interface)</t>
    </r>
  </si>
  <si>
    <r>
      <rPr>
        <rFont val="Arial"/>
        <b/>
        <color theme="1"/>
        <sz val="12.0"/>
      </rPr>
      <t xml:space="preserve">IP Address/Mask </t>
    </r>
    <r>
      <rPr>
        <rFont val="Arial"/>
        <b val="0"/>
        <i/>
        <color theme="1"/>
        <sz val="12.0"/>
      </rPr>
      <t>(3rd Additional Interface)</t>
    </r>
  </si>
  <si>
    <r>
      <rPr>
        <rFont val="Arial"/>
        <b/>
        <color rgb="FF000000"/>
        <sz val="12.0"/>
      </rPr>
      <t xml:space="preserve">Segment </t>
    </r>
    <r>
      <rPr>
        <rFont val="Arial"/>
        <b val="0"/>
        <i/>
        <color rgb="FF000000"/>
        <sz val="12.0"/>
      </rPr>
      <t>(3rd Additional Interface)</t>
    </r>
  </si>
  <si>
    <r>
      <rPr>
        <rFont val="Arial"/>
        <b/>
        <color theme="1"/>
        <sz val="12.0"/>
      </rPr>
      <t>Edge Node</t>
    </r>
    <r>
      <rPr>
        <rFont val="Arial"/>
        <b val="0"/>
        <i/>
        <color theme="1"/>
        <sz val="12.0"/>
      </rPr>
      <t xml:space="preserve"> (3rd Additional Interface)</t>
    </r>
  </si>
  <si>
    <r>
      <rPr>
        <rFont val="Arial"/>
        <b/>
        <color theme="1"/>
        <sz val="12.0"/>
      </rPr>
      <t>MTU</t>
    </r>
    <r>
      <rPr>
        <rFont val="Arial"/>
        <b val="0"/>
        <i/>
        <color theme="1"/>
        <sz val="12.0"/>
      </rPr>
      <t xml:space="preserve"> (3rd Additional Interface)</t>
    </r>
  </si>
  <si>
    <r>
      <rPr>
        <rFont val="Arial"/>
        <b/>
        <color theme="1"/>
        <sz val="12.0"/>
      </rPr>
      <t>Name</t>
    </r>
    <r>
      <rPr>
        <rFont val="Arial"/>
        <b val="0"/>
        <i/>
        <color theme="1"/>
        <sz val="12.0"/>
      </rPr>
      <t xml:space="preserve"> (4th Additional Interface)</t>
    </r>
  </si>
  <si>
    <r>
      <rPr>
        <rFont val="Arial"/>
        <b/>
        <color theme="1"/>
        <sz val="12.0"/>
      </rPr>
      <t xml:space="preserve">Location </t>
    </r>
    <r>
      <rPr>
        <rFont val="Arial"/>
        <b val="0"/>
        <i/>
        <color theme="1"/>
        <sz val="12.0"/>
      </rPr>
      <t>(4th Additional Interface)</t>
    </r>
  </si>
  <si>
    <r>
      <rPr>
        <rFont val="Arial"/>
        <b/>
        <color theme="1"/>
        <sz val="12.0"/>
      </rPr>
      <t>IP Address/Mask</t>
    </r>
    <r>
      <rPr>
        <rFont val="Arial"/>
        <b val="0"/>
        <i/>
        <color theme="1"/>
        <sz val="12.0"/>
      </rPr>
      <t xml:space="preserve"> (4th Additional Interface)</t>
    </r>
  </si>
  <si>
    <r>
      <rPr>
        <rFont val="Arial"/>
        <b/>
        <color rgb="FF000000"/>
        <sz val="12.0"/>
      </rPr>
      <t>Segment</t>
    </r>
    <r>
      <rPr>
        <rFont val="Arial"/>
        <b val="0"/>
        <i/>
        <color rgb="FF000000"/>
        <sz val="12.0"/>
      </rPr>
      <t xml:space="preserve"> (4th Additional Interface)</t>
    </r>
  </si>
  <si>
    <r>
      <rPr>
        <rFont val="Arial"/>
        <b/>
        <color theme="1"/>
        <sz val="12.0"/>
      </rPr>
      <t xml:space="preserve">Edge Node </t>
    </r>
    <r>
      <rPr>
        <rFont val="Arial"/>
        <b val="0"/>
        <i/>
        <color theme="1"/>
        <sz val="12.0"/>
      </rPr>
      <t>(4th Additional Interface)</t>
    </r>
  </si>
  <si>
    <r>
      <rPr>
        <rFont val="Arial"/>
        <b/>
        <color theme="1"/>
        <sz val="12.0"/>
      </rPr>
      <t>MTU</t>
    </r>
    <r>
      <rPr>
        <rFont val="Arial"/>
        <b val="0"/>
        <i/>
        <color theme="1"/>
        <sz val="12.0"/>
      </rPr>
      <t xml:space="preserve"> (4th Additional Interface)</t>
    </r>
  </si>
  <si>
    <r>
      <rPr>
        <rFont val="Arial"/>
        <b/>
        <color theme="1"/>
        <sz val="12.0"/>
      </rPr>
      <t xml:space="preserve">IP Address </t>
    </r>
    <r>
      <rPr>
        <rFont val="Arial"/>
        <b val="0"/>
        <i/>
        <color theme="1"/>
        <sz val="12.0"/>
      </rPr>
      <t>(1st BGP Peer)</t>
    </r>
  </si>
  <si>
    <r>
      <rPr>
        <rFont val="Arial"/>
        <b/>
        <color theme="1"/>
        <sz val="12.0"/>
      </rPr>
      <t xml:space="preserve">Location </t>
    </r>
    <r>
      <rPr>
        <rFont val="Arial"/>
        <b val="0"/>
        <i/>
        <color theme="1"/>
        <sz val="12.0"/>
      </rPr>
      <t>(1st BGP Peer)</t>
    </r>
  </si>
  <si>
    <r>
      <rPr>
        <rFont val="Arial"/>
        <b/>
        <color theme="1"/>
        <sz val="12.0"/>
      </rPr>
      <t xml:space="preserve">Remote AS Number </t>
    </r>
    <r>
      <rPr>
        <rFont val="Arial"/>
        <b val="0"/>
        <i/>
        <color theme="1"/>
        <sz val="12.0"/>
      </rPr>
      <t>(1st BGP Peer)</t>
    </r>
  </si>
  <si>
    <r>
      <rPr>
        <rFont val="Arial"/>
        <b/>
        <color theme="1"/>
        <sz val="12.0"/>
      </rPr>
      <t xml:space="preserve">1st Source Address </t>
    </r>
    <r>
      <rPr>
        <rFont val="Arial"/>
        <b val="0"/>
        <i/>
        <color theme="1"/>
        <sz val="12.0"/>
      </rPr>
      <t>(1st BGP Peer)</t>
    </r>
  </si>
  <si>
    <r>
      <rPr>
        <rFont val="Arial"/>
        <b/>
        <color theme="1"/>
        <sz val="12.0"/>
      </rPr>
      <t>2nd Source Address</t>
    </r>
    <r>
      <rPr>
        <rFont val="Arial"/>
        <b val="0"/>
        <i/>
        <color theme="1"/>
        <sz val="12.0"/>
      </rPr>
      <t xml:space="preserve"> (1st BGP Peer)</t>
    </r>
  </si>
  <si>
    <r>
      <rPr>
        <rFont val="Arial"/>
        <b/>
        <color theme="1"/>
        <sz val="12.0"/>
      </rPr>
      <t xml:space="preserve">Password </t>
    </r>
    <r>
      <rPr>
        <rFont val="Arial"/>
        <b val="0"/>
        <i/>
        <color theme="1"/>
        <sz val="12.0"/>
      </rPr>
      <t>(1st BGP Peer)</t>
    </r>
  </si>
  <si>
    <r>
      <rPr>
        <rFont val="Arial"/>
        <b/>
        <color theme="1"/>
        <sz val="12.0"/>
      </rPr>
      <t>IP Address</t>
    </r>
    <r>
      <rPr>
        <rFont val="Arial"/>
        <b val="0"/>
        <i/>
        <color theme="1"/>
        <sz val="12.0"/>
      </rPr>
      <t xml:space="preserve"> (2nd BGP Peer)</t>
    </r>
  </si>
  <si>
    <r>
      <rPr>
        <rFont val="Arial"/>
        <b/>
        <color theme="1"/>
        <sz val="12.0"/>
      </rPr>
      <t>Location</t>
    </r>
    <r>
      <rPr>
        <rFont val="Arial"/>
        <b val="0"/>
        <i/>
        <color theme="1"/>
        <sz val="12.0"/>
      </rPr>
      <t xml:space="preserve"> (2nd BGP Peer)</t>
    </r>
  </si>
  <si>
    <r>
      <rPr>
        <rFont val="Arial"/>
        <b/>
        <color theme="1"/>
        <sz val="12.0"/>
      </rPr>
      <t>Remote AS Number</t>
    </r>
    <r>
      <rPr>
        <rFont val="Arial"/>
        <b val="0"/>
        <i/>
        <color theme="1"/>
        <sz val="12.0"/>
      </rPr>
      <t xml:space="preserve"> (2nd BGP Peer)</t>
    </r>
  </si>
  <si>
    <r>
      <rPr>
        <rFont val="Arial"/>
        <b/>
        <color theme="1"/>
        <sz val="12.0"/>
      </rPr>
      <t>1st Source Address</t>
    </r>
    <r>
      <rPr>
        <rFont val="Arial"/>
        <b val="0"/>
        <i/>
        <color theme="1"/>
        <sz val="12.0"/>
      </rPr>
      <t xml:space="preserve"> (2nd BGP Peer)</t>
    </r>
  </si>
  <si>
    <r>
      <rPr>
        <rFont val="Arial"/>
        <b/>
        <color theme="1"/>
        <sz val="12.0"/>
      </rPr>
      <t xml:space="preserve">2nd Source Address </t>
    </r>
    <r>
      <rPr>
        <rFont val="Arial"/>
        <b val="0"/>
        <i/>
        <color theme="1"/>
        <sz val="12.0"/>
      </rPr>
      <t>(2nd BGP Peer)</t>
    </r>
  </si>
  <si>
    <r>
      <rPr>
        <rFont val="Arial"/>
        <b/>
        <color theme="1"/>
        <sz val="12.0"/>
      </rPr>
      <t xml:space="preserve">Password </t>
    </r>
    <r>
      <rPr>
        <rFont val="Arial"/>
        <b val="0"/>
        <i/>
        <color theme="1"/>
        <sz val="12.0"/>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</si>
  <si>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</si>
  <si>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</si>
  <si>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</si>
  <si>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</si>
  <si>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</si>
  <si>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</si>
  <si>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</si>
  <si>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Select the type of storage you would like to use for this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</si>
  <si>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</si>
  <si>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</si>
  <si>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</si>
  <si>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</si>
  <si>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</si>
  <si>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</si>
  <si>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Preconfigured Profiles</t>
  </si>
  <si>
    <t>Portgroup should be created manually on Primary Distributed Switch post Deployment. Used for NSX Edge MGMT Interface.</t>
  </si>
  <si>
    <t>Transport Zone Type: NSX- Overlay</t>
  </si>
  <si>
    <t>Re-use an existing Pool</t>
  </si>
  <si>
    <t xml:space="preserve">Description </t>
  </si>
  <si>
    <t>NSX Transport Node Profile Settings</t>
  </si>
  <si>
    <t>Active uplink1</t>
  </si>
  <si>
    <t>Active uplink2</t>
  </si>
  <si>
    <t>Commission Hosts  {vCenter}</t>
  </si>
  <si>
    <t>vSAN Compute Site Network Toplogy</t>
  </si>
  <si>
    <t>Symmetric</t>
  </si>
  <si>
    <t>vSAN Compute Cluster Fault Domain Mapping</t>
  </si>
  <si>
    <t>Primary</t>
  </si>
  <si>
    <t>New</t>
  </si>
  <si>
    <t>Old</t>
  </si>
  <si>
    <t>input_vvs_dr_ntp1_server</t>
  </si>
  <si>
    <t>input_vvs_dr_ntp1_ip</t>
  </si>
  <si>
    <t>cluster_vsan_type_chosen</t>
  </si>
  <si>
    <t>input_cluster_vsan_type</t>
  </si>
  <si>
    <t>flt_vidb_chosen</t>
  </si>
  <si>
    <t>input_flt_vidb_deployment_mode</t>
  </si>
  <si>
    <t>mgmt_vns_chosen</t>
  </si>
  <si>
    <t>input_mgmt_ec_gateway_type</t>
  </si>
  <si>
    <t>wld_cl01_vsan_client_network_chosen</t>
  </si>
  <si>
    <t>input_wld_cl01_vsan_client_network_chosen</t>
  </si>
  <si>
    <t>vvs_dr_flt_logs_nodea_hostname</t>
  </si>
  <si>
    <t>input_xreg_logs_nodea_hostname</t>
  </si>
  <si>
    <t>vvs_dr_flt_logs_nodeb_hostname</t>
  </si>
  <si>
    <t>input_xreg_logs_nodeb_hostname</t>
  </si>
  <si>
    <t>vvs_dr_flt_logs_nodec_hostname</t>
  </si>
  <si>
    <t>input_xreg_logs_nodec_hostname</t>
  </si>
  <si>
    <t>vvs_dr_flt_net_nodea_hostname</t>
  </si>
  <si>
    <t>input_xreg_net_nodea_hostname</t>
  </si>
  <si>
    <t>vvs_dr_flt_net_nodeb_hostname</t>
  </si>
  <si>
    <t>input_xreg_net_nodeb_hostname</t>
  </si>
  <si>
    <t>input_xreg_net_nodec_hostname</t>
  </si>
  <si>
    <t>vvs_dr_flt_fleet_manager_hostname</t>
  </si>
  <si>
    <t>input_xreg_vrops_flt_hostname</t>
  </si>
  <si>
    <t>wld_multirack_calc</t>
  </si>
  <si>
    <t>wld_multirack_chosen</t>
  </si>
  <si>
    <t>cluster_vsan_type</t>
  </si>
  <si>
    <t>wld_cl01_vsan_client_network</t>
  </si>
  <si>
    <t>sample_mgmt_nsxt_gm_vip_ip</t>
  </si>
  <si>
    <t>sample_mgmt_nsxt_gm_ip</t>
  </si>
  <si>
    <t>input_mgmt_nsxt_gm_vip_ip</t>
  </si>
  <si>
    <t>input_mgmt_nsxt_gm_ip</t>
  </si>
  <si>
    <t>mgmt_nsxt_gm_vip_ip</t>
  </si>
  <si>
    <t>mgmt_nsxt_gm_ip</t>
  </si>
  <si>
    <t>sample_mgmt_nsxt_vip_ip</t>
  </si>
  <si>
    <t>sample_mgmt_nsxt_ip</t>
  </si>
  <si>
    <t>input_mgmt_nsxt_vip_ip</t>
  </si>
  <si>
    <t>input_mgmt_nsxt_ip</t>
  </si>
  <si>
    <t>mgmt_nsxt_vip_ip</t>
  </si>
  <si>
    <t>mgmt_nsxt_ip</t>
  </si>
  <si>
    <t>sample_wld_nsxt_gm_vip_ip</t>
  </si>
  <si>
    <t>sample_wld_nsxt_gm_ip</t>
  </si>
  <si>
    <t>input_wld_nsxt_gm_vip_ip</t>
  </si>
  <si>
    <t>input_wld_nsxt_gm_ip</t>
  </si>
  <si>
    <t>wld_nsxt_gm_vip_ip</t>
  </si>
  <si>
    <t>wld_nsxt_gm_ip</t>
  </si>
  <si>
    <t>sample_wld_nsxt_vip_ip</t>
  </si>
  <si>
    <t>sample_wld_nsxt_ip</t>
  </si>
  <si>
    <t>input_wld_nsxt_vip_ip</t>
  </si>
  <si>
    <t>input_wld_nsxt_ip</t>
  </si>
  <si>
    <t>wld_nsxt_vip_ip</t>
  </si>
  <si>
    <t>wld_nsxt_ip</t>
  </si>
  <si>
    <t>sample_flt_vidb_vip_fqdn</t>
  </si>
  <si>
    <t>sample_flt_vidb_fqdn</t>
  </si>
  <si>
    <t>input_flt_vidb_vip_fqdn</t>
  </si>
  <si>
    <t>input_flt_vidb_fqdn</t>
  </si>
  <si>
    <t>flt_vidb_vip_fqdn</t>
  </si>
  <si>
    <t>flt_vidb_fqdn</t>
  </si>
  <si>
    <t>mgmt_nsxt_appliance_size_chosen</t>
  </si>
  <si>
    <t>sizing_m01_nsxt_model_chosen</t>
  </si>
  <si>
    <t>wld_nsxt_appliance_size_chosen</t>
  </si>
  <si>
    <t xml:space="preserve">sizing_wld_nsxt_model_chosen </t>
  </si>
  <si>
    <t>mgmt_vcenter_appliance_size_chosen</t>
  </si>
  <si>
    <t xml:space="preserve">sizing_m01_vcenter_appliance_size_chosen </t>
  </si>
  <si>
    <t>mgmt_vcenter_appliance_storage_size_chosen</t>
  </si>
  <si>
    <t>sizing_m01_vcenter_storage_size_chosen</t>
  </si>
  <si>
    <t>mgmt_vcfops_appliance_size_chosen</t>
  </si>
  <si>
    <t>xreg_vrops_appliance_size_chosen</t>
  </si>
  <si>
    <t xml:space="preserve">       VMware Cloud Foundation Network Value Reference Tables</t>
  </si>
  <si>
    <t>Transposed and Calculated Values. All values are named cells for reference in other areas of the Workbook</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</si>
  <si>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</si>
  <si>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</si>
  <si>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</si>
  <si>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</si>
  <si>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</si>
  <si>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</si>
  <si>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</si>
  <si>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</si>
  <si>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</si>
  <si>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</si>
  <si>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Modifiers</t>
  </si>
  <si>
    <t>AZ1 Actual Value</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</si>
  <si>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</si>
  <si>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</si>
  <si>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</si>
  <si>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</si>
  <si>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</si>
  <si>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</si>
  <si>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</si>
  <si>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</si>
  <si>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</si>
  <si>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Secondary Storage Network (NFS)</t>
  </si>
  <si>
    <t>Internet Proxy Chosen</t>
  </si>
  <si>
    <t>NSX Edge Uplink 1</t>
  </si>
  <si>
    <t>NSX Edge Uplink 2</t>
  </si>
  <si>
    <t>Proxy Authentication</t>
  </si>
  <si>
    <t>NSX Edge Overlay</t>
  </si>
  <si>
    <t>Start ASN</t>
  </si>
  <si>
    <t>NSX RTEP Overlay</t>
  </si>
  <si>
    <t>Instance 1</t>
  </si>
  <si>
    <t>vSphere Replication</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</si>
  <si>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</si>
  <si>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</si>
  <si>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</si>
  <si>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</si>
  <si>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</si>
  <si>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</si>
  <si>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</si>
  <si>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</si>
  <si>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</si>
  <si>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</si>
  <si>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</si>
  <si>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</si>
  <si>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</si>
  <si>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</si>
  <si>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Instance Name</t>
  </si>
  <si>
    <t xml:space="preserve">Deployment Model </t>
  </si>
  <si>
    <t>Password Creation Auto-generate passwords</t>
  </si>
  <si>
    <t>FLT-MGR use Use same password as VCF Operations</t>
  </si>
  <si>
    <t>Ops-Collector Use same password as VCF Operations</t>
  </si>
  <si>
    <t>Deployment Parameters</t>
  </si>
  <si>
    <t>Zone name</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</si>
  <si>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</si>
  <si>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</si>
  <si>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</si>
  <si>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</si>
  <si>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</si>
  <si>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</si>
  <si>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</si>
  <si>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</si>
  <si>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</si>
  <si>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Server #3</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</si>
  <si>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</si>
  <si>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</si>
  <si>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</si>
  <si>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</si>
  <si>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</si>
  <si>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</si>
  <si>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</si>
  <si>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</si>
  <si>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</si>
  <si>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</si>
  <si>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</si>
  <si>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Principal Storage Network (vSAN-ESA)</t>
  </si>
  <si>
    <t>Operations Collector appliance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</si>
  <si>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</si>
  <si>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</si>
  <si>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</si>
  <si>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</si>
  <si>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</si>
  <si>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</si>
  <si>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</si>
  <si>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</si>
  <si>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</si>
  <si>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</si>
  <si>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</si>
  <si>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</si>
  <si>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</si>
  <si>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</si>
  <si>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</si>
  <si>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</si>
  <si>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</si>
  <si>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</si>
  <si>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</si>
  <si>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</si>
  <si>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</si>
  <si>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</si>
  <si>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</si>
  <si>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</si>
  <si>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</si>
  <si>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</si>
  <si>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</si>
  <si>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</si>
  <si>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</si>
  <si>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</si>
  <si>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</si>
  <si>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</si>
  <si>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</si>
  <si>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</si>
  <si>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</si>
  <si>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</si>
  <si>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NSX RTEP Overaly</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</si>
  <si>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</si>
  <si>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</si>
  <si>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</si>
  <si>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</si>
  <si>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</si>
  <si>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</si>
  <si>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</si>
  <si>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</si>
  <si>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</si>
  <si>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</si>
  <si>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</si>
  <si>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</si>
  <si>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</si>
  <si>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</si>
  <si>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</si>
  <si>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</si>
  <si>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</si>
  <si>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</si>
  <si>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</si>
  <si>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</si>
  <si>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</si>
  <si>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</si>
  <si>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</si>
  <si>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</si>
  <si>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</si>
  <si>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</si>
  <si>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</si>
  <si>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</si>
  <si>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</si>
  <si>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</si>
  <si>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</si>
  <si>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</si>
  <si>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</si>
  <si>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</si>
  <si>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</si>
  <si>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</si>
  <si>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</si>
  <si>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</si>
  <si>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</si>
  <si>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</si>
  <si>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</si>
  <si>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</si>
  <si>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</si>
  <si>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</si>
  <si>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</si>
  <si>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</si>
  <si>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</si>
  <si>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</si>
  <si>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</si>
  <si>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</si>
  <si>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</si>
  <si>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</si>
  <si>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</si>
  <si>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</si>
  <si>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</si>
  <si>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</si>
  <si>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</si>
  <si>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</si>
  <si>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Host Overlay Network Pool Name</t>
  </si>
  <si>
    <t>Overlay Network Pool Name</t>
  </si>
  <si>
    <t>NSX-Overlay Transport Zone</t>
  </si>
  <si>
    <t>NSX Overlay Transport Zone</t>
  </si>
  <si>
    <t>Overlay Uplink Profile Name</t>
  </si>
  <si>
    <t>Edge Overlay Network Pool Name</t>
  </si>
  <si>
    <t>RTEP Network  Pool Name</t>
  </si>
  <si>
    <t>vSAN Fault Domain</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</si>
  <si>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</si>
  <si>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</si>
  <si>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</si>
  <si>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</si>
  <si>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</si>
  <si>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</si>
  <si>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</si>
  <si>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</si>
  <si>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</si>
  <si>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</si>
  <si>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</si>
  <si>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</si>
  <si>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</si>
  <si>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</si>
  <si>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</si>
  <si>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</si>
  <si>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</si>
  <si>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</si>
  <si>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</si>
  <si>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</si>
  <si>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</si>
  <si>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</si>
  <si>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</si>
  <si>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</si>
  <si>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</si>
  <si>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</si>
  <si>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</si>
  <si>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</si>
  <si>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</si>
  <si>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</si>
  <si>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</si>
  <si>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</si>
  <si>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</si>
  <si>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</si>
  <si>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</si>
  <si>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</si>
  <si>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</si>
  <si>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</si>
  <si>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</si>
  <si>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</si>
  <si>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</si>
  <si>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</si>
  <si>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</si>
  <si>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</si>
  <si>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</si>
  <si>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</si>
  <si>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</si>
  <si>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</si>
  <si>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</si>
  <si>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</si>
  <si>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</si>
  <si>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</si>
  <si>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</si>
  <si>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</si>
  <si>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</si>
  <si>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</si>
  <si>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</si>
  <si>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</si>
  <si>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</si>
  <si>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</si>
  <si>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</si>
  <si>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</si>
  <si>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</si>
  <si>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</si>
  <si>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</si>
  <si>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</si>
  <si>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</si>
  <si>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</si>
  <si>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</si>
  <si>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</si>
  <si>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</si>
  <si>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</si>
  <si>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</si>
  <si>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</si>
  <si>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</si>
  <si>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</si>
  <si>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</si>
  <si>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</si>
  <si>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</si>
  <si>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</si>
  <si>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</si>
  <si>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</si>
  <si>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</si>
  <si>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</si>
  <si>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</si>
  <si>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</si>
  <si>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</si>
  <si>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</si>
  <si>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</si>
  <si>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</si>
  <si>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</si>
  <si>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</si>
  <si>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</si>
  <si>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</si>
  <si>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</si>
  <si>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</si>
  <si>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</si>
  <si>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</si>
  <si>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</si>
  <si>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</si>
  <si>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</si>
  <si>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</si>
  <si>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</si>
  <si>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</si>
  <si>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</si>
  <si>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</si>
  <si>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</si>
  <si>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</si>
  <si>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</si>
  <si>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</si>
  <si>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</si>
  <si>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</si>
  <si>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</si>
  <si>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</si>
  <si>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MGMT CIDR</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</si>
  <si>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</si>
  <si>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</si>
  <si>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</si>
  <si>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</si>
  <si>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</si>
  <si>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</si>
  <si>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</si>
  <si>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</si>
  <si>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</si>
  <si>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AZ2 Actual Value</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</si>
  <si>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</si>
  <si>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</si>
  <si>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</si>
  <si>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</si>
  <si>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</si>
  <si>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</si>
  <si>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</si>
  <si>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</si>
  <si>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</si>
  <si>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</si>
  <si>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</si>
  <si>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</si>
  <si>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</si>
  <si>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</si>
  <si>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</si>
  <si>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MGMT Rack 1 Subnet Masks (Calculated)  (Secondary AZ)</t>
  </si>
  <si>
    <t>Rack 1 Host Overlay Profiles (Secondary AZ)</t>
  </si>
  <si>
    <t>WLD Rack 1 AZ1 vMotion Network</t>
  </si>
  <si>
    <t>WLD Rack 1 Principal Storage Network</t>
  </si>
  <si>
    <t>WLD Rack 1 Uplink 01 Network</t>
  </si>
  <si>
    <t>WLD Rack 1 Uplink 02 Network</t>
  </si>
  <si>
    <t>WLD Rack 1 VRMS Network</t>
  </si>
  <si>
    <t>Rack 1 Subnet Masks (Calculated)  (Secondary AZ)</t>
  </si>
  <si>
    <t>MGMT Rack 1  IP Addresses (Secondary AZ)</t>
  </si>
  <si>
    <t>Rack 1 IP Addresses (Secondary AZ)</t>
  </si>
  <si>
    <t>MGMT Rack 1 Hostnames (Secondary AZ)</t>
  </si>
  <si>
    <t>Rack 1 Hostnames (Secondary AZ)</t>
  </si>
  <si>
    <t>MGMT Rack 1 FQDNs (Secondary AZ)</t>
  </si>
  <si>
    <t>VMware Cloud Builder Infrastructure Details</t>
  </si>
  <si>
    <t xml:space="preserve">Workload Domain Details </t>
  </si>
  <si>
    <t xml:space="preserve">Cluster Operations 							</t>
  </si>
  <si>
    <t>Virtual Infrastructure Usernames</t>
  </si>
  <si>
    <t xml:space="preserve">Management Domain VI Inputs (Primary Availability Zone)								</t>
  </si>
  <si>
    <t xml:space="preserve">Fleet Manager IP Addresses				</t>
  </si>
  <si>
    <t>Developer Ready Infrastructure References</t>
  </si>
  <si>
    <t>Management Domain Virtual Network Segment Names</t>
  </si>
  <si>
    <t>SDDC and Virtual Infrastructure References</t>
  </si>
  <si>
    <t>Management Domain VLANs</t>
  </si>
  <si>
    <t xml:space="preserve">VCF Installer location </t>
  </si>
  <si>
    <t>Workload Domain Number</t>
  </si>
  <si>
    <t>Sample VCF Installer FQDM</t>
  </si>
  <si>
    <t>Hosts Per Rack</t>
  </si>
  <si>
    <t>Select a Workload Domain Type</t>
  </si>
  <si>
    <t>VI Workload Domain</t>
  </si>
  <si>
    <t>CA Administrator</t>
  </si>
  <si>
    <t>Cloud Foundation Management Domain Name</t>
  </si>
  <si>
    <t xml:space="preserve">Fleet Manager </t>
  </si>
  <si>
    <t>Local Instance Segment</t>
  </si>
  <si>
    <t>Cross Instance Datacenter Name</t>
  </si>
  <si>
    <t>VM Network (Initial ESXi Install)</t>
  </si>
  <si>
    <t xml:space="preserve">Sample Domain Name </t>
  </si>
  <si>
    <t>Hosts Per Multi Rack WLD</t>
  </si>
  <si>
    <t>Cluster Domain Name</t>
  </si>
  <si>
    <t>SMTP Sender</t>
  </si>
  <si>
    <t>Certificate Authority Model</t>
  </si>
  <si>
    <t>vCenter Server - FQDN</t>
  </si>
  <si>
    <t>Cross Instance Segment</t>
  </si>
  <si>
    <t>Cross Instance Datacenter Location</t>
  </si>
  <si>
    <t>Local Instance Segment (VLAN Backed)</t>
  </si>
  <si>
    <t>Sample Child Domain</t>
  </si>
  <si>
    <t>Microsoft CA Username</t>
  </si>
  <si>
    <t xml:space="preserve">Fleet Manager Hostname														</t>
  </si>
  <si>
    <t>vCenter Server - Datacenter</t>
  </si>
  <si>
    <t>Cross Instance Environment Password Alias</t>
  </si>
  <si>
    <t>Cross Instance Segment (VLAN Backed)</t>
  </si>
  <si>
    <t>PNP Version Number</t>
  </si>
  <si>
    <t>Virtual Infrastructure Passwords</t>
  </si>
  <si>
    <t>vCenter Server - Cluster</t>
  </si>
  <si>
    <t>Management Domain Virtual Network Segment CIDRs</t>
  </si>
  <si>
    <t>Cross Instance Environment Password</t>
  </si>
  <si>
    <t>Management Domain IP Addresses (Primary AZ)</t>
  </si>
  <si>
    <t>Workload Domain IP Addresses (Primary AZ)</t>
  </si>
  <si>
    <t>Storage Size</t>
  </si>
  <si>
    <t>vCenter Server - vSphere Distributed Switch</t>
  </si>
  <si>
    <t>Cross Instance Environment Name</t>
  </si>
  <si>
    <t>Management Domain Portgroup Names</t>
  </si>
  <si>
    <t xml:space="preserve">ESXi: root </t>
  </si>
  <si>
    <t>CEIP</t>
  </si>
  <si>
    <t>vCenter Server - vSAN Storage</t>
  </si>
  <si>
    <t>Local Instance Overlay-Backed Segment</t>
  </si>
  <si>
    <t>VMware Aria Suite Lifecycle VM Folder</t>
  </si>
  <si>
    <t>Private Cloud Installer</t>
  </si>
  <si>
    <t>vCenter Server</t>
  </si>
  <si>
    <t>vCenter: administrator@vsphere.local</t>
  </si>
  <si>
    <t>NSX Virtual Appliance Size</t>
  </si>
  <si>
    <t xml:space="preserve">Fleet Manager FQDN													</t>
  </si>
  <si>
    <t>NSX Manager - VIP FQDN</t>
  </si>
  <si>
    <t>Cross Instance Overlay-Backed Segment</t>
  </si>
  <si>
    <t>Local Instance Datacenter Name</t>
  </si>
  <si>
    <t>NSX Local Manager Virtual Server</t>
  </si>
  <si>
    <t>vCenter: root</t>
  </si>
  <si>
    <t>NSX Edge Cluster Name</t>
  </si>
  <si>
    <t>NSX Manager - Connected Gateway (Tier 1)</t>
  </si>
  <si>
    <t>Clustered Workspace ONE Access Cert Name</t>
  </si>
  <si>
    <t>Management Domain Network CIDRs</t>
  </si>
  <si>
    <t>NSX Local Manager Node A</t>
  </si>
  <si>
    <t>vMotion</t>
  </si>
  <si>
    <t>NSX: root (lm)</t>
  </si>
  <si>
    <t>NSX Edge Node Applicance Size</t>
  </si>
  <si>
    <t>NSX Manager - Connected Gateway (Tier 0)</t>
  </si>
  <si>
    <t>Management Domain Virtual Network Segment Gateways</t>
  </si>
  <si>
    <t>Clustered Workspace ONE Access VM Folder</t>
  </si>
  <si>
    <t>NSX Local Manager Node B</t>
  </si>
  <si>
    <t>NSX: admin (lm)</t>
  </si>
  <si>
    <t>NSX Tier-0 Gateway Name</t>
  </si>
  <si>
    <t>NSX Manager - Overlay Transport Zone</t>
  </si>
  <si>
    <t>Global Environment Administrator: Password alias</t>
  </si>
  <si>
    <t>NSX Local Manager Node C</t>
  </si>
  <si>
    <t>NSX: audit (lm)</t>
  </si>
  <si>
    <t>NSX Tier-1 Gateway Name</t>
  </si>
  <si>
    <t>Developer Ready Infrastructure Network Pools (Primary AZ)</t>
  </si>
  <si>
    <t>NSX Kubernetes Management Segment Name</t>
  </si>
  <si>
    <t>Global Environment Administrator: Password</t>
  </si>
  <si>
    <t>NSX Global Manager Virtual Server</t>
  </si>
  <si>
    <t>NSX: root (en)</t>
  </si>
  <si>
    <t>NSX GM VMCA-Signed Certificate Thumprint</t>
  </si>
  <si>
    <t>NSX Kubernetes IP Prefix List Name</t>
  </si>
  <si>
    <t>Global Environment Administrator: User name</t>
  </si>
  <si>
    <t>Management Domain Network Gateways</t>
  </si>
  <si>
    <t>NSX Global Manager Node A</t>
  </si>
  <si>
    <t>NSX: admin (en)</t>
  </si>
  <si>
    <t>NSX GM Cluster ID</t>
  </si>
  <si>
    <t>NSX Kubernetes IP Route Map Name</t>
  </si>
  <si>
    <t>Local Administrator: Password alias</t>
  </si>
  <si>
    <t>NSX Global Manager Node B</t>
  </si>
  <si>
    <t>NSX: root (gm)</t>
  </si>
  <si>
    <t>NSX Global Manager Anti-Affinity Rule Name</t>
  </si>
  <si>
    <t>Management Domain Virtual Network Segment MTUs</t>
  </si>
  <si>
    <t>Local Administrator: Password</t>
  </si>
  <si>
    <t>NSX Global Manager Node C</t>
  </si>
  <si>
    <t>NSX: admin (gm)</t>
  </si>
  <si>
    <t>NSX Global Manager Certificate ID</t>
  </si>
  <si>
    <t>Load Balancer - GE</t>
  </si>
  <si>
    <t>Local Administrator: User name</t>
  </si>
  <si>
    <t>AVI Load Balancer Virtual Server</t>
  </si>
  <si>
    <t>NSX: audit (gm)</t>
  </si>
  <si>
    <t>NSX Federation Global Manager Name</t>
  </si>
  <si>
    <t>Load Balancer - LE</t>
  </si>
  <si>
    <t>Local Configuration Administrator: Password alias</t>
  </si>
  <si>
    <t>Management Domain Network MTU</t>
  </si>
  <si>
    <t>AVI Load Balance Node 1 IP Address</t>
  </si>
  <si>
    <t>NSX Federation Location Name</t>
  </si>
  <si>
    <t>vCenter Kubernetes Category Name</t>
  </si>
  <si>
    <t>Local Configuration Administrator: Password</t>
  </si>
  <si>
    <t>AVI Load Balance Node 2 IP Address</t>
  </si>
  <si>
    <t>SHA-256 NSX Local Manager Virtual Server</t>
  </si>
  <si>
    <t>vCenter Kubernetes Tag Name</t>
  </si>
  <si>
    <t>Local Configuration Administrator: User name</t>
  </si>
  <si>
    <t>AVI Load Balance Node 3 IP Address</t>
  </si>
  <si>
    <t>SHA-256 NSX Global Manager Virtual Server</t>
  </si>
  <si>
    <t>vCenter Kubernetes Storage Policy Name</t>
  </si>
  <si>
    <t>Workload Domain Virtual Network Segment Names</t>
  </si>
  <si>
    <t>Appliance Root User: Password alias</t>
  </si>
  <si>
    <t>SDDC Manager: root</t>
  </si>
  <si>
    <t>Cross Instance NSX T1 Gateway Name</t>
  </si>
  <si>
    <t>Developer Ready Infrastructure IPs</t>
  </si>
  <si>
    <t>vCenter Kubernetes Content Library Name</t>
  </si>
  <si>
    <t>Appliance Root User: Password</t>
  </si>
  <si>
    <t>Workload Domain VLANs</t>
  </si>
  <si>
    <t>Workload Domain Hostnames (Primary AZ)</t>
  </si>
  <si>
    <t>SDDC Manager: vcf</t>
  </si>
  <si>
    <t xml:space="preserve">Existing Active Global Manager </t>
  </si>
  <si>
    <t>Harbor Envoy Ingress IP</t>
  </si>
  <si>
    <t>Kubernetes - Size Hint</t>
  </si>
  <si>
    <t>Kubernetes Management Segment</t>
  </si>
  <si>
    <t>Appliance Root User: User name</t>
  </si>
  <si>
    <t xml:space="preserve">VMSP - Primary </t>
  </si>
  <si>
    <t>SDDC Manager: admin@local</t>
  </si>
  <si>
    <t>Existing Cross Instance T0</t>
  </si>
  <si>
    <t>Kubernetes - Network Mode</t>
  </si>
  <si>
    <t>StaticRange</t>
  </si>
  <si>
    <t>Configadmin Email Address</t>
  </si>
  <si>
    <t>VMSP - Node A</t>
  </si>
  <si>
    <t>My VMware</t>
  </si>
  <si>
    <t>AVI Load Balancer Cluster Name</t>
  </si>
  <si>
    <t>Developer Ready Infrastructure Hostnames</t>
  </si>
  <si>
    <t>Kubernetes - Network Address Range</t>
  </si>
  <si>
    <t>Management Domain VLANs (Witness Zone)</t>
  </si>
  <si>
    <t>Content Library - vRSLCM Upgrades and Deployments</t>
  </si>
  <si>
    <t>Operations</t>
  </si>
  <si>
    <t>VMSP - Node B</t>
  </si>
  <si>
    <t>AVI Load Balancer Cluster Version</t>
  </si>
  <si>
    <t>Harbor Hostname</t>
  </si>
  <si>
    <t>Kubernetes Management Segment Start IP</t>
  </si>
  <si>
    <t>Customer Connect Username</t>
  </si>
  <si>
    <t>Workload Domain Portgroup Names</t>
  </si>
  <si>
    <t>VMSP - Node C</t>
  </si>
  <si>
    <t>AVI LB (root)</t>
  </si>
  <si>
    <t>Kubernetes Management Segment Gateway</t>
  </si>
  <si>
    <t>Customer Connect Password</t>
  </si>
  <si>
    <t>VMSP - Node D</t>
  </si>
  <si>
    <t>SFTP Backup User</t>
  </si>
  <si>
    <t>Developer Ready Infrastructure FQDN</t>
  </si>
  <si>
    <t>Kubernetes Cluster Endpoint Common Name</t>
  </si>
  <si>
    <t>VM Network</t>
  </si>
  <si>
    <t xml:space="preserve">Secondary Storage Network </t>
  </si>
  <si>
    <t>vSAN Witness: root (mgmt)</t>
  </si>
  <si>
    <t>SDDC Manager and vCenter Server VM Folder</t>
  </si>
  <si>
    <t>Harbor Envoy FQDN</t>
  </si>
  <si>
    <t>Kubectl Path</t>
  </si>
  <si>
    <t>Management Domain Portgroup Names (Witness Zone)</t>
  </si>
  <si>
    <t>Subnet Masks (Calculated)</t>
  </si>
  <si>
    <t>Management Domain Hostnames (Primary AZ)</t>
  </si>
  <si>
    <t>vSAN Witness: root (wld)</t>
  </si>
  <si>
    <t>NSX Manager VM Folder</t>
  </si>
  <si>
    <t>Kubernetes Management Segment Gateway CIDR</t>
  </si>
  <si>
    <t>Workload Domain Network CIDRs</t>
  </si>
  <si>
    <t>VM Folder NSX Edge Nodes VM Folder</t>
  </si>
  <si>
    <t xml:space="preserve">Private Cloud Automation IPs													</t>
  </si>
  <si>
    <t>Kubernetes API Endpoint FQDN</t>
  </si>
  <si>
    <t>Management Domain AZ1 Management Network</t>
  </si>
  <si>
    <t>Proxy User</t>
  </si>
  <si>
    <t>Kubernetes - Server Address</t>
  </si>
  <si>
    <t>Management Domain WAZ Management Network</t>
  </si>
  <si>
    <t>Proxy Password</t>
  </si>
  <si>
    <t>Aria Automation Virtual Server</t>
  </si>
  <si>
    <t>Initial VM Class</t>
  </si>
  <si>
    <t>Management Domain Network CIDRs (Witness Zone)</t>
  </si>
  <si>
    <t>Management Uplink 01 Network</t>
  </si>
  <si>
    <t>VCOP Collector Administrator Password</t>
  </si>
  <si>
    <t>Aria Automation Node A</t>
  </si>
  <si>
    <t>Management Uplink 02 Network</t>
  </si>
  <si>
    <t>WLD Root Password</t>
  </si>
  <si>
    <t>Aria Automation Node B</t>
  </si>
  <si>
    <t>Local Instance Segment Overlay-Backed Segment</t>
  </si>
  <si>
    <t>Workload Domain Network Gateways</t>
  </si>
  <si>
    <t>Workload Domain FQDNs (Primary AZ)</t>
  </si>
  <si>
    <t>Aria Automation Node C</t>
  </si>
  <si>
    <t>Cross-Region Overlay-Backed Segment</t>
  </si>
  <si>
    <t>External Services Naming and IP Addressing</t>
  </si>
  <si>
    <t>Aria Automation Node D</t>
  </si>
  <si>
    <t>Private AI Ready Infrastructure References</t>
  </si>
  <si>
    <t>Management Domain Network Gateways (Witness Zone)</t>
  </si>
  <si>
    <t>Workload Domain AZ1 Management Network</t>
  </si>
  <si>
    <t>Workload Domain WAZ Management Network</t>
  </si>
  <si>
    <t>NTP Server 1 (Local Instance Components)</t>
  </si>
  <si>
    <t>Organization Unit</t>
  </si>
  <si>
    <t>Private AI License</t>
  </si>
  <si>
    <t>Workload Domain AZ1 vMotion Network</t>
  </si>
  <si>
    <t>NTP Server 2 (Local Instance Components)</t>
  </si>
  <si>
    <t>GPU VM Class</t>
  </si>
  <si>
    <t>Workload Domain AZ1 Principal Storage Network</t>
  </si>
  <si>
    <t>Workload Domain Network MTU</t>
  </si>
  <si>
    <t>NTP Server 3 (Local Instance Components)</t>
  </si>
  <si>
    <t xml:space="preserve">Private Cloud Automation Hostnames													</t>
  </si>
  <si>
    <t>GPU Operator Namespace</t>
  </si>
  <si>
    <t>Management Domain Network MTU (Witness Zone)</t>
  </si>
  <si>
    <t>Workload Uplink 01 Network</t>
  </si>
  <si>
    <t>NTP Server 1 (Xregion Components)</t>
  </si>
  <si>
    <t>GPU Network Operator Namespace</t>
  </si>
  <si>
    <t>Workload Uplink 02 Network</t>
  </si>
  <si>
    <t>NTP Server 2 (Xregion Components)</t>
  </si>
  <si>
    <t>SFTP Server Backup Username</t>
  </si>
  <si>
    <t>VIDB</t>
  </si>
  <si>
    <t>NTP Server 1 (Witness Components)</t>
  </si>
  <si>
    <t>Management VRMS Network</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</si>
  <si>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</si>
  <si>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</si>
  <si>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</si>
  <si>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</si>
  <si>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</si>
  <si>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</si>
  <si>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</si>
  <si>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MGMT AZ2 vMotion Mask</t>
  </si>
  <si>
    <t>NSX Edge Node 1</t>
  </si>
  <si>
    <t>Host ESX</t>
  </si>
  <si>
    <t>DNS Server 2 (Local Instance Components)</t>
  </si>
  <si>
    <t>SSO Default Admin</t>
  </si>
  <si>
    <t>Existing: Recovery Site SDDC Manager FQDN</t>
  </si>
  <si>
    <t>MGMT AZ2 vSan Mask</t>
  </si>
  <si>
    <t>NSX Edge Node 2</t>
  </si>
  <si>
    <t>DNS Server 1 (X-Region Components)</t>
  </si>
  <si>
    <t>Primary AZ VM Group Name</t>
  </si>
  <si>
    <t>Existing: Recovery Site SDDC Manager User</t>
  </si>
  <si>
    <t>MGMT AZ2 NFS Mask</t>
  </si>
  <si>
    <t>DNS Server 2 (X-Region Components)</t>
  </si>
  <si>
    <t>Proxy Type</t>
  </si>
  <si>
    <t xml:space="preserve">Intelligent Logging &amp; Analytics IP Addresses													</t>
  </si>
  <si>
    <t>Existing: Recovery Site SDDC Manager Password</t>
  </si>
  <si>
    <t>Workload Domain Portgroup Names (Witness Zone)</t>
  </si>
  <si>
    <t>MGMT AZ2 Host Overlay Mask</t>
  </si>
  <si>
    <t>DNS Server 1 (Witness Components)</t>
  </si>
  <si>
    <t>VRMS Appliance Size</t>
  </si>
  <si>
    <t xml:space="preserve">Workload Domain FQDNs (Witness AZ)	</t>
  </si>
  <si>
    <t>DNS Server 2 (Witness Components)</t>
  </si>
  <si>
    <t>Proy Port</t>
  </si>
  <si>
    <t>Aria Operatons for Logs Virtual Server</t>
  </si>
  <si>
    <t>SRM Appliance Size</t>
  </si>
  <si>
    <t>Domain Controller for vSphere AD Integration</t>
  </si>
  <si>
    <t>Aria Operatons for Logs Node A</t>
  </si>
  <si>
    <t>Username (VMware Aria Operations to vSphere Replication SSO User)</t>
  </si>
  <si>
    <t>Certificate Authority FQDN</t>
  </si>
  <si>
    <t>Offline Depot Hostname</t>
  </si>
  <si>
    <t>Aria Operatons for Logs Node B</t>
  </si>
  <si>
    <t>Password (VMware Aria Operations to vSphere Replication)</t>
  </si>
  <si>
    <t>Workload Domain Network CIDRs (Witness Zone)</t>
  </si>
  <si>
    <t>Certificate Authority Name</t>
  </si>
  <si>
    <t>Offline Depot Port</t>
  </si>
  <si>
    <t>Aria Operatons for Logs Node C</t>
  </si>
  <si>
    <t>User (VMware Aria Operations to Site Recovery Manager SSO User)</t>
  </si>
  <si>
    <t>This Instance</t>
  </si>
  <si>
    <t>Password (VMware Aria Operations to Site Recovery Manager)</t>
  </si>
  <si>
    <t>Other Instance</t>
  </si>
  <si>
    <t>Workload Domain Primary Cluster Objects</t>
  </si>
  <si>
    <t xml:space="preserve">Workload Domain VI Inputs (Primary Availability Zone)								</t>
  </si>
  <si>
    <t xml:space="preserve">Intelligent Logging &amp; Analytics Hostnames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</si>
  <si>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</si>
  <si>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</si>
  <si>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</si>
  <si>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</si>
  <si>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</si>
  <si>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</si>
  <si>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</si>
  <si>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</si>
  <si>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</si>
  <si>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</si>
  <si>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</si>
  <si>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</si>
  <si>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</si>
  <si>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</si>
  <si>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</si>
  <si>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</si>
  <si>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</si>
  <si>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</si>
  <si>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</si>
  <si>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Mananagment Stretched VLAN Prefix</t>
  </si>
  <si>
    <t>Result</t>
  </si>
  <si>
    <t>Child</t>
  </si>
  <si>
    <t>VRMS: Initial Admin Password</t>
  </si>
  <si>
    <t>Management Stretched CIDR Prefix</t>
  </si>
  <si>
    <t xml:space="preserve">Preconfigured Profile </t>
  </si>
  <si>
    <t>Witness</t>
  </si>
  <si>
    <t>NSX Edge Node Applicance Size (Default Large)</t>
  </si>
  <si>
    <t xml:space="preserve">Intelligent Logging &amp; Analytics FQDNs													</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</si>
  <si>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</si>
  <si>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</si>
  <si>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</si>
  <si>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</si>
  <si>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</si>
  <si>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</si>
  <si>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</si>
  <si>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</si>
  <si>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Active Directory Fully Qualified Domain Names</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</si>
  <si>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</si>
  <si>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</si>
  <si>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</si>
  <si>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</si>
  <si>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</si>
  <si>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</si>
  <si>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</si>
  <si>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Parent Domain</t>
  </si>
  <si>
    <t>VRSM: Appliance Size</t>
  </si>
  <si>
    <t>Management TOR ASN Prefix</t>
  </si>
  <si>
    <t xml:space="preserve">Primary vSphere Distributed Switch: MTU </t>
  </si>
  <si>
    <t>Child Domain</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</si>
  <si>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</si>
  <si>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</si>
  <si>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</si>
  <si>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</si>
  <si>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</si>
  <si>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</si>
  <si>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</si>
  <si>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</si>
  <si>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Active Directory NETBIOS Names</t>
  </si>
  <si>
    <t xml:space="preserve">Intelligent Operations Management IP Addresses													</t>
  </si>
  <si>
    <t>SRM: Initial Admin Password</t>
  </si>
  <si>
    <t>Protected Workload AZ1 CIDR Prefix</t>
  </si>
  <si>
    <t>Lag Name</t>
  </si>
  <si>
    <t>SRM: Initial Database Password</t>
  </si>
  <si>
    <t>Workload AZ2 VLAN Prefix</t>
  </si>
  <si>
    <t>Management Cluster Name</t>
  </si>
  <si>
    <t xml:space="preserve">VCF Operations Load Balancer </t>
  </si>
  <si>
    <t>SRM: Site Name</t>
  </si>
  <si>
    <t>Workload AZ2 CIDR Prefix</t>
  </si>
  <si>
    <t>Secondary vSphere Distributed Switch: Name</t>
  </si>
  <si>
    <t>VCF Operations primary</t>
  </si>
  <si>
    <t>SRM: Administrator Email Address</t>
  </si>
  <si>
    <t>Workload Stretched VLAN Prefix</t>
  </si>
  <si>
    <t>Secondary vSphere Distributed Switch: Uplinks Used</t>
  </si>
  <si>
    <t>RTEP NSX IP Pool Name</t>
  </si>
  <si>
    <t>VCF Operations replica</t>
  </si>
  <si>
    <t>SRM: P12 Cert Password</t>
  </si>
  <si>
    <t>Workload Stretched CIDR Prefix</t>
  </si>
  <si>
    <t>Secondary vSphere Distributed Switch: Number of Uplinks</t>
  </si>
  <si>
    <t>Active Directory Group OUs</t>
  </si>
  <si>
    <t>VCF Operations data node</t>
  </si>
  <si>
    <t xml:space="preserve">SRM: Appliance Size </t>
  </si>
  <si>
    <t>Workload Witness AZ VLAN Prefix</t>
  </si>
  <si>
    <t xml:space="preserve">Secondary vSphere Distributed Switch: MTU </t>
  </si>
  <si>
    <t>Recovery Point Objective</t>
  </si>
  <si>
    <t>Workload Witness AZ CIDR Prefix</t>
  </si>
  <si>
    <t>Secondary vSphere Distributed Switch: LBT</t>
  </si>
  <si>
    <t>SHA-256  NSX Local Manager Virtual Server</t>
  </si>
  <si>
    <t>Instances per Day</t>
  </si>
  <si>
    <t>Workload TOR ASN Prefix</t>
  </si>
  <si>
    <t>Primary Availability Zone Virtual Machine Group</t>
  </si>
  <si>
    <t>Secondary vSphere Distributed Switch: Traffic Type</t>
  </si>
  <si>
    <t>SHA-256  NSX Global Manager Virtual Server</t>
  </si>
  <si>
    <t xml:space="preserve">Intelligent Operations Management Hostnames													</t>
  </si>
  <si>
    <t>Days</t>
  </si>
  <si>
    <t>Kubernetes CIDR Prefix</t>
  </si>
  <si>
    <t>MGMT SSO Domain</t>
  </si>
  <si>
    <r>
      <rPr>
        <rFont val="Arial"/>
        <b/>
        <color theme="1"/>
        <sz val="12.0"/>
      </rPr>
      <t xml:space="preserve">Protection Group Name </t>
    </r>
    <r>
      <rPr>
        <rFont val="Arial"/>
        <b val="0"/>
        <i/>
        <color theme="1"/>
        <sz val="12.0"/>
      </rPr>
      <t>(vRSLCM &amp; Clustered WSA)</t>
    </r>
  </si>
  <si>
    <t>Other Region Management AZ1 CIDR Prefx</t>
  </si>
  <si>
    <t>MGMT SSO Domain Username</t>
  </si>
  <si>
    <t>Active Directory User OUs</t>
  </si>
  <si>
    <r>
      <rPr>
        <rFont val="Arial"/>
        <b/>
        <color theme="1"/>
        <sz val="12.0"/>
      </rPr>
      <t xml:space="preserve">Recovery Plan Name </t>
    </r>
    <r>
      <rPr>
        <rFont val="Arial"/>
        <b val="0"/>
        <i/>
        <color theme="1"/>
        <sz val="12.0"/>
      </rPr>
      <t>(vRSLCM &amp; Clustered WSA)</t>
    </r>
  </si>
  <si>
    <t>Portable Component Prefix</t>
  </si>
  <si>
    <t>flt</t>
  </si>
  <si>
    <t>Tertiary vSphere Distributed Switch: Name</t>
  </si>
  <si>
    <t>Protection Group Name (VMware Aria Operations)</t>
  </si>
  <si>
    <t>Other Instance Management Stretched CIDR Prefix</t>
  </si>
  <si>
    <t xml:space="preserve">Tertiary vSphere Distributed Switch: MTU </t>
  </si>
  <si>
    <t>Aria Operatons replica</t>
  </si>
  <si>
    <t>Recovery Plan Name (VMware Aria Operations)</t>
  </si>
  <si>
    <t>Other Workload Stretched CIDR Prefix</t>
  </si>
  <si>
    <t>MGMT Domain Switch Configuration Primary Cluster  VDS</t>
  </si>
  <si>
    <t>Tertiary vSphere Distributed Switch: Uplinks Used</t>
  </si>
  <si>
    <t>Aria Operatons data node</t>
  </si>
  <si>
    <t>Protection Group Name (VMware Aria Automation)</t>
  </si>
  <si>
    <t xml:space="preserve">Prefix FLT </t>
  </si>
  <si>
    <t>Tertiary vSphere Distributed Switch: Number of Uplinks</t>
  </si>
  <si>
    <t>Supervisor Namespace</t>
  </si>
  <si>
    <t>Recovery Plan Name (VMware Aria Automation)</t>
  </si>
  <si>
    <t>vSphere Distributed Switch Profile</t>
  </si>
  <si>
    <t>Tertiary vSphere Distributed Switch: LBT</t>
  </si>
  <si>
    <t xml:space="preserve">vVol Storage Protocol Type </t>
  </si>
  <si>
    <t>Active Directory Bind DNs</t>
  </si>
  <si>
    <t>Management Portgroup Name</t>
  </si>
  <si>
    <t>Existing: Recovery Site vCenter FQDN</t>
  </si>
  <si>
    <t>Tertiary vSphere Distributed Switch: Traffic Type</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</si>
  <si>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</si>
  <si>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</si>
  <si>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</si>
  <si>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</si>
  <si>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</si>
  <si>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</si>
  <si>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 xml:space="preserve">Cluster Name </t>
  </si>
  <si>
    <t>Existing: Recovery Site SDDC Manager Domain</t>
  </si>
  <si>
    <t xml:space="preserve">Primary vSphere Distributed Switch: Uplink #2 </t>
  </si>
  <si>
    <t xml:space="preserve">Workload Domain Storage Configuration Primary Cluster </t>
  </si>
  <si>
    <t>vLCM Image</t>
  </si>
  <si>
    <t>DNS 1</t>
  </si>
  <si>
    <t>Existing: Recovery Site NSX Location Name</t>
  </si>
  <si>
    <t>spr_mo_result</t>
  </si>
  <si>
    <t>Active Directory Parent Users</t>
  </si>
  <si>
    <t>DNS 2</t>
  </si>
  <si>
    <t>Existing: Recovery Site NSX Edge Cluster Name</t>
  </si>
  <si>
    <t>spr_wo_result</t>
  </si>
  <si>
    <t>vSAN: Datastore Name</t>
  </si>
  <si>
    <t>DNS Parent Zone</t>
  </si>
  <si>
    <t>Existing: Recovery Site vSphere Cluster Name</t>
  </si>
  <si>
    <t>spr_mw_result</t>
  </si>
  <si>
    <t>vSAN: Failures to Tolerate (FTT)</t>
  </si>
  <si>
    <t>svc-vrops-vsphere</t>
  </si>
  <si>
    <t>fleet manager fqdn</t>
  </si>
  <si>
    <t>Existing: Recovery Site Target Datastore</t>
  </si>
  <si>
    <t>protected_mgmt_result</t>
  </si>
  <si>
    <t>svc-vrops-vsan</t>
  </si>
  <si>
    <t>ops node fqdn</t>
  </si>
  <si>
    <t>Existing: Target vSphere Replication Network CIDR</t>
  </si>
  <si>
    <t>recovery_mgmt_result</t>
  </si>
  <si>
    <t>Storage Policy</t>
  </si>
  <si>
    <t>svc-vrops-nsx</t>
  </si>
  <si>
    <t>&lt;vcf_operations_replica_node_fqdn&gt;</t>
  </si>
  <si>
    <t>Site Protection &amp; DR IP Addreses (Management Domain)</t>
  </si>
  <si>
    <t>Existing: SSO Membership</t>
  </si>
  <si>
    <t>protected_wld_result</t>
  </si>
  <si>
    <t>Secondary vSphere Distributed Switch: Uplinks #1</t>
  </si>
  <si>
    <t>svc-vrops-vra</t>
  </si>
  <si>
    <t>&lt;vcf_operations_data_node_fqdn&gt;</t>
  </si>
  <si>
    <t>first_domain_mgmt_only_viable</t>
  </si>
  <si>
    <t>Secondary vSphere Distributed Switch: Uplinks #2</t>
  </si>
  <si>
    <t>svc-vrli-wsa</t>
  </si>
  <si>
    <t>&lt;vcf_operations_logs_primary_node_fqdn&gt;</t>
  </si>
  <si>
    <t>vSphere Replication Management IP</t>
  </si>
  <si>
    <t>Site Protection &amp; Disaster Recovery References (VI Workload Domain)</t>
  </si>
  <si>
    <t>first_domain_mgmt_vi_viable</t>
  </si>
  <si>
    <t>svc-vrli-vrops</t>
  </si>
  <si>
    <t>&lt;vcf_operations_logs_worker_node1_fqdn&gt;</t>
  </si>
  <si>
    <t>vSphere Replication Replication IP</t>
  </si>
  <si>
    <t>non_first_domain_mgmt_only_viable</t>
  </si>
  <si>
    <t>svc-vra-vsphere</t>
  </si>
  <si>
    <t>&lt;vcf_operations_logs_worker_node2_fqdn&gt;</t>
  </si>
  <si>
    <r>
      <rPr>
        <rFont val="Arial"/>
        <b/>
        <color theme="1"/>
        <sz val="12.0"/>
      </rPr>
      <t>Site Recovery Manager</t>
    </r>
    <r>
      <rPr>
        <rFont val="Arial"/>
        <b val="0"/>
        <i/>
        <color theme="1"/>
        <sz val="12.0"/>
      </rPr>
      <t xml:space="preserve"> </t>
    </r>
    <r>
      <rPr>
        <rFont val="Arial"/>
        <b/>
        <color theme="1"/>
        <sz val="12.0"/>
      </rPr>
      <t>Management IP</t>
    </r>
  </si>
  <si>
    <t>non_first_domain_mgmt_vi_viable</t>
  </si>
  <si>
    <t>Workload Domain Hostnames (Witness AZ)</t>
  </si>
  <si>
    <t>svc-vra-nsx</t>
  </si>
  <si>
    <t>&lt;vcf_operations_network_platform_node1_fqdn&gt;</t>
  </si>
  <si>
    <t>Recovery T1 Service Interface IP</t>
  </si>
  <si>
    <t>vi_only_viable</t>
  </si>
  <si>
    <t xml:space="preserve">Switch Configuration </t>
  </si>
  <si>
    <t>svc-vra-vcf</t>
  </si>
  <si>
    <t>&lt;vcf_operations_network_platform_node2_fqdn&gt;</t>
  </si>
  <si>
    <t>vcf_vi_wld_domain_count</t>
  </si>
  <si>
    <t>svc-vro-vsphere</t>
  </si>
  <si>
    <t>&lt;vcf_operations_network_platform_node3_fqdn&gt;</t>
  </si>
  <si>
    <t>Site Protection &amp; DR IP Addreses (Workload Domain)</t>
  </si>
  <si>
    <t>vcf_vi_isolated_domain_count</t>
  </si>
  <si>
    <t>Tertiary vSphere Distributed Switch: Uplinks #1</t>
  </si>
  <si>
    <t>svc-vra-vrops</t>
  </si>
  <si>
    <t xml:space="preserve">Automation FQDN </t>
  </si>
  <si>
    <t>mgmt_consolidated_result</t>
  </si>
  <si>
    <t>Tertiary vSphere Distributed Switch: Uplinks #2</t>
  </si>
  <si>
    <t xml:space="preserve">Workload Domain VI Inputs (Secondary Availability Zone)								</t>
  </si>
  <si>
    <t>Active Directory Passwords</t>
  </si>
  <si>
    <t xml:space="preserve">Cluster </t>
  </si>
  <si>
    <t>DLR FQDN</t>
  </si>
  <si>
    <r>
      <rPr>
        <rFont val="Arial"/>
        <b/>
        <color theme="1"/>
        <sz val="12.0"/>
      </rPr>
      <t>Site Recovery Manager</t>
    </r>
    <r>
      <rPr>
        <rFont val="Arial"/>
        <b val="0"/>
        <i/>
        <color theme="1"/>
        <sz val="12.0"/>
      </rPr>
      <t xml:space="preserve"> </t>
    </r>
    <r>
      <rPr>
        <rFont val="Arial"/>
        <b/>
        <color theme="1"/>
        <sz val="12.0"/>
      </rPr>
      <t>Management IP</t>
    </r>
  </si>
  <si>
    <t>ESXi Node 1 SDDC ID</t>
  </si>
  <si>
    <t>svc-vsphere-ad</t>
  </si>
  <si>
    <t>SSO Domain</t>
  </si>
  <si>
    <t>ESXi Node 2 SDDC ID</t>
  </si>
  <si>
    <t>svc-wsa-ad (child)</t>
  </si>
  <si>
    <t>Fleet Manager hostname</t>
  </si>
  <si>
    <t>Site Protection &amp; DR Hostnames (Management Domain)</t>
  </si>
  <si>
    <t>NSX Operational Mode</t>
  </si>
  <si>
    <t>ESXi Node 3 SDDC ID</t>
  </si>
  <si>
    <t>ops node hostname</t>
  </si>
  <si>
    <t xml:space="preserve">NSX Operation Mode Chosen </t>
  </si>
  <si>
    <t>ESXi Node 4 SDDC ID</t>
  </si>
  <si>
    <t>&lt;vcf_operations_replica_node_ hostname</t>
  </si>
  <si>
    <t>WLD Cluster SDDC ID</t>
  </si>
  <si>
    <t>&lt;vcf_operations_data_node_ hostname</t>
  </si>
  <si>
    <t>Site Recovery Manager</t>
  </si>
  <si>
    <t xml:space="preserve">MGMT Domain Storage Configuration Primary Cluster </t>
  </si>
  <si>
    <t>&lt;vcf_operations_logs_primary_node_ hostname</t>
  </si>
  <si>
    <t>&lt;vcf_operations_logs_worker_node1_hostname</t>
  </si>
  <si>
    <t>Site Protection &amp; DR Hostnames (Workload Domain)</t>
  </si>
  <si>
    <t xml:space="preserve">Principal Storage </t>
  </si>
  <si>
    <t xml:space="preserve">Workload Domain VI Inputs (Witness Availability Zone)								</t>
  </si>
  <si>
    <t>&lt;vcf_operations_logs_worker_node2_ hostname</t>
  </si>
  <si>
    <t>&lt;vcf_operations_network_platform_node1_ hostname</t>
  </si>
  <si>
    <t>vSAN Datastore FTT</t>
  </si>
  <si>
    <t>&lt;vcf_operations_network_platform_node2_ hostname</t>
  </si>
  <si>
    <t>&lt;vcf_operations_network_platform_node3 hostname</t>
  </si>
  <si>
    <t xml:space="preserve">vSAN Datastore </t>
  </si>
  <si>
    <t>Site Protection &amp; DR FQDNs (Management Domain)</t>
  </si>
  <si>
    <t>Witness DNS</t>
  </si>
  <si>
    <t xml:space="preserve">Network Resource Pool </t>
  </si>
  <si>
    <t>NFS Server Bound To NIC</t>
  </si>
  <si>
    <t>Active Directory Child Users</t>
  </si>
  <si>
    <t>Log Resource Pool</t>
  </si>
  <si>
    <t xml:space="preserve">Witness NTP </t>
  </si>
  <si>
    <t xml:space="preserve">Recovery Port Group </t>
  </si>
  <si>
    <t>Cloud-Based Ransomware Recovery References</t>
  </si>
  <si>
    <t>Management</t>
  </si>
  <si>
    <t>Recobvery Network Gateway</t>
  </si>
  <si>
    <t>svc-wsa-ad</t>
  </si>
  <si>
    <t>Recobvery Network Mask</t>
  </si>
  <si>
    <t>Site Protection &amp; DR FQDNs (Workload Domain)</t>
  </si>
  <si>
    <r>
      <rPr>
        <rFont val="Arial"/>
        <b/>
        <color theme="1"/>
        <sz val="12.0"/>
      </rPr>
      <t xml:space="preserve">vSphere Custom Role name </t>
    </r>
    <r>
      <rPr>
        <rFont val="Arial"/>
        <b val="0"/>
        <i/>
        <color theme="1"/>
        <sz val="12.0"/>
      </rPr>
      <t>(VMware Cloud Disaster Recovery to vSphere)</t>
    </r>
  </si>
  <si>
    <t>MGMT Edge Connectivity Type</t>
  </si>
  <si>
    <t>Workload Domain IP Addresses (Witness AZ)</t>
  </si>
  <si>
    <t xml:space="preserve">Site Pair </t>
  </si>
  <si>
    <t>Service Account Name</t>
  </si>
  <si>
    <t>Edge Form Factor Size</t>
  </si>
  <si>
    <t>Active Directory Groups</t>
  </si>
  <si>
    <t>vr username</t>
  </si>
  <si>
    <t>Service Account Password</t>
  </si>
  <si>
    <t>Edge Cluster MTU</t>
  </si>
  <si>
    <t>vr password</t>
  </si>
  <si>
    <r>
      <rPr>
        <rFont val="Arial"/>
        <b/>
        <color theme="1"/>
        <sz val="12.0"/>
      </rPr>
      <t xml:space="preserve">VM Folder </t>
    </r>
    <r>
      <rPr>
        <rFont val="Arial"/>
        <b val="0"/>
        <color theme="1"/>
        <sz val="12.0"/>
      </rPr>
      <t>(DRaaS Connectors)</t>
    </r>
  </si>
  <si>
    <t>MGMT Edge Cluster Resource Pool</t>
  </si>
  <si>
    <t>VM Management</t>
  </si>
  <si>
    <t>Recovery SDDC Name</t>
  </si>
  <si>
    <t>MGMT Host Group Affinity Host</t>
  </si>
  <si>
    <t>WLD Witness IP</t>
  </si>
  <si>
    <t xml:space="preserve">Intelligent Network Visibility IP Addresses													</t>
  </si>
  <si>
    <t>AWS Region</t>
  </si>
  <si>
    <t>MGMT Host Group Affinity Host name</t>
  </si>
  <si>
    <t>gg-wsa-admins (parent)</t>
  </si>
  <si>
    <t>Host Type</t>
  </si>
  <si>
    <t>WLD Witness MGMT CIDR</t>
  </si>
  <si>
    <t>gg-wsa-directory-admins (parent)</t>
  </si>
  <si>
    <t>VMware Aria Operations for Networks - Node A</t>
  </si>
  <si>
    <t xml:space="preserve">MGMT Edges Share host overaly </t>
  </si>
  <si>
    <t>WLD Witness MGMT Gatweway</t>
  </si>
  <si>
    <t>gg-wsa-read-only (parent)</t>
  </si>
  <si>
    <t>Proxy for Networks - Node A</t>
  </si>
  <si>
    <t>VPC</t>
  </si>
  <si>
    <t>MGMT DPG Seperation</t>
  </si>
  <si>
    <t>WLD Witness MGMT Mask</t>
  </si>
  <si>
    <t>gg-vrslcm-admins</t>
  </si>
  <si>
    <t>Subnet</t>
  </si>
  <si>
    <t xml:space="preserve">Gatway Routing Type </t>
  </si>
  <si>
    <t>WLD Witness MGMT Network</t>
  </si>
  <si>
    <t>gg-vrslcm-content-admins</t>
  </si>
  <si>
    <t xml:space="preserve">Intelligent Network Visibility Hostnames													</t>
  </si>
  <si>
    <t>Management Subnet</t>
  </si>
  <si>
    <t>IP Allocation MGMT</t>
  </si>
  <si>
    <t>VCF Automation Prefix</t>
  </si>
  <si>
    <t>gg-vrslcm-content-developers</t>
  </si>
  <si>
    <r>
      <rPr>
        <rFont val="Arial"/>
        <b/>
        <color theme="1"/>
        <sz val="12.0"/>
      </rPr>
      <t>Firewall Rule Name</t>
    </r>
    <r>
      <rPr>
        <rFont val="Arial"/>
        <b val="0"/>
        <i/>
        <color theme="1"/>
        <sz val="12.0"/>
      </rPr>
      <t xml:space="preserve"> (vCenter Server Inbound)</t>
    </r>
  </si>
  <si>
    <t>IP Allocation (TEP) Edge #1</t>
  </si>
  <si>
    <t xml:space="preserve">VROPS Collecter IP </t>
  </si>
  <si>
    <t>gg-vrops-admins</t>
  </si>
  <si>
    <t>On-Premises Site Name (VMware Cloud Disaster Recovery)</t>
  </si>
  <si>
    <t>IP Allocation (TEP) Edge #2</t>
  </si>
  <si>
    <t>vROPS Appliance Size</t>
  </si>
  <si>
    <t>gg-vrops-content-admins</t>
  </si>
  <si>
    <t>Timezone (VMware Cloud Disaster Recovery)</t>
  </si>
  <si>
    <t xml:space="preserve">Auto-generate Edge passwords </t>
  </si>
  <si>
    <t>gg-vrops-read-only</t>
  </si>
  <si>
    <r>
      <rPr>
        <rFont val="Arial"/>
        <b/>
        <color theme="1"/>
        <sz val="12.0"/>
      </rPr>
      <t xml:space="preserve">Hostname </t>
    </r>
    <r>
      <rPr>
        <rFont val="Arial"/>
        <b val="0"/>
        <i/>
        <color theme="1"/>
        <sz val="12.0"/>
      </rPr>
      <t>(DRaaS Connector)</t>
    </r>
  </si>
  <si>
    <t>Skip Tier-0 Configuration</t>
  </si>
  <si>
    <t xml:space="preserve">VI WLD SSO Domian </t>
  </si>
  <si>
    <t>gg-vrli-admins</t>
  </si>
  <si>
    <r>
      <rPr>
        <rFont val="Arial"/>
        <b/>
        <color theme="1"/>
        <sz val="12.0"/>
      </rPr>
      <t xml:space="preserve">IP Address </t>
    </r>
    <r>
      <rPr>
        <rFont val="Arial"/>
        <b val="0"/>
        <i/>
        <color theme="1"/>
        <sz val="12.0"/>
      </rPr>
      <t>(DRaaS Connector)</t>
    </r>
  </si>
  <si>
    <t>Create Password for Edge Cluster</t>
  </si>
  <si>
    <t>gg-vrli-users</t>
  </si>
  <si>
    <r>
      <rPr>
        <rFont val="Arial"/>
        <b/>
        <color theme="1"/>
        <sz val="12.0"/>
      </rPr>
      <t xml:space="preserve">Hostname </t>
    </r>
    <r>
      <rPr>
        <rFont val="Arial"/>
        <b val="0"/>
        <i/>
        <color theme="1"/>
        <sz val="12.0"/>
      </rPr>
      <t>(DRaaS Connector #2)</t>
    </r>
  </si>
  <si>
    <t>Isolated VI Workload Domain SSO Domain</t>
  </si>
  <si>
    <t>gg-vrli-viewers</t>
  </si>
  <si>
    <r>
      <rPr>
        <rFont val="Arial"/>
        <b/>
        <color theme="1"/>
        <sz val="12.0"/>
      </rPr>
      <t xml:space="preserve">IP Address </t>
    </r>
    <r>
      <rPr>
        <rFont val="Arial"/>
        <b val="0"/>
        <i/>
        <color theme="1"/>
        <sz val="12.0"/>
      </rPr>
      <t>(DRaaS Connector #2)</t>
    </r>
  </si>
  <si>
    <t xml:space="preserve">VCF Authetication </t>
  </si>
  <si>
    <t>Isolated VI Workload Domain SSO Password</t>
  </si>
  <si>
    <t>gg-vra-org-owners</t>
  </si>
  <si>
    <t>DRaaS OVA Download Link</t>
  </si>
  <si>
    <t>Isolated VI Workload Administrator</t>
  </si>
  <si>
    <t>vSAN Storage Client</t>
  </si>
  <si>
    <t>gg-vra-cloud-assembly-admins</t>
  </si>
  <si>
    <t>Orchestrator FQDN</t>
  </si>
  <si>
    <t>VCF Auth Version</t>
  </si>
  <si>
    <t>WLD Cluster 1 image Name</t>
  </si>
  <si>
    <t>gg-vra-cloud-assembly-users</t>
  </si>
  <si>
    <t>Passcode</t>
  </si>
  <si>
    <t xml:space="preserve">VCF Auth Deployment Type </t>
  </si>
  <si>
    <t>WLD Edge Connectivity Type - IAAS</t>
  </si>
  <si>
    <t>gg-vra-cloud-assembly-viewers</t>
  </si>
  <si>
    <t>Label</t>
  </si>
  <si>
    <t>VCF Auth Alias</t>
  </si>
  <si>
    <t>gg-vra-orchestrator-viewers</t>
  </si>
  <si>
    <r>
      <rPr>
        <rFont val="Arial"/>
        <b/>
        <color theme="1"/>
        <sz val="12.0"/>
      </rPr>
      <t xml:space="preserve">Anti-Affinity Rule </t>
    </r>
    <r>
      <rPr>
        <rFont val="Arial"/>
        <b val="0"/>
        <i/>
        <color theme="1"/>
        <sz val="12.0"/>
      </rPr>
      <t>(VMware Cloud Disaster Recovery)</t>
    </r>
  </si>
  <si>
    <t>VCF Auth Common Name (CN)</t>
  </si>
  <si>
    <t>NSX Admin Password</t>
  </si>
  <si>
    <t>gg-vra-project-admins-sample</t>
  </si>
  <si>
    <t>Email alert recipients</t>
  </si>
  <si>
    <t>VCF Auth Organisation</t>
  </si>
  <si>
    <t xml:space="preserve">NSX Deployment Type </t>
  </si>
  <si>
    <t>gg-vra-project-users-sample</t>
  </si>
  <si>
    <t>Sender email address</t>
  </si>
  <si>
    <t>VCF Auth Organisation OU</t>
  </si>
  <si>
    <t>WLD Edge Connectivity Type</t>
  </si>
  <si>
    <t>gg-vcf-admins</t>
  </si>
  <si>
    <t>Aria Operations for Logs - URL</t>
  </si>
  <si>
    <t>VCF Auth Country Code (C)</t>
  </si>
  <si>
    <t>WLD Edge Cluster Resource Pool</t>
  </si>
  <si>
    <t>gg-vcf-operators</t>
  </si>
  <si>
    <t>Aria Operations for Logs - Key</t>
  </si>
  <si>
    <t>VCF Auth Locality (L)</t>
  </si>
  <si>
    <t>WLD Host Group Affinity Host</t>
  </si>
  <si>
    <t>gg-vcf-viewers</t>
  </si>
  <si>
    <t>VCF Auth State (ST)</t>
  </si>
  <si>
    <t>WLD Host Group Affinity Host name en01</t>
  </si>
  <si>
    <t>gg-vc-admins</t>
  </si>
  <si>
    <t>Cross Cloud Mobility References</t>
  </si>
  <si>
    <t>VCF Auth Key Length</t>
  </si>
  <si>
    <t>WLD Host Group Affinity Host name en02</t>
  </si>
  <si>
    <t>gg-vc-read-only</t>
  </si>
  <si>
    <t>VCF Auth Select Folder</t>
  </si>
  <si>
    <t xml:space="preserve">WLD Edges Share host Overlay </t>
  </si>
  <si>
    <t>gg-sso-admins</t>
  </si>
  <si>
    <r>
      <rPr>
        <rFont val="Arial"/>
        <b/>
        <color theme="1"/>
        <sz val="12.0"/>
      </rPr>
      <t xml:space="preserve">vSphere Custom Role Role name </t>
    </r>
    <r>
      <rPr>
        <rFont val="Arial"/>
        <b val="0"/>
        <i/>
        <color theme="1"/>
        <sz val="12.0"/>
      </rPr>
      <t>(VMware HCX to vSphere)</t>
    </r>
  </si>
  <si>
    <t xml:space="preserve">WLD Gatway Routing Type </t>
  </si>
  <si>
    <t>gg-nsx-enterprise-admins</t>
  </si>
  <si>
    <r>
      <rPr>
        <rFont val="Arial"/>
        <b/>
        <color theme="1"/>
        <sz val="12.0"/>
      </rPr>
      <t xml:space="preserve">vSphere Service Account </t>
    </r>
    <r>
      <rPr>
        <rFont val="Arial"/>
        <b val="0"/>
        <i/>
        <color theme="1"/>
        <sz val="12.0"/>
      </rPr>
      <t>(VMware HCX to vSphere)</t>
    </r>
  </si>
  <si>
    <t>WLD NSX Operational Mode</t>
  </si>
  <si>
    <t>gg-nsx-network-admins</t>
  </si>
  <si>
    <r>
      <rPr>
        <rFont val="Arial"/>
        <b/>
        <color theme="1"/>
        <sz val="12.0"/>
      </rPr>
      <t xml:space="preserve">vSphere Service Account Password </t>
    </r>
    <r>
      <rPr>
        <rFont val="Arial"/>
        <b val="0"/>
        <i/>
        <color theme="1"/>
        <sz val="12.0"/>
      </rPr>
      <t>(VMware HCX to vSphere)</t>
    </r>
  </si>
  <si>
    <t>VCF Auth Select Resource Pool</t>
  </si>
  <si>
    <t>gg-nsx-auditors</t>
  </si>
  <si>
    <r>
      <rPr>
        <rFont val="Arial"/>
        <b/>
        <color theme="1"/>
        <sz val="12.0"/>
      </rPr>
      <t xml:space="preserve">VM Folder </t>
    </r>
    <r>
      <rPr>
        <rFont val="Arial"/>
        <b val="0"/>
        <color theme="1"/>
        <sz val="12.0"/>
      </rPr>
      <t>(HCX Connector)</t>
    </r>
  </si>
  <si>
    <t xml:space="preserve">Enhanced Datapath </t>
  </si>
  <si>
    <r>
      <rPr>
        <rFont val="Arial"/>
        <b/>
        <color theme="1"/>
        <sz val="12.0"/>
      </rPr>
      <t xml:space="preserve">VM Folder </t>
    </r>
    <r>
      <rPr>
        <rFont val="Arial"/>
        <b val="0"/>
        <i/>
        <color theme="1"/>
        <sz val="12.0"/>
      </rPr>
      <t>(HCX Appliances)</t>
    </r>
  </si>
  <si>
    <t>WLD Password Creation</t>
  </si>
  <si>
    <t>VM Group Names</t>
  </si>
  <si>
    <r>
      <rPr>
        <rFont val="Arial"/>
        <b/>
        <color theme="1"/>
        <sz val="12.0"/>
      </rPr>
      <t xml:space="preserve">Resource Pool </t>
    </r>
    <r>
      <rPr>
        <rFont val="Arial"/>
        <b val="0"/>
        <i/>
        <color theme="1"/>
        <sz val="12.0"/>
      </rPr>
      <t>(HCX Appliances)</t>
    </r>
  </si>
  <si>
    <t>WLD Edge #1 Overlay Ip Allocation</t>
  </si>
  <si>
    <t>VMware HCX to NSX Username</t>
  </si>
  <si>
    <t>WLD Edge #1 MGMT IP Allocation</t>
  </si>
  <si>
    <t>Clustered WSA Instances</t>
  </si>
  <si>
    <t>VMware HCX to NSX Password</t>
  </si>
  <si>
    <t xml:space="preserve">Auth mode </t>
  </si>
  <si>
    <t>WLD Edge #2 Overlay Ip Allocation</t>
  </si>
  <si>
    <t>AWS SDDC Name</t>
  </si>
  <si>
    <t>VCF Auth Identity Provider</t>
  </si>
  <si>
    <t>WLD Edge #2 MGMT IP Allocation</t>
  </si>
  <si>
    <t xml:space="preserve">Management </t>
  </si>
  <si>
    <t>VCF Auth Directory Name</t>
  </si>
  <si>
    <t>IAAS Service Chosen</t>
  </si>
  <si>
    <t>Witness vCenter FQDN</t>
  </si>
  <si>
    <t>VCF Auth Server Location</t>
  </si>
  <si>
    <t xml:space="preserve">Create new Static Pool </t>
  </si>
  <si>
    <t>Witness vCenter</t>
  </si>
  <si>
    <t xml:space="preserve">VCF Auth Global Catalogue </t>
  </si>
  <si>
    <t xml:space="preserve">Default NSX Operation Chosen </t>
  </si>
  <si>
    <t>Witness vCenter hostname</t>
  </si>
  <si>
    <t xml:space="preserve">VCF Auth Encrypted Connection </t>
  </si>
  <si>
    <t xml:space="preserve">vSAN Type </t>
  </si>
  <si>
    <t xml:space="preserve">MGMT Witness MTU </t>
  </si>
  <si>
    <t xml:space="preserve">VCF Auth Encryption Cert </t>
  </si>
  <si>
    <t xml:space="preserve">Copy vDS Profile </t>
  </si>
  <si>
    <t xml:space="preserve">MGMT Witness vLAN </t>
  </si>
  <si>
    <t>VCF Auth Primary Domain Controller</t>
  </si>
  <si>
    <t xml:space="preserve">MGMT Witness Port Group </t>
  </si>
  <si>
    <r>
      <rPr>
        <rFont val="Arial"/>
        <b/>
        <color theme="1"/>
        <sz val="12.0"/>
      </rPr>
      <t>Firewall Rule Name</t>
    </r>
    <r>
      <rPr>
        <rFont val="Arial"/>
        <b val="0"/>
        <i/>
        <color theme="1"/>
        <sz val="12.0"/>
      </rPr>
      <t xml:space="preserve"> (vCenter Server Inbound)</t>
    </r>
  </si>
  <si>
    <t>VCF Auth Primary Domain Controller Port</t>
  </si>
  <si>
    <t>Active  uplink1</t>
  </si>
  <si>
    <t xml:space="preserve">MGMT Witness Network </t>
  </si>
  <si>
    <r>
      <rPr>
        <rFont val="Arial"/>
        <b/>
        <color theme="1"/>
        <sz val="12.0"/>
      </rPr>
      <t xml:space="preserve">Firewall Rule Name </t>
    </r>
    <r>
      <rPr>
        <rFont val="Arial"/>
        <b val="0"/>
        <i/>
        <color theme="1"/>
        <sz val="12.0"/>
      </rPr>
      <t>(HCX Inbound)</t>
    </r>
  </si>
  <si>
    <t>VCF Auth Secondary Domain Controller</t>
  </si>
  <si>
    <r>
      <rPr>
        <rFont val="Arial"/>
        <b/>
        <color theme="1"/>
        <sz val="12.0"/>
      </rPr>
      <t>User Defined Group</t>
    </r>
    <r>
      <rPr>
        <rFont val="Arial"/>
        <b val="0"/>
        <i/>
        <color theme="1"/>
        <sz val="12.0"/>
      </rPr>
      <t xml:space="preserve"> (Firewall Access)</t>
    </r>
  </si>
  <si>
    <t xml:space="preserve">VCF Auth Secondary Domain Controller Port </t>
  </si>
  <si>
    <t>Witness Mask</t>
  </si>
  <si>
    <r>
      <rPr>
        <rFont val="Arial"/>
        <b/>
        <color theme="1"/>
        <sz val="12.0"/>
      </rPr>
      <t xml:space="preserve">IP Address(es) </t>
    </r>
    <r>
      <rPr>
        <rFont val="Arial"/>
        <b val="0"/>
        <i/>
        <color theme="1"/>
        <sz val="12.0"/>
      </rPr>
      <t>(Firewall Access)</t>
    </r>
  </si>
  <si>
    <t xml:space="preserve">VCF Auth Directory Search </t>
  </si>
  <si>
    <t>WLD NSX Admin Password</t>
  </si>
  <si>
    <t>Brownfield WLD Import</t>
  </si>
  <si>
    <t xml:space="preserve">Witness IP </t>
  </si>
  <si>
    <t>HCX License key</t>
  </si>
  <si>
    <t>VCF Auth Base DN</t>
  </si>
  <si>
    <t>WLD NSX Root Password</t>
  </si>
  <si>
    <t>Witness CIDR</t>
  </si>
  <si>
    <t>Datacenter Location</t>
  </si>
  <si>
    <t xml:space="preserve">VCF Auth Bind Username </t>
  </si>
  <si>
    <t>Workload Domain Edge Cluster MTU</t>
  </si>
  <si>
    <t>Witness Gateway</t>
  </si>
  <si>
    <r>
      <rPr>
        <rFont val="Arial"/>
        <b/>
        <i val="0"/>
        <color theme="1"/>
        <sz val="12.0"/>
      </rPr>
      <t>Hostname</t>
    </r>
    <r>
      <rPr>
        <rFont val="Arial"/>
        <i/>
        <color theme="1"/>
        <sz val="12.0"/>
      </rPr>
      <t xml:space="preserve"> (HCX Connector)</t>
    </r>
  </si>
  <si>
    <t>VCF Auth Bind Password</t>
  </si>
  <si>
    <t>SFTP Sever</t>
  </si>
  <si>
    <r>
      <rPr>
        <rFont val="Arial"/>
        <b/>
        <color theme="1"/>
        <sz val="12.0"/>
      </rPr>
      <t xml:space="preserve">CLI Admin Password </t>
    </r>
    <r>
      <rPr>
        <rFont val="Arial"/>
        <b val="0"/>
        <i/>
        <color theme="1"/>
        <sz val="12.0"/>
      </rPr>
      <t>(HCX Connector)</t>
    </r>
  </si>
  <si>
    <t>VCF Auth Username</t>
  </si>
  <si>
    <r>
      <rPr>
        <rFont val="Arial"/>
        <b/>
        <color theme="1"/>
        <sz val="12.0"/>
      </rPr>
      <t xml:space="preserve">Root Password </t>
    </r>
    <r>
      <rPr>
        <rFont val="Arial"/>
        <b val="0"/>
        <i/>
        <color theme="1"/>
        <sz val="12.0"/>
      </rPr>
      <t>(HCX Connector)</t>
    </r>
  </si>
  <si>
    <t>VCF Auth First Name</t>
  </si>
  <si>
    <t xml:space="preserve">VCF operations for Logs </t>
  </si>
  <si>
    <r>
      <rPr>
        <rFont val="Arial"/>
        <b/>
        <color theme="1"/>
        <sz val="12.0"/>
      </rPr>
      <t xml:space="preserve">IP Address </t>
    </r>
    <r>
      <rPr>
        <rFont val="Arial"/>
        <b val="0"/>
        <i/>
        <color theme="1"/>
        <sz val="12.0"/>
      </rPr>
      <t>(HCX Connector)</t>
    </r>
  </si>
  <si>
    <t>VCF Auth Last Name</t>
  </si>
  <si>
    <t>Remote HCX URL</t>
  </si>
  <si>
    <t>VCF Auth Distinguised Name</t>
  </si>
  <si>
    <r>
      <rPr>
        <rFont val="Arial"/>
        <b/>
        <color theme="1"/>
        <sz val="12.0"/>
      </rPr>
      <t xml:space="preserve">Username </t>
    </r>
    <r>
      <rPr>
        <rFont val="Arial"/>
        <b val="0"/>
        <i/>
        <color theme="1"/>
        <sz val="12.0"/>
      </rPr>
      <t>(VMC on AWS Administrator)</t>
    </r>
  </si>
  <si>
    <t>VCF Auth Employee ID</t>
  </si>
  <si>
    <r>
      <rPr>
        <rFont val="Arial"/>
        <b/>
        <color theme="1"/>
        <sz val="12.0"/>
      </rPr>
      <t xml:space="preserve">Password </t>
    </r>
    <r>
      <rPr>
        <rFont val="Arial"/>
        <b val="0"/>
        <i/>
        <color theme="1"/>
        <sz val="12.0"/>
      </rPr>
      <t>(VMC on AWS Administrator)</t>
    </r>
  </si>
  <si>
    <t>VCF Auth Email</t>
  </si>
  <si>
    <t>HCX Network Profiles - Management IP Range</t>
  </si>
  <si>
    <t>VCF Auth Principal name</t>
  </si>
  <si>
    <t>HCX Network Profiles - vMotion IP Range</t>
  </si>
  <si>
    <t>VCF Auth Group base DN</t>
  </si>
  <si>
    <t>HCX Compute Profile</t>
  </si>
  <si>
    <t>VCF Auth User base dn</t>
  </si>
  <si>
    <t>HCX Service Mesh</t>
  </si>
  <si>
    <t>MGMT Domain Hostnames (Witness AZ)</t>
  </si>
  <si>
    <t>Randsomware Recovery</t>
  </si>
  <si>
    <t>MGMT vCenter</t>
  </si>
  <si>
    <t>Server Domain / FQDN - Master</t>
  </si>
  <si>
    <t>Protected vCenter</t>
  </si>
  <si>
    <t>Server Domain / FQDN - Worker 1</t>
  </si>
  <si>
    <t>VLR Hostname</t>
  </si>
  <si>
    <t>Server Domain / FQDN - Worker 2</t>
  </si>
  <si>
    <t>VLR FQDN</t>
  </si>
  <si>
    <t xml:space="preserve">Management Domain VI Inputs (Secondary Availability Zone)								</t>
  </si>
  <si>
    <t>Storage Cluster</t>
  </si>
  <si>
    <t xml:space="preserve">Storage Cluster VDS </t>
  </si>
  <si>
    <t xml:space="preserve">Cluster Strecthed Cluster  							</t>
  </si>
  <si>
    <t>Node Port Group</t>
  </si>
  <si>
    <t>Node Gateway</t>
  </si>
  <si>
    <t>Node Subnet</t>
  </si>
  <si>
    <t xml:space="preserve">Management Domain VI Inputs (Witness Availability Zone)								</t>
  </si>
  <si>
    <t>Recovery Workload AZ1 CIDR Prefix</t>
  </si>
  <si>
    <t>Recovery Site VRMS Gateway</t>
  </si>
  <si>
    <t>Recovery Site VRMS Cidr</t>
  </si>
  <si>
    <t xml:space="preserve">Proteected Site VRMS Mask </t>
  </si>
  <si>
    <t xml:space="preserve">VSLR Username </t>
  </si>
  <si>
    <t>Management Domain IP Addresses (Witness AZ)</t>
  </si>
  <si>
    <t>vSAN Witness IP</t>
  </si>
  <si>
    <t>Node A Hostname</t>
  </si>
  <si>
    <t>Node B Hostname</t>
  </si>
  <si>
    <t>Node C Hostname</t>
  </si>
  <si>
    <t>Management Domain Accounts and Passwords</t>
  </si>
  <si>
    <t>VIP IP</t>
  </si>
  <si>
    <t>Node A IP</t>
  </si>
  <si>
    <t>ESX Root Account</t>
  </si>
  <si>
    <t>Node B IP</t>
  </si>
  <si>
    <t>vMotion VLAN ID</t>
  </si>
  <si>
    <t>Node C IP</t>
  </si>
  <si>
    <t>Disk Mode</t>
  </si>
  <si>
    <t>VCF Automation Root Password</t>
  </si>
  <si>
    <t>AZ Network - vMotion</t>
  </si>
  <si>
    <t>VCF Operations Admin Password</t>
  </si>
  <si>
    <t xml:space="preserve">VCF Networks for Network </t>
  </si>
  <si>
    <t>VCF OPS Root Password</t>
  </si>
  <si>
    <t>Fleet Manager Admin Password</t>
  </si>
  <si>
    <t>Fleet Manager Root Password</t>
  </si>
  <si>
    <t>WLD administrator@vsphere.local Password</t>
  </si>
  <si>
    <t xml:space="preserve">vSAN Network </t>
  </si>
  <si>
    <t>MGMT NSX Admin Password</t>
  </si>
  <si>
    <t>vSAN VLAN ID</t>
  </si>
  <si>
    <t>Private Key</t>
  </si>
  <si>
    <t>MGMT NSX Root Password</t>
  </si>
  <si>
    <t xml:space="preserve">Certificate Chain </t>
  </si>
  <si>
    <t>MGMT VIDB VIPS</t>
  </si>
  <si>
    <t xml:space="preserve">AZ Network - Princpal Storage </t>
  </si>
  <si>
    <t>MGMT VIDB Node Prefix</t>
  </si>
  <si>
    <t>MGMT VIDB Password</t>
  </si>
  <si>
    <t>MGMT VIDB Password Alias</t>
  </si>
  <si>
    <t>MGMT VIDB Password Description</t>
  </si>
  <si>
    <t>MGMT VIDB Root Password</t>
  </si>
  <si>
    <t>MGMT VIDB VMware System User Password Alias</t>
  </si>
  <si>
    <t>vSAN Client Network</t>
  </si>
  <si>
    <t>MGMT VIDB VMware System User Password Password</t>
  </si>
  <si>
    <t>NFS VLAN ID</t>
  </si>
  <si>
    <t>MGMT VIDB VMware System User Password Description</t>
  </si>
  <si>
    <t>Network -  Secondary Storage</t>
  </si>
  <si>
    <t>MGMT Edge Node 1 Uplink Mapping fp-eth0 uplink0</t>
  </si>
  <si>
    <t>FQDN - Proxy</t>
  </si>
  <si>
    <t>MGMT Edge Node 1 Uplink Mapping fp-eth0 uplink1</t>
  </si>
  <si>
    <t>MGMT Edge Node 1 Uplink Mapping fp-eth1 uplink0</t>
  </si>
  <si>
    <t>MGMT Edge Node 1 Uplink Mapping fp-eth1 uplink1</t>
  </si>
  <si>
    <t>MGMT Edge Node 2 Uplink Mapping fp-eth0 uplink0</t>
  </si>
  <si>
    <t>IP - Proxy</t>
  </si>
  <si>
    <t>MGMT Edge Node 2 Uplink Mapping fp-eth0 uplink1</t>
  </si>
  <si>
    <t>HOSTNAME - Platform Node #1</t>
  </si>
  <si>
    <t>MGMT Edge Node 2 Uplink Mapping fp-eth1 uplink0</t>
  </si>
  <si>
    <t>HOSTNAME - Platform Node #2</t>
  </si>
  <si>
    <t>MGMT Edge Node 2 Uplink Mapping fp-eth1 uplink1</t>
  </si>
  <si>
    <t>HOSTNAME - Platform Node #3</t>
  </si>
  <si>
    <t>HOSTNAME - Proxy</t>
  </si>
  <si>
    <t>WLD Edge Node 1 Uplink Mapping fp-eth0 uplink0</t>
  </si>
  <si>
    <t>WLD Edge Node 1 Uplink Mapping fp-eth0 uplink1</t>
  </si>
  <si>
    <t>WLD Edge Node 1 Uplink Mapping fp-eth1 uplink0</t>
  </si>
  <si>
    <t>WLD Edge Node 1 Uplink Mapping fp-eth1 uplink1</t>
  </si>
  <si>
    <t>WLD Edge Node 2 Uplink Mapping fp-eth0 uplink0</t>
  </si>
  <si>
    <t>WLD Edge Node 2 Uplink Mapping fp-eth0 uplink1</t>
  </si>
  <si>
    <t>WLD Edge Node 2 Uplink Mapping fp-eth1 uplink0</t>
  </si>
  <si>
    <t>WLD Edge Node 2 Uplink Mapping fp-eth1 uplink1</t>
  </si>
  <si>
    <t>vSAN Witness Zone - MGMT VLAN ID</t>
  </si>
  <si>
    <t>vSAN Witness Zone - MGMT Gateway</t>
  </si>
  <si>
    <t>vSAN Witness Zone - MGMT CIDR Notation</t>
  </si>
  <si>
    <t>vSAN Witness Zone - MGMT MTU</t>
  </si>
  <si>
    <t xml:space="preserve">OPS for Networks Proxy Port Group </t>
  </si>
  <si>
    <t>OPS for Networks Node A Size</t>
  </si>
  <si>
    <t>OPS for Networks Node B Size</t>
  </si>
  <si>
    <t>OPS for Networks Node C Size</t>
  </si>
  <si>
    <t>OPS for Networks Proxy Size</t>
  </si>
  <si>
    <t>secondaryAzOverlayVlanId</t>
  </si>
  <si>
    <t>Configure VCF Operations and Automation  {SDDC Manager}</t>
  </si>
  <si>
    <t>Host  1 FQDN - AZ2</t>
  </si>
  <si>
    <t>Host 2 FQDN - AZ2</t>
  </si>
  <si>
    <t>Host 3 FQDN - AZ2</t>
  </si>
  <si>
    <t>Host 4 FQDN  - AZ2</t>
  </si>
  <si>
    <t>Host 5 FQDN - AZ2</t>
  </si>
  <si>
    <t>Host 6 FQDN - AZ2</t>
  </si>
  <si>
    <t>FQDN - LB</t>
  </si>
  <si>
    <t>Host 7 FQDN - AZ2</t>
  </si>
  <si>
    <t>VCF OPS FQDN - Master</t>
  </si>
  <si>
    <t>Host 8 FQDN - AZ2</t>
  </si>
  <si>
    <t>FQDN - Replica</t>
  </si>
  <si>
    <t>Host 9 FQDN - AZ2</t>
  </si>
  <si>
    <t>FQDN - Data</t>
  </si>
  <si>
    <t>Host 10 FQDN - AZ2</t>
  </si>
  <si>
    <t>IP Address - LB</t>
  </si>
  <si>
    <t>Host 11 FQDN - AZ2</t>
  </si>
  <si>
    <t>IP Address - Master</t>
  </si>
  <si>
    <t>Host 12 FQDN - AZ2</t>
  </si>
  <si>
    <t>IP Address - Replica</t>
  </si>
  <si>
    <t>Host 13 FQDN - AZ2</t>
  </si>
  <si>
    <t>IP Address - Data</t>
  </si>
  <si>
    <t>Host 14 FQDN - AZ2</t>
  </si>
  <si>
    <t>Host 15 FQDN - AZ2</t>
  </si>
  <si>
    <t>Host 16 FQDN - AZ2</t>
  </si>
  <si>
    <t>VCF OPs collector FQDN</t>
  </si>
  <si>
    <t>VCF Automation FQDN</t>
  </si>
  <si>
    <t>local reg networkName</t>
  </si>
  <si>
    <t>local reg subnetMask</t>
  </si>
  <si>
    <t>local reg gateway</t>
  </si>
  <si>
    <t>x reg networkName</t>
  </si>
  <si>
    <t>x reg subnetMask</t>
  </si>
  <si>
    <t>x reg gateway</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</si>
  <si>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</si>
  <si>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</si>
  <si>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</si>
  <si>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</si>
  <si>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</si>
  <si>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</si>
  <si>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</si>
  <si>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</si>
  <si>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</si>
  <si>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Important: Using this Document</t>
  </si>
  <si>
    <t>Constant</t>
  </si>
  <si>
    <t xml:space="preserve">
1.
2.
3.
4.
5.
6.
7.
8.
9.
10.
11.
12.
13.
14.
15.
16.
17.
18.
</t>
  </si>
  <si>
    <t xml:space="preserve">
Use the Multi-Instance Integration Model option to define how this VCF instance will integrate with other VCF instances. Use First Domain when this is the very first VCF domain or where no integration with other VCF instances is required. Use Additional Domain when you intend to integrate the new VCF instance with management components deployed in another VCF instance but where you desire a distinct SSO domain. Reference values for the First Domain are based on location SFO, while the Additional Domain option is based on LAX. Site Protection and Disaster Recovery assumes the First Domain to be the Protected Site, with Additional Domain options assumed to be Recovery. Several processes effecting the recovery site are carried out using the protected site P&amp;P workbook to minimise input requirements.
Choosing VCF Solution Licensing: The applicable VCF components will deploy in evaluation mode. After deployment, you add the keys in the vSphere Client
Choose additional Management Domain: Deployment options. 
Choosing Consolidated Management Domain will exclude VI Workload Domain.
Choose Management Domain: Post-Deployment Options. Overlay-backed NSX Routing for the Management Domain assumes the use of BGP, while VLAN-Backed assumes Static Routes. Overlay-Backed is required for NSX Federation for the Management Domain, and NSX Routing for the Management Domain is required to enable VMware Aria Suite Lifecycle.
Choose VMware Aria Suite Lifecycle and VCF Aware Workspace ONE options as required. VMware Aria Suite Lifecycle is required for VMware Aria Suite based Validated Solutions.
Choose VI Workload Domain: Deployment options.
Choose VI Workload Domain: Multi Rack Deployment options. Choosing Dedicated Racks for vSphere Cluster hosting NSX Edges will dedicate two Racks to host vSphere Cluster hosting NSX Edges. Excluding Dedicated Racks for vSphere Cluster hosting NSX Edges will place two vSphere Cluster hosting NSX Edges in two separate racks that will also contain hosts for the multi rack compute cluster. 
Setting the number of Additional Racks will determine the total number of racks contributing to the VMware Cloud Foundation instance. Once the VI Workload Domain is enabled, the first rack is automatically counted by default.
Set the number of compute hosts that will be deployed and configured per rack in the Initial cluster. Standard vSAN scaling limits apply. 
Choose the Racks where the vSphere Clusters hosting the NSX Edges will be placed.
Choose the edge deployment model . Two node will deploy a two node edge cluster and place one edge node per cluster. Four node will deploy a four nodes edge cluster and place two edge nodes per cluster .
Choose VI Workload Domain: Post-Deployment options.
Choose desired Validated Solution: Deployment options, choosing Initial Deployment or Connect Instance where appropriate.
Adjust your chosen options until all dependencies and compatibility issues highlighted in red are resolved.
Populate the necessary inputs on the Input Tabs. Based on your chosen options, cells and rows where the input is not required will be greyed out.
Deploy Management and VI Workload Domains using Deployment Overview of VMware Cloud Foundation. 
Deploy Validated Solutions using their respective documentation. Each section in the documentation requiring user values will have a corresponding named table in the relevant Deployment Tab. Processes not needed due to your chosen options will be greyed out.
</t>
  </si>
  <si>
    <t>vCenter Appliance Size List</t>
  </si>
  <si>
    <t>Tiny</t>
  </si>
  <si>
    <t>Yes / No</t>
  </si>
  <si>
    <t xml:space="preserve">Instance </t>
  </si>
  <si>
    <t>First Instance</t>
  </si>
  <si>
    <t>Yes</t>
  </si>
  <si>
    <t>VMware vSphere Foundation Deployment</t>
  </si>
  <si>
    <t>XLarge</t>
  </si>
  <si>
    <t>Create VI Workload Domain</t>
  </si>
  <si>
    <t>vCenter Storage Size List</t>
  </si>
  <si>
    <t>Create Cluster</t>
  </si>
  <si>
    <t>Full Instance</t>
  </si>
  <si>
    <t>One Or More VVDs</t>
  </si>
  <si>
    <t>NSX-T Manager Size List</t>
  </si>
  <si>
    <t>Extra_Small</t>
  </si>
  <si>
    <t>None Chosen</t>
  </si>
  <si>
    <t>Workload Domain</t>
  </si>
  <si>
    <t>NSX-T Edge Size List</t>
  </si>
  <si>
    <t>XXLarge</t>
  </si>
  <si>
    <t>vCenter Size</t>
  </si>
  <si>
    <t>Supported Limits</t>
  </si>
  <si>
    <t>10 Hosts 100 VMs</t>
  </si>
  <si>
    <t>Lookup Tables</t>
  </si>
  <si>
    <t>100 Hosts 1000 VMs</t>
  </si>
  <si>
    <t>400 Hosts - 4000 VM</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</si>
  <si>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</si>
  <si>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</si>
  <si>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</si>
  <si>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</si>
  <si>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</si>
  <si>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</si>
  <si>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</si>
  <si>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</si>
  <si>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</si>
  <si>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</si>
  <si>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</si>
  <si>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</si>
  <si>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</si>
  <si>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</si>
  <si>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</si>
  <si>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</si>
  <si>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</si>
  <si>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</si>
  <si>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TinyDefault</t>
  </si>
  <si>
    <t>NSX Traffic Separation</t>
  </si>
  <si>
    <t>Custom Switch Configuration</t>
  </si>
  <si>
    <t>TinyLarge</t>
  </si>
  <si>
    <t>Storage Traffic and NSX Traffic Separation</t>
  </si>
  <si>
    <t>TinyXLarge</t>
  </si>
  <si>
    <t>SmallDefault</t>
  </si>
  <si>
    <t>SmallLarge</t>
  </si>
  <si>
    <t>SmallXLarge</t>
  </si>
  <si>
    <t>MediumDefault</t>
  </si>
  <si>
    <t>MediumLarge</t>
  </si>
  <si>
    <t>vSAN Compute</t>
  </si>
  <si>
    <t>MediumXLarge</t>
  </si>
  <si>
    <t>LargeDefault</t>
  </si>
  <si>
    <t>LargeLarge</t>
  </si>
  <si>
    <t>LargeXLarge</t>
  </si>
  <si>
    <t>XLargeDefault</t>
  </si>
  <si>
    <t>XLargeLarge</t>
  </si>
  <si>
    <t>XLargeXLarge</t>
  </si>
  <si>
    <t>NSX-T Manager CPU</t>
  </si>
  <si>
    <t>NSX-T Manager RAM</t>
  </si>
  <si>
    <t>NSX-T Manager Disk</t>
  </si>
  <si>
    <t>NSX-T Edge CPU</t>
  </si>
  <si>
    <t>NSX-T Edge RAM</t>
  </si>
  <si>
    <t>NSX-T Edge Disk</t>
  </si>
  <si>
    <t>VCF Operations Fleet Manager</t>
  </si>
  <si>
    <t>vCLS Virtual Machines</t>
  </si>
  <si>
    <t>WSA CPU</t>
  </si>
  <si>
    <t>Extra Small</t>
  </si>
  <si>
    <t>Extra Large</t>
  </si>
  <si>
    <t>Extra Extra Large</t>
  </si>
  <si>
    <t>WSA RAM</t>
  </si>
  <si>
    <t>WSA Disk</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</si>
  <si>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</si>
  <si>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</si>
  <si>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</si>
  <si>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</si>
  <si>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</si>
  <si>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</si>
  <si>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</si>
  <si>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</si>
  <si>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</si>
  <si>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</si>
  <si>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</si>
  <si>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</si>
  <si>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</si>
  <si>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</si>
  <si>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</si>
  <si>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</si>
  <si>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</si>
  <si>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</si>
  <si>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</si>
  <si>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</si>
  <si>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</si>
  <si>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</si>
  <si>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</si>
  <si>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</si>
  <si>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</si>
  <si>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</si>
  <si>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</si>
  <si>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</si>
  <si>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</si>
  <si>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X-Large</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</si>
  <si>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</si>
  <si>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</si>
  <si>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</si>
  <si>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</si>
  <si>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</si>
  <si>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</si>
  <si>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</si>
  <si>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</si>
  <si>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</si>
  <si>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</si>
  <si>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</si>
  <si>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</si>
  <si>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</si>
  <si>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</si>
  <si>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</si>
  <si>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</si>
  <si>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</si>
  <si>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</si>
  <si>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</si>
  <si>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</si>
  <si>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</si>
  <si>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</si>
  <si>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</si>
  <si>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</si>
  <si>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</si>
  <si>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</si>
  <si>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</si>
  <si>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</si>
  <si>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</si>
  <si>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</si>
  <si>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</si>
  <si>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</si>
  <si>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</si>
  <si>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</si>
  <si>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</si>
  <si>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</si>
  <si>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</si>
  <si>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</si>
  <si>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</si>
  <si>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</si>
  <si>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</si>
  <si>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VI Workload Domain Type</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</si>
  <si>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</si>
  <si>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</si>
  <si>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</si>
  <si>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</si>
  <si>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</si>
  <si>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</si>
  <si>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</si>
  <si>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</si>
  <si>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</si>
  <si>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</si>
  <si>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</si>
  <si>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</si>
  <si>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</si>
  <si>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</si>
  <si>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</si>
  <si>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</si>
  <si>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</si>
  <si>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</si>
  <si>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</si>
  <si>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</si>
  <si>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</si>
  <si>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</si>
  <si>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</si>
  <si>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</si>
  <si>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</si>
  <si>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</si>
  <si>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</si>
  <si>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</si>
  <si>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</si>
  <si>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</si>
  <si>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</si>
  <si>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</si>
  <si>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</si>
  <si>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</si>
  <si>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</si>
  <si>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</si>
  <si>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</si>
  <si>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</si>
  <si>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</si>
  <si>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</si>
  <si>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</si>
  <si>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</si>
  <si>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</si>
  <si>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</si>
  <si>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</si>
  <si>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</si>
  <si>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</si>
  <si>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</si>
  <si>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</si>
  <si>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</si>
  <si>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</si>
  <si>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</si>
  <si>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</si>
  <si>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</si>
  <si>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</si>
  <si>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</si>
  <si>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</si>
  <si>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</si>
  <si>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</si>
  <si>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</si>
  <si>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</si>
  <si>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</si>
  <si>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</si>
  <si>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</si>
  <si>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</si>
  <si>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</si>
  <si>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</si>
  <si>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</si>
  <si>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</si>
  <si>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Source MAC</t>
  </si>
  <si>
    <t>Destination MAC</t>
  </si>
  <si>
    <t>Source and destination MAC</t>
  </si>
  <si>
    <t>Destination IP and vLAN</t>
  </si>
  <si>
    <t>Source IP and vLAN</t>
  </si>
  <si>
    <t>Source and destination IP and vLAN</t>
  </si>
  <si>
    <t>Destination TCP/UDP port</t>
  </si>
  <si>
    <t>Source TCP/UDP port</t>
  </si>
  <si>
    <t>Source and destination TCP/UDP port</t>
  </si>
  <si>
    <t>Destination IP and TCP/UDP port</t>
  </si>
  <si>
    <t>Source IP and TCP/UDP port</t>
  </si>
  <si>
    <t>Source and destination IP and TCP/UDP port</t>
  </si>
  <si>
    <t>Destination IP and TCP/UDP port and vLAN</t>
  </si>
  <si>
    <t>Source IP and TCP/UDP port and vLAN</t>
  </si>
  <si>
    <t>Destination IP</t>
  </si>
  <si>
    <t>Source IP</t>
  </si>
  <si>
    <t>Source and destination IP</t>
  </si>
  <si>
    <t>vLAN</t>
  </si>
  <si>
    <t>vLAN source port ID</t>
  </si>
  <si>
    <t>Site Protection and Disaster Recovery</t>
  </si>
  <si>
    <t>Group / Component</t>
  </si>
  <si>
    <t>Reference Hostname</t>
  </si>
  <si>
    <t>Your Hostname</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</si>
  <si>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</si>
  <si>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</si>
  <si>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</si>
  <si>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</si>
  <si>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</si>
  <si>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</si>
  <si>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</si>
  <si>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</si>
  <si>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</si>
  <si>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</si>
  <si>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</si>
  <si>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</si>
  <si>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</si>
  <si>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</si>
  <si>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</si>
  <si>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</si>
  <si>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</si>
  <si>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</si>
  <si>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rPr>
        <rFont val="Arial"/>
        <b/>
        <color theme="1"/>
        <sz val="12.0"/>
      </rPr>
      <t xml:space="preserve">Protection Group Name </t>
    </r>
    <r>
      <rPr>
        <rFont val="Arial"/>
        <b val="0"/>
        <i/>
        <color theme="1"/>
        <sz val="12.0"/>
      </rPr>
      <t>(VMware Aria Suite Lifecycle &amp; Clustered WSA)</t>
    </r>
  </si>
  <si>
    <t>Aria Suite Lifecycle &amp; Clustered Workspace ONE Access PG</t>
  </si>
  <si>
    <r>
      <rPr>
        <rFont val="Arial"/>
        <b/>
        <color theme="1"/>
        <sz val="12.0"/>
      </rPr>
      <t xml:space="preserve">Recovery Plan Name </t>
    </r>
    <r>
      <rPr>
        <rFont val="Arial"/>
        <b val="0"/>
        <i/>
        <color theme="1"/>
        <sz val="12.0"/>
      </rPr>
      <t>(VMware Aria Suite Lifecycle &amp; Clustered WSA)</t>
    </r>
  </si>
  <si>
    <t>Aria Suite Lifecycle &amp; Clustered Workspace ONE Access RP</t>
  </si>
  <si>
    <t>Private Cloud Automation PG</t>
  </si>
  <si>
    <t>Private Cloud Automation RP</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</si>
  <si>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</si>
  <si>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</si>
  <si>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</si>
  <si>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</si>
  <si>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</si>
  <si>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</si>
  <si>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</si>
  <si>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</si>
  <si>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</si>
  <si>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</si>
  <si>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</si>
  <si>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</si>
  <si>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</si>
  <si>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</si>
  <si>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rPr>
        <rFont val="Arial"/>
        <b/>
        <color theme="1"/>
        <sz val="12.0"/>
      </rPr>
      <t>Folder Name</t>
    </r>
    <r>
      <rPr>
        <rFont val="Arial"/>
        <b val="0"/>
        <i/>
        <color theme="1"/>
        <sz val="12.0"/>
      </rPr>
      <t xml:space="preserve"> (Clustered Workspace ONE Access)</t>
    </r>
  </si>
  <si>
    <t>xint-m01-fd-idm</t>
  </si>
  <si>
    <t>Folder Name (VMware Aria Operations)</t>
  </si>
  <si>
    <t>xint-m01-fd-operations</t>
  </si>
  <si>
    <r>
      <rPr>
        <rFont val="Arial"/>
        <b/>
        <color theme="1"/>
        <sz val="12.0"/>
      </rPr>
      <t xml:space="preserve">Folder Name </t>
    </r>
    <r>
      <rPr>
        <rFont val="Arial"/>
        <b val="0"/>
        <i/>
        <color theme="1"/>
        <sz val="12.0"/>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</si>
  <si>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</si>
  <si>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</si>
  <si>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</si>
  <si>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</si>
  <si>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</si>
  <si>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</si>
  <si>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</si>
  <si>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</si>
  <si>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</si>
  <si>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</si>
  <si>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</si>
  <si>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</si>
  <si>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</si>
  <si>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</si>
  <si>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</si>
  <si>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</si>
  <si>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rPr>
        <rFont val="Arial"/>
        <b/>
        <color theme="1"/>
        <sz val="12.0"/>
      </rPr>
      <t>Name</t>
    </r>
    <r>
      <rPr>
        <rFont val="Arial"/>
        <b val="0"/>
        <i/>
        <color theme="1"/>
        <sz val="12.0"/>
      </rPr>
      <t xml:space="preserve"> (Member 1)</t>
    </r>
  </si>
  <si>
    <t>vrops01svr01a</t>
  </si>
  <si>
    <r>
      <rPr>
        <rFont val="Arial"/>
        <b/>
        <color theme="1"/>
        <sz val="12.0"/>
      </rPr>
      <t xml:space="preserve">IP </t>
    </r>
    <r>
      <rPr>
        <rFont val="Arial"/>
        <b val="0"/>
        <i/>
        <color theme="1"/>
        <sz val="12.0"/>
      </rPr>
      <t>(Member 1)</t>
    </r>
  </si>
  <si>
    <r>
      <rPr>
        <rFont val="Arial"/>
        <b/>
        <color theme="1"/>
        <sz val="12.0"/>
      </rPr>
      <t>Name</t>
    </r>
    <r>
      <rPr>
        <rFont val="Arial"/>
        <b val="0"/>
        <i/>
        <color theme="1"/>
        <sz val="12.0"/>
      </rPr>
      <t xml:space="preserve"> (Member 2)</t>
    </r>
  </si>
  <si>
    <t>vrops01svr01b</t>
  </si>
  <si>
    <r>
      <rPr>
        <rFont val="Arial"/>
        <b/>
        <color theme="1"/>
        <sz val="12.0"/>
      </rPr>
      <t xml:space="preserve">IP </t>
    </r>
    <r>
      <rPr>
        <rFont val="Arial"/>
        <b val="0"/>
        <i/>
        <color theme="1"/>
        <sz val="12.0"/>
      </rPr>
      <t>(Member 2)</t>
    </r>
  </si>
  <si>
    <r>
      <rPr>
        <rFont val="Arial"/>
        <b/>
        <color theme="1"/>
        <sz val="12.0"/>
      </rPr>
      <t xml:space="preserve">Name </t>
    </r>
    <r>
      <rPr>
        <rFont val="Arial"/>
        <b val="0"/>
        <i/>
        <color theme="1"/>
        <sz val="12.0"/>
      </rPr>
      <t>(Member 3)</t>
    </r>
  </si>
  <si>
    <t>vrops01svr01c</t>
  </si>
  <si>
    <r>
      <rPr>
        <rFont val="Arial"/>
        <b/>
        <color theme="1"/>
        <sz val="12.0"/>
      </rPr>
      <t xml:space="preserve">IP </t>
    </r>
    <r>
      <rPr>
        <rFont val="Arial"/>
        <b val="0"/>
        <i/>
        <color theme="1"/>
        <sz val="12.0"/>
      </rPr>
      <t>(Member 3)</t>
    </r>
  </si>
  <si>
    <r>
      <rPr>
        <rFont val="Arial"/>
        <b/>
        <color theme="1"/>
        <sz val="12.0"/>
      </rPr>
      <t>Name</t>
    </r>
    <r>
      <rPr>
        <rFont val="Arial"/>
        <b val="0"/>
        <i/>
        <color theme="1"/>
        <sz val="12.0"/>
      </rPr>
      <t xml:space="preserve"> (Monitor)</t>
    </r>
  </si>
  <si>
    <t>Create Application Profiles for VMware Aria Operations in the Recovery VMware Cloud Foundation Instance</t>
  </si>
  <si>
    <r>
      <rPr>
        <rFont val="Arial"/>
        <b/>
        <color theme="1"/>
        <sz val="12.0"/>
      </rPr>
      <t>Name</t>
    </r>
    <r>
      <rPr>
        <rFont val="Arial"/>
        <b val="0"/>
        <i/>
        <color theme="1"/>
        <sz val="12.0"/>
      </rPr>
      <t xml:space="preserve"> (TCP Application Profile)</t>
    </r>
  </si>
  <si>
    <t>vrops-tcp-app-profile</t>
  </si>
  <si>
    <r>
      <rPr>
        <rFont val="Arial"/>
        <b/>
        <color theme="1"/>
        <sz val="12.0"/>
      </rPr>
      <t xml:space="preserve">Name </t>
    </r>
    <r>
      <rPr>
        <rFont val="Arial"/>
        <b val="0"/>
        <i/>
        <color theme="1"/>
        <sz val="12.0"/>
      </rPr>
      <t>(HTTP Redirect Profile)</t>
    </r>
  </si>
  <si>
    <t>vrops-http-app-profile-redirect</t>
  </si>
  <si>
    <r>
      <rPr>
        <rFont val="Arial"/>
        <b/>
        <color theme="1"/>
        <sz val="12.0"/>
      </rPr>
      <t>Name</t>
    </r>
    <r>
      <rPr>
        <rFont val="Arial"/>
        <b val="0"/>
        <i/>
        <color theme="1"/>
        <sz val="12.0"/>
      </rPr>
      <t xml:space="preserve"> (Persistence Profile)</t>
    </r>
  </si>
  <si>
    <t>vrops-source-ip-persistence-profile</t>
  </si>
  <si>
    <t>Create Virtual Servers for VMware Aria Operations in the Recovery VMware Cloud Foundation Instance</t>
  </si>
  <si>
    <r>
      <rPr>
        <rFont val="Arial"/>
        <b/>
        <color theme="1"/>
        <sz val="12.0"/>
      </rPr>
      <t>Name</t>
    </r>
    <r>
      <rPr>
        <rFont val="Arial"/>
        <b val="0"/>
        <i/>
        <color theme="1"/>
        <sz val="12.0"/>
      </rPr>
      <t xml:space="preserve"> (HTTPS Virtual Server)</t>
    </r>
  </si>
  <si>
    <t>vrops-https</t>
  </si>
  <si>
    <r>
      <rPr>
        <rFont val="Arial"/>
        <b/>
        <color theme="1"/>
        <sz val="12.0"/>
      </rPr>
      <t xml:space="preserve">IP Address </t>
    </r>
    <r>
      <rPr>
        <rFont val="Arial"/>
        <b val="0"/>
        <i/>
        <color theme="1"/>
        <sz val="12.0"/>
      </rPr>
      <t>(HTTPS Virtual Server)</t>
    </r>
  </si>
  <si>
    <r>
      <rPr>
        <rFont val="Arial"/>
        <b/>
        <color theme="1"/>
        <sz val="12.0"/>
      </rPr>
      <t xml:space="preserve">Load Balancer </t>
    </r>
    <r>
      <rPr>
        <rFont val="Arial"/>
        <b val="0"/>
        <i/>
        <color theme="1"/>
        <sz val="12.0"/>
      </rPr>
      <t>(HTTPS Virtual Server)</t>
    </r>
  </si>
  <si>
    <r>
      <rPr>
        <rFont val="Arial"/>
        <b/>
        <color theme="1"/>
        <sz val="12.0"/>
      </rPr>
      <t xml:space="preserve">Server Pool </t>
    </r>
    <r>
      <rPr>
        <rFont val="Arial"/>
        <b val="0"/>
        <i/>
        <color theme="1"/>
        <sz val="12.0"/>
      </rPr>
      <t>(HTTPS Virtual Server)</t>
    </r>
  </si>
  <si>
    <r>
      <rPr>
        <rFont val="Arial"/>
        <b/>
        <color theme="1"/>
        <sz val="12.0"/>
      </rPr>
      <t>Source IP</t>
    </r>
    <r>
      <rPr>
        <rFont val="Arial"/>
        <b val="0"/>
        <i/>
        <color theme="1"/>
        <sz val="12.0"/>
      </rPr>
      <t xml:space="preserve"> (HTTPS Virtual Server)</t>
    </r>
  </si>
  <si>
    <r>
      <rPr>
        <rFont val="Arial"/>
        <b/>
        <color theme="1"/>
        <sz val="12.0"/>
      </rPr>
      <t>Application Profile</t>
    </r>
    <r>
      <rPr>
        <rFont val="Arial"/>
        <b val="0"/>
        <i/>
        <color theme="1"/>
        <sz val="12.0"/>
      </rPr>
      <t xml:space="preserve"> (HTTPS Virtual Server)</t>
    </r>
  </si>
  <si>
    <r>
      <rPr>
        <rFont val="Arial"/>
        <b/>
        <color theme="1"/>
        <sz val="12.0"/>
      </rPr>
      <t xml:space="preserve">Name </t>
    </r>
    <r>
      <rPr>
        <rFont val="Arial"/>
        <b val="0"/>
        <i/>
        <color theme="1"/>
        <sz val="12.0"/>
      </rPr>
      <t>(HTTP Redirect Virtual Server)</t>
    </r>
  </si>
  <si>
    <t>vrops-http-redirect</t>
  </si>
  <si>
    <r>
      <rPr>
        <rFont val="Arial"/>
        <b/>
        <color theme="1"/>
        <sz val="12.0"/>
      </rPr>
      <t xml:space="preserve">IP Address </t>
    </r>
    <r>
      <rPr>
        <rFont val="Arial"/>
        <b val="0"/>
        <i/>
        <color theme="1"/>
        <sz val="12.0"/>
      </rPr>
      <t>(HTTP Redirect Virtual Server)</t>
    </r>
  </si>
  <si>
    <r>
      <rPr>
        <rFont val="Arial"/>
        <b/>
        <color theme="1"/>
        <sz val="12.0"/>
      </rPr>
      <t>Load Balancer</t>
    </r>
    <r>
      <rPr>
        <rFont val="Arial"/>
        <b val="0"/>
        <i/>
        <color theme="1"/>
        <sz val="12.0"/>
      </rPr>
      <t xml:space="preserve"> (HTTP Redirect Virtual Server)</t>
    </r>
  </si>
  <si>
    <r>
      <rPr>
        <rFont val="Arial"/>
        <b/>
        <color theme="1"/>
        <sz val="12.0"/>
      </rPr>
      <t xml:space="preserve">Application Profile </t>
    </r>
    <r>
      <rPr>
        <rFont val="Arial"/>
        <b val="0"/>
        <i/>
        <color theme="1"/>
        <sz val="12.0"/>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</si>
  <si>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</si>
  <si>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</si>
  <si>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</si>
  <si>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</si>
  <si>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</si>
  <si>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rPr>
        <rFont val="Arial"/>
        <b/>
        <color theme="1"/>
        <sz val="12.0"/>
      </rPr>
      <t xml:space="preserve">Name </t>
    </r>
    <r>
      <rPr>
        <rFont val="Arial"/>
        <b val="0"/>
        <i/>
        <color theme="1"/>
        <sz val="12.0"/>
      </rPr>
      <t>(Member 1)</t>
    </r>
  </si>
  <si>
    <t>vra01svr01a</t>
  </si>
  <si>
    <r>
      <rPr>
        <rFont val="Arial"/>
        <b/>
        <color theme="1"/>
        <sz val="12.0"/>
      </rPr>
      <t xml:space="preserve">IP </t>
    </r>
    <r>
      <rPr>
        <rFont val="Arial"/>
        <b val="0"/>
        <i/>
        <color theme="1"/>
        <sz val="12.0"/>
      </rPr>
      <t>(Member 1)</t>
    </r>
  </si>
  <si>
    <r>
      <rPr>
        <rFont val="Arial"/>
        <b/>
        <color theme="1"/>
        <sz val="12.0"/>
      </rPr>
      <t xml:space="preserve">Name </t>
    </r>
    <r>
      <rPr>
        <rFont val="Arial"/>
        <b val="0"/>
        <i/>
        <color theme="1"/>
        <sz val="12.0"/>
      </rPr>
      <t>(Member 2)</t>
    </r>
  </si>
  <si>
    <t>vra01svr01b</t>
  </si>
  <si>
    <r>
      <rPr>
        <rFont val="Arial"/>
        <b/>
        <color theme="1"/>
        <sz val="12.0"/>
      </rPr>
      <t xml:space="preserve">IP </t>
    </r>
    <r>
      <rPr>
        <rFont val="Arial"/>
        <b val="0"/>
        <i/>
        <color theme="1"/>
        <sz val="12.0"/>
      </rPr>
      <t>(Member 2)</t>
    </r>
  </si>
  <si>
    <r>
      <rPr>
        <rFont val="Arial"/>
        <b/>
        <color theme="1"/>
        <sz val="12.0"/>
      </rPr>
      <t>Name</t>
    </r>
    <r>
      <rPr>
        <rFont val="Arial"/>
        <b val="0"/>
        <i/>
        <color theme="1"/>
        <sz val="12.0"/>
      </rPr>
      <t xml:space="preserve"> (Member 3)</t>
    </r>
  </si>
  <si>
    <t>vra01svr01c</t>
  </si>
  <si>
    <r>
      <rPr>
        <rFont val="Arial"/>
        <b/>
        <color theme="1"/>
        <sz val="12.0"/>
      </rPr>
      <t xml:space="preserve">IP </t>
    </r>
    <r>
      <rPr>
        <rFont val="Arial"/>
        <b val="0"/>
        <i/>
        <color theme="1"/>
        <sz val="12.0"/>
      </rPr>
      <t>(Member 3)</t>
    </r>
  </si>
  <si>
    <r>
      <rPr>
        <rFont val="Arial"/>
        <b/>
        <color theme="1"/>
        <sz val="12.0"/>
      </rPr>
      <t>Name</t>
    </r>
    <r>
      <rPr>
        <rFont val="Arial"/>
        <b val="0"/>
        <i/>
        <color theme="1"/>
        <sz val="12.0"/>
      </rPr>
      <t xml:space="preserve"> (Monitor)</t>
    </r>
  </si>
  <si>
    <t>Create Application Profiles for VMware Aria Automation in the Recovery VMware Cloud Foundation Instance</t>
  </si>
  <si>
    <r>
      <rPr>
        <rFont val="Arial"/>
        <b/>
        <color theme="1"/>
        <sz val="12.0"/>
      </rPr>
      <t>Name</t>
    </r>
    <r>
      <rPr>
        <rFont val="Arial"/>
        <b val="0"/>
        <i/>
        <color theme="1"/>
        <sz val="12.0"/>
      </rPr>
      <t xml:space="preserve"> (TCP Application Profile)</t>
    </r>
  </si>
  <si>
    <t>vra-tcp-app-profile</t>
  </si>
  <si>
    <r>
      <rPr>
        <rFont val="Arial"/>
        <b/>
        <color theme="1"/>
        <sz val="12.0"/>
      </rPr>
      <t xml:space="preserve">Name </t>
    </r>
    <r>
      <rPr>
        <rFont val="Arial"/>
        <b val="0"/>
        <i/>
        <color theme="1"/>
        <sz val="12.0"/>
      </rPr>
      <t>(HTTP Redirect Profile)</t>
    </r>
  </si>
  <si>
    <t>vra-http-app-profile-redirect</t>
  </si>
  <si>
    <t>Create Virtual Servers for VMware Aria Automation in the Recovery VMware Cloud Foundation Instance</t>
  </si>
  <si>
    <r>
      <rPr>
        <rFont val="Arial"/>
        <b/>
        <color theme="1"/>
        <sz val="12.0"/>
      </rPr>
      <t>Name</t>
    </r>
    <r>
      <rPr>
        <rFont val="Arial"/>
        <b val="0"/>
        <i/>
        <color theme="1"/>
        <sz val="12.0"/>
      </rPr>
      <t xml:space="preserve"> (HTTPS Virtual Server)</t>
    </r>
  </si>
  <si>
    <t>vra-https</t>
  </si>
  <si>
    <r>
      <rPr>
        <rFont val="Arial"/>
        <b/>
        <color theme="1"/>
        <sz val="12.0"/>
      </rPr>
      <t>IP Address</t>
    </r>
    <r>
      <rPr>
        <rFont val="Arial"/>
        <b val="0"/>
        <i/>
        <color theme="1"/>
        <sz val="12.0"/>
      </rPr>
      <t xml:space="preserve"> (HTTPS Virtual Server)</t>
    </r>
  </si>
  <si>
    <r>
      <rPr>
        <rFont val="Arial"/>
        <b/>
        <color theme="1"/>
        <sz val="12.0"/>
      </rPr>
      <t xml:space="preserve">Load Balancer </t>
    </r>
    <r>
      <rPr>
        <rFont val="Arial"/>
        <b val="0"/>
        <i/>
        <color theme="1"/>
        <sz val="12.0"/>
      </rPr>
      <t>(HTTPS Virtual Server)</t>
    </r>
  </si>
  <si>
    <r>
      <rPr>
        <rFont val="Arial"/>
        <b/>
        <color theme="1"/>
        <sz val="12.0"/>
      </rPr>
      <t>Server Pool</t>
    </r>
    <r>
      <rPr>
        <rFont val="Arial"/>
        <b val="0"/>
        <i/>
        <color theme="1"/>
        <sz val="12.0"/>
      </rPr>
      <t xml:space="preserve"> (HTTPS Virtual Server)</t>
    </r>
  </si>
  <si>
    <r>
      <rPr>
        <rFont val="Arial"/>
        <b/>
        <color theme="1"/>
        <sz val="12.0"/>
      </rPr>
      <t xml:space="preserve">Application Profile </t>
    </r>
    <r>
      <rPr>
        <rFont val="Arial"/>
        <b val="0"/>
        <i/>
        <color theme="1"/>
        <sz val="12.0"/>
      </rPr>
      <t>(HTTPS Virtual Server)</t>
    </r>
  </si>
  <si>
    <r>
      <rPr>
        <rFont val="Arial"/>
        <b/>
        <color theme="1"/>
        <sz val="12.0"/>
      </rPr>
      <t>Name</t>
    </r>
    <r>
      <rPr>
        <rFont val="Arial"/>
        <b val="0"/>
        <i/>
        <color theme="1"/>
        <sz val="12.0"/>
      </rPr>
      <t xml:space="preserve"> (HTTP Redirect Virtual Server)</t>
    </r>
  </si>
  <si>
    <t>vra-http-redirect</t>
  </si>
  <si>
    <r>
      <rPr>
        <rFont val="Arial"/>
        <b/>
        <color theme="1"/>
        <sz val="12.0"/>
      </rPr>
      <t xml:space="preserve">IP Address </t>
    </r>
    <r>
      <rPr>
        <rFont val="Arial"/>
        <b val="0"/>
        <i/>
        <color theme="1"/>
        <sz val="12.0"/>
      </rPr>
      <t>(HTTP Redirect Virtual Server)</t>
    </r>
  </si>
  <si>
    <r>
      <rPr>
        <rFont val="Arial"/>
        <b/>
        <color theme="1"/>
        <sz val="12.0"/>
      </rPr>
      <t>Load Balancer</t>
    </r>
    <r>
      <rPr>
        <rFont val="Arial"/>
        <b val="0"/>
        <i/>
        <color theme="1"/>
        <sz val="12.0"/>
      </rPr>
      <t xml:space="preserve"> (HTTP Redirect Virtual Server)</t>
    </r>
  </si>
  <si>
    <r>
      <rPr>
        <rFont val="Arial"/>
        <b/>
        <color theme="1"/>
        <sz val="12.0"/>
      </rPr>
      <t>Application Profile</t>
    </r>
    <r>
      <rPr>
        <rFont val="Arial"/>
        <b val="0"/>
        <i/>
        <color theme="1"/>
        <sz val="12.0"/>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</si>
  <si>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</si>
  <si>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</si>
  <si>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</si>
  <si>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</si>
  <si>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</si>
  <si>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</si>
  <si>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</si>
  <si>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rPr>
        <rFont val="Arial"/>
        <b/>
        <color theme="1"/>
        <sz val="12.0"/>
      </rPr>
      <t>Password</t>
    </r>
    <r>
      <rPr>
        <rFont val="Arial"/>
        <b val="0"/>
        <i/>
        <color theme="1"/>
        <sz val="12.0"/>
      </rPr>
      <t xml:space="preserve"> (Initial Root)</t>
    </r>
  </si>
  <si>
    <r>
      <rPr>
        <rFont val="Arial"/>
        <b/>
        <color theme="1"/>
        <sz val="12.0"/>
      </rPr>
      <t xml:space="preserve">Password </t>
    </r>
    <r>
      <rPr>
        <rFont val="Arial"/>
        <b val="0"/>
        <i/>
        <color theme="1"/>
        <sz val="12.0"/>
      </rPr>
      <t>(Initial Admin)</t>
    </r>
  </si>
  <si>
    <t>Domain Search</t>
  </si>
  <si>
    <t>Domain Name Servers</t>
  </si>
  <si>
    <t>Network 1 IP Address</t>
  </si>
  <si>
    <t>Network 1 IP Netprefix</t>
  </si>
  <si>
    <t>Replace the Certificate of vSphere Replication</t>
  </si>
  <si>
    <t>&lt;vrms_fqdn&gt;</t>
  </si>
  <si>
    <r>
      <rPr>
        <rFont val="Arial"/>
        <b/>
        <color theme="1"/>
        <sz val="12.0"/>
      </rPr>
      <t xml:space="preserve">Password </t>
    </r>
    <r>
      <rPr>
        <rFont val="Arial"/>
        <b val="0"/>
        <i/>
        <color theme="1"/>
        <sz val="12.0"/>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</si>
  <si>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</si>
  <si>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</si>
  <si>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</si>
  <si>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</si>
  <si>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</si>
  <si>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</si>
  <si>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</si>
  <si>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</si>
  <si>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</si>
  <si>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</si>
  <si>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</si>
  <si>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</si>
  <si>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</si>
  <si>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</si>
  <si>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</si>
  <si>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</si>
  <si>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</si>
  <si>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</si>
  <si>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</si>
  <si>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</si>
  <si>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</si>
  <si>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</si>
  <si>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</si>
  <si>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</si>
  <si>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</si>
  <si>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</si>
  <si>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</si>
  <si>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</si>
  <si>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</si>
  <si>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</si>
  <si>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</si>
  <si>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</si>
  <si>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</si>
  <si>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</si>
  <si>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</si>
  <si>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</si>
  <si>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</si>
  <si>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rPr>
        <rFont val="Arial"/>
        <b/>
        <color theme="1"/>
        <sz val="12.0"/>
      </rPr>
      <t>&lt;host_fqdn&gt;</t>
    </r>
    <r>
      <rPr>
        <rFont val="Arial"/>
        <b val="0"/>
        <i/>
        <color theme="1"/>
        <sz val="12.0"/>
      </rPr>
      <t xml:space="preserve"> (Host 1)</t>
    </r>
  </si>
  <si>
    <r>
      <rPr>
        <rFont val="Arial"/>
        <b/>
        <color theme="1"/>
        <sz val="12.0"/>
      </rPr>
      <t>source_vrms_network_gateway</t>
    </r>
    <r>
      <rPr>
        <rFont val="Arial"/>
        <b val="0"/>
        <i/>
        <color theme="1"/>
        <sz val="12.0"/>
      </rPr>
      <t xml:space="preserve"> (Host 1)</t>
    </r>
  </si>
  <si>
    <r>
      <rPr>
        <rFont val="Arial"/>
        <b/>
        <color theme="1"/>
        <sz val="12.0"/>
      </rPr>
      <t xml:space="preserve">target_vrms_network_cidr </t>
    </r>
    <r>
      <rPr>
        <rFont val="Arial"/>
        <b val="0"/>
        <i/>
        <color theme="1"/>
        <sz val="12.0"/>
      </rPr>
      <t>(Host 1)</t>
    </r>
  </si>
  <si>
    <r>
      <rPr>
        <rFont val="Arial"/>
        <b/>
        <color theme="1"/>
        <sz val="12.0"/>
      </rPr>
      <t xml:space="preserve">&lt;host_fqdn&gt; </t>
    </r>
    <r>
      <rPr>
        <rFont val="Arial"/>
        <b val="0"/>
        <i/>
        <color theme="1"/>
        <sz val="12.0"/>
      </rPr>
      <t>(Host 2)</t>
    </r>
  </si>
  <si>
    <r>
      <rPr>
        <rFont val="Arial"/>
        <b/>
        <color theme="1"/>
        <sz val="12.0"/>
      </rPr>
      <t>source_vrms_network_gateway</t>
    </r>
    <r>
      <rPr>
        <rFont val="Arial"/>
        <b val="0"/>
        <i/>
        <color theme="1"/>
        <sz val="12.0"/>
      </rPr>
      <t xml:space="preserve"> (Host 2)</t>
    </r>
  </si>
  <si>
    <r>
      <rPr>
        <rFont val="Arial"/>
        <b/>
        <color theme="1"/>
        <sz val="12.0"/>
      </rPr>
      <t>target_vrms_network_cidr</t>
    </r>
    <r>
      <rPr>
        <rFont val="Arial"/>
        <b val="0"/>
        <i/>
        <color theme="1"/>
        <sz val="12.0"/>
      </rPr>
      <t xml:space="preserve"> (Host 2)</t>
    </r>
  </si>
  <si>
    <r>
      <rPr>
        <rFont val="Arial"/>
        <b/>
        <color theme="1"/>
        <sz val="12.0"/>
      </rPr>
      <t xml:space="preserve">&lt;host_fqdn&gt; </t>
    </r>
    <r>
      <rPr>
        <rFont val="Arial"/>
        <b val="0"/>
        <i/>
        <color theme="1"/>
        <sz val="12.0"/>
      </rPr>
      <t>(Host 3)</t>
    </r>
  </si>
  <si>
    <r>
      <rPr>
        <rFont val="Arial"/>
        <b/>
        <color theme="1"/>
        <sz val="12.0"/>
      </rPr>
      <t>source_vrms_network_gateway</t>
    </r>
    <r>
      <rPr>
        <rFont val="Arial"/>
        <b val="0"/>
        <i/>
        <color theme="1"/>
        <sz val="12.0"/>
      </rPr>
      <t xml:space="preserve"> (Host 3)</t>
    </r>
  </si>
  <si>
    <r>
      <rPr>
        <rFont val="Arial"/>
        <b/>
        <color theme="1"/>
        <sz val="12.0"/>
      </rPr>
      <t xml:space="preserve">target_vrms_network_cidr </t>
    </r>
    <r>
      <rPr>
        <rFont val="Arial"/>
        <b val="0"/>
        <i/>
        <color theme="1"/>
        <sz val="12.0"/>
      </rPr>
      <t>(Host 3)</t>
    </r>
  </si>
  <si>
    <r>
      <rPr>
        <rFont val="Arial"/>
        <b/>
        <color theme="1"/>
        <sz val="12.0"/>
      </rPr>
      <t xml:space="preserve">&lt;host_fqdn&gt; </t>
    </r>
    <r>
      <rPr>
        <rFont val="Arial"/>
        <b val="0"/>
        <i/>
        <color theme="1"/>
        <sz val="12.0"/>
      </rPr>
      <t>(Host 4)</t>
    </r>
  </si>
  <si>
    <r>
      <rPr>
        <rFont val="Arial"/>
        <b/>
        <color theme="1"/>
        <sz val="12.0"/>
      </rPr>
      <t>source_vrms_network_gateway</t>
    </r>
    <r>
      <rPr>
        <rFont val="Arial"/>
        <b val="0"/>
        <i/>
        <color theme="1"/>
        <sz val="12.0"/>
      </rPr>
      <t xml:space="preserve"> (Host 4)</t>
    </r>
  </si>
  <si>
    <r>
      <rPr>
        <rFont val="Arial"/>
        <b/>
        <color theme="1"/>
        <sz val="12.0"/>
      </rPr>
      <t xml:space="preserve">target_vrms_network_cidr </t>
    </r>
    <r>
      <rPr>
        <rFont val="Arial"/>
        <b val="0"/>
        <i/>
        <color theme="1"/>
        <sz val="12.0"/>
      </rPr>
      <t>(Host 4)</t>
    </r>
  </si>
  <si>
    <r>
      <rPr>
        <rFont val="Arial"/>
        <b/>
        <color theme="1"/>
        <sz val="12.0"/>
      </rPr>
      <t>&lt;host_fqdn&gt;</t>
    </r>
    <r>
      <rPr>
        <rFont val="Arial"/>
        <b val="0"/>
        <i/>
        <color theme="1"/>
        <sz val="12.0"/>
      </rPr>
      <t xml:space="preserve"> (Host 1)</t>
    </r>
  </si>
  <si>
    <r>
      <rPr>
        <rFont val="Arial"/>
        <b/>
        <color theme="1"/>
        <sz val="12.0"/>
      </rPr>
      <t>source_vrms_network_gateway</t>
    </r>
    <r>
      <rPr>
        <rFont val="Arial"/>
        <b val="0"/>
        <i/>
        <color theme="1"/>
        <sz val="12.0"/>
      </rPr>
      <t xml:space="preserve"> (Host 1)</t>
    </r>
  </si>
  <si>
    <r>
      <rPr>
        <rFont val="Arial"/>
        <b/>
        <color theme="1"/>
        <sz val="12.0"/>
      </rPr>
      <t xml:space="preserve">target_vrms_network_cidr </t>
    </r>
    <r>
      <rPr>
        <rFont val="Arial"/>
        <b val="0"/>
        <i/>
        <color theme="1"/>
        <sz val="12.0"/>
      </rPr>
      <t>(Host 1)</t>
    </r>
  </si>
  <si>
    <r>
      <rPr>
        <rFont val="Arial"/>
        <b/>
        <color theme="1"/>
        <sz val="12.0"/>
      </rPr>
      <t xml:space="preserve">&lt;host_fqdn&gt; </t>
    </r>
    <r>
      <rPr>
        <rFont val="Arial"/>
        <b val="0"/>
        <i/>
        <color theme="1"/>
        <sz val="12.0"/>
      </rPr>
      <t>(Host 2)</t>
    </r>
  </si>
  <si>
    <r>
      <rPr>
        <rFont val="Arial"/>
        <b/>
        <color theme="1"/>
        <sz val="12.0"/>
      </rPr>
      <t>source_vrms_network_gateway</t>
    </r>
    <r>
      <rPr>
        <rFont val="Arial"/>
        <b val="0"/>
        <i/>
        <color theme="1"/>
        <sz val="12.0"/>
      </rPr>
      <t xml:space="preserve"> (Host 2)</t>
    </r>
  </si>
  <si>
    <r>
      <rPr>
        <rFont val="Arial"/>
        <b/>
        <color theme="1"/>
        <sz val="12.0"/>
      </rPr>
      <t>target_vrms_network_cidr</t>
    </r>
    <r>
      <rPr>
        <rFont val="Arial"/>
        <b val="0"/>
        <i/>
        <color theme="1"/>
        <sz val="12.0"/>
      </rPr>
      <t xml:space="preserve"> (Host 2)</t>
    </r>
  </si>
  <si>
    <r>
      <rPr>
        <rFont val="Arial"/>
        <b/>
        <color theme="1"/>
        <sz val="12.0"/>
      </rPr>
      <t xml:space="preserve">&lt;host_fqdn&gt; </t>
    </r>
    <r>
      <rPr>
        <rFont val="Arial"/>
        <b val="0"/>
        <i/>
        <color theme="1"/>
        <sz val="12.0"/>
      </rPr>
      <t>(Host 3)</t>
    </r>
  </si>
  <si>
    <r>
      <rPr>
        <rFont val="Arial"/>
        <b/>
        <color theme="1"/>
        <sz val="12.0"/>
      </rPr>
      <t>source_vrms_network_gateway</t>
    </r>
    <r>
      <rPr>
        <rFont val="Arial"/>
        <b val="0"/>
        <i/>
        <color theme="1"/>
        <sz val="12.0"/>
      </rPr>
      <t xml:space="preserve"> (Host 3)</t>
    </r>
  </si>
  <si>
    <r>
      <rPr>
        <rFont val="Arial"/>
        <b/>
        <color theme="1"/>
        <sz val="12.0"/>
      </rPr>
      <t xml:space="preserve">target_vrms_network_cidr </t>
    </r>
    <r>
      <rPr>
        <rFont val="Arial"/>
        <b val="0"/>
        <i/>
        <color theme="1"/>
        <sz val="12.0"/>
      </rPr>
      <t>(Host 3)</t>
    </r>
  </si>
  <si>
    <r>
      <rPr>
        <rFont val="Arial"/>
        <b/>
        <color theme="1"/>
        <sz val="12.0"/>
      </rPr>
      <t xml:space="preserve">&lt;host_fqdn&gt; </t>
    </r>
    <r>
      <rPr>
        <rFont val="Arial"/>
        <b val="0"/>
        <i/>
        <color theme="1"/>
        <sz val="12.0"/>
      </rPr>
      <t>(Host 4)</t>
    </r>
  </si>
  <si>
    <r>
      <rPr>
        <rFont val="Arial"/>
        <b/>
        <color theme="1"/>
        <sz val="12.0"/>
      </rPr>
      <t>source_vrms_network_gateway</t>
    </r>
    <r>
      <rPr>
        <rFont val="Arial"/>
        <b val="0"/>
        <i/>
        <color theme="1"/>
        <sz val="12.0"/>
      </rPr>
      <t xml:space="preserve"> (Host 4)</t>
    </r>
  </si>
  <si>
    <r>
      <rPr>
        <rFont val="Arial"/>
        <b/>
        <color theme="1"/>
        <sz val="12.0"/>
      </rPr>
      <t xml:space="preserve">target_vrms_network_cidr </t>
    </r>
    <r>
      <rPr>
        <rFont val="Arial"/>
        <b val="0"/>
        <i/>
        <color theme="1"/>
        <sz val="12.0"/>
      </rPr>
      <t>(Host 4)</t>
    </r>
  </si>
  <si>
    <t>Implementation of Site Recovery Manager for the VI Workload Domain</t>
  </si>
  <si>
    <t>Create a Virtual Machine Folder for Site Recovery Manager</t>
  </si>
  <si>
    <t>Deploy Site Recovery Manager</t>
  </si>
  <si>
    <t>&lt;management_vcenter_server_fqdn&gt;</t>
  </si>
  <si>
    <r>
      <rPr>
        <rFont val="Arial"/>
        <b/>
        <color theme="1"/>
        <sz val="12.0"/>
      </rPr>
      <t>Password</t>
    </r>
    <r>
      <rPr>
        <rFont val="Arial"/>
        <b val="0"/>
        <i/>
        <color theme="1"/>
        <sz val="12.0"/>
      </rPr>
      <t xml:space="preserve"> (Initial Root)</t>
    </r>
  </si>
  <si>
    <r>
      <rPr>
        <rFont val="Arial"/>
        <b/>
        <color theme="1"/>
        <sz val="12.0"/>
      </rPr>
      <t xml:space="preserve">Password </t>
    </r>
    <r>
      <rPr>
        <rFont val="Arial"/>
        <b val="0"/>
        <i/>
        <color theme="1"/>
        <sz val="12.0"/>
      </rPr>
      <t>(Initial Admin)</t>
    </r>
  </si>
  <si>
    <r>
      <rPr>
        <rFont val="Arial"/>
        <b/>
        <color theme="1"/>
        <sz val="12.0"/>
      </rPr>
      <t xml:space="preserve">Password </t>
    </r>
    <r>
      <rPr>
        <rFont val="Arial"/>
        <b val="0"/>
        <i/>
        <color theme="1"/>
        <sz val="12.0"/>
      </rPr>
      <t>(Initial Database)</t>
    </r>
  </si>
  <si>
    <t>Replace the Certificate of Site Recovery Manager</t>
  </si>
  <si>
    <t>&lt;srm_fqdn&gt;</t>
  </si>
  <si>
    <r>
      <rPr>
        <rFont val="Arial"/>
        <b/>
        <color theme="1"/>
        <sz val="12.0"/>
      </rPr>
      <t xml:space="preserve">Password </t>
    </r>
    <r>
      <rPr>
        <rFont val="Arial"/>
        <b val="0"/>
        <i/>
        <color theme="1"/>
        <sz val="12.0"/>
      </rPr>
      <t>(P12 Cert File)</t>
    </r>
  </si>
  <si>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</si>
  <si>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</si>
  <si>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</si>
  <si>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</si>
  <si>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</si>
  <si>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</si>
  <si>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</si>
  <si>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</si>
  <si>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</si>
  <si>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</si>
  <si>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</si>
  <si>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</si>
  <si>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</si>
  <si>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</si>
  <si>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</si>
  <si>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</si>
  <si>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</si>
  <si>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</si>
  <si>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</si>
  <si>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</si>
  <si>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</si>
  <si>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</si>
  <si>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</si>
  <si>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</si>
  <si>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</si>
  <si>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</si>
  <si>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</si>
  <si>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</si>
  <si>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</si>
  <si>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</si>
  <si>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</si>
  <si>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</si>
  <si>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</si>
  <si>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</si>
  <si>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</si>
  <si>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</si>
  <si>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</si>
  <si>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</si>
  <si>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</si>
  <si>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</si>
  <si>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</si>
  <si>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</si>
  <si>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</si>
  <si>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</si>
  <si>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</si>
  <si>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</si>
  <si>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</si>
  <si>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</si>
  <si>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</si>
  <si>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</si>
  <si>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</si>
  <si>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</si>
  <si>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</si>
  <si>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</si>
  <si>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</si>
  <si>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</si>
  <si>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</si>
  <si>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</si>
  <si>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</si>
  <si>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</si>
  <si>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</si>
  <si>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</si>
  <si>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</si>
  <si>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</si>
  <si>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</si>
  <si>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 xml:space="preserve">         Site Protection and Disaster Recovery Validated Solution</t>
  </si>
  <si>
    <t>This page contains all user required values used during the deployment of the Site Protection and Disaster Recovery Validated Solution. Each table and value maps directly to a process in the deployment guidance documentation.</t>
  </si>
  <si>
    <t>Solution Interoperability</t>
  </si>
  <si>
    <t>Reconfigure DNS and Domain Search on the VCF Operations Fleet Management Appliance for Site Protection and Disaster Recovery for VMware Cloud Foundation</t>
  </si>
  <si>
    <t>&lt;vcf_operations_fm_fqdn&gt;</t>
  </si>
  <si>
    <t>10-eth0-static.network</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</si>
  <si>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</si>
  <si>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</si>
  <si>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</si>
  <si>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</si>
  <si>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</si>
  <si>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</si>
  <si>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</si>
  <si>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</si>
  <si>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</si>
  <si>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</si>
  <si>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</si>
  <si>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</si>
  <si>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</si>
  <si>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</si>
  <si>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</si>
  <si>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</si>
  <si>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</si>
  <si>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</si>
  <si>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</si>
  <si>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</si>
  <si>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</si>
  <si>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</si>
  <si>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</si>
  <si>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</si>
  <si>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r>
      <rPr>
        <rFont val="Arial"/>
        <b/>
        <color theme="1"/>
        <sz val="12.0"/>
      </rPr>
      <t>Password</t>
    </r>
    <r>
      <rPr>
        <rFont val="Arial"/>
        <b val="0"/>
        <i/>
        <color theme="1"/>
        <sz val="12.0"/>
      </rPr>
      <t xml:space="preserve"> (Initial Root)</t>
    </r>
  </si>
  <si>
    <r>
      <rPr>
        <rFont val="Arial"/>
        <b/>
        <color theme="1"/>
        <sz val="12.0"/>
      </rPr>
      <t xml:space="preserve">Password </t>
    </r>
    <r>
      <rPr>
        <rFont val="Arial"/>
        <b val="0"/>
        <i/>
        <color theme="1"/>
        <sz val="12.0"/>
      </rPr>
      <t>(Initial Admin)</t>
    </r>
  </si>
  <si>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</si>
  <si>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</si>
  <si>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</si>
  <si>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</si>
  <si>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</si>
  <si>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</si>
  <si>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</si>
  <si>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</si>
  <si>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</si>
  <si>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</si>
  <si>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</si>
  <si>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</si>
  <si>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</si>
  <si>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</si>
  <si>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</si>
  <si>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</si>
  <si>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</si>
  <si>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</si>
  <si>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</si>
  <si>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</si>
  <si>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</si>
  <si>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</si>
  <si>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</si>
  <si>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</si>
  <si>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</si>
  <si>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</si>
  <si>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</si>
  <si>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</si>
  <si>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</si>
  <si>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</si>
  <si>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</si>
  <si>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</si>
  <si>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</si>
  <si>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</si>
  <si>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</si>
  <si>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</si>
  <si>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</si>
  <si>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</si>
  <si>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</si>
  <si>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</si>
  <si>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</si>
  <si>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</si>
  <si>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rPr>
        <rFont val="Arial"/>
        <b/>
        <color theme="1"/>
        <sz val="12.0"/>
      </rPr>
      <t xml:space="preserve">Network Mapping </t>
    </r>
    <r>
      <rPr>
        <rFont val="Arial"/>
        <b val="0"/>
        <i/>
        <color theme="1"/>
        <sz val="12.0"/>
      </rPr>
      <t>(Protected Network)</t>
    </r>
  </si>
  <si>
    <r>
      <rPr>
        <rFont val="Arial"/>
        <b/>
        <color theme="1"/>
        <sz val="12.0"/>
      </rPr>
      <t xml:space="preserve">Network Mapping </t>
    </r>
    <r>
      <rPr>
        <rFont val="Arial"/>
        <b val="0"/>
        <i/>
        <color theme="1"/>
        <sz val="12.0"/>
      </rPr>
      <t>(Recovery Network)</t>
    </r>
  </si>
  <si>
    <r>
      <rPr>
        <rFont val="Arial"/>
        <b/>
        <color theme="1"/>
        <sz val="12.0"/>
      </rPr>
      <t xml:space="preserve">Folder Mapping </t>
    </r>
    <r>
      <rPr>
        <rFont val="Arial"/>
        <b val="0"/>
        <i/>
        <color theme="1"/>
        <sz val="12.0"/>
      </rPr>
      <t>(Protected Folder)</t>
    </r>
  </si>
  <si>
    <r>
      <rPr>
        <rFont val="Arial"/>
        <b/>
        <color theme="1"/>
        <sz val="12.0"/>
      </rPr>
      <t xml:space="preserve">Folder Mapping </t>
    </r>
    <r>
      <rPr>
        <rFont val="Arial"/>
        <b val="0"/>
        <i/>
        <color theme="1"/>
        <sz val="12.0"/>
      </rPr>
      <t>(Recovery Folder)</t>
    </r>
  </si>
  <si>
    <r>
      <rPr>
        <rFont val="Arial"/>
        <b/>
        <color theme="1"/>
        <sz val="12.0"/>
      </rPr>
      <t xml:space="preserve">Resource Mapping </t>
    </r>
    <r>
      <rPr>
        <rFont val="Arial"/>
        <b val="0"/>
        <i/>
        <color theme="1"/>
        <sz val="12.0"/>
      </rPr>
      <t>(Protected Cluster)</t>
    </r>
  </si>
  <si>
    <r>
      <rPr>
        <rFont val="Arial"/>
        <b/>
        <color theme="1"/>
        <sz val="12.0"/>
      </rPr>
      <t xml:space="preserve">Resource Mapping </t>
    </r>
    <r>
      <rPr>
        <rFont val="Arial"/>
        <b val="0"/>
        <i/>
        <color theme="1"/>
        <sz val="12.0"/>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</si>
  <si>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</si>
  <si>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</si>
  <si>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</si>
  <si>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</si>
  <si>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</si>
  <si>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</si>
  <si>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</si>
  <si>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</si>
  <si>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</si>
  <si>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</si>
  <si>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</si>
  <si>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</si>
  <si>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</si>
  <si>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</si>
  <si>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</si>
  <si>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</si>
  <si>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</si>
  <si>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</si>
  <si>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</si>
  <si>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</si>
  <si>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</si>
  <si>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</si>
  <si>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</si>
  <si>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</si>
  <si>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</si>
  <si>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</si>
  <si>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</si>
  <si>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</si>
  <si>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</si>
  <si>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</si>
  <si>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</si>
  <si>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</si>
  <si>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</si>
  <si>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</si>
  <si>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</si>
  <si>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</si>
  <si>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</si>
  <si>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</si>
  <si>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</si>
  <si>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</si>
  <si>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</si>
  <si>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</si>
  <si>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</si>
  <si>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</si>
  <si>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</si>
  <si>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</si>
  <si>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</si>
  <si>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rPr>
        <rFont val="Helvetica Neue"/>
        <b/>
        <color theme="1"/>
        <sz val="12.0"/>
      </rPr>
      <t xml:space="preserve">Name </t>
    </r>
    <r>
      <rPr>
        <rFont val="Helvetica"/>
        <b val="0"/>
        <color theme="1"/>
        <sz val="12.0"/>
      </rPr>
      <t>(VCF Operations for Logs)</t>
    </r>
  </si>
  <si>
    <r>
      <rPr>
        <rFont val="Helvetica Neue"/>
        <b/>
        <color theme="1"/>
        <sz val="12.0"/>
      </rPr>
      <t>Virtual Machine</t>
    </r>
    <r>
      <rPr>
        <rFont val="Helvetica"/>
        <b val="0"/>
        <color theme="1"/>
        <sz val="12.0"/>
      </rPr>
      <t xml:space="preserve"> (Primary Node)</t>
    </r>
  </si>
  <si>
    <r>
      <rPr>
        <rFont val="Helvetica Neue"/>
        <b/>
        <color theme="1"/>
        <sz val="12.0"/>
      </rPr>
      <t xml:space="preserve">Virtual Machine </t>
    </r>
    <r>
      <rPr>
        <rFont val="Helvetica"/>
        <b val="0"/>
        <color theme="1"/>
        <sz val="12.0"/>
      </rPr>
      <t>(Worker Node1)</t>
    </r>
  </si>
  <si>
    <r>
      <rPr>
        <rFont val="Helvetica Neue"/>
        <b/>
        <color theme="1"/>
        <sz val="12.0"/>
      </rPr>
      <t xml:space="preserve">Virtual Machine </t>
    </r>
    <r>
      <rPr>
        <rFont val="Helvetica"/>
        <b val="0"/>
        <color theme="1"/>
        <sz val="12.0"/>
      </rPr>
      <t>(Worker Node2)</t>
    </r>
  </si>
  <si>
    <r>
      <rPr>
        <rFont val="Helvetica Neue"/>
        <b/>
        <color theme="1"/>
        <sz val="12.0"/>
      </rPr>
      <t xml:space="preserve">Name </t>
    </r>
    <r>
      <rPr>
        <rFont val="Helvetica"/>
        <b val="0"/>
        <color theme="1"/>
        <sz val="12.0"/>
      </rPr>
      <t>(VCF Operations for Networks)</t>
    </r>
  </si>
  <si>
    <r>
      <rPr>
        <rFont val="Helvetica Neue"/>
        <b/>
        <color theme="1"/>
        <sz val="12.0"/>
      </rPr>
      <t>Virtual Machine</t>
    </r>
    <r>
      <rPr>
        <rFont val="Helvetica"/>
        <b val="0"/>
        <color theme="1"/>
        <sz val="12.0"/>
      </rPr>
      <t xml:space="preserve"> (Platform Node1)</t>
    </r>
  </si>
  <si>
    <r>
      <rPr>
        <rFont val="Helvetica Neue"/>
        <b/>
        <color theme="1"/>
        <sz val="12.0"/>
      </rPr>
      <t xml:space="preserve">Virtual Machine </t>
    </r>
    <r>
      <rPr>
        <rFont val="Helvetica"/>
        <b val="0"/>
        <color theme="1"/>
        <sz val="12.0"/>
      </rPr>
      <t>(Platform Node2)</t>
    </r>
  </si>
  <si>
    <r>
      <rPr>
        <rFont val="Helvetica Neue"/>
        <b/>
        <color theme="1"/>
        <sz val="12.0"/>
      </rPr>
      <t>Virtual Machine</t>
    </r>
    <r>
      <rPr>
        <rFont val="Helvetica"/>
        <b val="0"/>
        <color theme="1"/>
        <sz val="12.0"/>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</si>
  <si>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</si>
  <si>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</si>
  <si>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</si>
  <si>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</si>
  <si>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</si>
  <si>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</si>
  <si>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</si>
  <si>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</si>
  <si>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</si>
  <si>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</si>
  <si>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</si>
  <si>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</si>
  <si>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</si>
  <si>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</si>
  <si>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</si>
  <si>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</si>
  <si>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</si>
  <si>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</si>
  <si>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</si>
  <si>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</si>
  <si>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</si>
  <si>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</si>
  <si>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rPr>
        <rFont val="Arial"/>
        <b/>
        <color theme="1"/>
        <sz val="12.0"/>
      </rPr>
      <t xml:space="preserve">Username </t>
    </r>
    <r>
      <rPr>
        <rFont val="Arial"/>
        <b val="0"/>
        <i/>
        <color theme="1"/>
        <sz val="12.0"/>
      </rPr>
      <t>(VMware Live Site Recovery)</t>
    </r>
  </si>
  <si>
    <t>svc-vcfops-vlsr</t>
  </si>
  <si>
    <r>
      <rPr>
        <rFont val="Arial"/>
        <b/>
        <color theme="1"/>
        <sz val="12.0"/>
      </rPr>
      <t xml:space="preserve">Password </t>
    </r>
    <r>
      <rPr>
        <rFont val="Arial"/>
        <b val="0"/>
        <i/>
        <color theme="1"/>
        <sz val="12.0"/>
      </rPr>
      <t>(VMware Live Site Recovery)</t>
    </r>
  </si>
  <si>
    <r>
      <rPr>
        <rFont val="Arial"/>
        <b/>
        <color theme="1"/>
        <sz val="12.0"/>
      </rPr>
      <t xml:space="preserve">Username </t>
    </r>
    <r>
      <rPr>
        <rFont val="Arial"/>
        <b val="0"/>
        <i/>
        <color theme="1"/>
        <sz val="12.0"/>
      </rPr>
      <t>(vSphere Replication User)</t>
    </r>
  </si>
  <si>
    <t>svc-vcfops-vr</t>
  </si>
  <si>
    <r>
      <rPr>
        <rFont val="Arial"/>
        <b/>
        <color theme="1"/>
        <sz val="12.0"/>
      </rPr>
      <t xml:space="preserve">Password </t>
    </r>
    <r>
      <rPr>
        <rFont val="Arial"/>
        <b val="0"/>
        <i/>
        <color theme="1"/>
        <sz val="12.0"/>
      </rPr>
      <t>(vSphere Replication User)</t>
    </r>
  </si>
  <si>
    <t>Configure Service Account Permissions in vSphere for Integration with VMware Cloud Foundation Operations for VMware Cloud Foundation</t>
  </si>
  <si>
    <r>
      <rPr>
        <rFont val="Arial"/>
        <b/>
        <color theme="1"/>
        <sz val="12.0"/>
      </rPr>
      <t xml:space="preserve">User/Group </t>
    </r>
    <r>
      <rPr>
        <rFont val="Arial"/>
        <b val="0"/>
        <color theme="1"/>
        <sz val="12.0"/>
      </rPr>
      <t>(VMware Live Site Recovery User)</t>
    </r>
  </si>
  <si>
    <r>
      <rPr>
        <rFont val="Arial"/>
        <b/>
        <color theme="1"/>
        <sz val="12.0"/>
      </rPr>
      <t xml:space="preserve">Role </t>
    </r>
    <r>
      <rPr>
        <rFont val="Arial"/>
        <b val="0"/>
        <i/>
        <color theme="1"/>
        <sz val="12.0"/>
      </rPr>
      <t>(VMware Live Site Recovery User)</t>
    </r>
  </si>
  <si>
    <t>Read-Only</t>
  </si>
  <si>
    <r>
      <rPr>
        <rFont val="Arial"/>
        <b/>
        <color theme="1"/>
        <sz val="12.0"/>
      </rPr>
      <t xml:space="preserve">User/Group </t>
    </r>
    <r>
      <rPr>
        <rFont val="Arial"/>
        <b val="0"/>
        <i/>
        <color theme="1"/>
        <sz val="12.0"/>
      </rPr>
      <t>(vSphere Replication User)</t>
    </r>
  </si>
  <si>
    <r>
      <rPr>
        <rFont val="Arial"/>
        <b/>
        <color theme="1"/>
        <sz val="12.0"/>
      </rPr>
      <t xml:space="preserve">Role </t>
    </r>
    <r>
      <rPr>
        <rFont val="Arial"/>
        <b val="0"/>
        <i/>
        <color theme="1"/>
        <sz val="12.0"/>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</si>
  <si>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</si>
  <si>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</si>
  <si>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</si>
  <si>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</si>
  <si>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</si>
  <si>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</si>
  <si>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rPr>
        <rFont val="Arial"/>
        <b/>
        <color theme="1"/>
        <sz val="12.0"/>
      </rPr>
      <t xml:space="preserve">Name </t>
    </r>
    <r>
      <rPr>
        <rFont val="Arial"/>
        <b val="0"/>
        <i/>
        <color theme="1"/>
        <sz val="12.0"/>
      </rPr>
      <t>(Management Domain)</t>
    </r>
  </si>
  <si>
    <r>
      <rPr>
        <rFont val="Arial"/>
        <b/>
        <color theme="1"/>
        <sz val="12.0"/>
      </rPr>
      <t>Site Recovery Manager Host</t>
    </r>
    <r>
      <rPr>
        <rFont val="Arial"/>
        <b val="0"/>
        <i/>
        <color theme="1"/>
        <sz val="12.0"/>
      </rPr>
      <t xml:space="preserve"> (Management Domain)</t>
    </r>
  </si>
  <si>
    <r>
      <rPr>
        <rFont val="Arial"/>
        <b/>
        <color theme="1"/>
        <sz val="12.0"/>
      </rPr>
      <t xml:space="preserve">Site Recovery Manager Port </t>
    </r>
    <r>
      <rPr>
        <rFont val="Arial"/>
        <b val="0"/>
        <i/>
        <color theme="1"/>
        <sz val="12.0"/>
      </rPr>
      <t>(Management Domain)</t>
    </r>
  </si>
  <si>
    <r>
      <rPr>
        <rFont val="Arial"/>
        <b/>
        <color theme="1"/>
        <sz val="12.0"/>
      </rPr>
      <t xml:space="preserve">Credential name </t>
    </r>
    <r>
      <rPr>
        <rFont val="Arial"/>
        <b val="0"/>
        <i/>
        <color theme="1"/>
        <sz val="12.0"/>
      </rPr>
      <t>(Management Domain)</t>
    </r>
  </si>
  <si>
    <r>
      <rPr>
        <rFont val="Arial"/>
        <b/>
        <color theme="1"/>
        <sz val="12.0"/>
      </rPr>
      <t xml:space="preserve">Use name </t>
    </r>
    <r>
      <rPr>
        <rFont val="Arial"/>
        <b val="0"/>
        <i/>
        <color theme="1"/>
        <sz val="12.0"/>
      </rPr>
      <t>(Management Domain)</t>
    </r>
  </si>
  <si>
    <r>
      <rPr>
        <rFont val="Arial"/>
        <b/>
        <color theme="1"/>
        <sz val="12.0"/>
      </rPr>
      <t xml:space="preserve">Password </t>
    </r>
    <r>
      <rPr>
        <rFont val="Arial"/>
        <b val="0"/>
        <i/>
        <color theme="1"/>
        <sz val="12.0"/>
      </rPr>
      <t>(Management Domain)</t>
    </r>
  </si>
  <si>
    <r>
      <rPr>
        <rFont val="Arial"/>
        <b/>
        <color theme="1"/>
        <sz val="12.0"/>
      </rPr>
      <t xml:space="preserve">Collector/Group </t>
    </r>
    <r>
      <rPr>
        <rFont val="Arial"/>
        <b val="0"/>
        <i/>
        <color theme="1"/>
        <sz val="12.0"/>
      </rPr>
      <t>(Management Domain)</t>
    </r>
  </si>
  <si>
    <t>Add vSphere Replication Adapter Instances to VMware Cloud Foundation Operations for Site Protection and Disaster Recovery for VMware Cloud Foundation</t>
  </si>
  <si>
    <r>
      <rPr>
        <rFont val="Arial"/>
        <b/>
        <color theme="1"/>
        <sz val="12.0"/>
      </rPr>
      <t xml:space="preserve">Name </t>
    </r>
    <r>
      <rPr>
        <rFont val="Arial"/>
        <b val="0"/>
        <i/>
        <color theme="1"/>
        <sz val="12.0"/>
      </rPr>
      <t>(Management Domain)</t>
    </r>
  </si>
  <si>
    <r>
      <rPr>
        <rFont val="Arial"/>
        <b/>
        <color theme="1"/>
        <sz val="12.0"/>
      </rPr>
      <t xml:space="preserve">vCenter Server, where vSphere Replication is registered </t>
    </r>
    <r>
      <rPr>
        <rFont val="Arial"/>
        <b val="0"/>
        <i/>
        <color theme="1"/>
        <sz val="12.0"/>
      </rPr>
      <t>(Management Domain)</t>
    </r>
  </si>
  <si>
    <r>
      <rPr>
        <rFont val="Arial"/>
        <b/>
        <color theme="1"/>
        <sz val="12.0"/>
      </rPr>
      <t xml:space="preserve">Credential name </t>
    </r>
    <r>
      <rPr>
        <rFont val="Arial"/>
        <b val="0"/>
        <i/>
        <color theme="1"/>
        <sz val="12.0"/>
      </rPr>
      <t>(Management Domain)</t>
    </r>
  </si>
  <si>
    <r>
      <rPr>
        <rFont val="Arial"/>
        <b/>
        <color theme="1"/>
        <sz val="12.0"/>
      </rPr>
      <t xml:space="preserve">User name </t>
    </r>
    <r>
      <rPr>
        <rFont val="Arial"/>
        <b val="0"/>
        <i/>
        <color theme="1"/>
        <sz val="12.0"/>
      </rPr>
      <t>(Management Domain)</t>
    </r>
  </si>
  <si>
    <r>
      <rPr>
        <rFont val="Arial"/>
        <b/>
        <color theme="1"/>
        <sz val="12.0"/>
      </rPr>
      <t xml:space="preserve">Password </t>
    </r>
    <r>
      <rPr>
        <rFont val="Arial"/>
        <b val="0"/>
        <i/>
        <color theme="1"/>
        <sz val="12.0"/>
      </rPr>
      <t>(Management Domain)</t>
    </r>
  </si>
  <si>
    <r>
      <rPr>
        <rFont val="Arial"/>
        <b/>
        <color theme="1"/>
        <sz val="12.0"/>
      </rPr>
      <t xml:space="preserve">Collector/Group </t>
    </r>
    <r>
      <rPr>
        <rFont val="Arial"/>
        <b val="0"/>
        <i/>
        <color theme="1"/>
        <sz val="12.0"/>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</si>
  <si>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</si>
  <si>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</si>
  <si>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</si>
  <si>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</si>
  <si>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</si>
  <si>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</si>
  <si>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</si>
  <si>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 xml:space="preserve">         VMware Cloud Foundation Live Recovery for Ransomware Recovery </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</si>
  <si>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</si>
  <si>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</si>
  <si>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</si>
  <si>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</si>
  <si>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</si>
  <si>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</si>
  <si>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</si>
  <si>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</si>
  <si>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</si>
  <si>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</si>
  <si>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</si>
  <si>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</si>
  <si>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</si>
  <si>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</si>
  <si>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</si>
  <si>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</si>
  <si>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</si>
  <si>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</si>
  <si>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</si>
  <si>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</si>
  <si>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</si>
  <si>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</si>
  <si>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</si>
  <si>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</si>
  <si>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</si>
  <si>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</si>
  <si>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</si>
  <si>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</si>
  <si>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</si>
  <si>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</si>
  <si>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</si>
  <si>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</si>
  <si>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</si>
  <si>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</si>
  <si>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</si>
  <si>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</si>
  <si>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</si>
  <si>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</si>
  <si>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</si>
  <si>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</si>
  <si>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</si>
  <si>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</si>
  <si>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</si>
  <si>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</si>
  <si>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</si>
  <si>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</si>
  <si>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</si>
  <si>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</si>
  <si>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</si>
  <si>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</si>
  <si>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</si>
  <si>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</si>
  <si>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</si>
  <si>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</si>
  <si>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</si>
  <si>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</si>
  <si>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</si>
  <si>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</si>
  <si>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</si>
  <si>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</si>
  <si>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</si>
  <si>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</si>
  <si>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</si>
  <si>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</si>
  <si>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</si>
  <si>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</si>
  <si>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</si>
  <si>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</si>
  <si>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</si>
  <si>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</si>
  <si>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</si>
  <si>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</si>
  <si>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</si>
  <si>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</si>
  <si>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</si>
  <si>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</si>
  <si>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</si>
  <si>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</si>
  <si>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</si>
  <si>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</si>
  <si>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</si>
  <si>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</si>
  <si>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</si>
  <si>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</si>
  <si>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</si>
  <si>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</si>
  <si>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</si>
  <si>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</si>
  <si>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</si>
  <si>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</si>
  <si>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</si>
  <si>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</si>
  <si>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</si>
  <si>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</si>
  <si>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</si>
  <si>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</si>
  <si>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</si>
  <si>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</si>
  <si>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</si>
  <si>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</si>
  <si>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</si>
  <si>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</si>
  <si>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</si>
  <si>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</si>
  <si>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</si>
  <si>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</si>
  <si>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</si>
  <si>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</si>
  <si>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</si>
  <si>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</si>
  <si>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</si>
  <si>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</si>
  <si>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</si>
  <si>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</si>
  <si>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</si>
  <si>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</si>
  <si>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Network Connectivity for  Workload Domain Reference Sheet</t>
  </si>
  <si>
    <t>NSX Routing for Workload Domain</t>
  </si>
  <si>
    <t>Workload Domain BGP Requirements</t>
  </si>
  <si>
    <t>AVI Load Balancer</t>
  </si>
  <si>
    <t>Host Overlay</t>
  </si>
  <si>
    <t xml:space="preserve">          VMware Cloud Foundation Management Domain Post-Deployment </t>
  </si>
  <si>
    <t>MGMT Workload Domain Networking</t>
  </si>
  <si>
    <t>Management Domain VLAN and IP Subnet Requirements (Primary Availability Zone)</t>
  </si>
  <si>
    <t>Function</t>
  </si>
  <si>
    <t xml:space="preserve"> VLAN ID</t>
  </si>
  <si>
    <t>Network Cidr</t>
  </si>
  <si>
    <t xml:space="preserve"> Gateway</t>
  </si>
  <si>
    <t>Your MTU</t>
  </si>
  <si>
    <t>ESXi Management Network</t>
  </si>
  <si>
    <t xml:space="preserve">NSX Edge Uplink1 </t>
  </si>
  <si>
    <t>NSX Edge Uplink2</t>
  </si>
  <si>
    <t>Management Domain BGP Requirements (Primary Availability Zone)</t>
  </si>
  <si>
    <t>Management Domain VLAN and IP Subnet Requirements (Secondary Availability Zone)</t>
  </si>
  <si>
    <t xml:space="preserve">vSphere Replication </t>
  </si>
  <si>
    <t>Management Domain BGP Requirements (Secondary Availability Zone)</t>
  </si>
  <si>
    <t>Management Domain ESX Hosts Names and IP Addresss (Primary Availability Zone)</t>
  </si>
  <si>
    <t xml:space="preserve">MGMT IP Address </t>
  </si>
  <si>
    <t>Management Domain Virtula Machines Names and IP Addresss (Primary Availability Zone)</t>
  </si>
  <si>
    <t xml:space="preserve">IP Address </t>
  </si>
  <si>
    <t>NSX Manager Cluster</t>
  </si>
  <si>
    <t>NSX Manager #1</t>
  </si>
  <si>
    <t>NSX Manager #2</t>
  </si>
  <si>
    <t>NSX Manager #3</t>
  </si>
  <si>
    <t>NSX Edge #1</t>
  </si>
  <si>
    <t>NSX Edge #2</t>
  </si>
  <si>
    <t>VCF Operation primary</t>
  </si>
  <si>
    <t>VCF Operations LB</t>
  </si>
  <si>
    <t>VCF Automation - Node IP 1</t>
  </si>
  <si>
    <t>VCF Automation - Node IP 2</t>
  </si>
  <si>
    <t>VCF Automation - Node IP 3</t>
  </si>
  <si>
    <t>VCF Automation - Node IP 4</t>
  </si>
  <si>
    <t>VIDB - FQDN</t>
  </si>
  <si>
    <t>VIDB - Node IP 1</t>
  </si>
  <si>
    <t>VIDB - Node IP 2</t>
  </si>
  <si>
    <t>VIDB - Node IP 3</t>
  </si>
  <si>
    <t>VIDB - Node IP 4</t>
  </si>
  <si>
    <t>Witness Node</t>
  </si>
  <si>
    <t>Management Domain Naming and IP Addresss (Secondary Availability Zone)</t>
  </si>
  <si>
    <t>Workload Domain Networking</t>
  </si>
  <si>
    <t>Workload Domain  VLAN and IP Subnet Requirements (Primary Availability Zone)</t>
  </si>
  <si>
    <t xml:space="preserve">Network </t>
  </si>
  <si>
    <t>Workload Domain BGP Requirements (Primary Availability Zone)</t>
  </si>
  <si>
    <t>Workload Domain VLAN and IP Subnet Requirements (Secondary Availability Zone)</t>
  </si>
  <si>
    <t>Workload Domain BGP Requirements (Secondary Availability Zone)</t>
  </si>
  <si>
    <t>Workload Domain Naming and IP Addresss (Primary Availability Zone)</t>
  </si>
  <si>
    <t>Workload  Domain Naming and IP Addresss (Secondary Availability Zone)</t>
  </si>
  <si>
    <t>History</t>
  </si>
  <si>
    <t>Date</t>
  </si>
  <si>
    <t xml:space="preserve">Details </t>
  </si>
  <si>
    <t>v1.9.0.007</t>
  </si>
  <si>
    <t>Feb-3-2026</t>
  </si>
  <si>
    <t>- Adding Additonal NSX Manager Sizing form factors to allow for Proof of Concept sizing 
- Updated the VCF Operations Unfied Cloud Proxy Appliance Sizes
- Added Support for LACP / VDS LAG in the Configure Managment Workload Domain 
- Added Support for LACP / VDS LAG in the Deploy Workload Domain 
- Added Support for LACP / VDS LAG in the Deploy Cluster 
- Added Storage Choice in Management Domain Sizing Tab</t>
  </si>
  <si>
    <t>v1.9.0.006</t>
  </si>
  <si>
    <t>Oct-1-2025</t>
  </si>
  <si>
    <t xml:space="preserve">- Corrected Issue with appliance type for VIDB on Deploy Fleet Management Day-N Tab
- Added Additonal notes to the Configure Management Domain Tab
- Fixed Stretched Cluster link at the top of the worksheet on Configure Management Domain 
- Corrected name of NSX Edge Cluster on Configure Management Domain
- Corrected Issue with Edge Gateway Type dropdown not appearing 
- Correct issue with Data node 1 of VCF Operations output name </t>
  </si>
  <si>
    <t>v1.9.0.005</t>
  </si>
  <si>
    <t>Aug-20-2025</t>
  </si>
  <si>
    <t>- Corrected formulae for workload domain az2 fqdns</t>
  </si>
  <si>
    <t>v1.9.0.004</t>
  </si>
  <si>
    <t>- Fixed locked cells on 'Configure Management Domain' and 'Deploy Fleet Management Day-N' tabs</t>
  </si>
  <si>
    <t>v1.9.0.003</t>
  </si>
  <si>
    <t>Aug-04-2025</t>
  </si>
  <si>
    <t xml:space="preserve">- Adding Sizing optionality for Security Services Platform
- Fixed vMotion MTU value showing as CIDR address in the VCF MGMT Domain FQDN and IP Addresses Table
- Corrected conditional formatting when creating a new Workload Domain with a new VCF Network Pools
- Added Input for Storage Cluster name when adding a compute cluster </t>
  </si>
  <si>
    <t>v1.9.0.002</t>
  </si>
  <si>
    <t>June-31-2025</t>
  </si>
  <si>
    <t>- Corrected conditional formatting in the Sizing Section
- Corrected formula in Management Domain Sizing that was returning an error for some users
- Removed sizing optionality for VMware Live Recovery Appliance
- Resolved locked cells in the Deploy Workload Domain Tab
- Resolved Minor text edits throughout the document</t>
  </si>
  <si>
    <t>v1.9.0.001</t>
  </si>
  <si>
    <t>June-17-2025</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</si>
  <si>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</si>
  <si>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</si>
  <si>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</si>
  <si>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 xml:space="preserve">          Private AI Ready Infrastructure Validated Solution</t>
  </si>
  <si>
    <t>This page contains all user required values used during the deployment of the Private AI Ready Infrastruture Validated Solution. Each table and value maps directly to a process in the deployment guidance documentation.</t>
  </si>
  <si>
    <t>Private AI Ready Infrastructure Inputs</t>
  </si>
  <si>
    <t>xxxxx-xxxxx-xxxxx-xxxxx-xxxxx</t>
  </si>
  <si>
    <t>Kubernetes</t>
  </si>
  <si>
    <t>Kubernetes Cluster Name</t>
  </si>
  <si>
    <t>Developer Ready Infrastructure Inputs</t>
  </si>
  <si>
    <t>NSX Kubernetes Management Virtual Network Segment Name</t>
  </si>
  <si>
    <t>vsphere-with-tanzu-category</t>
  </si>
  <si>
    <t>vsphere-with-tanzu-tag</t>
  </si>
  <si>
    <t>Path to kubectl</t>
  </si>
  <si>
    <t>c:\kube\bin\</t>
  </si>
  <si>
    <t>Initial Virtual Machine Class for Tanzu Kubernetes Cluster</t>
  </si>
  <si>
    <t>guaranteed-small</t>
  </si>
  <si>
    <t>Enable vSphere vMotion for vGPU-Enabled Virtual Machines for Private AI Ready Infrastructure for VMware Cloud Foundation</t>
  </si>
  <si>
    <t>Install the Vendor GPU Driver on the ESXi Hosts for Private AI Ready Infrastructure for VMware Cloud Foundation</t>
  </si>
  <si>
    <t>&lt;sddc_manager_fqdn&gt;</t>
  </si>
  <si>
    <t>Create a Namespace for the Tanzu Kubernetes Grid Cluster for Private AI Ready Infrastructure for VMware Cloud Foundation</t>
  </si>
  <si>
    <t>vsphere-with-tanzu-storage-policy</t>
  </si>
  <si>
    <t>Assign the New Tanzu Cluster Namespace Roles to Active Directory Groups for VMware Cloud Foundation</t>
  </si>
  <si>
    <t>Namespace</t>
  </si>
  <si>
    <r>
      <rPr>
        <rFont val="Arial"/>
        <b/>
        <color theme="1"/>
        <sz val="12.0"/>
      </rPr>
      <t xml:space="preserve">Group </t>
    </r>
    <r>
      <rPr>
        <rFont val="Arial"/>
        <b val="0"/>
        <i/>
        <color theme="1"/>
        <sz val="12.0"/>
      </rPr>
      <t>(Edit Role)</t>
    </r>
  </si>
  <si>
    <r>
      <rPr>
        <rFont val="Arial"/>
        <b/>
        <color theme="1"/>
        <sz val="12.0"/>
      </rPr>
      <t>Group</t>
    </r>
    <r>
      <rPr>
        <rFont val="Arial"/>
        <b val="0"/>
        <i/>
        <color theme="1"/>
        <sz val="12.0"/>
      </rPr>
      <t xml:space="preserve"> (View Role)</t>
    </r>
  </si>
  <si>
    <t>Add GPU-Enabled VM Classes for the Tanzu Kubernetes Grid Cluster for Private AI Ready Infrastructure for VMware Cloud Foundation</t>
  </si>
  <si>
    <t>vgpu-a100-16vcpu-128gb</t>
  </si>
  <si>
    <t>GPU VM Class CPU Reservation</t>
  </si>
  <si>
    <t>GPU VM Class Mem Reservation</t>
  </si>
  <si>
    <t>Provision a Tanzu Kubernetes Grid Cluster for Private AI Ready Infrastructure for VMware Cloud Foundation</t>
  </si>
  <si>
    <t>Server</t>
  </si>
  <si>
    <t>namespace</t>
  </si>
  <si>
    <t>storageClass</t>
  </si>
  <si>
    <t>class</t>
  </si>
  <si>
    <t>cidrBlock (services)</t>
  </si>
  <si>
    <t>198.51.100.0/12</t>
  </si>
  <si>
    <t>cidrBlock (pods)</t>
  </si>
  <si>
    <t>192.0.2.0/16</t>
  </si>
  <si>
    <t>Install the NVIDIA GPU Operator for Private AI Ready Infrastructure for VMware Cloud Foundation</t>
  </si>
  <si>
    <t>gpu-operator</t>
  </si>
  <si>
    <t>Install the NVIDIA Network Operator for Private AI Ready Infrastructure for VMware Cloud Foundation</t>
  </si>
  <si>
    <t>GPU Operator Network Namespace</t>
  </si>
  <si>
    <t>nvidia-network-operator</t>
  </si>
  <si>
    <t>Create AI Self-Service Catalog Items in VMware Aria Automation for Private AI Ready Infrastructure for VMware Cloud Foundation</t>
  </si>
  <si>
    <t>&lt;aria_suite_lifecycle_fqdn&gt;</t>
  </si>
  <si>
    <t>Deploy VMware Data Services Manager for Private AI Ready Infrastructure for VMware Cloud Foundation</t>
  </si>
  <si>
    <t>Create a Content Library with Deep Learning VM Images for Private AI Ready Infrastructure for VMware Cloud Foundation</t>
  </si>
  <si>
    <t>Content Library Name</t>
  </si>
  <si>
    <t>vSAN Datastore</t>
  </si>
  <si>
    <t>Deploy a Deep Learning VM from the VMware Aria Automation Self-Service Catalog for Private AI Ready Infrastructure for VMware Cloud Foundation</t>
  </si>
  <si>
    <t>Provision a Tanzu Kubernetes Grid Cluster from the VMware Aria Automation Self-Service Catalog for Private AI Ready Infrastructure for VMware Cloud Foundation</t>
  </si>
  <si>
    <t>Create a Vector Database Catalog Item in VMware Aria Automation for RAG Workloads for Private AI Ready Infrastructure for VMware Cloud Foundation</t>
  </si>
  <si>
    <t>Deploy a Vector Database by Using a Self-Service Catalog Item in VMware Aria Automation for RAG Workloads for Private AI Ready Infrastructure for VMware Cloud Foundation</t>
  </si>
  <si>
    <t xml:space="preserve">        Cloud-Based Ransomware Recovery Validated Solution</t>
  </si>
  <si>
    <t>This page contains all user required values used during the deployment of the Cloud-Based Ransomware Recovery Validated Solution. Each table and value maps directly to a process in the deployment guidance documentation.</t>
  </si>
  <si>
    <t>Section Navigation (Click to Navigate)</t>
  </si>
  <si>
    <t>Cloud-Based Ramsomware Recovery</t>
  </si>
  <si>
    <t>DRaaS Connector Appliance</t>
  </si>
  <si>
    <t>Chid</t>
  </si>
  <si>
    <t>Cloud-Based Ransomware Recovery</t>
  </si>
  <si>
    <r>
      <rPr>
        <rFont val="Arial"/>
        <b/>
        <color theme="1"/>
        <sz val="12.0"/>
      </rPr>
      <t xml:space="preserve">vSphere Custom Role name </t>
    </r>
    <r>
      <rPr>
        <rFont val="Arial"/>
        <b val="0"/>
        <i/>
        <color theme="1"/>
        <sz val="12.0"/>
      </rPr>
      <t>(VMware Cloud Disaster Recovery to vSphere)</t>
    </r>
  </si>
  <si>
    <t>VMware Live Cyber Recovery to vSphere Integration</t>
  </si>
  <si>
    <t>svc-vlcr-vsphere</t>
  </si>
  <si>
    <r>
      <rPr>
        <rFont val="Arial"/>
        <b/>
        <color theme="1"/>
        <sz val="12.0"/>
      </rPr>
      <t xml:space="preserve">VM Folder </t>
    </r>
    <r>
      <rPr>
        <rFont val="Arial"/>
        <b val="0"/>
        <i/>
        <color theme="1"/>
        <sz val="12.0"/>
      </rPr>
      <t>(DRaaS Connectors)</t>
    </r>
  </si>
  <si>
    <t>aws-recovery-sddc</t>
  </si>
  <si>
    <t>I4i (Local SSD)</t>
  </si>
  <si>
    <t>&lt;generated&gt;</t>
  </si>
  <si>
    <t>10.2.0.0/16</t>
  </si>
  <si>
    <r>
      <rPr>
        <rFont val="Arial"/>
        <b/>
        <color theme="1"/>
        <sz val="12.0"/>
      </rPr>
      <t xml:space="preserve">Firewall Rule Name </t>
    </r>
    <r>
      <rPr>
        <rFont val="Arial"/>
        <b val="0"/>
        <i/>
        <color theme="1"/>
        <sz val="12.0"/>
      </rPr>
      <t>(vCenter Server Inbound)</t>
    </r>
  </si>
  <si>
    <t>vCenter Inbound Rule</t>
  </si>
  <si>
    <r>
      <rPr>
        <rFont val="Arial"/>
        <b/>
        <color theme="1"/>
        <sz val="12.0"/>
      </rPr>
      <t xml:space="preserve">User Defined Group </t>
    </r>
    <r>
      <rPr>
        <rFont val="Arial"/>
        <b val="0"/>
        <i/>
        <color theme="1"/>
        <sz val="12.0"/>
      </rPr>
      <t>(Firewall Access)</t>
    </r>
  </si>
  <si>
    <t>External-Access</t>
  </si>
  <si>
    <r>
      <rPr>
        <rFont val="Arial"/>
        <b/>
        <color theme="1"/>
        <sz val="12.0"/>
      </rPr>
      <t xml:space="preserve">IP Address(es) </t>
    </r>
    <r>
      <rPr>
        <rFont val="Arial"/>
        <b val="0"/>
        <i/>
        <color theme="1"/>
        <sz val="12.0"/>
      </rPr>
      <t>(Firewall Access)</t>
    </r>
  </si>
  <si>
    <t>69.34.34.11</t>
  </si>
  <si>
    <r>
      <rPr>
        <rFont val="Arial"/>
        <b/>
        <color theme="1"/>
        <sz val="12.0"/>
      </rPr>
      <t>Cloud File System</t>
    </r>
    <r>
      <rPr>
        <rFont val="Arial"/>
        <b val="0"/>
        <i/>
        <color theme="1"/>
        <sz val="12.0"/>
      </rPr>
      <t xml:space="preserve"> (VMware Cloud Disaster Recovery)</t>
    </r>
  </si>
  <si>
    <t>usw2-az2-cfs01</t>
  </si>
  <si>
    <r>
      <rPr>
        <rFont val="Arial"/>
        <b/>
        <color theme="1"/>
        <sz val="12.0"/>
      </rPr>
      <t xml:space="preserve">On-Premises Site Name </t>
    </r>
    <r>
      <rPr>
        <rFont val="Arial"/>
        <b val="0"/>
        <i/>
        <color theme="1"/>
        <sz val="12.0"/>
      </rPr>
      <t>(VMware Cloud Disaster Recovery)</t>
    </r>
  </si>
  <si>
    <r>
      <rPr>
        <rFont val="Arial"/>
        <b/>
        <color theme="1"/>
        <sz val="12.0"/>
      </rPr>
      <t xml:space="preserve">Timezone </t>
    </r>
    <r>
      <rPr>
        <rFont val="Arial"/>
        <b val="0"/>
        <i/>
        <color theme="1"/>
        <sz val="12.0"/>
      </rPr>
      <t>(VMware Cloud Disaster Recovery)</t>
    </r>
  </si>
  <si>
    <t>UTC</t>
  </si>
  <si>
    <t>https://vcdr-34-212-247-60.app.vcdr.vmware.com:443/vmware-cloud-connector.ova</t>
  </si>
  <si>
    <t>vcdr-34-212-247-60.app.vcdr.vmware.com</t>
  </si>
  <si>
    <r>
      <rPr>
        <rFont val="Arial"/>
        <b/>
        <color theme="1"/>
        <sz val="12.0"/>
      </rPr>
      <t xml:space="preserve">Anti-Affinity Rule </t>
    </r>
    <r>
      <rPr>
        <rFont val="Arial"/>
        <b val="0"/>
        <i/>
        <color theme="1"/>
        <sz val="12.0"/>
      </rPr>
      <t>(VMware Cloud Disaster Recovery)</t>
    </r>
  </si>
  <si>
    <t>cloudadmins@rainpole.io</t>
  </si>
  <si>
    <t>Create Virtual Machine and Template Folder for the VMware Live Cyber Recovery Connector Appliances for Cloud-Based Ransomware Recovery for VMware Cloud Foundation</t>
  </si>
  <si>
    <r>
      <rPr>
        <rFont val="Arial"/>
        <b/>
        <color rgb="FF000000"/>
        <sz val="12.0"/>
      </rPr>
      <t xml:space="preserve">Folder Name </t>
    </r>
    <r>
      <rPr>
        <rFont val="Arial"/>
        <b val="0"/>
        <i/>
        <color rgb="FF000000"/>
        <sz val="12.0"/>
      </rPr>
      <t>(Cyber Recovery Connectors)</t>
    </r>
  </si>
  <si>
    <t>Deploy the Recovery SDDC for Cloud-Based Ransomware Recovery for VMware Cloud Foundation</t>
  </si>
  <si>
    <t>&lt;csp_console_fqdn&gt;</t>
  </si>
  <si>
    <t>console.cloud.vmware.com</t>
  </si>
  <si>
    <t>SDDC Name</t>
  </si>
  <si>
    <t>Configure vCenter Server Access to the Recovery SDDC for Cloud-Based Ransomware Recovery for VMware Cloud Foundation</t>
  </si>
  <si>
    <r>
      <rPr>
        <rFont val="Arial"/>
        <b/>
        <color theme="1"/>
        <sz val="12.0"/>
      </rPr>
      <t xml:space="preserve">Name </t>
    </r>
    <r>
      <rPr>
        <rFont val="Arial"/>
        <b val="0"/>
        <i/>
        <color theme="1"/>
        <sz val="12.0"/>
      </rPr>
      <t>(Rule Name)</t>
    </r>
  </si>
  <si>
    <r>
      <rPr>
        <rFont val="Arial"/>
        <b/>
        <color theme="1"/>
        <sz val="12.0"/>
      </rPr>
      <t xml:space="preserve">Sources </t>
    </r>
    <r>
      <rPr>
        <rFont val="Arial"/>
        <b val="0"/>
        <i/>
        <color theme="1"/>
        <sz val="12.0"/>
      </rPr>
      <t>(User Defined Group)</t>
    </r>
  </si>
  <si>
    <t>Destinations</t>
  </si>
  <si>
    <t>Service</t>
  </si>
  <si>
    <t>HTTPS (TCP 443)</t>
  </si>
  <si>
    <t>SSO (TCP 7444)</t>
  </si>
  <si>
    <t>IP Address(es)</t>
  </si>
  <si>
    <t>Activate a VMware Cloud Disaster Recovery Region for Cloud-Based Ransomware Recovery for VMware Cloud Foundation</t>
  </si>
  <si>
    <t>Deploy a Cloud File System for Cloud-Based Ransomware Recovery for VMware Cloud Foundation</t>
  </si>
  <si>
    <t xml:space="preserve">Recovery SDDC														</t>
  </si>
  <si>
    <t>Cloud file system name</t>
  </si>
  <si>
    <t>Create a Protected Site for Cloud-Based Ransomware Recovery for VMware Cloud Foundation</t>
  </si>
  <si>
    <t>Cloud Backup</t>
  </si>
  <si>
    <t>Timezone</t>
  </si>
  <si>
    <t>On-Premises Site Name</t>
  </si>
  <si>
    <t>Deploy the VMware Live Cyber Recovery Connector Appliances for Cloud-Based Ransomware Recovery for VMware Cloud Foundation</t>
  </si>
  <si>
    <t>Protected Site</t>
  </si>
  <si>
    <t>Cyber Recovery Connector OVA Link</t>
  </si>
  <si>
    <t>vSAN datastore</t>
  </si>
  <si>
    <t>Console User</t>
  </si>
  <si>
    <t>Network IP Address Allocation</t>
  </si>
  <si>
    <t>Subnet mask</t>
  </si>
  <si>
    <t>Create and Configure a Custom Role in vSphere for Cloud-Based Ransomware Recovery for VMware Cloud Foundation</t>
  </si>
  <si>
    <t>vCenter Server IP Address</t>
  </si>
  <si>
    <t>--admin-username</t>
  </si>
  <si>
    <t>--admin-password</t>
  </si>
  <si>
    <t>--new-username</t>
  </si>
  <si>
    <t>--new-password</t>
  </si>
  <si>
    <t>--vcenter-role</t>
  </si>
  <si>
    <t>Configure a vSphere DRS Anti-Affinity Rule for the VMware Live Cyber Recovery Connector Appliances for Cloud-Based Ransomware Recovery for VMware Cloud Foundation</t>
  </si>
  <si>
    <r>
      <rPr>
        <rFont val="Arial"/>
        <b/>
        <color theme="1"/>
        <sz val="12.0"/>
      </rPr>
      <t xml:space="preserve">Member </t>
    </r>
    <r>
      <rPr>
        <rFont val="Arial"/>
        <b val="0"/>
        <i/>
        <color theme="1"/>
        <sz val="12.0"/>
      </rPr>
      <t>(Cyber Recovery Connector Node 1)</t>
    </r>
  </si>
  <si>
    <r>
      <rPr>
        <rFont val="Arial"/>
        <b/>
        <color theme="1"/>
        <sz val="12.0"/>
      </rPr>
      <t xml:space="preserve">Member </t>
    </r>
    <r>
      <rPr>
        <rFont val="Arial"/>
        <b val="0"/>
        <i/>
        <color theme="1"/>
        <sz val="12.0"/>
      </rPr>
      <t>(Cyber Recovery Connector Node 2)</t>
    </r>
  </si>
  <si>
    <t>Add the Connector Appliances to the First Availability Zone VM Group for Cloud-Based Ransomware Recovery for VMware Cloud Foundation</t>
  </si>
  <si>
    <r>
      <rPr>
        <rFont val="Arial"/>
        <b/>
        <color theme="1"/>
        <sz val="12.0"/>
      </rPr>
      <t xml:space="preserve">Member </t>
    </r>
    <r>
      <rPr>
        <rFont val="Arial"/>
        <b val="0"/>
        <i/>
        <color theme="1"/>
        <sz val="12.0"/>
      </rPr>
      <t>(Cyber Recovery Connector Node 1)</t>
    </r>
  </si>
  <si>
    <r>
      <rPr>
        <rFont val="Arial"/>
        <b/>
        <color theme="1"/>
        <sz val="12.0"/>
      </rPr>
      <t xml:space="preserve">Member </t>
    </r>
    <r>
      <rPr>
        <rFont val="Arial"/>
        <b val="0"/>
        <i/>
        <color theme="1"/>
        <sz val="12.0"/>
      </rPr>
      <t>(Cyber Recovery Connector Node 2)</t>
    </r>
  </si>
  <si>
    <t>Register a VI Workload Domain vCenter Server for Cloud-Based Ransomware Recovery for VMware Cloud Foundation</t>
  </si>
  <si>
    <t>vCenter Server IP address</t>
  </si>
  <si>
    <t>vCenter user name</t>
  </si>
  <si>
    <t>Add a Recovery SDDC for Cloud-Based Ransomware Recovery for VMware Cloud Foundation</t>
  </si>
  <si>
    <t>Configure Email Alerts for Cloud-Based Ransomware Recovery for VMware Cloud Foundation</t>
  </si>
  <si>
    <t>Sender name</t>
  </si>
  <si>
    <t>no-reply-vlcr</t>
  </si>
  <si>
    <t>Integration with Intelligent Operations Management for VMware Cloud Foundation</t>
  </si>
  <si>
    <t>Configure a Ping Adapter for the Connector Appliances in the on-premises VMware Aria Operations for Cloud-Based Ransomware Recovery for VMware Cloud Foundation</t>
  </si>
  <si>
    <t>Unique Name</t>
  </si>
  <si>
    <t xml:space="preserve">Address list </t>
  </si>
  <si>
    <t>Collector Group</t>
  </si>
  <si>
    <t xml:space="preserve">          Cross Cloud Mobility Validated Solution</t>
  </si>
  <si>
    <t>This page contains all user required values used during the deployment of the Cross Cloud Mobility Validated Solution. Each table and value maps directly to a process in the deployment guidance documentation.</t>
  </si>
  <si>
    <t>Cross Cloud Mobility</t>
  </si>
  <si>
    <t>HCX Appliance</t>
  </si>
  <si>
    <t>HCX Network Profiles</t>
  </si>
  <si>
    <t>Reference IP Range</t>
  </si>
  <si>
    <t>Your IP Range</t>
  </si>
  <si>
    <r>
      <rPr>
        <rFont val="Arial"/>
        <b/>
        <color theme="1"/>
        <sz val="12.0"/>
      </rPr>
      <t xml:space="preserve">vSphere Custom Role Role name </t>
    </r>
    <r>
      <rPr>
        <rFont val="Arial"/>
        <b val="0"/>
        <i/>
        <color theme="1"/>
        <sz val="12.0"/>
      </rPr>
      <t>(VMware HCX to vSphere)</t>
    </r>
  </si>
  <si>
    <t>VMware HCX to vSphere Integration</t>
  </si>
  <si>
    <r>
      <rPr>
        <rFont val="Arial"/>
        <b/>
        <color theme="1"/>
        <sz val="12.0"/>
      </rPr>
      <t>VM Folder (</t>
    </r>
    <r>
      <rPr>
        <rFont val="Arial"/>
        <b val="0"/>
        <i/>
        <color theme="1"/>
        <sz val="12.0"/>
      </rPr>
      <t>HCX Connector)</t>
    </r>
  </si>
  <si>
    <r>
      <rPr>
        <rFont val="Arial"/>
        <b/>
        <color theme="1"/>
        <sz val="12.0"/>
      </rPr>
      <t xml:space="preserve">VM Folder </t>
    </r>
    <r>
      <rPr>
        <rFont val="Arial"/>
        <b val="0"/>
        <i/>
        <color theme="1"/>
        <sz val="12.0"/>
      </rPr>
      <t>(HCX Appliances)</t>
    </r>
  </si>
  <si>
    <r>
      <rPr>
        <rFont val="Arial"/>
        <b/>
        <color theme="1"/>
        <sz val="12.0"/>
      </rPr>
      <t xml:space="preserve">Resource Pool </t>
    </r>
    <r>
      <rPr>
        <rFont val="Arial"/>
        <b val="0"/>
        <i/>
        <color theme="1"/>
        <sz val="12.0"/>
      </rPr>
      <t>(HCX Appliances)</t>
    </r>
  </si>
  <si>
    <t>mobility-sddc</t>
  </si>
  <si>
    <t>I3 (Local SSD)</t>
  </si>
  <si>
    <r>
      <rPr>
        <rFont val="Arial"/>
        <b/>
        <color theme="1"/>
        <sz val="12.0"/>
      </rPr>
      <t xml:space="preserve">Firewall Rule Name </t>
    </r>
    <r>
      <rPr>
        <rFont val="Arial"/>
        <b val="0"/>
        <i/>
        <color theme="1"/>
        <sz val="12.0"/>
      </rPr>
      <t>(vCenter Server Inbound)</t>
    </r>
  </si>
  <si>
    <r>
      <rPr>
        <rFont val="Arial"/>
        <b/>
        <color theme="1"/>
        <sz val="12.0"/>
      </rPr>
      <t xml:space="preserve">Firewall Rule Name </t>
    </r>
    <r>
      <rPr>
        <rFont val="Arial"/>
        <b val="0"/>
        <i/>
        <color theme="1"/>
        <sz val="12.0"/>
      </rPr>
      <t>(HCX Inbound)</t>
    </r>
  </si>
  <si>
    <t>HCX Inbound Rule</t>
  </si>
  <si>
    <r>
      <rPr>
        <rFont val="Arial"/>
        <b/>
        <color theme="1"/>
        <sz val="12.0"/>
      </rPr>
      <t xml:space="preserve">User Defined Group </t>
    </r>
    <r>
      <rPr>
        <rFont val="Arial"/>
        <b val="0"/>
        <i/>
        <color theme="1"/>
        <sz val="12.0"/>
      </rPr>
      <t>(Firewall Access)</t>
    </r>
  </si>
  <si>
    <r>
      <rPr>
        <rFont val="Arial"/>
        <b/>
        <color theme="1"/>
        <sz val="12.0"/>
      </rPr>
      <t xml:space="preserve">IP Address(es) </t>
    </r>
    <r>
      <rPr>
        <rFont val="Arial"/>
        <b val="0"/>
        <i/>
        <color theme="1"/>
        <sz val="12.0"/>
      </rPr>
      <t>(Firewall Access)</t>
    </r>
  </si>
  <si>
    <t>San Francisco, United States of America</t>
  </si>
  <si>
    <r>
      <rPr>
        <rFont val="Arial"/>
        <b/>
        <color theme="1"/>
        <sz val="12.0"/>
      </rPr>
      <t xml:space="preserve">CLI Admin Password </t>
    </r>
    <r>
      <rPr>
        <rFont val="Arial"/>
        <b val="0"/>
        <i/>
        <color theme="1"/>
        <sz val="12.0"/>
      </rPr>
      <t>(HCX Connector)</t>
    </r>
  </si>
  <si>
    <r>
      <rPr>
        <rFont val="Arial"/>
        <b/>
        <color theme="1"/>
        <sz val="12.0"/>
      </rPr>
      <t xml:space="preserve">Root Password </t>
    </r>
    <r>
      <rPr>
        <rFont val="Arial"/>
        <b val="0"/>
        <i/>
        <color theme="1"/>
        <sz val="12.0"/>
      </rPr>
      <t>(HCX Connector)</t>
    </r>
  </si>
  <si>
    <t>https://hcx.sddc-44-231-98-23.vmwarevmc.com/</t>
  </si>
  <si>
    <r>
      <rPr>
        <rFont val="Arial"/>
        <b/>
        <color theme="1"/>
        <sz val="12.0"/>
      </rPr>
      <t xml:space="preserve">Username </t>
    </r>
    <r>
      <rPr>
        <rFont val="Arial"/>
        <b val="0"/>
        <i/>
        <color theme="1"/>
        <sz val="12.0"/>
      </rPr>
      <t>(VMC on AWS Administrator)</t>
    </r>
  </si>
  <si>
    <t>cloudadmin@vmc.local</t>
  </si>
  <si>
    <r>
      <rPr>
        <rFont val="Arial"/>
        <b/>
        <color theme="1"/>
        <sz val="12.0"/>
      </rPr>
      <t xml:space="preserve">Password </t>
    </r>
    <r>
      <rPr>
        <rFont val="Arial"/>
        <b val="0"/>
        <i/>
        <color theme="1"/>
        <sz val="12.0"/>
      </rPr>
      <t>(VMC on AWS Administrator)</t>
    </r>
  </si>
  <si>
    <t>TBvAZf-Aj*1ap6T</t>
  </si>
  <si>
    <t>Define Custom Roles in vSphere for Cross Cloud Mobility for VMware Cloud Foundation</t>
  </si>
  <si>
    <r>
      <rPr>
        <rFont val="Arial"/>
        <b/>
        <color theme="1"/>
        <sz val="12.0"/>
      </rPr>
      <t xml:space="preserve">Role name </t>
    </r>
    <r>
      <rPr>
        <rFont val="Arial"/>
        <b val="0"/>
        <i/>
        <color theme="1"/>
        <sz val="12.0"/>
      </rPr>
      <t>(VMware HCX to vSphere)</t>
    </r>
  </si>
  <si>
    <t>Configure Service Account Permissions for vSphere Integration for Cross Cloud Mobility for VMware Cloud Foundation</t>
  </si>
  <si>
    <r>
      <rPr>
        <rFont val="Arial"/>
        <b/>
        <color theme="1"/>
        <sz val="12.0"/>
      </rPr>
      <t xml:space="preserve">Domain </t>
    </r>
    <r>
      <rPr>
        <rFont val="Arial"/>
        <b val="0"/>
        <i/>
        <color theme="1"/>
        <sz val="12.0"/>
      </rPr>
      <t>(VMware HCX Service Account)</t>
    </r>
  </si>
  <si>
    <r>
      <rPr>
        <rFont val="Arial"/>
        <b/>
        <color theme="1"/>
        <sz val="12.0"/>
      </rPr>
      <t xml:space="preserve">User / Group </t>
    </r>
    <r>
      <rPr>
        <rFont val="Arial"/>
        <b val="0"/>
        <i/>
        <color theme="1"/>
        <sz val="12.0"/>
      </rPr>
      <t>(VMware HCX Service Account)</t>
    </r>
  </si>
  <si>
    <r>
      <rPr>
        <rFont val="Arial"/>
        <b/>
        <color theme="1"/>
        <sz val="12.0"/>
      </rPr>
      <t xml:space="preserve">Role </t>
    </r>
    <r>
      <rPr>
        <rFont val="Arial"/>
        <b val="0"/>
        <i/>
        <color theme="1"/>
        <sz val="12.0"/>
      </rPr>
      <t>(VMware HCX Service Account)</t>
    </r>
  </si>
  <si>
    <t>Create a Virtual Machine and Template Folder for the HCX Appliance for Cross Cloud Mobility for VMware Cloud Foundation</t>
  </si>
  <si>
    <r>
      <rPr>
        <rFont val="Arial"/>
        <b/>
        <color rgb="FF000000"/>
        <sz val="12.0"/>
      </rPr>
      <t xml:space="preserve">Folder Name </t>
    </r>
    <r>
      <rPr>
        <rFont val="Arial"/>
        <b val="0"/>
        <i/>
        <color rgb="FF000000"/>
        <sz val="12.0"/>
      </rPr>
      <t>(HCX Connector)</t>
    </r>
  </si>
  <si>
    <t>Create a Virtual Machine and Template Folder and a Resource Pool for the HCX Appliances for Cross Cloud Mobility for VMware Cloud Foundation</t>
  </si>
  <si>
    <t>&lt;vi_workload_domain_vcenter_server_fqdn&gt;</t>
  </si>
  <si>
    <r>
      <rPr>
        <rFont val="Arial"/>
        <b/>
        <color theme="1"/>
        <sz val="12.0"/>
      </rPr>
      <t xml:space="preserve">Folder Name </t>
    </r>
    <r>
      <rPr>
        <rFont val="Arial"/>
        <b val="0"/>
        <i/>
        <color theme="1"/>
        <sz val="12.0"/>
      </rPr>
      <t>(HCX Appliances)</t>
    </r>
  </si>
  <si>
    <r>
      <rPr>
        <rFont val="Arial"/>
        <b/>
        <color theme="1"/>
        <sz val="12.0"/>
      </rPr>
      <t xml:space="preserve">Resource Pool </t>
    </r>
    <r>
      <rPr>
        <rFont val="Arial"/>
        <b val="0"/>
        <i/>
        <color theme="1"/>
        <sz val="12.0"/>
      </rPr>
      <t>(HCX Appliances)</t>
    </r>
  </si>
  <si>
    <t>Configure Service Account Permissions for NSX Integration for Cross Cloud Mobility for VMware Cloud Foundation</t>
  </si>
  <si>
    <t>&lt;vi_workload_domain_nsx_manager_fqdn&gt;</t>
  </si>
  <si>
    <t>Deploy the Mobility SDDC for Cross Cloud Mobility for VMware Cloud Foundation</t>
  </si>
  <si>
    <t>Configure vCenter Server Access to the Mobililty SDDC for Cross Cloud Mobility for VMware Cloud Foundation</t>
  </si>
  <si>
    <r>
      <rPr>
        <rFont val="Arial"/>
        <b/>
        <color theme="1"/>
        <sz val="12.0"/>
      </rPr>
      <t xml:space="preserve">Name </t>
    </r>
    <r>
      <rPr>
        <rFont val="Arial"/>
        <b val="0"/>
        <i/>
        <color theme="1"/>
        <sz val="12.0"/>
      </rPr>
      <t>(Rule Name)</t>
    </r>
  </si>
  <si>
    <r>
      <rPr>
        <rFont val="Arial"/>
        <b/>
        <color theme="1"/>
        <sz val="12.0"/>
      </rPr>
      <t xml:space="preserve">Sources </t>
    </r>
    <r>
      <rPr>
        <rFont val="Arial"/>
        <b val="0"/>
        <i/>
        <color theme="1"/>
        <sz val="12.0"/>
      </rPr>
      <t>(User Defined Group)</t>
    </r>
  </si>
  <si>
    <t>Deploy VMware HCX to the Mobility SDDC for Cross Cloud Mobility for VMware Cloud Foundation</t>
  </si>
  <si>
    <t>Deploy the HCX Connector Appliance for Cross Cloud Mobility for VMware Cloud Foundation</t>
  </si>
  <si>
    <t>Deploy HCX Connector</t>
  </si>
  <si>
    <t>Connector Folder</t>
  </si>
  <si>
    <t>CLI "admin" User Password</t>
  </si>
  <si>
    <t>root Password</t>
  </si>
  <si>
    <t>Network 1 IPv4 Address</t>
  </si>
  <si>
    <t>Network 1 IPv4 Prefix Length</t>
  </si>
  <si>
    <t>DNS Server list</t>
  </si>
  <si>
    <t>Domain Search List</t>
  </si>
  <si>
    <t>NTP Server List</t>
  </si>
  <si>
    <t xml:space="preserve">Configure HCX Connector			</t>
  </si>
  <si>
    <t>Location of your datacenter (nearest city)</t>
  </si>
  <si>
    <t>System name</t>
  </si>
  <si>
    <t>Identity Sources</t>
  </si>
  <si>
    <t>Replace the Certificate of the HCX Connector Appliance for Cross Cloud Mobility for VMware Cloud Foundation</t>
  </si>
  <si>
    <t>&lt;hcx_connector_fqdn&gt;</t>
  </si>
  <si>
    <t>Add the HCX Connector Appliance to the First Availability Zone VM Group for Cross Cloud Mobility for VMware Cloud Foundation</t>
  </si>
  <si>
    <t>Member</t>
  </si>
  <si>
    <t>Configure VMware HCX Access to the Mobility SDDC for Cross Cloud Mobility for VMware Cloud Foundation</t>
  </si>
  <si>
    <r>
      <rPr>
        <rFont val="Arial"/>
        <b/>
        <color theme="1"/>
        <sz val="12.0"/>
      </rPr>
      <t xml:space="preserve">Name </t>
    </r>
    <r>
      <rPr>
        <rFont val="Arial"/>
        <b val="0"/>
        <i/>
        <color theme="1"/>
        <sz val="12.0"/>
      </rPr>
      <t>(Rule Name)</t>
    </r>
  </si>
  <si>
    <r>
      <rPr>
        <rFont val="Arial"/>
        <b/>
        <color theme="1"/>
        <sz val="12.0"/>
      </rPr>
      <t xml:space="preserve">Sources </t>
    </r>
    <r>
      <rPr>
        <rFont val="Arial"/>
        <b val="0"/>
        <i/>
        <color theme="1"/>
        <sz val="12.0"/>
      </rPr>
      <t>(User Defined Group)</t>
    </r>
  </si>
  <si>
    <t>HCX</t>
  </si>
  <si>
    <t>Appliance Management (TCP 9443)</t>
  </si>
  <si>
    <t>Pair On-Premises vSphere Environment with HCX Cloud for Cross Cloud Mobility for VMware Cloud Foundation</t>
  </si>
  <si>
    <t>Create Network Profiles in HCX for Cross Cloud Mobility for VMware Cloud Foundation</t>
  </si>
  <si>
    <t>Management Network Profile</t>
  </si>
  <si>
    <t>IP Ranges</t>
  </si>
  <si>
    <t>Prefix Length</t>
  </si>
  <si>
    <t>Primary DNS</t>
  </si>
  <si>
    <t>Secondary DNS</t>
  </si>
  <si>
    <t>DNS Suffix</t>
  </si>
  <si>
    <t>vMotion Network Profile</t>
  </si>
  <si>
    <t>Create a Compute Profile in HCX for Cross Cloud Mobility for VMware Cloud Foundation</t>
  </si>
  <si>
    <t>Name your Compute Profile</t>
  </si>
  <si>
    <t>Select Resource(s)</t>
  </si>
  <si>
    <t>Select Resource</t>
  </si>
  <si>
    <t>Select Management Network Profile</t>
  </si>
  <si>
    <t xml:space="preserve">Select Uplink Network Profile </t>
  </si>
  <si>
    <t>Select vMotion Network Profile</t>
  </si>
  <si>
    <t>Select vSphere Replication Network Profile</t>
  </si>
  <si>
    <t>Select Network Containers</t>
  </si>
  <si>
    <t>Create a Service Mesh in HCX for Cross Cloud Mobility for VMware Cloud Foundation</t>
  </si>
  <si>
    <t>Select Source Compute Profile</t>
  </si>
  <si>
    <t>Select Remote Compute Profile</t>
  </si>
  <si>
    <t>ComputeProfile(vcenter)</t>
  </si>
  <si>
    <t>Name for this Service Mesh</t>
  </si>
  <si>
    <t>Configure a Ping Adapter for the HCX Connector Appliance in the on-premises VMware Aria Operations for Cross Cloud Mobility for VMware Cloud Foundation</t>
  </si>
  <si>
    <t>Data Protection for Cross Cloud Mobility for VMware Cloud Foundation</t>
  </si>
  <si>
    <t>Backup the HCX Connector Configuration for Cross Cloud Mobility for VMware Cloud Foundation</t>
  </si>
  <si>
    <t>IP/Host name</t>
  </si>
  <si>
    <t>Transfer protocol</t>
  </si>
  <si>
    <t>Backup directory</t>
  </si>
  <si>
    <t>Configure a Backup Schedule for the HCX Connector for Cross Cloud Mobility for VMware Cloud Foundation</t>
  </si>
  <si>
    <t>Backup Frequency</t>
  </si>
  <si>
    <t>DAILY</t>
  </si>
  <si>
    <t>Hour of day</t>
  </si>
  <si>
    <t>Minute</t>
  </si>
  <si>
    <t xml:space="preserve">      VMware Cloud Foundaation Active Directory Inputs</t>
  </si>
  <si>
    <t xml:space="preserve">To be completed by a member of the Customer Active Directory Team. Inputs are enabled by choices made on Deployment Options Tab and values will be presented in relevant sections of Workflow Execution Tabs								</t>
  </si>
  <si>
    <t>Active Directory Details</t>
  </si>
  <si>
    <t>Purpose</t>
  </si>
  <si>
    <t>Reference Fully Qualified Name</t>
  </si>
  <si>
    <t>Your Fully Qualified Name</t>
  </si>
  <si>
    <t>Reference NETBIOS Name</t>
  </si>
  <si>
    <r>
      <rPr>
        <rFont val="Arial"/>
        <b/>
        <color theme="1"/>
        <sz val="12.0"/>
      </rPr>
      <t xml:space="preserve">FQDN &amp; NetBIOS </t>
    </r>
    <r>
      <rPr>
        <rFont val="Arial"/>
        <b val="0"/>
        <color theme="1"/>
        <sz val="12.0"/>
      </rPr>
      <t>(Parent)</t>
    </r>
  </si>
  <si>
    <t>RAINPOLE</t>
  </si>
  <si>
    <r>
      <rPr>
        <rFont val="Arial"/>
        <b/>
        <color theme="1"/>
        <sz val="12.0"/>
      </rPr>
      <t xml:space="preserve">FQDN &amp; NetBIOS </t>
    </r>
    <r>
      <rPr>
        <rFont val="Arial"/>
        <b val="0"/>
        <color theme="1"/>
        <sz val="12.0"/>
      </rPr>
      <t>(Child)</t>
    </r>
  </si>
  <si>
    <r>
      <rPr>
        <rFont val="Arial"/>
        <b/>
        <color theme="1"/>
        <sz val="12.0"/>
      </rPr>
      <t xml:space="preserve">User and Group OUs </t>
    </r>
    <r>
      <rPr>
        <rFont val="Arial"/>
        <b val="0"/>
        <color theme="1"/>
        <sz val="12.0"/>
      </rPr>
      <t>(Parent)</t>
    </r>
  </si>
  <si>
    <t>ou=Security Groups,dc=rainpole,dc=io</t>
  </si>
  <si>
    <t>ou=Security Users,dc=rainpole,dc=io</t>
  </si>
  <si>
    <r>
      <rPr>
        <rFont val="Arial"/>
        <b/>
        <color theme="1"/>
        <sz val="12.0"/>
      </rPr>
      <t xml:space="preserve">User and Group OUs </t>
    </r>
    <r>
      <rPr>
        <rFont val="Arial"/>
        <b val="0"/>
        <color theme="1"/>
        <sz val="12.0"/>
      </rPr>
      <t>(Child)</t>
    </r>
  </si>
  <si>
    <t>Active Directory Users (Service Accounts for Application to External Service Communication)</t>
  </si>
  <si>
    <t>Reference Username</t>
  </si>
  <si>
    <t>Your Username</t>
  </si>
  <si>
    <t>Reference Password</t>
  </si>
  <si>
    <t>Your Password</t>
  </si>
  <si>
    <t>Identity and Access Management</t>
  </si>
  <si>
    <t>Active Directory Bind (vSphere)</t>
  </si>
  <si>
    <t>Active Directory Bind (NSX)</t>
  </si>
  <si>
    <t>svc-nsx-ad</t>
  </si>
  <si>
    <t>Active Directory Users (Service Accounts for Application to Application Communication)</t>
  </si>
  <si>
    <t>Intelligent Logging and Analytics for VMware Cloud Foundation</t>
  </si>
  <si>
    <t>VMware Aria Operations for Logs to Active Directory</t>
  </si>
  <si>
    <t>svc-logs-ad</t>
  </si>
  <si>
    <t>Intelligent Operations Management for VMware Cloud Foundation</t>
  </si>
  <si>
    <t>VMware Aria Operations to VMware Cloud Foundation</t>
  </si>
  <si>
    <t>svc-ops-vcf</t>
  </si>
  <si>
    <t>x</t>
  </si>
  <si>
    <t>VMware Aria Operations to vCenter Server</t>
  </si>
  <si>
    <t>svc-ops-vsphere</t>
  </si>
  <si>
    <t>VMware Aria Operations to VMware Aria Automation</t>
  </si>
  <si>
    <t>svc-ops-cmp</t>
  </si>
  <si>
    <t>Intelligent Network Visibility for VMware Cloud Foundation</t>
  </si>
  <si>
    <t>VMware Aria Operations for Networks to Active Directory</t>
  </si>
  <si>
    <t>svc-net-ad</t>
  </si>
  <si>
    <t>VMware Aria Operations for Networks to vCenter Server</t>
  </si>
  <si>
    <t>svc-net-vsphere</t>
  </si>
  <si>
    <t>VMware Aria Operations to VMware Aria Operations for Networks</t>
  </si>
  <si>
    <t>svc-net-ops</t>
  </si>
  <si>
    <t>Private Cloud Automation on VMware Cloud Foundation</t>
  </si>
  <si>
    <t>svc-cmp-vsphere</t>
  </si>
  <si>
    <t>svc-cmp-nsx</t>
  </si>
  <si>
    <t>svc-cmp-vcf</t>
  </si>
  <si>
    <t>svc-orch-vsphere</t>
  </si>
  <si>
    <t>svc-cmp-ops</t>
  </si>
  <si>
    <t>Health Reporting and Monitoring</t>
  </si>
  <si>
    <t>HRM to SDDC Manager</t>
  </si>
  <si>
    <t>svc-hrm-vcf</t>
  </si>
  <si>
    <t>HRM to VMware Aria Operations</t>
  </si>
  <si>
    <t>svc-hrm-ops</t>
  </si>
  <si>
    <t>VMware HCX to vCenter Server</t>
  </si>
  <si>
    <t>svc-hcx-vsphere</t>
  </si>
  <si>
    <t>VMware HCX to NSX</t>
  </si>
  <si>
    <t>svc-hcx-nsx</t>
  </si>
  <si>
    <t>VMware Aria Suite Lifecycle</t>
  </si>
  <si>
    <t>Product</t>
  </si>
  <si>
    <t>Reference Group Name</t>
  </si>
  <si>
    <t>Your Group Name</t>
  </si>
  <si>
    <t>gg-lcm-admins</t>
  </si>
  <si>
    <t>gg-lcm-release-managers</t>
  </si>
  <si>
    <t>gg-lcm-content-developers</t>
  </si>
  <si>
    <t>Clustered Workspace ONE Access</t>
  </si>
  <si>
    <t>Workspace ONE Access</t>
  </si>
  <si>
    <t>gg-idm-admins</t>
  </si>
  <si>
    <t>gg-idm-directory-admins</t>
  </si>
  <si>
    <t>gg-idm-read-only</t>
  </si>
  <si>
    <t>Identity and Access Management for VMware Cloud Foundation</t>
  </si>
  <si>
    <t>Developer Ready Infrastructure using VMware Cloud Foundation</t>
  </si>
  <si>
    <t xml:space="preserve">Kubernetes </t>
  </si>
  <si>
    <t>gg-kub-admins</t>
  </si>
  <si>
    <t>gg-kub-readonly</t>
  </si>
  <si>
    <t>VMware Aria Operations for Logs</t>
  </si>
  <si>
    <t>gg-logs-admins</t>
  </si>
  <si>
    <t>gg-logs-users</t>
  </si>
  <si>
    <t>gg-logs-viewers</t>
  </si>
  <si>
    <t>VMware Aria Operations</t>
  </si>
  <si>
    <t>gg-ops-admins</t>
  </si>
  <si>
    <t>gg-ops-content-admins</t>
  </si>
  <si>
    <t>gg-ops-read-only</t>
  </si>
  <si>
    <t>VMware Aria Operations for Networks</t>
  </si>
  <si>
    <t>gg-networks-admin</t>
  </si>
  <si>
    <t>gg-networks-member</t>
  </si>
  <si>
    <t>gg-networks-auditor</t>
  </si>
  <si>
    <t>VMware Aria Automation</t>
  </si>
  <si>
    <t>gg-cmp-org-owners</t>
  </si>
  <si>
    <t>gg-cmp-cloud-assembly-admins</t>
  </si>
  <si>
    <t>gg-cmp-cloud-assembly-users</t>
  </si>
  <si>
    <t>gg-cmp-cloud-assembly-viewers</t>
  </si>
  <si>
    <t>gg-cmp-service-broker-admins</t>
  </si>
  <si>
    <t>gg-cmp-service-broker-users</t>
  </si>
  <si>
    <t>gg-cmp-service-broker-viewers</t>
  </si>
  <si>
    <t>gg-cmp-orchestrator-admins</t>
  </si>
  <si>
    <t>gg-cmp-orchestrator-designers</t>
  </si>
  <si>
    <t>gg-cmp-orchestrator-viewers</t>
  </si>
  <si>
    <t>gg-cmp-project-admins-sample</t>
  </si>
  <si>
    <t>gg-cmp-project-users-sample</t>
  </si>
</sst>
</file>

<file path=xl/styles.xml><?xml version="1.0" encoding="utf-8"?>
<styleSheet xmlns="http://schemas.openxmlformats.org/spreadsheetml/2006/main" xmlns:x14ac="http://schemas.microsoft.com/office/spreadsheetml/2009/9/ac" xmlns:mc="http://schemas.openxmlformats.org/markup-compatibility/2006">
  <fonts count="82">
    <font>
      <sz val="12.0"/>
      <color theme="1"/>
      <name val="Calibri"/>
      <scheme val="minor"/>
    </font>
    <font>
      <sz val="12.0"/>
      <color theme="1"/>
      <name val="Arial"/>
    </font>
    <font>
      <b/>
      <sz val="28.0"/>
      <color theme="0"/>
      <name val="Arial"/>
    </font>
    <font/>
    <font>
      <sz val="12.0"/>
      <color rgb="FF548135"/>
      <name val="Arial"/>
    </font>
    <font>
      <b/>
      <sz val="12.0"/>
      <color theme="0"/>
      <name val="Arial"/>
    </font>
    <font>
      <sz val="12.0"/>
      <color theme="0"/>
      <name val="Arial"/>
    </font>
    <font>
      <sz val="14.0"/>
      <color theme="1"/>
      <name val="Arial"/>
    </font>
    <font>
      <b/>
      <sz val="14.0"/>
      <color theme="0"/>
      <name val="Arial"/>
    </font>
    <font>
      <b/>
      <sz val="26.0"/>
      <color theme="0"/>
      <name val="Arial"/>
    </font>
    <font>
      <b/>
      <sz val="13.0"/>
      <color theme="0"/>
      <name val="Arial"/>
    </font>
    <font>
      <b/>
      <sz val="12.0"/>
      <color theme="1"/>
      <name val="Arial"/>
    </font>
    <font>
      <b/>
      <sz val="24.0"/>
      <color theme="1"/>
      <name val="Arial"/>
    </font>
    <font>
      <sz val="12.0"/>
      <color rgb="FF006100"/>
      <name val="Arial"/>
    </font>
    <font>
      <u/>
      <sz val="12.0"/>
      <color theme="1"/>
      <name val="Arial"/>
    </font>
    <font>
      <sz val="12.0"/>
      <color rgb="FF000000"/>
      <name val="Arial"/>
    </font>
    <font>
      <u/>
      <sz val="12.0"/>
      <color theme="10"/>
      <name val="Arial"/>
    </font>
    <font>
      <u/>
      <sz val="12.0"/>
      <color theme="10"/>
      <name val="Arial"/>
    </font>
    <font>
      <u/>
      <sz val="12.0"/>
      <color theme="1"/>
      <name val="Arial"/>
    </font>
    <font>
      <b/>
      <sz val="24.0"/>
      <color theme="0"/>
      <name val="Arial"/>
    </font>
    <font>
      <u/>
      <sz val="12.0"/>
      <color theme="1"/>
      <name val="Arial"/>
    </font>
    <font>
      <b/>
      <sz val="11.0"/>
      <color theme="1"/>
      <name val="Arial"/>
    </font>
    <font>
      <b/>
      <sz val="12.0"/>
      <color rgb="FF808080"/>
      <name val="Arial"/>
    </font>
    <font>
      <u/>
      <sz val="12.0"/>
      <color theme="10"/>
      <name val="Calibri"/>
    </font>
    <font>
      <sz val="11.0"/>
      <color theme="1"/>
      <name val="Arial"/>
    </font>
    <font>
      <sz val="12.0"/>
      <color rgb="FF505E69"/>
      <name val="Arial"/>
    </font>
    <font>
      <u/>
      <sz val="12.0"/>
      <color theme="1"/>
      <name val="Arial"/>
    </font>
    <font>
      <u/>
      <sz val="12.0"/>
      <color theme="10"/>
      <name val="Arial"/>
    </font>
    <font>
      <u/>
      <sz val="12.0"/>
      <color theme="10"/>
      <name val="Arial"/>
    </font>
    <font>
      <u/>
      <sz val="12.0"/>
      <color theme="1"/>
      <name val="Arial"/>
    </font>
    <font>
      <u/>
      <sz val="12.0"/>
      <color theme="1"/>
      <name val="Arial"/>
    </font>
    <font>
      <b/>
      <sz val="12.0"/>
      <color rgb="FFFF0000"/>
      <name val="Arial"/>
    </font>
    <font>
      <b/>
      <sz val="12.0"/>
      <color rgb="FFFFFFFF"/>
      <name val="Arial"/>
    </font>
    <font>
      <b/>
      <sz val="12.0"/>
      <color rgb="FF000000"/>
      <name val="Arial"/>
    </font>
    <font>
      <u/>
      <sz val="12.0"/>
      <color theme="0"/>
      <name val="Arial"/>
    </font>
    <font>
      <u/>
      <sz val="12.0"/>
      <color theme="0"/>
      <name val="Arial"/>
    </font>
    <font>
      <u/>
      <sz val="12.0"/>
      <color theme="0"/>
      <name val="Arial"/>
    </font>
    <font>
      <sz val="12.0"/>
      <color rgb="FFFFFFFF"/>
      <name val="Arial"/>
    </font>
    <font>
      <u/>
      <sz val="12.0"/>
      <color theme="1"/>
      <name val="Arial"/>
    </font>
    <font>
      <u/>
      <sz val="12.0"/>
      <color theme="1"/>
      <name val="Arial"/>
    </font>
    <font>
      <sz val="12.0"/>
      <color rgb="FFFF0000"/>
      <name val="Arial"/>
    </font>
    <font>
      <u/>
      <sz val="12.0"/>
      <color rgb="FF000000"/>
      <name val="Arial"/>
    </font>
    <font>
      <u/>
      <sz val="12.0"/>
      <color rgb="FF000000"/>
      <name val="Arial"/>
    </font>
    <font>
      <u/>
      <sz val="12.0"/>
      <color theme="1"/>
      <name val="Arial"/>
    </font>
    <font>
      <b/>
      <sz val="12.0"/>
      <color rgb="FF0E223A"/>
      <name val="Arial"/>
    </font>
    <font>
      <sz val="14.0"/>
      <color theme="0"/>
      <name val="Arial"/>
    </font>
    <font>
      <sz val="12.0"/>
      <color theme="1"/>
      <name val="Calibri"/>
    </font>
    <font>
      <u/>
      <sz val="12.0"/>
      <color theme="1"/>
      <name val="Arial"/>
    </font>
    <font>
      <u/>
      <sz val="12.0"/>
      <color theme="1"/>
      <name val="Arial"/>
    </font>
    <font>
      <u/>
      <sz val="12.0"/>
      <color theme="1"/>
      <name val="Arial"/>
    </font>
    <font>
      <u/>
      <sz val="12.0"/>
      <color rgb="FF000000"/>
      <name val="Arial"/>
    </font>
    <font>
      <b/>
      <sz val="14.0"/>
      <color rgb="FFFFFFFF"/>
      <name val="Arial"/>
    </font>
    <font>
      <u/>
      <sz val="12.0"/>
      <color theme="1"/>
      <name val="Arial"/>
    </font>
    <font>
      <sz val="12.0"/>
      <color rgb="FF000000"/>
      <name val="Calibri"/>
    </font>
    <font>
      <u/>
      <sz val="12.0"/>
      <color theme="0"/>
      <name val="Arial"/>
    </font>
    <font>
      <u/>
      <sz val="12.0"/>
      <color theme="10"/>
      <name val="Calibri"/>
    </font>
    <font>
      <u/>
      <sz val="12.0"/>
      <color theme="1"/>
      <name val="Arial"/>
    </font>
    <font>
      <sz val="12.0"/>
      <color rgb="FF0E223A"/>
      <name val="Arial"/>
    </font>
    <font>
      <u/>
      <sz val="12.0"/>
      <color rgb="FF000000"/>
      <name val="Arial"/>
    </font>
    <font>
      <sz val="12.0"/>
      <color rgb="FF9CDCFE"/>
      <name val="Arial"/>
    </font>
    <font>
      <sz val="12.0"/>
      <color rgb="FF506069"/>
      <name val="Arial"/>
    </font>
    <font>
      <sz val="12.0"/>
      <color rgb="FF4F5F69"/>
      <name val="Arial"/>
    </font>
    <font>
      <u/>
      <sz val="12.0"/>
      <color rgb="FF000000"/>
      <name val="Arial"/>
    </font>
    <font>
      <u/>
      <sz val="12.0"/>
      <color rgb="FF000000"/>
      <name val="Arial"/>
    </font>
    <font>
      <color theme="1"/>
      <name val="Calibri"/>
      <scheme val="minor"/>
    </font>
    <font>
      <b/>
      <sz val="12.0"/>
      <color rgb="FF002439"/>
      <name val="Arial"/>
    </font>
    <font>
      <i/>
      <sz val="12.0"/>
      <color theme="1"/>
      <name val="Arial"/>
    </font>
    <font>
      <u/>
      <sz val="12.0"/>
      <color theme="1"/>
      <name val="Arial"/>
    </font>
    <font>
      <sz val="12.0"/>
      <color theme="9"/>
      <name val="Arial"/>
    </font>
    <font>
      <u/>
      <sz val="12.0"/>
      <color theme="10"/>
      <name val="Arial"/>
    </font>
    <font>
      <b/>
      <sz val="18.0"/>
      <color theme="0"/>
      <name val="Arial"/>
    </font>
    <font>
      <b/>
      <u/>
      <sz val="12.0"/>
      <color theme="0"/>
      <name val="Arial"/>
    </font>
    <font>
      <b/>
      <sz val="12.0"/>
      <color theme="1"/>
      <name val="Helvetica Neue"/>
    </font>
    <font>
      <sz val="12.0"/>
      <color rgb="FF9C0006"/>
      <name val="Arial"/>
    </font>
    <font>
      <b/>
      <sz val="12.0"/>
      <color rgb="FF000000"/>
      <name val="Helvetica Neue"/>
    </font>
    <font>
      <b/>
      <u/>
      <sz val="12.0"/>
      <color theme="1"/>
      <name val="Arial"/>
    </font>
    <font>
      <b/>
      <sz val="24.0"/>
      <color rgb="FFFFFFFF"/>
      <name val="Arial"/>
    </font>
    <font>
      <b/>
      <sz val="20.0"/>
      <color theme="0"/>
      <name val="Arial"/>
    </font>
    <font>
      <b/>
      <sz val="26.0"/>
      <color rgb="FFFFFFFF"/>
      <name val="Arial"/>
    </font>
    <font>
      <b/>
      <u/>
      <sz val="14.0"/>
      <color theme="0"/>
      <name val="Arial"/>
    </font>
    <font>
      <b/>
      <u/>
      <sz val="14.0"/>
      <color theme="10"/>
      <name val="Arial"/>
    </font>
    <font>
      <b/>
      <u/>
      <sz val="14.0"/>
      <color theme="0"/>
      <name val="Arial"/>
    </font>
  </fonts>
  <fills count="40">
    <fill>
      <patternFill patternType="none"/>
    </fill>
    <fill>
      <patternFill patternType="lightGray"/>
    </fill>
    <fill>
      <patternFill patternType="solid">
        <fgColor rgb="FF0E223A"/>
        <bgColor rgb="FF0E223A"/>
      </patternFill>
    </fill>
    <fill>
      <patternFill patternType="solid">
        <fgColor rgb="FF595959"/>
        <bgColor rgb="FF595959"/>
      </patternFill>
    </fill>
    <fill>
      <patternFill patternType="solid">
        <fgColor rgb="FF808080"/>
        <bgColor rgb="FF808080"/>
      </patternFill>
    </fill>
    <fill>
      <patternFill patternType="solid">
        <fgColor theme="0"/>
        <bgColor theme="0"/>
      </patternFill>
    </fill>
    <fill>
      <patternFill patternType="solid">
        <fgColor rgb="FF506069"/>
        <bgColor rgb="FF506069"/>
      </patternFill>
    </fill>
    <fill>
      <patternFill patternType="solid">
        <fgColor rgb="FFE5F7FF"/>
        <bgColor rgb="FFE5F7FF"/>
      </patternFill>
    </fill>
    <fill>
      <patternFill patternType="solid">
        <fgColor rgb="FFC65600"/>
        <bgColor rgb="FFC65600"/>
      </patternFill>
    </fill>
    <fill>
      <patternFill patternType="solid">
        <fgColor rgb="FF505F69"/>
        <bgColor rgb="FF505F69"/>
      </patternFill>
    </fill>
    <fill>
      <patternFill patternType="solid">
        <fgColor rgb="FFEFFDE3"/>
        <bgColor rgb="FFEFFDE3"/>
      </patternFill>
    </fill>
    <fill>
      <patternFill patternType="solid">
        <fgColor rgb="FFEFFEE3"/>
        <bgColor rgb="FFEFFEE3"/>
      </patternFill>
    </fill>
    <fill>
      <patternFill patternType="solid">
        <fgColor rgb="FF4F5F69"/>
        <bgColor rgb="FF4F5F69"/>
      </patternFill>
    </fill>
    <fill>
      <patternFill patternType="solid">
        <fgColor rgb="FF7F7F7F"/>
        <bgColor rgb="FF7F7F7F"/>
      </patternFill>
    </fill>
    <fill>
      <patternFill patternType="solid">
        <fgColor rgb="FFE5F8FF"/>
        <bgColor rgb="FFE5F8FF"/>
      </patternFill>
    </fill>
    <fill>
      <patternFill patternType="solid">
        <fgColor rgb="FFF2F8F9"/>
        <bgColor rgb="FFF2F8F9"/>
      </patternFill>
    </fill>
    <fill>
      <patternFill patternType="solid">
        <fgColor rgb="FF505E69"/>
        <bgColor rgb="FF505E69"/>
      </patternFill>
    </fill>
    <fill>
      <patternFill patternType="solid">
        <fgColor rgb="FFF2F7F9"/>
        <bgColor rgb="FFF2F7F9"/>
      </patternFill>
    </fill>
    <fill>
      <patternFill patternType="solid">
        <fgColor rgb="FFC5E0B3"/>
        <bgColor rgb="FFC5E0B3"/>
      </patternFill>
    </fill>
    <fill>
      <patternFill patternType="solid">
        <fgColor rgb="FFF9CBAD"/>
        <bgColor rgb="FFF9CBAD"/>
      </patternFill>
    </fill>
    <fill>
      <patternFill patternType="solid">
        <fgColor rgb="FFBFBFBF"/>
        <bgColor rgb="FFBFBFBF"/>
      </patternFill>
    </fill>
    <fill>
      <patternFill patternType="solid">
        <fgColor rgb="FFFFFFFF"/>
        <bgColor rgb="FFFFFFFF"/>
      </patternFill>
    </fill>
    <fill>
      <patternFill patternType="solid">
        <fgColor rgb="FFA5A5A5"/>
        <bgColor rgb="FFA5A5A5"/>
      </patternFill>
    </fill>
    <fill>
      <patternFill patternType="solid">
        <fgColor rgb="FFF8CBAD"/>
        <bgColor rgb="FFF8CBAD"/>
      </patternFill>
    </fill>
    <fill>
      <patternFill patternType="solid">
        <fgColor rgb="FFFFBE29"/>
        <bgColor rgb="FFFFBE29"/>
      </patternFill>
    </fill>
    <fill>
      <patternFill patternType="solid">
        <fgColor rgb="FF002439"/>
        <bgColor rgb="FF002439"/>
      </patternFill>
    </fill>
    <fill>
      <patternFill patternType="solid">
        <fgColor rgb="FFFFFF00"/>
        <bgColor rgb="FFFFFF00"/>
      </patternFill>
    </fill>
    <fill>
      <patternFill patternType="solid">
        <fgColor rgb="FFFFBD29"/>
        <bgColor rgb="FFFFBD29"/>
      </patternFill>
    </fill>
    <fill>
      <patternFill patternType="solid">
        <fgColor rgb="FFC6EFCE"/>
        <bgColor rgb="FFC6EFCE"/>
      </patternFill>
    </fill>
    <fill>
      <patternFill patternType="solid">
        <fgColor theme="8"/>
        <bgColor theme="8"/>
      </patternFill>
    </fill>
    <fill>
      <patternFill patternType="solid">
        <fgColor rgb="FF548135"/>
        <bgColor rgb="FF548135"/>
      </patternFill>
    </fill>
    <fill>
      <patternFill patternType="solid">
        <fgColor theme="4"/>
        <bgColor theme="4"/>
      </patternFill>
    </fill>
    <fill>
      <patternFill patternType="solid">
        <fgColor rgb="FF9CC2E5"/>
        <bgColor rgb="FF9CC2E5"/>
      </patternFill>
    </fill>
    <fill>
      <patternFill patternType="solid">
        <fgColor rgb="FFA8D08D"/>
        <bgColor rgb="FFA8D08D"/>
      </patternFill>
    </fill>
    <fill>
      <patternFill patternType="solid">
        <fgColor rgb="FF9BC2E6"/>
        <bgColor rgb="FF9BC2E6"/>
      </patternFill>
    </fill>
    <fill>
      <patternFill patternType="solid">
        <fgColor rgb="FFFEF2CB"/>
        <bgColor rgb="FFFEF2CB"/>
      </patternFill>
    </fill>
    <fill>
      <patternFill patternType="solid">
        <fgColor rgb="FF454545"/>
        <bgColor rgb="FF454545"/>
      </patternFill>
    </fill>
    <fill>
      <patternFill patternType="solid">
        <fgColor rgb="FFFFC7CE"/>
        <bgColor rgb="FFFFC7CE"/>
      </patternFill>
    </fill>
    <fill>
      <patternFill patternType="solid">
        <fgColor rgb="FFA6A6A6"/>
        <bgColor rgb="FFA6A6A6"/>
      </patternFill>
    </fill>
    <fill>
      <patternFill patternType="solid">
        <fgColor rgb="FFF2F2F2"/>
        <bgColor rgb="FFF2F2F2"/>
      </patternFill>
    </fill>
  </fills>
  <borders count="80">
    <border/>
    <border>
      <left/>
      <top/>
      <bottom/>
    </border>
    <border>
      <top/>
      <bottom/>
    </border>
    <border>
      <right/>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top/>
      <bottom style="thin">
        <color rgb="FF000000"/>
      </bottom>
    </border>
    <border>
      <left/>
      <right/>
      <top style="thin">
        <color rgb="FF000000"/>
      </top>
      <bottom/>
    </border>
    <border>
      <right style="thin">
        <color rgb="FF000000"/>
      </right>
      <top/>
      <bottom style="thin">
        <color rgb="FF000000"/>
      </bottom>
    </border>
    <border>
      <right style="thin">
        <color rgb="FF000000"/>
      </right>
      <top/>
      <bottom/>
    </border>
    <border>
      <left/>
      <right/>
      <top/>
      <bottom style="thick">
        <color rgb="FF0070A8"/>
      </bottom>
    </border>
    <border>
      <left/>
      <right style="thick">
        <color rgb="FF0070A8"/>
      </right>
      <top/>
      <bottom/>
    </border>
    <border>
      <left/>
      <right style="thick">
        <color rgb="FF0070A8"/>
      </right>
      <top style="thick">
        <color rgb="FF0070A8"/>
      </top>
      <bottom/>
    </border>
    <border>
      <left style="thick">
        <color rgb="FF0070A8"/>
      </left>
      <right/>
      <top style="thick">
        <color rgb="FF0070A8"/>
      </top>
      <bottom style="thick">
        <color rgb="FF0070A8"/>
      </bottom>
    </border>
    <border>
      <left/>
      <right/>
      <top style="thick">
        <color rgb="FF0070A8"/>
      </top>
      <bottom style="thick">
        <color rgb="FF0070A8"/>
      </bottom>
    </border>
    <border>
      <left/>
      <right style="thick">
        <color rgb="FF0070A8"/>
      </right>
      <top style="thick">
        <color rgb="FF0070A8"/>
      </top>
      <bottom style="thick">
        <color rgb="FF0070A8"/>
      </bottom>
    </border>
    <border>
      <left/>
      <right/>
      <top/>
      <bottom style="thick">
        <color rgb="FFC55A11"/>
      </bottom>
    </border>
    <border>
      <left style="thick">
        <color rgb="FFC55A11"/>
      </left>
      <right/>
      <top/>
      <bottom/>
    </border>
    <border>
      <left/>
      <right style="thick">
        <color rgb="FFC55A11"/>
      </right>
      <top/>
      <bottom/>
    </border>
    <border>
      <left/>
      <right/>
      <top/>
      <bottom style="thick">
        <color rgb="FF548135"/>
      </bottom>
    </border>
    <border>
      <left style="thick">
        <color rgb="FF548135"/>
      </left>
      <right/>
      <top/>
      <bottom/>
    </border>
    <border>
      <left/>
      <right style="thick">
        <color rgb="FF548135"/>
      </right>
      <top/>
      <bottom/>
    </border>
    <border>
      <left style="thick">
        <color rgb="FF548135"/>
      </left>
      <right style="thick">
        <color rgb="FF0070A8"/>
      </right>
      <top/>
      <bottom/>
    </border>
    <border>
      <left style="thick">
        <color rgb="FF0070A8"/>
      </left>
      <right style="thick">
        <color rgb="FF0070A8"/>
      </right>
      <top style="thick">
        <color rgb="FF0070A8"/>
      </top>
      <bottom style="thick">
        <color rgb="FF0070A8"/>
      </bottom>
    </border>
    <border>
      <left style="thick">
        <color rgb="FF0070A8"/>
      </left>
      <right style="thick">
        <color rgb="FF0070A8"/>
      </right>
      <top/>
      <bottom style="thick">
        <color rgb="FF657C9C"/>
      </bottom>
    </border>
    <border>
      <left style="thick">
        <color rgb="FF0070A8"/>
      </left>
      <right style="thick">
        <color rgb="FF0070A8"/>
      </right>
      <top style="thick">
        <color rgb="FF657C9C"/>
      </top>
      <bottom style="thick">
        <color rgb="FF0070A8"/>
      </bottom>
    </border>
    <border>
      <left style="thick">
        <color rgb="FF548135"/>
      </left>
      <right/>
      <top/>
      <bottom style="thick">
        <color rgb="FF548135"/>
      </bottom>
    </border>
    <border>
      <left/>
      <right style="thick">
        <color rgb="FF548135"/>
      </right>
      <top/>
      <bottom style="thick">
        <color rgb="FF548135"/>
      </bottom>
    </border>
    <border>
      <left style="thick">
        <color rgb="FFC55A11"/>
      </left>
      <right/>
      <top/>
      <bottom style="thick">
        <color rgb="FFC55A11"/>
      </bottom>
    </border>
    <border>
      <left/>
      <right style="thick">
        <color rgb="FFC55A11"/>
      </right>
      <top/>
      <bottom style="thick">
        <color rgb="FFC55A11"/>
      </bottom>
    </border>
    <border>
      <left/>
      <right style="thick">
        <color rgb="FF0070A8"/>
      </right>
      <top/>
      <bottom style="thick">
        <color rgb="FF0070A8"/>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theme="1"/>
      </left>
      <top style="thin">
        <color theme="1"/>
      </top>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theme="1"/>
      </left>
      <right style="thin">
        <color theme="1"/>
      </right>
      <top style="thin">
        <color theme="1"/>
      </top>
      <bottom style="thin">
        <color theme="1"/>
      </bottom>
    </border>
    <border>
      <left style="thin">
        <color theme="1"/>
      </left>
      <right style="thin">
        <color theme="1"/>
      </right>
      <top style="thin">
        <color theme="1"/>
      </top>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border>
    <border>
      <left style="thin">
        <color rgb="FF0070A8"/>
      </left>
      <right style="thin">
        <color rgb="FF0070A8"/>
      </right>
      <top style="thin">
        <color rgb="FF0070A8"/>
      </top>
      <bottom style="thin">
        <color rgb="FF0070A8"/>
      </bottom>
    </border>
    <border>
      <left style="thin">
        <color rgb="FF0070A8"/>
      </left>
      <right style="thin">
        <color rgb="FF0070A8"/>
      </right>
      <top style="thin">
        <color rgb="FF0070A8"/>
      </top>
      <bottom/>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0" fillId="0" fontId="1" numFmtId="0" xfId="0" applyAlignment="1" applyFont="1">
      <alignment horizontal="left" vertical="center"/>
    </xf>
    <xf borderId="1" fillId="2" fontId="2" numFmtId="0" xfId="0" applyAlignment="1" applyBorder="1" applyFill="1" applyFont="1">
      <alignment horizontal="left" vertical="center"/>
    </xf>
    <xf borderId="2" fillId="0" fontId="3" numFmtId="0" xfId="0" applyBorder="1" applyFont="1"/>
    <xf borderId="3" fillId="0" fontId="3" numFmtId="0" xfId="0" applyBorder="1" applyFont="1"/>
    <xf borderId="0" fillId="0" fontId="4" numFmtId="0" xfId="0" applyAlignment="1" applyFont="1">
      <alignment horizontal="left" vertical="center"/>
    </xf>
    <xf borderId="4" fillId="3" fontId="5" numFmtId="0" xfId="0" applyAlignment="1" applyBorder="1" applyFill="1" applyFont="1">
      <alignment horizontal="left" vertical="center"/>
    </xf>
    <xf borderId="1" fillId="3" fontId="5" numFmtId="0" xfId="0" applyAlignment="1" applyBorder="1" applyFont="1">
      <alignment horizontal="left" vertical="center"/>
    </xf>
    <xf borderId="0" fillId="0" fontId="6" numFmtId="0" xfId="0" applyAlignment="1" applyFont="1">
      <alignment horizontal="left" vertical="center"/>
    </xf>
    <xf borderId="0" fillId="0" fontId="1" numFmtId="49" xfId="0" applyAlignment="1" applyFont="1" applyNumberFormat="1">
      <alignment horizontal="left" vertical="center"/>
    </xf>
    <xf borderId="0" fillId="0" fontId="1" numFmtId="0" xfId="0" applyAlignment="1" applyFont="1">
      <alignment horizontal="left" shrinkToFit="0" vertical="center" wrapText="1"/>
    </xf>
    <xf borderId="0" fillId="0" fontId="7" numFmtId="0" xfId="0" applyAlignment="1" applyFont="1">
      <alignment horizontal="left" vertical="center"/>
    </xf>
    <xf borderId="5" fillId="2" fontId="8" numFmtId="0" xfId="0" applyAlignment="1" applyBorder="1" applyFont="1">
      <alignment horizontal="left" vertical="center"/>
    </xf>
    <xf borderId="6" fillId="0" fontId="3" numFmtId="0" xfId="0" applyBorder="1" applyFont="1"/>
    <xf borderId="7" fillId="0" fontId="3" numFmtId="0" xfId="0" applyBorder="1" applyFont="1"/>
    <xf borderId="8" fillId="4" fontId="5" numFmtId="0" xfId="0" applyAlignment="1" applyBorder="1" applyFill="1" applyFont="1">
      <alignment horizontal="left" shrinkToFit="0" vertical="center" wrapText="1"/>
    </xf>
    <xf borderId="8" fillId="4" fontId="5" numFmtId="49" xfId="0" applyAlignment="1" applyBorder="1" applyFont="1" applyNumberFormat="1">
      <alignment horizontal="left" shrinkToFit="0" vertical="center" wrapText="1"/>
    </xf>
    <xf borderId="5" fillId="4" fontId="5" numFmtId="0" xfId="0" applyAlignment="1" applyBorder="1" applyFont="1">
      <alignment horizontal="left" shrinkToFit="0" vertical="center" wrapText="1"/>
    </xf>
    <xf borderId="8" fillId="0" fontId="1" numFmtId="0" xfId="0" applyAlignment="1" applyBorder="1" applyFont="1">
      <alignment horizontal="left" vertical="center"/>
    </xf>
    <xf borderId="8" fillId="0" fontId="1" numFmtId="49" xfId="0" applyAlignment="1" applyBorder="1" applyFont="1" applyNumberFormat="1">
      <alignment horizontal="left" shrinkToFit="0" vertical="center" wrapText="1"/>
    </xf>
    <xf borderId="5" fillId="0" fontId="1" numFmtId="49" xfId="0" applyAlignment="1" applyBorder="1" applyFont="1" applyNumberFormat="1">
      <alignment horizontal="left" shrinkToFit="0" vertical="center" wrapText="1"/>
    </xf>
    <xf borderId="8" fillId="0" fontId="1" numFmtId="49" xfId="0" applyAlignment="1" applyBorder="1" applyFont="1" applyNumberFormat="1">
      <alignment horizontal="left" vertical="center"/>
    </xf>
    <xf borderId="5" fillId="0" fontId="1" numFmtId="0" xfId="0" applyAlignment="1" applyBorder="1" applyFont="1">
      <alignment horizontal="left" shrinkToFit="0" vertical="center" wrapText="1"/>
    </xf>
    <xf borderId="7" fillId="0" fontId="1" numFmtId="0" xfId="0" applyAlignment="1" applyBorder="1" applyFont="1">
      <alignment horizontal="left" shrinkToFit="0" vertical="center" wrapText="1"/>
    </xf>
    <xf borderId="5" fillId="0" fontId="1" numFmtId="0" xfId="0" applyAlignment="1" applyBorder="1" applyFont="1">
      <alignment horizontal="left" shrinkToFit="0" vertical="top" wrapText="1"/>
    </xf>
    <xf borderId="9" fillId="0" fontId="1" numFmtId="0" xfId="0" applyAlignment="1" applyBorder="1" applyFont="1">
      <alignment horizontal="left" shrinkToFit="0" vertical="center" wrapText="1"/>
    </xf>
    <xf borderId="10" fillId="0" fontId="3" numFmtId="0" xfId="0" applyBorder="1" applyFont="1"/>
    <xf borderId="11" fillId="0" fontId="3" numFmtId="0" xfId="0" applyBorder="1" applyFont="1"/>
    <xf borderId="12" fillId="0" fontId="3" numFmtId="0" xfId="0" applyBorder="1" applyFont="1"/>
    <xf borderId="13" fillId="0" fontId="1" numFmtId="0" xfId="0" applyAlignment="1" applyBorder="1" applyFont="1">
      <alignment horizontal="left" vertical="center"/>
    </xf>
    <xf borderId="14" fillId="0" fontId="3" numFmtId="0" xfId="0" applyBorder="1" applyFont="1"/>
    <xf borderId="8" fillId="0" fontId="1" numFmtId="0" xfId="0" applyAlignment="1" applyBorder="1" applyFont="1">
      <alignment horizontal="left" shrinkToFit="0" vertical="center" wrapText="1"/>
    </xf>
    <xf borderId="5" fillId="0" fontId="1" numFmtId="0" xfId="0" applyAlignment="1" applyBorder="1" applyFont="1">
      <alignment horizontal="left" vertical="center"/>
    </xf>
    <xf borderId="13" fillId="0" fontId="1" numFmtId="0" xfId="0" applyAlignment="1" applyBorder="1" applyFont="1">
      <alignment horizontal="center" vertical="center"/>
    </xf>
    <xf borderId="13" fillId="0" fontId="1" numFmtId="0" xfId="0" applyAlignment="1" applyBorder="1" applyFont="1">
      <alignment horizontal="left" shrinkToFit="0" vertical="center" wrapText="1"/>
    </xf>
    <xf borderId="4" fillId="5" fontId="1" numFmtId="0" xfId="0" applyAlignment="1" applyBorder="1" applyFill="1" applyFont="1">
      <alignment horizontal="left" vertical="center"/>
    </xf>
    <xf borderId="5" fillId="2" fontId="9" numFmtId="0" xfId="0" applyAlignment="1" applyBorder="1" applyFont="1">
      <alignment horizontal="left" vertical="center"/>
    </xf>
    <xf borderId="5" fillId="6" fontId="5" numFmtId="0" xfId="0" applyAlignment="1" applyBorder="1" applyFill="1" applyFont="1">
      <alignment horizontal="left" vertical="center"/>
    </xf>
    <xf borderId="15" fillId="0" fontId="3" numFmtId="0" xfId="0" applyBorder="1" applyFont="1"/>
    <xf borderId="16" fillId="6" fontId="5" numFmtId="0" xfId="0" applyAlignment="1" applyBorder="1" applyFont="1">
      <alignment horizontal="left" vertical="center"/>
    </xf>
    <xf borderId="4" fillId="5" fontId="1" numFmtId="0" xfId="0" applyAlignment="1" applyBorder="1" applyFont="1">
      <alignment horizontal="left" shrinkToFit="0" vertical="center" wrapText="1"/>
    </xf>
    <xf borderId="0" fillId="0" fontId="1" numFmtId="0" xfId="0" applyFont="1"/>
    <xf borderId="5" fillId="2" fontId="10" numFmtId="0" xfId="0" applyAlignment="1" applyBorder="1" applyFont="1">
      <alignment horizontal="left" vertical="center"/>
    </xf>
    <xf borderId="5" fillId="7" fontId="11" numFmtId="0" xfId="0" applyAlignment="1" applyBorder="1" applyFill="1" applyFont="1">
      <alignment horizontal="left" shrinkToFit="0" vertical="center" wrapText="1"/>
    </xf>
    <xf borderId="9" fillId="5" fontId="12" numFmtId="0" xfId="0" applyAlignment="1" applyBorder="1" applyFont="1">
      <alignment horizontal="center" vertical="center"/>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8" fillId="7" fontId="11" numFmtId="0" xfId="0" applyAlignment="1" applyBorder="1" applyFont="1">
      <alignment horizontal="left" shrinkToFit="0" vertical="center" wrapText="1"/>
    </xf>
    <xf borderId="8" fillId="8" fontId="13" numFmtId="0" xfId="0" applyAlignment="1" applyBorder="1" applyFill="1" applyFont="1">
      <alignment horizontal="left" vertical="center"/>
    </xf>
    <xf borderId="8" fillId="5" fontId="1" numFmtId="0" xfId="0" applyAlignment="1" applyBorder="1" applyFont="1">
      <alignment horizontal="left" vertical="center"/>
    </xf>
    <xf borderId="8" fillId="9" fontId="6" numFmtId="0" xfId="0" applyAlignment="1" applyBorder="1" applyFill="1" applyFont="1">
      <alignment horizontal="left" vertical="center"/>
    </xf>
    <xf borderId="8" fillId="9" fontId="6" numFmtId="11" xfId="0" applyAlignment="1" applyBorder="1" applyFont="1" applyNumberFormat="1">
      <alignment horizontal="left" vertical="center"/>
    </xf>
    <xf borderId="0" fillId="0" fontId="14" numFmtId="0" xfId="0" applyFont="1"/>
    <xf borderId="0" fillId="0" fontId="15" numFmtId="0" xfId="0" applyFont="1"/>
    <xf borderId="1" fillId="2" fontId="2" numFmtId="0" xfId="0" applyAlignment="1" applyBorder="1" applyFont="1">
      <alignment vertical="center"/>
    </xf>
    <xf borderId="21" fillId="2" fontId="8" numFmtId="0" xfId="0" applyAlignment="1" applyBorder="1" applyFont="1">
      <alignment horizontal="left" vertical="center"/>
    </xf>
    <xf borderId="22" fillId="0" fontId="3" numFmtId="0" xfId="0" applyBorder="1" applyFont="1"/>
    <xf borderId="23" fillId="0" fontId="3" numFmtId="0" xfId="0" applyBorder="1" applyFont="1"/>
    <xf borderId="24" fillId="2" fontId="8" numFmtId="0" xfId="0" applyAlignment="1" applyBorder="1" applyFont="1">
      <alignment horizontal="left" vertical="center"/>
    </xf>
    <xf borderId="4" fillId="2" fontId="8" numFmtId="0" xfId="0" applyAlignment="1" applyBorder="1" applyFont="1">
      <alignment horizontal="left" vertical="center"/>
    </xf>
    <xf borderId="1" fillId="2" fontId="8" numFmtId="0" xfId="0" applyAlignment="1" applyBorder="1" applyFont="1">
      <alignment horizontal="left" vertical="center"/>
    </xf>
    <xf borderId="0" fillId="0" fontId="1" numFmtId="0" xfId="0" applyAlignment="1" applyFont="1">
      <alignment shrinkToFit="0" vertical="top" wrapText="1"/>
    </xf>
    <xf borderId="16" fillId="7" fontId="11" numFmtId="0" xfId="0" applyAlignment="1" applyBorder="1" applyFont="1">
      <alignment horizontal="left" shrinkToFit="0" vertical="center" wrapText="1"/>
    </xf>
    <xf borderId="25" fillId="7" fontId="11" numFmtId="0" xfId="0" applyAlignment="1" applyBorder="1" applyFont="1">
      <alignment horizontal="left" shrinkToFit="0" vertical="center" wrapText="1"/>
    </xf>
    <xf borderId="26" fillId="0" fontId="3" numFmtId="0" xfId="0" applyBorder="1" applyFont="1"/>
    <xf borderId="27" fillId="0" fontId="3" numFmtId="0" xfId="0" applyBorder="1" applyFont="1"/>
    <xf borderId="7" fillId="0" fontId="1" numFmtId="0" xfId="0" applyAlignment="1" applyBorder="1" applyFont="1">
      <alignment horizontal="left" vertical="center"/>
    </xf>
    <xf borderId="5" fillId="0" fontId="11" numFmtId="0" xfId="0" applyAlignment="1" applyBorder="1" applyFont="1">
      <alignment horizontal="left" shrinkToFit="0" vertical="center" wrapText="1"/>
    </xf>
    <xf borderId="0" fillId="0" fontId="11" numFmtId="0" xfId="0" applyAlignment="1" applyFont="1">
      <alignment horizontal="left" shrinkToFit="0" vertical="center" wrapText="1"/>
    </xf>
    <xf borderId="5" fillId="0" fontId="11" numFmtId="0" xfId="0" applyAlignment="1" applyBorder="1" applyFont="1">
      <alignment horizontal="left" vertical="center"/>
    </xf>
    <xf borderId="8" fillId="2" fontId="8" numFmtId="0" xfId="0" applyAlignment="1" applyBorder="1" applyFont="1">
      <alignment horizontal="left" vertical="center"/>
    </xf>
    <xf borderId="16" fillId="10" fontId="1" numFmtId="0" xfId="0" applyAlignment="1" applyBorder="1" applyFill="1" applyFont="1">
      <alignment horizontal="left" vertical="center"/>
    </xf>
    <xf borderId="6" fillId="0" fontId="1" numFmtId="0" xfId="0" applyAlignment="1" applyBorder="1" applyFont="1">
      <alignment horizontal="left" vertical="center"/>
    </xf>
    <xf borderId="5" fillId="11" fontId="1" numFmtId="0" xfId="0" applyAlignment="1" applyBorder="1" applyFill="1" applyFont="1">
      <alignment horizontal="left" vertical="center"/>
    </xf>
    <xf borderId="28" fillId="7" fontId="11" numFmtId="0" xfId="0" applyAlignment="1" applyBorder="1" applyFont="1">
      <alignment horizontal="left" shrinkToFit="0" vertical="center" wrapText="1"/>
    </xf>
    <xf borderId="29" fillId="7" fontId="11" numFmtId="0" xfId="0" applyAlignment="1" applyBorder="1" applyFont="1">
      <alignment horizontal="left" shrinkToFit="0" vertical="center" wrapText="1"/>
    </xf>
    <xf borderId="30" fillId="7" fontId="11" numFmtId="0" xfId="0" applyAlignment="1" applyBorder="1" applyFont="1">
      <alignment horizontal="left" shrinkToFit="0" vertical="center" wrapText="1"/>
    </xf>
    <xf borderId="6" fillId="0" fontId="11" numFmtId="0" xfId="0" applyAlignment="1" applyBorder="1" applyFont="1">
      <alignment horizontal="left" vertical="center"/>
    </xf>
    <xf borderId="0" fillId="0" fontId="11" numFmtId="0" xfId="0" applyAlignment="1" applyFont="1">
      <alignment horizontal="left" vertical="center"/>
    </xf>
    <xf borderId="0" fillId="0" fontId="15" numFmtId="0" xfId="0" applyAlignment="1" applyFont="1">
      <alignment horizontal="left" vertical="center"/>
    </xf>
    <xf borderId="8" fillId="10" fontId="1" numFmtId="0" xfId="0" applyAlignment="1" applyBorder="1" applyFont="1">
      <alignment horizontal="left" vertical="center"/>
    </xf>
    <xf borderId="7" fillId="0" fontId="11" numFmtId="0" xfId="0" applyAlignment="1" applyBorder="1" applyFont="1">
      <alignment horizontal="left" vertical="center"/>
    </xf>
    <xf borderId="8" fillId="0" fontId="11" numFmtId="0" xfId="0" applyAlignment="1" applyBorder="1" applyFont="1">
      <alignment horizontal="left" vertical="center"/>
    </xf>
    <xf borderId="8" fillId="0" fontId="11" numFmtId="0" xfId="0" applyAlignment="1" applyBorder="1" applyFont="1">
      <alignment horizontal="left" shrinkToFit="0" vertical="center" wrapText="1"/>
    </xf>
    <xf borderId="28" fillId="2" fontId="8" numFmtId="0" xfId="0" applyAlignment="1" applyBorder="1" applyFont="1">
      <alignment horizontal="left" vertical="center"/>
    </xf>
    <xf borderId="29" fillId="2" fontId="8" numFmtId="0" xfId="0" applyAlignment="1" applyBorder="1" applyFont="1">
      <alignment horizontal="left" vertical="center"/>
    </xf>
    <xf borderId="31" fillId="2" fontId="8" numFmtId="0" xfId="0" applyAlignment="1" applyBorder="1" applyFont="1">
      <alignment horizontal="left" vertical="center"/>
    </xf>
    <xf borderId="29" fillId="7" fontId="11" numFmtId="0" xfId="0" applyAlignment="1" applyBorder="1" applyFont="1">
      <alignment horizontal="left" vertical="center"/>
    </xf>
    <xf borderId="16" fillId="7" fontId="11" numFmtId="0" xfId="0" applyAlignment="1" applyBorder="1" applyFont="1">
      <alignment horizontal="left" vertical="center"/>
    </xf>
    <xf borderId="32" fillId="2" fontId="8" numFmtId="0" xfId="0" applyAlignment="1" applyBorder="1" applyFont="1">
      <alignment horizontal="left" vertical="center"/>
    </xf>
    <xf borderId="8" fillId="9" fontId="6" numFmtId="0" xfId="0" applyAlignment="1" applyBorder="1" applyFont="1">
      <alignment horizontal="left" shrinkToFit="0" vertical="center" wrapText="1"/>
    </xf>
    <xf borderId="5" fillId="0" fontId="1" numFmtId="0" xfId="0" applyAlignment="1" applyBorder="1" applyFont="1">
      <alignment horizontal="center" vertical="center"/>
    </xf>
    <xf borderId="5" fillId="0" fontId="6" numFmtId="0" xfId="0" applyAlignment="1" applyBorder="1" applyFont="1">
      <alignment horizontal="left" vertical="center"/>
    </xf>
    <xf borderId="8" fillId="5" fontId="1" numFmtId="0" xfId="0" applyAlignment="1" applyBorder="1" applyFont="1">
      <alignment horizontal="left" shrinkToFit="0" vertical="center" wrapText="1"/>
    </xf>
    <xf borderId="8" fillId="12" fontId="6" numFmtId="0" xfId="0" applyAlignment="1" applyBorder="1" applyFill="1" applyFont="1">
      <alignment horizontal="left" shrinkToFit="0" vertical="center" wrapText="1"/>
    </xf>
    <xf borderId="5" fillId="5" fontId="1" numFmtId="0" xfId="0" applyAlignment="1" applyBorder="1" applyFont="1">
      <alignment horizontal="left" shrinkToFit="0" vertical="center" wrapText="1"/>
    </xf>
    <xf borderId="33" fillId="0" fontId="3" numFmtId="0" xfId="0" applyBorder="1" applyFont="1"/>
    <xf borderId="9" fillId="0" fontId="16" numFmtId="0" xfId="0" applyAlignment="1" applyBorder="1" applyFont="1">
      <alignment horizontal="left" vertical="center"/>
    </xf>
    <xf borderId="18" fillId="0" fontId="17" numFmtId="0" xfId="0" applyAlignment="1" applyBorder="1" applyFont="1">
      <alignment horizontal="left" vertical="center"/>
    </xf>
    <xf borderId="5" fillId="0" fontId="18" numFmtId="0" xfId="0" applyAlignment="1" applyBorder="1" applyFont="1">
      <alignment horizontal="left" vertical="center"/>
    </xf>
    <xf borderId="5" fillId="4" fontId="5" numFmtId="0" xfId="0" applyAlignment="1" applyBorder="1" applyFont="1">
      <alignment horizontal="left" vertical="center"/>
    </xf>
    <xf borderId="5" fillId="13" fontId="5" numFmtId="0" xfId="0" applyAlignment="1" applyBorder="1" applyFill="1" applyFont="1">
      <alignment horizontal="left" vertical="center"/>
    </xf>
    <xf borderId="5" fillId="0" fontId="1" numFmtId="49" xfId="0" applyAlignment="1" applyBorder="1" applyFont="1" applyNumberFormat="1">
      <alignment horizontal="left" vertical="center"/>
    </xf>
    <xf borderId="1" fillId="2" fontId="19" numFmtId="0" xfId="0" applyAlignment="1" applyBorder="1" applyFont="1">
      <alignment horizontal="left" vertical="center"/>
    </xf>
    <xf borderId="34" fillId="0" fontId="3" numFmtId="0" xfId="0" applyBorder="1" applyFont="1"/>
    <xf borderId="4" fillId="5" fontId="5" numFmtId="0" xfId="0" applyAlignment="1" applyBorder="1" applyFont="1">
      <alignment horizontal="left" vertical="center"/>
    </xf>
    <xf borderId="8" fillId="14" fontId="11" numFmtId="0" xfId="0" applyAlignment="1" applyBorder="1" applyFill="1" applyFont="1">
      <alignment horizontal="left" shrinkToFit="0" vertical="center" wrapText="1"/>
    </xf>
    <xf borderId="28" fillId="5" fontId="11" numFmtId="0" xfId="0" applyAlignment="1" applyBorder="1" applyFont="1">
      <alignment horizontal="left" shrinkToFit="0" vertical="center" wrapText="1"/>
    </xf>
    <xf borderId="8" fillId="15" fontId="1" numFmtId="0" xfId="0" applyAlignment="1" applyBorder="1" applyFill="1" applyFont="1">
      <alignment horizontal="left" vertical="center"/>
    </xf>
    <xf borderId="8" fillId="15" fontId="20" numFmtId="0" xfId="0" applyAlignment="1" applyBorder="1" applyFont="1">
      <alignment horizontal="left" vertical="center"/>
    </xf>
    <xf borderId="35" fillId="5" fontId="1" numFmtId="0" xfId="0" applyAlignment="1" applyBorder="1" applyFont="1">
      <alignment horizontal="left" vertical="center"/>
    </xf>
    <xf borderId="36" fillId="5" fontId="1" numFmtId="0" xfId="0" applyAlignment="1" applyBorder="1" applyFont="1">
      <alignment horizontal="left" vertical="center"/>
    </xf>
    <xf borderId="4" fillId="5" fontId="1" numFmtId="0" xfId="0" applyBorder="1" applyFont="1"/>
    <xf borderId="4" fillId="5" fontId="11" numFmtId="0" xfId="0" applyBorder="1" applyFont="1"/>
    <xf borderId="37" fillId="5" fontId="1" numFmtId="0" xfId="0" applyBorder="1" applyFont="1"/>
    <xf borderId="35" fillId="5" fontId="11" numFmtId="0" xfId="0" applyBorder="1" applyFont="1"/>
    <xf borderId="35" fillId="5" fontId="1" numFmtId="0" xfId="0" applyBorder="1" applyFont="1"/>
    <xf borderId="36" fillId="5" fontId="1" numFmtId="0" xfId="0" applyBorder="1" applyFont="1"/>
    <xf borderId="36" fillId="5" fontId="11" numFmtId="0" xfId="0" applyBorder="1" applyFont="1"/>
    <xf borderId="38" fillId="5" fontId="1" numFmtId="0" xfId="0" applyAlignment="1" applyBorder="1" applyFont="1">
      <alignment horizontal="left"/>
    </xf>
    <xf borderId="39" fillId="5" fontId="1" numFmtId="0" xfId="0" applyAlignment="1" applyBorder="1" applyFont="1">
      <alignment horizontal="left"/>
    </xf>
    <xf borderId="40" fillId="5" fontId="1" numFmtId="0" xfId="0" applyAlignment="1" applyBorder="1" applyFont="1">
      <alignment horizontal="left"/>
    </xf>
    <xf borderId="41" fillId="5" fontId="1" numFmtId="0" xfId="0" applyBorder="1" applyFont="1"/>
    <xf borderId="42" fillId="5" fontId="21" numFmtId="0" xfId="0" applyAlignment="1" applyBorder="1" applyFont="1">
      <alignment horizontal="left"/>
    </xf>
    <xf borderId="43" fillId="5" fontId="1" numFmtId="0" xfId="0" applyBorder="1" applyFont="1"/>
    <xf borderId="42" fillId="5" fontId="1" numFmtId="0" xfId="0" applyBorder="1" applyFont="1"/>
    <xf borderId="44" fillId="5" fontId="1" numFmtId="0" xfId="0" applyBorder="1" applyFont="1"/>
    <xf borderId="45" fillId="5" fontId="1" numFmtId="0" xfId="0" applyBorder="1" applyFont="1"/>
    <xf borderId="46" fillId="5" fontId="1" numFmtId="0" xfId="0" applyBorder="1" applyFont="1"/>
    <xf borderId="5" fillId="4" fontId="22" numFmtId="0" xfId="0" applyAlignment="1" applyBorder="1" applyFont="1">
      <alignment horizontal="left" vertical="center"/>
    </xf>
    <xf borderId="47" fillId="5" fontId="1" numFmtId="0" xfId="0" applyBorder="1" applyFont="1"/>
    <xf borderId="48" fillId="5" fontId="1" numFmtId="0" xfId="0" applyAlignment="1" applyBorder="1" applyFont="1">
      <alignment horizontal="left"/>
    </xf>
    <xf borderId="49" fillId="5" fontId="1" numFmtId="0" xfId="0" applyAlignment="1" applyBorder="1" applyFont="1">
      <alignment horizontal="left"/>
    </xf>
    <xf borderId="8" fillId="0" fontId="23" numFmtId="0" xfId="0" applyAlignment="1" applyBorder="1" applyFont="1">
      <alignment horizontal="left" vertical="center"/>
    </xf>
    <xf borderId="50" fillId="5" fontId="1" numFmtId="0" xfId="0" applyAlignment="1" applyBorder="1" applyFont="1">
      <alignment horizontal="left"/>
    </xf>
    <xf borderId="19" fillId="0" fontId="11" numFmtId="0" xfId="0" applyAlignment="1" applyBorder="1" applyFont="1">
      <alignment horizontal="left" vertical="center"/>
    </xf>
    <xf borderId="19" fillId="0" fontId="1" numFmtId="0" xfId="0" applyAlignment="1" applyBorder="1" applyFont="1">
      <alignment horizontal="left" vertical="center"/>
    </xf>
    <xf borderId="51" fillId="5" fontId="1" numFmtId="0" xfId="0" applyBorder="1" applyFont="1"/>
    <xf borderId="52" fillId="5" fontId="1" numFmtId="0" xfId="0" applyBorder="1" applyFont="1"/>
    <xf borderId="53" fillId="5" fontId="1" numFmtId="0" xfId="0" applyBorder="1" applyFont="1"/>
    <xf borderId="54" fillId="5" fontId="1" numFmtId="0" xfId="0" applyBorder="1" applyFont="1"/>
    <xf borderId="55" fillId="5" fontId="1" numFmtId="0" xfId="0" applyBorder="1" applyFont="1"/>
    <xf borderId="4" fillId="5" fontId="24" numFmtId="49" xfId="0" applyAlignment="1" applyBorder="1" applyFont="1" applyNumberFormat="1">
      <alignment horizontal="left" shrinkToFit="0" vertical="top" wrapText="1"/>
    </xf>
    <xf borderId="13" fillId="0" fontId="11" numFmtId="0" xfId="0" applyAlignment="1" applyBorder="1" applyFont="1">
      <alignment horizontal="left" vertical="center"/>
    </xf>
    <xf borderId="8" fillId="16" fontId="25" numFmtId="0" xfId="0" applyAlignment="1" applyBorder="1" applyFill="1" applyFont="1">
      <alignment horizontal="left" vertical="center"/>
    </xf>
    <xf borderId="6" fillId="0" fontId="1" numFmtId="0" xfId="0" applyBorder="1" applyFont="1"/>
    <xf borderId="8" fillId="10" fontId="15" numFmtId="0" xfId="0" applyAlignment="1" applyBorder="1" applyFont="1">
      <alignment horizontal="left" vertical="center"/>
    </xf>
    <xf borderId="8" fillId="15" fontId="15" numFmtId="0" xfId="0" applyAlignment="1" applyBorder="1" applyFont="1">
      <alignment horizontal="left" vertical="center"/>
    </xf>
    <xf borderId="8" fillId="17" fontId="26" numFmtId="0" xfId="0" applyAlignment="1" applyBorder="1" applyFill="1" applyFont="1">
      <alignment horizontal="left" vertical="center"/>
    </xf>
    <xf borderId="56" fillId="15" fontId="1" numFmtId="0" xfId="0" applyAlignment="1" applyBorder="1" applyFont="1">
      <alignment horizontal="left" vertical="center"/>
    </xf>
    <xf borderId="0" fillId="0" fontId="27" numFmtId="0" xfId="0" applyAlignment="1" applyFont="1">
      <alignment horizontal="left" vertical="center"/>
    </xf>
    <xf borderId="8" fillId="0" fontId="28" numFmtId="0" xfId="0" applyAlignment="1" applyBorder="1" applyFont="1">
      <alignment horizontal="left" vertical="center"/>
    </xf>
    <xf borderId="8" fillId="0" fontId="15" numFmtId="0" xfId="0" applyAlignment="1" applyBorder="1" applyFont="1">
      <alignment horizontal="left" vertical="center"/>
    </xf>
    <xf borderId="28" fillId="15" fontId="29" numFmtId="0" xfId="0" applyAlignment="1" applyBorder="1" applyFont="1">
      <alignment horizontal="left" vertical="center"/>
    </xf>
    <xf borderId="8" fillId="17" fontId="1" numFmtId="0" xfId="0" applyAlignment="1" applyBorder="1" applyFont="1">
      <alignment horizontal="left" vertical="center"/>
    </xf>
    <xf borderId="8" fillId="17" fontId="15" numFmtId="0" xfId="0" applyAlignment="1" applyBorder="1" applyFont="1">
      <alignment horizontal="left" vertical="center"/>
    </xf>
    <xf borderId="57" fillId="17" fontId="15" numFmtId="0" xfId="0" applyAlignment="1" applyBorder="1" applyFont="1">
      <alignment horizontal="left" vertical="center"/>
    </xf>
    <xf borderId="58" fillId="0" fontId="1" numFmtId="0" xfId="0" applyAlignment="1" applyBorder="1" applyFont="1">
      <alignment horizontal="left" vertical="center"/>
    </xf>
    <xf borderId="8" fillId="17" fontId="30" numFmtId="0" xfId="0" applyAlignment="1" applyBorder="1" applyFont="1">
      <alignment horizontal="left" shrinkToFit="0" vertical="center" wrapText="1"/>
    </xf>
    <xf borderId="17" fillId="0" fontId="11" numFmtId="0" xfId="0" applyAlignment="1" applyBorder="1" applyFont="1">
      <alignment horizontal="left" vertical="center"/>
    </xf>
    <xf borderId="0" fillId="0" fontId="1" numFmtId="0" xfId="0" applyAlignment="1" applyFont="1">
      <alignment horizontal="left"/>
    </xf>
    <xf borderId="8" fillId="17" fontId="1" numFmtId="0" xfId="0" applyAlignment="1" applyBorder="1" applyFont="1">
      <alignment horizontal="left" shrinkToFit="0" vertical="center" wrapText="1"/>
    </xf>
    <xf borderId="16" fillId="2" fontId="8" numFmtId="0" xfId="0" applyAlignment="1" applyBorder="1" applyFont="1">
      <alignment horizontal="left" vertical="center"/>
    </xf>
    <xf borderId="28" fillId="4" fontId="5" numFmtId="0" xfId="0" applyAlignment="1" applyBorder="1" applyFont="1">
      <alignment horizontal="left" vertical="center"/>
    </xf>
    <xf borderId="29" fillId="4" fontId="5" numFmtId="0" xfId="0" applyAlignment="1" applyBorder="1" applyFont="1">
      <alignment horizontal="left" vertical="center"/>
    </xf>
    <xf borderId="16" fillId="4" fontId="5" numFmtId="0" xfId="0" applyAlignment="1" applyBorder="1" applyFont="1">
      <alignment horizontal="left" vertical="center"/>
    </xf>
    <xf borderId="8" fillId="18" fontId="1" numFmtId="0" xfId="0" applyAlignment="1" applyBorder="1" applyFill="1" applyFont="1">
      <alignment horizontal="left" vertical="center"/>
    </xf>
    <xf borderId="8" fillId="0" fontId="31" numFmtId="0" xfId="0" applyAlignment="1" applyBorder="1" applyFont="1">
      <alignment horizontal="left" vertical="center"/>
    </xf>
    <xf borderId="8" fillId="0" fontId="11" numFmtId="0" xfId="0" applyAlignment="1" applyBorder="1" applyFont="1">
      <alignment horizontal="left"/>
    </xf>
    <xf borderId="8" fillId="19" fontId="15" numFmtId="0" xfId="0" applyAlignment="1" applyBorder="1" applyFill="1" applyFont="1">
      <alignment horizontal="left" vertical="center"/>
    </xf>
    <xf borderId="5" fillId="4" fontId="32" numFmtId="0" xfId="0" applyAlignment="1" applyBorder="1" applyFont="1">
      <alignment horizontal="left" vertical="center"/>
    </xf>
    <xf borderId="8" fillId="0" fontId="33" numFmtId="0" xfId="0" applyAlignment="1" applyBorder="1" applyFont="1">
      <alignment horizontal="left" vertical="center"/>
    </xf>
    <xf borderId="8" fillId="7" fontId="11" numFmtId="0" xfId="0" applyAlignment="1" applyBorder="1" applyFont="1">
      <alignment horizontal="left" vertical="center"/>
    </xf>
    <xf borderId="4" fillId="17" fontId="1" numFmtId="0" xfId="0" applyAlignment="1" applyBorder="1" applyFont="1">
      <alignment horizontal="left" vertical="center"/>
    </xf>
    <xf borderId="4" fillId="5" fontId="24" numFmtId="0" xfId="0" applyAlignment="1" applyBorder="1" applyFont="1">
      <alignment horizontal="left" vertical="center"/>
    </xf>
    <xf borderId="5" fillId="15" fontId="1" numFmtId="0" xfId="0" applyAlignment="1" applyBorder="1" applyFont="1">
      <alignment horizontal="left" vertical="center"/>
    </xf>
    <xf borderId="24" fillId="5" fontId="19" numFmtId="0" xfId="0" applyAlignment="1" applyBorder="1" applyFont="1">
      <alignment horizontal="left" vertical="center"/>
    </xf>
    <xf borderId="5" fillId="2" fontId="19" numFmtId="0" xfId="0" applyAlignment="1" applyBorder="1" applyFont="1">
      <alignment horizontal="left" vertical="center"/>
    </xf>
    <xf borderId="59" fillId="12" fontId="34" numFmtId="0" xfId="0" applyAlignment="1" applyBorder="1" applyFont="1">
      <alignment horizontal="left" vertical="center"/>
    </xf>
    <xf borderId="4" fillId="5" fontId="35" numFmtId="0" xfId="0" applyAlignment="1" applyBorder="1" applyFont="1">
      <alignment horizontal="left" vertical="center"/>
    </xf>
    <xf borderId="60" fillId="5" fontId="36" numFmtId="0" xfId="0" applyAlignment="1" applyBorder="1" applyFont="1">
      <alignment horizontal="left" vertical="center"/>
    </xf>
    <xf borderId="8" fillId="4" fontId="37" numFmtId="0" xfId="0" applyAlignment="1" applyBorder="1" applyFont="1">
      <alignment horizontal="left" vertical="center"/>
    </xf>
    <xf borderId="5" fillId="2" fontId="5" numFmtId="0" xfId="0" applyAlignment="1" applyBorder="1" applyFont="1">
      <alignment horizontal="left" shrinkToFit="0" vertical="center" wrapText="1"/>
    </xf>
    <xf borderId="28" fillId="15" fontId="1" numFmtId="0" xfId="0" applyAlignment="1" applyBorder="1" applyFont="1">
      <alignment horizontal="left" vertical="center"/>
    </xf>
    <xf borderId="8" fillId="0" fontId="38" numFmtId="0" xfId="0" applyAlignment="1" applyBorder="1" applyFont="1">
      <alignment horizontal="left" vertical="center"/>
    </xf>
    <xf borderId="14" fillId="0" fontId="33" numFmtId="0" xfId="0" applyAlignment="1" applyBorder="1" applyFont="1">
      <alignment horizontal="left" vertical="center"/>
    </xf>
    <xf borderId="8" fillId="15" fontId="39" numFmtId="0" xfId="0" applyAlignment="1" applyBorder="1" applyFont="1">
      <alignment horizontal="left" shrinkToFit="0" vertical="center" wrapText="1"/>
    </xf>
    <xf borderId="8" fillId="5" fontId="6" numFmtId="0" xfId="0" applyAlignment="1" applyBorder="1" applyFont="1">
      <alignment horizontal="left" vertical="center"/>
    </xf>
    <xf borderId="8" fillId="0" fontId="1" numFmtId="0" xfId="0" applyAlignment="1" applyBorder="1" applyFont="1">
      <alignment horizontal="left"/>
    </xf>
    <xf borderId="8" fillId="0" fontId="1" numFmtId="0" xfId="0" applyBorder="1" applyFont="1"/>
    <xf borderId="61" fillId="2" fontId="5" numFmtId="0" xfId="0" applyAlignment="1" applyBorder="1" applyFont="1">
      <alignment horizontal="left" shrinkToFit="0" vertical="center" wrapText="1"/>
    </xf>
    <xf borderId="62" fillId="0" fontId="3" numFmtId="0" xfId="0" applyBorder="1" applyFont="1"/>
    <xf borderId="63" fillId="0" fontId="3" numFmtId="0" xfId="0" applyBorder="1" applyFont="1"/>
    <xf borderId="0" fillId="0" fontId="40" numFmtId="0" xfId="0" applyFont="1"/>
    <xf borderId="8" fillId="20" fontId="1" numFmtId="0" xfId="0" applyAlignment="1" applyBorder="1" applyFill="1" applyFont="1">
      <alignment horizontal="left" vertical="center"/>
    </xf>
    <xf borderId="5" fillId="2" fontId="5" numFmtId="0" xfId="0" applyAlignment="1" applyBorder="1" applyFont="1">
      <alignment horizontal="left" vertical="center"/>
    </xf>
    <xf borderId="64" fillId="17" fontId="15" numFmtId="0" xfId="0" applyAlignment="1" applyBorder="1" applyFont="1">
      <alignment horizontal="left" shrinkToFit="0" vertical="center" wrapText="1"/>
    </xf>
    <xf borderId="64" fillId="21" fontId="15" numFmtId="0" xfId="0" applyAlignment="1" applyBorder="1" applyFill="1" applyFont="1">
      <alignment horizontal="left" shrinkToFit="0" vertical="center" wrapText="1"/>
    </xf>
    <xf borderId="8" fillId="22" fontId="6" numFmtId="0" xfId="0" applyAlignment="1" applyBorder="1" applyFill="1" applyFont="1">
      <alignment horizontal="left" vertical="center"/>
    </xf>
    <xf borderId="7" fillId="0" fontId="1" numFmtId="0" xfId="0" applyBorder="1" applyFont="1"/>
    <xf borderId="65" fillId="17" fontId="15" numFmtId="0" xfId="0" applyAlignment="1" applyBorder="1" applyFont="1">
      <alignment horizontal="left" vertical="center"/>
    </xf>
    <xf borderId="8" fillId="15" fontId="1" numFmtId="0" xfId="0" applyAlignment="1" applyBorder="1" applyFont="1">
      <alignment horizontal="left" shrinkToFit="0" vertical="center" wrapText="1"/>
    </xf>
    <xf borderId="8" fillId="15" fontId="41" numFmtId="0" xfId="0" applyAlignment="1" applyBorder="1" applyFont="1">
      <alignment horizontal="left" vertical="center"/>
    </xf>
    <xf borderId="65" fillId="15" fontId="42" numFmtId="0" xfId="0" applyAlignment="1" applyBorder="1" applyFont="1">
      <alignment horizontal="left" vertical="center"/>
    </xf>
    <xf borderId="8" fillId="5" fontId="15" numFmtId="0" xfId="0" applyAlignment="1" applyBorder="1" applyFont="1">
      <alignment horizontal="left" vertical="center"/>
    </xf>
    <xf borderId="65" fillId="5" fontId="15" numFmtId="0" xfId="0" applyAlignment="1" applyBorder="1" applyFont="1">
      <alignment horizontal="left" vertical="center"/>
    </xf>
    <xf borderId="65" fillId="15" fontId="15" numFmtId="0" xfId="0" applyAlignment="1" applyBorder="1" applyFont="1">
      <alignment horizontal="left" vertical="center"/>
    </xf>
    <xf borderId="28" fillId="15" fontId="1" numFmtId="0" xfId="0" applyAlignment="1" applyBorder="1" applyFont="1">
      <alignment horizontal="left" shrinkToFit="0" vertical="center" wrapText="1"/>
    </xf>
    <xf borderId="4" fillId="15" fontId="1" numFmtId="0" xfId="0" applyAlignment="1" applyBorder="1" applyFont="1">
      <alignment horizontal="left" vertical="center"/>
    </xf>
    <xf borderId="28" fillId="15" fontId="43" numFmtId="0" xfId="0" applyAlignment="1" applyBorder="1" applyFont="1">
      <alignment horizontal="left" shrinkToFit="0" vertical="center" wrapText="1"/>
    </xf>
    <xf borderId="8" fillId="0" fontId="44" numFmtId="0" xfId="0" applyAlignment="1" applyBorder="1" applyFont="1">
      <alignment horizontal="left" vertical="center"/>
    </xf>
    <xf borderId="8" fillId="0" fontId="40" numFmtId="0" xfId="0" applyAlignment="1" applyBorder="1" applyFont="1">
      <alignment horizontal="left" vertical="center"/>
    </xf>
    <xf borderId="16" fillId="2" fontId="45" numFmtId="0" xfId="0" applyAlignment="1" applyBorder="1" applyFont="1">
      <alignment horizontal="left" vertical="center"/>
    </xf>
    <xf borderId="8" fillId="7" fontId="1" numFmtId="0" xfId="0" applyAlignment="1" applyBorder="1" applyFont="1">
      <alignment horizontal="left" shrinkToFit="0" vertical="center" wrapText="1"/>
    </xf>
    <xf borderId="8" fillId="6" fontId="37" numFmtId="0" xfId="0" applyAlignment="1" applyBorder="1" applyFont="1">
      <alignment horizontal="left" vertical="center"/>
    </xf>
    <xf borderId="16" fillId="15" fontId="15" numFmtId="0" xfId="0" applyAlignment="1" applyBorder="1" applyFont="1">
      <alignment horizontal="left" vertical="center"/>
    </xf>
    <xf borderId="0" fillId="0" fontId="46" numFmtId="0" xfId="0" applyAlignment="1" applyFont="1">
      <alignment horizontal="left" vertical="center"/>
    </xf>
    <xf borderId="66" fillId="2" fontId="5" numFmtId="0" xfId="0" applyAlignment="1" applyBorder="1" applyFont="1">
      <alignment horizontal="left" shrinkToFit="0" vertical="center" wrapText="1"/>
    </xf>
    <xf borderId="67" fillId="0" fontId="3" numFmtId="0" xfId="0" applyBorder="1" applyFont="1"/>
    <xf borderId="68" fillId="0" fontId="3" numFmtId="0" xfId="0" applyBorder="1" applyFont="1"/>
    <xf borderId="69" fillId="4" fontId="5" numFmtId="0" xfId="0" applyAlignment="1" applyBorder="1" applyFont="1">
      <alignment horizontal="left" vertical="center"/>
    </xf>
    <xf borderId="70" fillId="0" fontId="3" numFmtId="0" xfId="0" applyBorder="1" applyFont="1"/>
    <xf borderId="71" fillId="0" fontId="3" numFmtId="0" xfId="0" applyBorder="1" applyFont="1"/>
    <xf borderId="72" fillId="17" fontId="1" numFmtId="0" xfId="0" applyAlignment="1" applyBorder="1" applyFont="1">
      <alignment horizontal="left" vertical="center"/>
    </xf>
    <xf borderId="72" fillId="17" fontId="47" numFmtId="0" xfId="0" applyAlignment="1" applyBorder="1" applyFont="1">
      <alignment horizontal="left" vertical="center"/>
    </xf>
    <xf borderId="16" fillId="17" fontId="15" numFmtId="0" xfId="0" applyAlignment="1" applyBorder="1" applyFont="1">
      <alignment horizontal="left" vertical="center"/>
    </xf>
    <xf borderId="8" fillId="23" fontId="15" numFmtId="0" xfId="0" applyAlignment="1" applyBorder="1" applyFill="1" applyFont="1">
      <alignment horizontal="left" vertical="center"/>
    </xf>
    <xf borderId="64" fillId="17" fontId="15" numFmtId="0" xfId="0" applyAlignment="1" applyBorder="1" applyFont="1">
      <alignment horizontal="left" vertical="center"/>
    </xf>
    <xf borderId="73" fillId="17" fontId="1" numFmtId="0" xfId="0" applyAlignment="1" applyBorder="1" applyFont="1">
      <alignment horizontal="left" vertical="center"/>
    </xf>
    <xf borderId="73" fillId="17" fontId="48" numFmtId="0" xfId="0" applyAlignment="1" applyBorder="1" applyFont="1">
      <alignment horizontal="left" vertical="center"/>
    </xf>
    <xf borderId="4" fillId="17" fontId="49" numFmtId="0" xfId="0" applyAlignment="1" applyBorder="1" applyFont="1">
      <alignment horizontal="left" vertical="center"/>
    </xf>
    <xf borderId="25" fillId="4" fontId="5" numFmtId="0" xfId="0" applyAlignment="1" applyBorder="1" applyFont="1">
      <alignment horizontal="left" vertical="center"/>
    </xf>
    <xf borderId="5" fillId="3" fontId="5" numFmtId="0" xfId="0" applyAlignment="1" applyBorder="1" applyFont="1">
      <alignment horizontal="left" vertical="center"/>
    </xf>
    <xf borderId="28" fillId="2" fontId="5" numFmtId="0" xfId="0" applyAlignment="1" applyBorder="1" applyFont="1">
      <alignment horizontal="left" vertical="center"/>
    </xf>
    <xf borderId="29" fillId="2" fontId="5" numFmtId="0" xfId="0" applyAlignment="1" applyBorder="1" applyFont="1">
      <alignment horizontal="left" vertical="center"/>
    </xf>
    <xf borderId="16" fillId="2" fontId="5" numFmtId="0" xfId="0" applyAlignment="1" applyBorder="1" applyFont="1">
      <alignment horizontal="left" vertical="center"/>
    </xf>
    <xf borderId="8" fillId="0" fontId="1" numFmtId="1" xfId="0" applyAlignment="1" applyBorder="1" applyFont="1" applyNumberFormat="1">
      <alignment horizontal="left" vertical="center"/>
    </xf>
    <xf borderId="8" fillId="0" fontId="1" numFmtId="0" xfId="0" applyAlignment="1" applyBorder="1" applyFont="1">
      <alignment vertical="center"/>
    </xf>
    <xf borderId="5" fillId="2" fontId="8" numFmtId="0" xfId="0" applyAlignment="1" applyBorder="1" applyFont="1">
      <alignment horizontal="left" shrinkToFit="0" vertical="center" wrapText="1"/>
    </xf>
    <xf borderId="8" fillId="23" fontId="1" numFmtId="0" xfId="0" applyAlignment="1" applyBorder="1" applyFont="1">
      <alignment horizontal="left" vertical="center"/>
    </xf>
    <xf borderId="8" fillId="17" fontId="50" numFmtId="0" xfId="0" applyAlignment="1" applyBorder="1" applyFont="1">
      <alignment horizontal="left" shrinkToFit="0" vertical="center" wrapText="1"/>
    </xf>
    <xf borderId="8" fillId="5" fontId="11" numFmtId="0" xfId="0" applyAlignment="1" applyBorder="1" applyFont="1">
      <alignment horizontal="left" shrinkToFit="0" vertical="center" wrapText="1"/>
    </xf>
    <xf borderId="8" fillId="20" fontId="1" numFmtId="0" xfId="0" applyAlignment="1" applyBorder="1" applyFont="1">
      <alignment horizontal="left" shrinkToFit="0" vertical="center" wrapText="1"/>
    </xf>
    <xf borderId="14" fillId="0" fontId="11" numFmtId="0" xfId="0" applyAlignment="1" applyBorder="1" applyFont="1">
      <alignment horizontal="left" vertical="center"/>
    </xf>
    <xf borderId="28" fillId="2" fontId="51" numFmtId="0" xfId="0" applyAlignment="1" applyBorder="1" applyFont="1">
      <alignment horizontal="left" vertical="center"/>
    </xf>
    <xf borderId="29" fillId="2" fontId="51" numFmtId="0" xfId="0" applyAlignment="1" applyBorder="1" applyFont="1">
      <alignment horizontal="left" vertical="center"/>
    </xf>
    <xf borderId="16" fillId="2" fontId="51" numFmtId="0" xfId="0" applyAlignment="1" applyBorder="1" applyFont="1">
      <alignment horizontal="left" vertical="center"/>
    </xf>
    <xf borderId="74" fillId="4" fontId="32" numFmtId="0" xfId="0" applyAlignment="1" applyBorder="1" applyFont="1">
      <alignment horizontal="left" vertical="center"/>
    </xf>
    <xf borderId="75" fillId="4" fontId="32" numFmtId="0" xfId="0" applyAlignment="1" applyBorder="1" applyFont="1">
      <alignment horizontal="left" vertical="center"/>
    </xf>
    <xf borderId="64" fillId="4" fontId="32" numFmtId="0" xfId="0" applyAlignment="1" applyBorder="1" applyFont="1">
      <alignment horizontal="left" vertical="center"/>
    </xf>
    <xf borderId="65" fillId="7" fontId="33" numFmtId="0" xfId="0" applyAlignment="1" applyBorder="1" applyFont="1">
      <alignment horizontal="left" shrinkToFit="0" vertical="center" wrapText="1"/>
    </xf>
    <xf borderId="64" fillId="7" fontId="33" numFmtId="0" xfId="0" applyAlignment="1" applyBorder="1" applyFont="1">
      <alignment horizontal="left" shrinkToFit="0" vertical="center" wrapText="1"/>
    </xf>
    <xf borderId="20" fillId="0" fontId="1" numFmtId="0" xfId="0" applyAlignment="1" applyBorder="1" applyFont="1">
      <alignment horizontal="left"/>
    </xf>
    <xf borderId="64" fillId="15" fontId="15" numFmtId="0" xfId="0" applyAlignment="1" applyBorder="1" applyFont="1">
      <alignment horizontal="left" vertical="center"/>
    </xf>
    <xf borderId="20" fillId="0" fontId="15" numFmtId="0" xfId="0" applyBorder="1" applyFont="1"/>
    <xf borderId="20" fillId="0" fontId="15" numFmtId="0" xfId="0" applyAlignment="1" applyBorder="1" applyFont="1">
      <alignment horizontal="left"/>
    </xf>
    <xf borderId="20" fillId="0" fontId="15" numFmtId="0" xfId="0" applyAlignment="1" applyBorder="1" applyFont="1">
      <alignment horizontal="left" vertical="center"/>
    </xf>
    <xf borderId="8" fillId="2" fontId="51" numFmtId="0" xfId="0" applyAlignment="1" applyBorder="1" applyFont="1">
      <alignment horizontal="left" vertical="center"/>
    </xf>
    <xf borderId="7" fillId="0" fontId="1" numFmtId="0" xfId="0" applyAlignment="1" applyBorder="1" applyFont="1">
      <alignment horizontal="left"/>
    </xf>
    <xf borderId="8" fillId="10" fontId="15" numFmtId="0" xfId="0" applyAlignment="1" applyBorder="1" applyFont="1">
      <alignment horizontal="left" shrinkToFit="0" vertical="center" wrapText="1"/>
    </xf>
    <xf borderId="0" fillId="0" fontId="33" numFmtId="0" xfId="0" applyAlignment="1" applyFont="1">
      <alignment horizontal="left" vertical="center"/>
    </xf>
    <xf borderId="0" fillId="0" fontId="11" numFmtId="0" xfId="0" applyFont="1"/>
    <xf borderId="8" fillId="0" fontId="52" numFmtId="0" xfId="0" applyAlignment="1" applyBorder="1" applyFont="1">
      <alignment horizontal="left"/>
    </xf>
    <xf borderId="0" fillId="0" fontId="53" numFmtId="0" xfId="0" applyFont="1"/>
    <xf borderId="0" fillId="0" fontId="46" numFmtId="0" xfId="0" applyAlignment="1" applyFont="1">
      <alignment horizontal="left"/>
    </xf>
    <xf borderId="8" fillId="0" fontId="33" numFmtId="0" xfId="0" applyAlignment="1" applyBorder="1" applyFont="1">
      <alignment horizontal="left" shrinkToFit="0" vertical="center" wrapText="1"/>
    </xf>
    <xf borderId="14" fillId="0" fontId="33" numFmtId="0" xfId="0" applyAlignment="1" applyBorder="1" applyFont="1">
      <alignment horizontal="left" shrinkToFit="0" vertical="center" wrapText="1"/>
    </xf>
    <xf borderId="76" fillId="12" fontId="54" numFmtId="0" xfId="0" applyAlignment="1" applyBorder="1" applyFont="1">
      <alignment horizontal="left" vertical="center"/>
    </xf>
    <xf borderId="0" fillId="0" fontId="55" numFmtId="0" xfId="0" applyAlignment="1" applyFont="1">
      <alignment horizontal="left"/>
    </xf>
    <xf borderId="65" fillId="15" fontId="56" numFmtId="0" xfId="0" applyAlignment="1" applyBorder="1" applyFont="1">
      <alignment horizontal="left" shrinkToFit="0" vertical="center" wrapText="1"/>
    </xf>
    <xf borderId="14" fillId="0" fontId="1" numFmtId="0" xfId="0" applyAlignment="1" applyBorder="1" applyFont="1">
      <alignment horizontal="left" vertical="center"/>
    </xf>
    <xf borderId="65" fillId="17" fontId="1" numFmtId="0" xfId="0" applyAlignment="1" applyBorder="1" applyFont="1">
      <alignment horizontal="left" shrinkToFit="0" vertical="center" wrapText="1"/>
    </xf>
    <xf borderId="7" fillId="0" fontId="15" numFmtId="0" xfId="0" applyAlignment="1" applyBorder="1" applyFont="1">
      <alignment horizontal="left" vertical="center"/>
    </xf>
    <xf borderId="8" fillId="4" fontId="57" numFmtId="0" xfId="0" applyAlignment="1" applyBorder="1" applyFont="1">
      <alignment horizontal="left" vertical="center"/>
    </xf>
    <xf borderId="8" fillId="24" fontId="1" numFmtId="0" xfId="0" applyAlignment="1" applyBorder="1" applyFill="1" applyFont="1">
      <alignment horizontal="left" vertical="center"/>
    </xf>
    <xf borderId="65" fillId="17" fontId="58" numFmtId="0" xfId="0" applyAlignment="1" applyBorder="1" applyFont="1">
      <alignment horizontal="left" shrinkToFit="0" vertical="center" wrapText="1"/>
    </xf>
    <xf borderId="28" fillId="4" fontId="5" numFmtId="0" xfId="0" applyAlignment="1" applyBorder="1" applyFont="1">
      <alignment horizontal="left" shrinkToFit="0" vertical="center" wrapText="1"/>
    </xf>
    <xf borderId="29" fillId="4" fontId="5" numFmtId="0" xfId="0" applyAlignment="1" applyBorder="1" applyFont="1">
      <alignment horizontal="left" shrinkToFit="0" vertical="center" wrapText="1"/>
    </xf>
    <xf borderId="16" fillId="4" fontId="5" numFmtId="0" xfId="0" applyAlignment="1" applyBorder="1" applyFont="1">
      <alignment horizontal="left" shrinkToFit="0" vertical="center" wrapText="1"/>
    </xf>
    <xf borderId="29" fillId="15" fontId="1" numFmtId="0" xfId="0" applyAlignment="1" applyBorder="1" applyFont="1">
      <alignment horizontal="left" vertical="center"/>
    </xf>
    <xf borderId="8" fillId="0" fontId="59" numFmtId="0" xfId="0" applyBorder="1" applyFont="1"/>
    <xf borderId="8" fillId="4" fontId="5" numFmtId="0" xfId="0" applyAlignment="1" applyBorder="1" applyFont="1">
      <alignment horizontal="left" vertical="center"/>
    </xf>
    <xf borderId="28" fillId="2" fontId="32" numFmtId="0" xfId="0" applyAlignment="1" applyBorder="1" applyFont="1">
      <alignment horizontal="left" vertical="center"/>
    </xf>
    <xf borderId="29" fillId="2" fontId="32" numFmtId="0" xfId="0" applyAlignment="1" applyBorder="1" applyFont="1">
      <alignment horizontal="left" vertical="center"/>
    </xf>
    <xf borderId="16" fillId="2" fontId="32" numFmtId="0" xfId="0" applyAlignment="1" applyBorder="1" applyFont="1">
      <alignment horizontal="left" vertical="center"/>
    </xf>
    <xf borderId="8" fillId="10" fontId="57" numFmtId="0" xfId="0" applyAlignment="1" applyBorder="1" applyFont="1">
      <alignment horizontal="left" vertical="center"/>
    </xf>
    <xf borderId="8" fillId="0" fontId="57" numFmtId="0" xfId="0" applyAlignment="1" applyBorder="1" applyFont="1">
      <alignment horizontal="left" vertical="center"/>
    </xf>
    <xf borderId="61" fillId="2" fontId="32" numFmtId="0" xfId="0" applyAlignment="1" applyBorder="1" applyFont="1">
      <alignment horizontal="left" shrinkToFit="0" vertical="center" wrapText="1"/>
    </xf>
    <xf borderId="5" fillId="2" fontId="32" numFmtId="0" xfId="0" applyAlignment="1" applyBorder="1" applyFont="1">
      <alignment horizontal="left" vertical="center"/>
    </xf>
    <xf borderId="8" fillId="5" fontId="60" numFmtId="0" xfId="0" applyAlignment="1" applyBorder="1" applyFont="1">
      <alignment horizontal="left" vertical="center"/>
    </xf>
    <xf borderId="20" fillId="0" fontId="11" numFmtId="0" xfId="0" applyAlignment="1" applyBorder="1" applyFont="1">
      <alignment horizontal="left" vertical="center"/>
    </xf>
    <xf borderId="5" fillId="4" fontId="32" numFmtId="0" xfId="0" applyAlignment="1" applyBorder="1" applyFont="1">
      <alignment horizontal="left" shrinkToFit="0" vertical="center" wrapText="1"/>
    </xf>
    <xf borderId="8" fillId="5" fontId="61" numFmtId="0" xfId="0" applyAlignment="1" applyBorder="1" applyFont="1">
      <alignment horizontal="left" vertical="center"/>
    </xf>
    <xf borderId="8" fillId="5" fontId="25" numFmtId="0" xfId="0" applyAlignment="1" applyBorder="1" applyFont="1">
      <alignment horizontal="left" vertical="center"/>
    </xf>
    <xf borderId="28" fillId="4" fontId="32" numFmtId="0" xfId="0" applyAlignment="1" applyBorder="1" applyFont="1">
      <alignment horizontal="left" shrinkToFit="0" vertical="center" wrapText="1"/>
    </xf>
    <xf borderId="29" fillId="4" fontId="32" numFmtId="0" xfId="0" applyAlignment="1" applyBorder="1" applyFont="1">
      <alignment horizontal="left" shrinkToFit="0" vertical="center" wrapText="1"/>
    </xf>
    <xf borderId="8" fillId="15" fontId="1" numFmtId="1" xfId="0" applyAlignment="1" applyBorder="1" applyFont="1" applyNumberFormat="1">
      <alignment horizontal="left" vertical="center"/>
    </xf>
    <xf borderId="28" fillId="5" fontId="61" numFmtId="0" xfId="0" applyAlignment="1" applyBorder="1" applyFont="1">
      <alignment horizontal="left" vertical="center"/>
    </xf>
    <xf borderId="14" fillId="0" fontId="15" numFmtId="0" xfId="0" applyAlignment="1" applyBorder="1" applyFont="1">
      <alignment horizontal="left" vertical="center"/>
    </xf>
    <xf borderId="6" fillId="0" fontId="33" numFmtId="0" xfId="0" applyAlignment="1" applyBorder="1" applyFont="1">
      <alignment horizontal="left" vertical="center"/>
    </xf>
    <xf borderId="65" fillId="21" fontId="15" numFmtId="0" xfId="0" applyAlignment="1" applyBorder="1" applyFont="1">
      <alignment horizontal="left" vertical="center"/>
    </xf>
    <xf borderId="8" fillId="21" fontId="15" numFmtId="0" xfId="0" applyAlignment="1" applyBorder="1" applyFont="1">
      <alignment horizontal="left" vertical="center"/>
    </xf>
    <xf borderId="64" fillId="15" fontId="62" numFmtId="0" xfId="0" applyAlignment="1" applyBorder="1" applyFont="1">
      <alignment horizontal="left" vertical="center"/>
    </xf>
    <xf borderId="20" fillId="0" fontId="33" numFmtId="0" xfId="0" applyAlignment="1" applyBorder="1" applyFont="1">
      <alignment horizontal="left" vertical="center"/>
    </xf>
    <xf borderId="16" fillId="15" fontId="63" numFmtId="0" xfId="0" applyAlignment="1" applyBorder="1" applyFont="1">
      <alignment horizontal="left" vertical="center"/>
    </xf>
    <xf borderId="0" fillId="0" fontId="64" numFmtId="0" xfId="0" applyFont="1"/>
    <xf borderId="1" fillId="25" fontId="19" numFmtId="0" xfId="0" applyAlignment="1" applyBorder="1" applyFill="1" applyFont="1">
      <alignment horizontal="left" vertical="center"/>
    </xf>
    <xf borderId="28" fillId="25" fontId="5" numFmtId="0" xfId="0" applyAlignment="1" applyBorder="1" applyFont="1">
      <alignment horizontal="left" vertical="center"/>
    </xf>
    <xf borderId="29" fillId="25" fontId="5" numFmtId="0" xfId="0" applyAlignment="1" applyBorder="1" applyFont="1">
      <alignment horizontal="left" vertical="center"/>
    </xf>
    <xf borderId="5" fillId="25" fontId="5" numFmtId="0" xfId="0" applyAlignment="1" applyBorder="1" applyFont="1">
      <alignment horizontal="left" vertical="center"/>
    </xf>
    <xf borderId="8" fillId="26" fontId="11" numFmtId="0" xfId="0" applyAlignment="1" applyBorder="1" applyFill="1" applyFont="1">
      <alignment horizontal="left" vertical="center"/>
    </xf>
    <xf borderId="8" fillId="0" fontId="65" numFmtId="0" xfId="0" applyAlignment="1" applyBorder="1" applyFont="1">
      <alignment horizontal="left" vertical="center"/>
    </xf>
    <xf borderId="8" fillId="27" fontId="15" numFmtId="0" xfId="0" applyAlignment="1" applyBorder="1" applyFill="1" applyFont="1">
      <alignment horizontal="left" vertical="center"/>
    </xf>
    <xf borderId="65" fillId="4" fontId="32" numFmtId="0" xfId="0" applyAlignment="1" applyBorder="1" applyFont="1">
      <alignment horizontal="left" shrinkToFit="0" vertical="center" wrapText="1"/>
    </xf>
    <xf borderId="64" fillId="4" fontId="32" numFmtId="0" xfId="0" applyAlignment="1" applyBorder="1" applyFont="1">
      <alignment horizontal="left" shrinkToFit="0" vertical="center" wrapText="1"/>
    </xf>
    <xf borderId="8" fillId="0" fontId="6" numFmtId="0" xfId="0" applyAlignment="1" applyBorder="1" applyFont="1">
      <alignment horizontal="left" vertical="center"/>
    </xf>
    <xf borderId="14" fillId="0" fontId="65" numFmtId="0" xfId="0" applyAlignment="1" applyBorder="1" applyFont="1">
      <alignment horizontal="left" vertical="center"/>
    </xf>
    <xf borderId="0" fillId="0" fontId="40" numFmtId="0" xfId="0" applyAlignment="1" applyFont="1">
      <alignment horizontal="left" vertical="center"/>
    </xf>
    <xf borderId="8" fillId="25" fontId="5" numFmtId="0" xfId="0" applyAlignment="1" applyBorder="1" applyFont="1">
      <alignment horizontal="left" vertical="center"/>
    </xf>
    <xf borderId="14" fillId="0" fontId="31" numFmtId="0" xfId="0" applyAlignment="1" applyBorder="1" applyFont="1">
      <alignment horizontal="left" vertical="center"/>
    </xf>
    <xf borderId="0" fillId="0" fontId="6" numFmtId="0" xfId="0" applyFont="1"/>
    <xf borderId="4" fillId="5" fontId="11" numFmtId="0" xfId="0" applyAlignment="1" applyBorder="1" applyFont="1">
      <alignment horizontal="left" shrinkToFit="0" vertical="center" wrapText="1"/>
    </xf>
    <xf borderId="16" fillId="25" fontId="5" numFmtId="0" xfId="0" applyAlignment="1" applyBorder="1" applyFont="1">
      <alignment horizontal="left" vertical="center"/>
    </xf>
    <xf borderId="4" fillId="5" fontId="11" numFmtId="0" xfId="0" applyAlignment="1" applyBorder="1" applyFont="1">
      <alignment horizontal="left" vertical="center"/>
    </xf>
    <xf borderId="8" fillId="28" fontId="13" numFmtId="0" xfId="0" applyAlignment="1" applyBorder="1" applyFill="1" applyFont="1">
      <alignment horizontal="left" vertical="center"/>
    </xf>
    <xf borderId="5" fillId="29" fontId="2" numFmtId="0" xfId="0" applyAlignment="1" applyBorder="1" applyFill="1" applyFont="1">
      <alignment horizontal="left" vertical="center"/>
    </xf>
    <xf borderId="29" fillId="29" fontId="2" numFmtId="0" xfId="0" applyAlignment="1" applyBorder="1" applyFont="1">
      <alignment horizontal="left" vertical="center"/>
    </xf>
    <xf borderId="30" fillId="30" fontId="2" numFmtId="0" xfId="0" applyAlignment="1" applyBorder="1" applyFill="1" applyFont="1">
      <alignment horizontal="left" vertical="center"/>
    </xf>
    <xf borderId="21" fillId="3" fontId="5" numFmtId="0" xfId="0" applyAlignment="1" applyBorder="1" applyFont="1">
      <alignment horizontal="left" vertical="center"/>
    </xf>
    <xf borderId="8" fillId="25" fontId="8" numFmtId="0" xfId="0" applyAlignment="1" applyBorder="1" applyFont="1">
      <alignment horizontal="left" vertical="center"/>
    </xf>
    <xf borderId="5" fillId="31" fontId="8" numFmtId="0" xfId="0" applyAlignment="1" applyBorder="1" applyFill="1" applyFont="1">
      <alignment horizontal="left" vertical="center"/>
    </xf>
    <xf borderId="8" fillId="31" fontId="8" numFmtId="0" xfId="0" applyAlignment="1" applyBorder="1" applyFont="1">
      <alignment horizontal="left" vertical="center"/>
    </xf>
    <xf borderId="5" fillId="25" fontId="8" numFmtId="0" xfId="0" applyAlignment="1" applyBorder="1" applyFont="1">
      <alignment horizontal="left" vertical="center"/>
    </xf>
    <xf borderId="28" fillId="31" fontId="8" numFmtId="0" xfId="0" applyAlignment="1" applyBorder="1" applyFont="1">
      <alignment horizontal="left" vertical="center"/>
    </xf>
    <xf borderId="29" fillId="31" fontId="8" numFmtId="0" xfId="0" applyAlignment="1" applyBorder="1" applyFont="1">
      <alignment horizontal="left" vertical="center"/>
    </xf>
    <xf borderId="8" fillId="32" fontId="11" numFmtId="0" xfId="0" applyAlignment="1" applyBorder="1" applyFill="1" applyFont="1">
      <alignment horizontal="left" shrinkToFit="0" vertical="center" wrapText="1"/>
    </xf>
    <xf borderId="8" fillId="33" fontId="11" numFmtId="0" xfId="0" applyAlignment="1" applyBorder="1" applyFill="1" applyFont="1">
      <alignment horizontal="left" shrinkToFit="0" vertical="center" wrapText="1"/>
    </xf>
    <xf borderId="28" fillId="25" fontId="8" numFmtId="0" xfId="0" applyAlignment="1" applyBorder="1" applyFont="1">
      <alignment horizontal="left" vertical="center"/>
    </xf>
    <xf borderId="16" fillId="25" fontId="8" numFmtId="0" xfId="0" applyAlignment="1" applyBorder="1" applyFont="1">
      <alignment horizontal="left" vertical="center"/>
    </xf>
    <xf borderId="77" fillId="0" fontId="11" numFmtId="0" xfId="0" applyAlignment="1" applyBorder="1" applyFont="1">
      <alignment horizontal="left" vertical="center"/>
    </xf>
    <xf borderId="21" fillId="31" fontId="8" numFmtId="0" xfId="0" applyAlignment="1" applyBorder="1" applyFont="1">
      <alignment horizontal="left" vertical="center"/>
    </xf>
    <xf borderId="78" fillId="0" fontId="1" numFmtId="0" xfId="0" applyAlignment="1" applyBorder="1" applyFont="1">
      <alignment horizontal="left" vertical="center"/>
    </xf>
    <xf borderId="29" fillId="25" fontId="8" numFmtId="0" xfId="0" applyAlignment="1" applyBorder="1" applyFont="1">
      <alignment horizontal="left" vertical="center"/>
    </xf>
    <xf borderId="8" fillId="0" fontId="66" numFmtId="0" xfId="0" applyAlignment="1" applyBorder="1" applyFont="1">
      <alignment horizontal="left" vertical="center"/>
    </xf>
    <xf borderId="1" fillId="30" fontId="2" numFmtId="0" xfId="0" applyAlignment="1" applyBorder="1" applyFont="1">
      <alignment horizontal="left" vertical="center"/>
    </xf>
    <xf borderId="8" fillId="34" fontId="33" numFmtId="0" xfId="0" applyAlignment="1" applyBorder="1" applyFill="1" applyFont="1">
      <alignment horizontal="left" shrinkToFit="0" vertical="center" wrapText="1"/>
    </xf>
    <xf borderId="5" fillId="2" fontId="51" numFmtId="0" xfId="0" applyAlignment="1" applyBorder="1" applyFont="1">
      <alignment horizontal="left" vertical="center"/>
    </xf>
    <xf borderId="13" fillId="0" fontId="24" numFmtId="49" xfId="0" applyAlignment="1" applyBorder="1" applyFont="1" applyNumberFormat="1">
      <alignment horizontal="left" shrinkToFit="0" vertical="top" wrapText="1"/>
    </xf>
    <xf borderId="9" fillId="0" fontId="24" numFmtId="0" xfId="0" applyAlignment="1" applyBorder="1" applyFont="1">
      <alignment horizontal="left" shrinkToFit="0" vertical="top" wrapText="1"/>
    </xf>
    <xf borderId="77" fillId="0" fontId="3" numFmtId="0" xfId="0" applyBorder="1" applyFont="1"/>
    <xf borderId="79" fillId="34" fontId="33" numFmtId="0" xfId="0" applyAlignment="1" applyBorder="1" applyFont="1">
      <alignment horizontal="left" shrinkToFit="0" vertical="center" wrapText="1"/>
    </xf>
    <xf borderId="31" fillId="5" fontId="33" numFmtId="0" xfId="0" applyAlignment="1" applyBorder="1" applyFont="1">
      <alignment horizontal="left" shrinkToFit="0" vertical="center" wrapText="1"/>
    </xf>
    <xf borderId="30" fillId="34" fontId="33" numFmtId="0" xfId="0" applyAlignment="1" applyBorder="1" applyFont="1">
      <alignment horizontal="left" shrinkToFit="0" vertical="center" wrapText="1"/>
    </xf>
    <xf borderId="5" fillId="0" fontId="15" numFmtId="0" xfId="0" applyAlignment="1" applyBorder="1" applyFont="1">
      <alignment horizontal="left" vertical="center"/>
    </xf>
    <xf borderId="5" fillId="34" fontId="33" numFmtId="0" xfId="0" applyAlignment="1" applyBorder="1" applyFont="1">
      <alignment horizontal="left" shrinkToFit="0" vertical="center" wrapText="1"/>
    </xf>
    <xf borderId="8" fillId="0" fontId="15" numFmtId="0" xfId="0" applyAlignment="1" applyBorder="1" applyFont="1">
      <alignment horizontal="left" shrinkToFit="0" vertical="center" wrapText="1"/>
    </xf>
    <xf borderId="14" fillId="0" fontId="15" numFmtId="0" xfId="0" applyAlignment="1" applyBorder="1" applyFont="1">
      <alignment horizontal="left" shrinkToFit="0" vertical="center" wrapText="1"/>
    </xf>
    <xf borderId="65" fillId="34" fontId="33" numFmtId="0" xfId="0" applyAlignment="1" applyBorder="1" applyFont="1">
      <alignment horizontal="left" shrinkToFit="0" vertical="center" wrapText="1"/>
    </xf>
    <xf borderId="56" fillId="34" fontId="33" numFmtId="0" xfId="0" applyAlignment="1" applyBorder="1" applyFont="1">
      <alignment horizontal="left" shrinkToFit="0" vertical="center" wrapText="1"/>
    </xf>
    <xf borderId="8" fillId="35" fontId="1" numFmtId="0" xfId="0" applyAlignment="1" applyBorder="1" applyFill="1" applyFont="1">
      <alignment horizontal="left" vertical="center"/>
    </xf>
    <xf borderId="5" fillId="22" fontId="5" numFmtId="0" xfId="0" applyAlignment="1" applyBorder="1" applyFont="1">
      <alignment horizontal="left" vertical="center"/>
    </xf>
    <xf borderId="8" fillId="20" fontId="67" numFmtId="0" xfId="0" applyAlignment="1" applyBorder="1" applyFont="1">
      <alignment horizontal="left" vertical="center"/>
    </xf>
    <xf borderId="8" fillId="15" fontId="1" numFmtId="0" xfId="0" applyAlignment="1" applyBorder="1" applyFont="1">
      <alignment horizontal="left"/>
    </xf>
    <xf borderId="8" fillId="5" fontId="11" numFmtId="0" xfId="0" applyAlignment="1" applyBorder="1" applyFont="1">
      <alignment horizontal="left" vertical="center"/>
    </xf>
    <xf borderId="8" fillId="5" fontId="1" numFmtId="0" xfId="0" applyBorder="1" applyFont="1"/>
    <xf borderId="14" fillId="0" fontId="33" numFmtId="0" xfId="0" applyAlignment="1" applyBorder="1" applyFont="1">
      <alignment horizontal="left"/>
    </xf>
    <xf borderId="5" fillId="22" fontId="5" numFmtId="0" xfId="0" applyAlignment="1" applyBorder="1" applyFont="1">
      <alignment horizontal="left" shrinkToFit="0" vertical="center" wrapText="1"/>
    </xf>
    <xf borderId="8" fillId="17" fontId="11" numFmtId="0" xfId="0" applyAlignment="1" applyBorder="1" applyFont="1">
      <alignment horizontal="left" vertical="center"/>
    </xf>
    <xf borderId="4" fillId="7" fontId="11" numFmtId="0" xfId="0" applyAlignment="1" applyBorder="1" applyFont="1">
      <alignment horizontal="left" vertical="center"/>
    </xf>
    <xf borderId="8" fillId="0" fontId="68" numFmtId="0" xfId="0" applyAlignment="1" applyBorder="1" applyFont="1">
      <alignment horizontal="left" vertical="center"/>
    </xf>
    <xf borderId="8" fillId="15" fontId="11" numFmtId="0" xfId="0" applyAlignment="1" applyBorder="1" applyFont="1">
      <alignment horizontal="left" vertical="center"/>
    </xf>
    <xf borderId="0" fillId="0" fontId="69" numFmtId="0" xfId="0" applyFont="1"/>
    <xf borderId="5" fillId="2" fontId="70" numFmtId="0" xfId="0" applyAlignment="1" applyBorder="1" applyFont="1">
      <alignment horizontal="left" vertical="center"/>
    </xf>
    <xf borderId="5" fillId="36" fontId="5" numFmtId="0" xfId="0" applyAlignment="1" applyBorder="1" applyFill="1" applyFont="1">
      <alignment horizontal="left" vertical="center"/>
    </xf>
    <xf borderId="8" fillId="2" fontId="71" numFmtId="0" xfId="0" applyAlignment="1" applyBorder="1" applyFont="1">
      <alignment horizontal="left" shrinkToFit="0" vertical="center" wrapText="1"/>
    </xf>
    <xf borderId="4" fillId="2" fontId="1" numFmtId="0" xfId="0" applyBorder="1" applyFont="1"/>
    <xf borderId="8" fillId="7" fontId="33" numFmtId="0" xfId="0" applyAlignment="1" applyBorder="1" applyFont="1">
      <alignment horizontal="left" shrinkToFit="0" vertical="center" wrapText="1"/>
    </xf>
    <xf borderId="16" fillId="7" fontId="33" numFmtId="0" xfId="0" applyAlignment="1" applyBorder="1" applyFont="1">
      <alignment horizontal="left" shrinkToFit="0" vertical="center" wrapText="1"/>
    </xf>
    <xf borderId="8" fillId="0" fontId="72" numFmtId="0" xfId="0" applyAlignment="1" applyBorder="1" applyFont="1">
      <alignment horizontal="left" vertical="center"/>
    </xf>
    <xf borderId="8" fillId="0" fontId="15" numFmtId="0" xfId="0" applyAlignment="1" applyBorder="1" applyFont="1">
      <alignment horizontal="left"/>
    </xf>
    <xf borderId="0" fillId="0" fontId="72" numFmtId="0" xfId="0" applyAlignment="1" applyFont="1">
      <alignment horizontal="left" vertical="center"/>
    </xf>
    <xf borderId="0" fillId="0" fontId="72" numFmtId="0" xfId="0" applyFont="1"/>
    <xf borderId="8" fillId="37" fontId="73" numFmtId="0" xfId="0" applyAlignment="1" applyBorder="1" applyFill="1" applyFont="1">
      <alignment horizontal="left" vertical="center"/>
    </xf>
    <xf borderId="14" fillId="0" fontId="74" numFmtId="0" xfId="0" applyAlignment="1" applyBorder="1" applyFont="1">
      <alignment horizontal="left" vertical="center"/>
    </xf>
    <xf borderId="5" fillId="38" fontId="32" numFmtId="0" xfId="0" applyAlignment="1" applyBorder="1" applyFill="1" applyFont="1">
      <alignment horizontal="left" shrinkToFit="0" vertical="center" wrapText="1"/>
    </xf>
    <xf borderId="0" fillId="0" fontId="74" numFmtId="0" xfId="0" applyAlignment="1" applyFont="1">
      <alignment horizontal="left" vertical="center"/>
    </xf>
    <xf borderId="18" fillId="0" fontId="33" numFmtId="0" xfId="0" applyAlignment="1" applyBorder="1" applyFont="1">
      <alignment horizontal="left"/>
    </xf>
    <xf borderId="0" fillId="0" fontId="11" numFmtId="0" xfId="0" applyAlignment="1" applyFont="1">
      <alignment horizontal="left"/>
    </xf>
    <xf borderId="8" fillId="0" fontId="72" numFmtId="0" xfId="0" applyAlignment="1" applyBorder="1" applyFont="1">
      <alignment horizontal="left"/>
    </xf>
    <xf borderId="56" fillId="5" fontId="1" numFmtId="0" xfId="0" applyAlignment="1" applyBorder="1" applyFont="1">
      <alignment horizontal="left" vertical="center"/>
    </xf>
    <xf borderId="72" fillId="5" fontId="1" numFmtId="0" xfId="0" applyAlignment="1" applyBorder="1" applyFont="1">
      <alignment horizontal="left" vertical="center"/>
    </xf>
    <xf borderId="8" fillId="5" fontId="75" numFmtId="0" xfId="0" applyAlignment="1" applyBorder="1" applyFont="1">
      <alignment horizontal="left" vertical="center"/>
    </xf>
    <xf borderId="8" fillId="0" fontId="61" numFmtId="0" xfId="0" applyAlignment="1" applyBorder="1" applyFont="1">
      <alignment horizontal="left" vertical="center"/>
    </xf>
    <xf borderId="8" fillId="0" fontId="60" numFmtId="0" xfId="0" applyAlignment="1" applyBorder="1" applyFont="1">
      <alignment horizontal="left" vertical="center"/>
    </xf>
    <xf borderId="24" fillId="21" fontId="76" numFmtId="0" xfId="0" applyAlignment="1" applyBorder="1" applyFont="1">
      <alignment horizontal="left" vertical="center"/>
    </xf>
    <xf borderId="5" fillId="2" fontId="76" numFmtId="0" xfId="0" applyAlignment="1" applyBorder="1" applyFont="1">
      <alignment horizontal="left" vertical="center"/>
    </xf>
    <xf borderId="4" fillId="21" fontId="32" numFmtId="0" xfId="0" applyAlignment="1" applyBorder="1" applyFont="1">
      <alignment horizontal="left" vertical="center"/>
    </xf>
    <xf borderId="4" fillId="21" fontId="15" numFmtId="0" xfId="0" applyBorder="1" applyFont="1"/>
    <xf borderId="29" fillId="20" fontId="1" numFmtId="0" xfId="0" applyAlignment="1" applyBorder="1" applyFont="1">
      <alignment horizontal="left" vertical="center"/>
    </xf>
    <xf borderId="4" fillId="2" fontId="76" numFmtId="0" xfId="0" applyAlignment="1" applyBorder="1" applyFont="1">
      <alignment horizontal="left" vertical="center"/>
    </xf>
    <xf borderId="4" fillId="3" fontId="32" numFmtId="0" xfId="0" applyAlignment="1" applyBorder="1" applyFont="1">
      <alignment horizontal="left" vertical="center"/>
    </xf>
    <xf borderId="4" fillId="2" fontId="5" numFmtId="0" xfId="0" applyAlignment="1" applyBorder="1" applyFont="1">
      <alignment horizontal="left" vertical="center"/>
    </xf>
    <xf borderId="1" fillId="2" fontId="5" numFmtId="0" xfId="0" applyAlignment="1" applyBorder="1" applyFont="1">
      <alignment horizontal="left" vertical="center"/>
    </xf>
    <xf borderId="30" fillId="4" fontId="5" numFmtId="0" xfId="0" applyAlignment="1" applyBorder="1" applyFont="1">
      <alignment horizontal="left" vertical="center"/>
    </xf>
    <xf quotePrefix="1" borderId="5" fillId="5" fontId="1" numFmtId="0" xfId="0" applyAlignment="1" applyBorder="1" applyFont="1">
      <alignment horizontal="left" shrinkToFit="0" vertical="center" wrapText="1"/>
    </xf>
    <xf quotePrefix="1" borderId="5" fillId="5" fontId="1" numFmtId="0" xfId="0" applyAlignment="1" applyBorder="1" applyFont="1">
      <alignment horizontal="left" shrinkToFit="0" vertical="top" wrapText="1"/>
    </xf>
    <xf quotePrefix="1" borderId="5" fillId="5" fontId="1" numFmtId="0" xfId="0" applyAlignment="1" applyBorder="1" applyFont="1">
      <alignment horizontal="left" vertical="center"/>
    </xf>
    <xf borderId="5" fillId="5" fontId="1" numFmtId="0" xfId="0" applyAlignment="1" applyBorder="1" applyFont="1">
      <alignment horizontal="left" vertical="center"/>
    </xf>
    <xf borderId="5" fillId="2" fontId="77" numFmtId="0" xfId="0" applyAlignment="1" applyBorder="1" applyFont="1">
      <alignment horizontal="left" vertical="center"/>
    </xf>
    <xf borderId="4" fillId="5" fontId="1" numFmtId="49" xfId="0" applyAlignment="1" applyBorder="1" applyFont="1" applyNumberFormat="1">
      <alignment horizontal="left" vertical="center"/>
    </xf>
    <xf borderId="8" fillId="5" fontId="31" numFmtId="0" xfId="0" applyAlignment="1" applyBorder="1" applyFont="1">
      <alignment horizontal="left" shrinkToFit="0" vertical="center" wrapText="1"/>
    </xf>
    <xf borderId="4" fillId="5" fontId="15" numFmtId="0" xfId="0" applyAlignment="1" applyBorder="1" applyFont="1">
      <alignment horizontal="left" vertical="center"/>
    </xf>
    <xf borderId="5" fillId="2" fontId="78" numFmtId="0" xfId="0" applyAlignment="1" applyBorder="1" applyFont="1">
      <alignment horizontal="left" vertical="center"/>
    </xf>
    <xf borderId="5" fillId="3" fontId="32" numFmtId="0" xfId="0" applyAlignment="1" applyBorder="1" applyFont="1">
      <alignment horizontal="left" vertical="center"/>
    </xf>
    <xf borderId="4" fillId="5" fontId="15" numFmtId="0" xfId="0" applyBorder="1" applyFont="1"/>
    <xf borderId="8" fillId="2" fontId="79" numFmtId="0" xfId="0" applyAlignment="1" applyBorder="1" applyFont="1">
      <alignment horizontal="left" vertical="center"/>
    </xf>
    <xf borderId="4" fillId="2" fontId="80" numFmtId="0" xfId="0" applyAlignment="1" applyBorder="1" applyFont="1">
      <alignment horizontal="left" vertical="center"/>
    </xf>
    <xf borderId="4" fillId="2" fontId="51" numFmtId="0" xfId="0" applyAlignment="1" applyBorder="1" applyFont="1">
      <alignment horizontal="left" shrinkToFit="0" vertical="center" wrapText="1"/>
    </xf>
    <xf borderId="4" fillId="5" fontId="51" numFmtId="0" xfId="0" applyAlignment="1" applyBorder="1" applyFont="1">
      <alignment horizontal="left" shrinkToFit="0" vertical="center" wrapText="1"/>
    </xf>
    <xf borderId="4" fillId="5" fontId="15" numFmtId="49" xfId="0" applyAlignment="1" applyBorder="1" applyFont="1" applyNumberFormat="1">
      <alignment horizontal="left" vertical="center"/>
    </xf>
    <xf borderId="4" fillId="5" fontId="15" numFmtId="0" xfId="0" applyAlignment="1" applyBorder="1" applyFont="1">
      <alignment horizontal="left" shrinkToFit="0" vertical="center" wrapText="1"/>
    </xf>
    <xf borderId="4" fillId="39" fontId="1" numFmtId="0" xfId="0" applyAlignment="1" applyBorder="1" applyFill="1" applyFont="1">
      <alignment horizontal="left" vertical="center"/>
    </xf>
    <xf borderId="5" fillId="2" fontId="51" numFmtId="0" xfId="0" applyAlignment="1" applyBorder="1" applyFont="1">
      <alignment horizontal="left" shrinkToFit="0" vertical="center" wrapText="1"/>
    </xf>
    <xf borderId="4" fillId="5" fontId="24" numFmtId="0" xfId="0" applyBorder="1" applyFont="1"/>
    <xf borderId="8" fillId="0" fontId="24" numFmtId="0" xfId="0" applyBorder="1" applyFont="1"/>
    <xf borderId="4" fillId="2" fontId="81" numFmtId="0" xfId="0" applyAlignment="1" applyBorder="1" applyFont="1">
      <alignment horizontal="left" vertical="center"/>
    </xf>
    <xf borderId="4" fillId="2" fontId="8" numFmtId="0" xfId="0" applyAlignment="1" applyBorder="1" applyFont="1">
      <alignment horizontal="left" shrinkToFit="0" vertical="center" wrapText="1"/>
    </xf>
    <xf borderId="5" fillId="4" fontId="11" numFmtId="0" xfId="0" applyAlignment="1" applyBorder="1" applyFont="1">
      <alignment horizontal="left" shrinkToFit="0" vertical="center" wrapText="1"/>
    </xf>
    <xf borderId="5" fillId="5" fontId="11" numFmtId="0" xfId="0" applyAlignment="1" applyBorder="1" applyFont="1">
      <alignment horizontal="left" shrinkToFit="0" vertical="center" wrapText="1"/>
    </xf>
    <xf borderId="5" fillId="17" fontId="1" numFmtId="0" xfId="0" applyAlignment="1" applyBorder="1" applyFont="1">
      <alignment horizontal="left" vertical="center"/>
    </xf>
    <xf borderId="5" fillId="20" fontId="1" numFmtId="0" xfId="0" applyAlignment="1" applyBorder="1" applyFont="1">
      <alignment horizontal="left" vertical="center"/>
    </xf>
    <xf borderId="0" fillId="0" fontId="7" numFmtId="0" xfId="0" applyAlignment="1" applyFont="1">
      <alignment horizontal="left" shrinkToFit="0" vertical="center" wrapText="1"/>
    </xf>
  </cellXfs>
  <cellStyles count="1">
    <cellStyle xfId="0" name="Normal" builtinId="0"/>
  </cellStyles>
  <dxfs count="30">
    <dxf>
      <font>
        <color theme="1"/>
      </font>
      <fill>
        <patternFill patternType="solid">
          <fgColor rgb="FFEFFDE3"/>
          <bgColor rgb="FFEFFDE3"/>
        </patternFill>
      </fill>
      <border/>
    </dxf>
    <dxf>
      <font/>
      <fill>
        <patternFill patternType="solid">
          <fgColor rgb="FFF7CAAC"/>
          <bgColor rgb="FFF7CAAC"/>
        </patternFill>
      </fill>
      <border/>
    </dxf>
    <dxf>
      <font>
        <color theme="1"/>
      </font>
      <fill>
        <patternFill patternType="solid">
          <fgColor rgb="FFEFFEE3"/>
          <bgColor rgb="FFEFFEE3"/>
        </patternFill>
      </fill>
      <border/>
    </dxf>
    <dxf>
      <font>
        <color rgb="FF506069"/>
      </font>
      <fill>
        <patternFill patternType="solid">
          <fgColor rgb="FF506069"/>
          <bgColor rgb="FF506069"/>
        </patternFill>
      </fill>
      <border/>
    </dxf>
    <dxf>
      <font>
        <color theme="0"/>
      </font>
      <fill>
        <patternFill patternType="solid">
          <fgColor rgb="FF506069"/>
          <bgColor rgb="FF506069"/>
        </patternFill>
      </fill>
      <border/>
    </dxf>
    <dxf>
      <font/>
      <fill>
        <patternFill patternType="solid">
          <fgColor rgb="FFEFFDE3"/>
          <bgColor rgb="FFEFFDE3"/>
        </patternFill>
      </fill>
      <border/>
    </dxf>
    <dxf>
      <font>
        <color rgb="FF505F69"/>
      </font>
      <fill>
        <patternFill patternType="solid">
          <fgColor rgb="FF505F69"/>
          <bgColor rgb="FF505F69"/>
        </patternFill>
      </fill>
      <border/>
    </dxf>
    <dxf>
      <font>
        <color theme="1"/>
      </font>
      <fill>
        <patternFill patternType="solid">
          <fgColor rgb="FFF9CBAD"/>
          <bgColor rgb="FFF9CBAD"/>
        </patternFill>
      </fill>
      <border/>
    </dxf>
    <dxf>
      <font>
        <color rgb="FF505E69"/>
      </font>
      <fill>
        <patternFill patternType="solid">
          <fgColor rgb="FF505E69"/>
          <bgColor rgb="FF505E69"/>
        </patternFill>
      </fill>
      <border/>
    </dxf>
    <dxf>
      <font>
        <color theme="0"/>
      </font>
      <fill>
        <patternFill patternType="solid">
          <fgColor rgb="FFCC082E"/>
          <bgColor rgb="FFCC082E"/>
        </patternFill>
      </fill>
      <border/>
    </dxf>
    <dxf>
      <font/>
      <fill>
        <patternFill patternType="solid">
          <fgColor rgb="FFF9CBAD"/>
          <bgColor rgb="FFF9CBAD"/>
        </patternFill>
      </fill>
      <border/>
    </dxf>
    <dxf>
      <font>
        <color theme="0"/>
      </font>
      <fill>
        <patternFill patternType="solid">
          <fgColor rgb="FFC00000"/>
          <bgColor rgb="FFC00000"/>
        </patternFill>
      </fill>
      <border/>
    </dxf>
    <dxf>
      <font>
        <color rgb="FF4F5F69"/>
      </font>
      <fill>
        <patternFill patternType="solid">
          <fgColor rgb="FF505E69"/>
          <bgColor rgb="FF505E69"/>
        </patternFill>
      </fill>
      <border/>
    </dxf>
    <dxf>
      <font>
        <color rgb="FF0E223A"/>
      </font>
      <fill>
        <patternFill patternType="solid">
          <fgColor rgb="FFEFFDE3"/>
          <bgColor rgb="FFEFFDE3"/>
        </patternFill>
      </fill>
      <border/>
    </dxf>
    <dxf>
      <font>
        <color rgb="FF0E223A"/>
      </font>
      <fill>
        <patternFill patternType="solid">
          <fgColor rgb="FFF9CBAD"/>
          <bgColor rgb="FFF9CBAD"/>
        </patternFill>
      </fill>
      <border/>
    </dxf>
    <dxf>
      <font>
        <color rgb="FF0E223A"/>
      </font>
      <fill>
        <patternFill patternType="solid">
          <fgColor rgb="FFEFFEE3"/>
          <bgColor rgb="FFEFFEE3"/>
        </patternFill>
      </fill>
      <border/>
    </dxf>
    <dxf>
      <font>
        <color rgb="FF4F5F69"/>
      </font>
      <fill>
        <patternFill patternType="solid">
          <fgColor rgb="FF505F69"/>
          <bgColor rgb="FF505F69"/>
        </patternFill>
      </fill>
      <border/>
    </dxf>
    <dxf>
      <font>
        <color rgb="FF4F5F69"/>
      </font>
      <fill>
        <patternFill patternType="solid">
          <fgColor rgb="FF4F5F69"/>
          <bgColor rgb="FF4F5F69"/>
        </patternFill>
      </fill>
      <border/>
    </dxf>
    <dxf>
      <font>
        <color theme="0"/>
      </font>
      <fill>
        <patternFill patternType="solid">
          <fgColor rgb="FFCC092F"/>
          <bgColor rgb="FFCC092F"/>
        </patternFill>
      </fill>
      <border/>
    </dxf>
    <dxf>
      <font>
        <color theme="1"/>
      </font>
      <fill>
        <patternFill patternType="solid">
          <fgColor rgb="FF3F3F3F"/>
          <bgColor rgb="FF3F3F3F"/>
        </patternFill>
      </fill>
      <border/>
    </dxf>
    <dxf>
      <font>
        <color rgb="FFF2F8F9"/>
      </font>
      <fill>
        <patternFill patternType="solid">
          <fgColor rgb="FFC00000"/>
          <bgColor rgb="FFC00000"/>
        </patternFill>
      </fill>
      <border/>
    </dxf>
    <dxf>
      <font>
        <color theme="1"/>
      </font>
      <fill>
        <patternFill patternType="solid">
          <fgColor rgb="FFFFBE29"/>
          <bgColor rgb="FFFFBE29"/>
        </patternFill>
      </fill>
      <border/>
    </dxf>
    <dxf>
      <font/>
      <fill>
        <patternFill patternType="solid">
          <fgColor rgb="FF3F3F3F"/>
          <bgColor rgb="FF3F3F3F"/>
        </patternFill>
      </fill>
      <border/>
    </dxf>
    <dxf>
      <font/>
      <fill>
        <patternFill patternType="solid">
          <fgColor rgb="FFEFFEE3"/>
          <bgColor rgb="FFEFFEE3"/>
        </patternFill>
      </fill>
      <border/>
    </dxf>
    <dxf>
      <font>
        <color theme="0"/>
      </font>
      <fill>
        <patternFill patternType="solid">
          <fgColor rgb="FF505F69"/>
          <bgColor rgb="FF505F69"/>
        </patternFill>
      </fill>
      <border/>
    </dxf>
    <dxf>
      <font>
        <color rgb="FF0E223A"/>
      </font>
      <fill>
        <patternFill patternType="solid">
          <fgColor rgb="FFFFBE29"/>
          <bgColor rgb="FFFFBE29"/>
        </patternFill>
      </fill>
      <border/>
    </dxf>
    <dxf>
      <font>
        <color rgb="FF006100"/>
      </font>
      <fill>
        <patternFill patternType="solid">
          <fgColor rgb="FFC6EFCE"/>
          <bgColor rgb="FFC6EFCE"/>
        </patternFill>
      </fill>
      <border/>
    </dxf>
    <dxf>
      <font/>
      <fill>
        <patternFill patternType="solid">
          <fgColor rgb="FFF8CBAD"/>
          <bgColor rgb="FFF8CBAD"/>
        </patternFill>
      </fill>
      <border/>
    </dxf>
    <dxf>
      <font/>
      <fill>
        <patternFill patternType="solid">
          <fgColor rgb="FFE2EFD9"/>
          <bgColor rgb="FFE2EFD9"/>
        </patternFill>
      </fill>
      <border/>
    </dxf>
    <dxf>
      <font>
        <color rgb="FFF9CBAD"/>
      </font>
      <fill>
        <patternFill patternType="solid">
          <fgColor rgb="FFF9CBAD"/>
          <bgColor rgb="FFF9CBA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9525</xdr:rowOff>
    </xdr:from>
    <xdr:ext cx="685800"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28575</xdr:colOff>
      <xdr:row>7</xdr:row>
      <xdr:rowOff>123825</xdr:rowOff>
    </xdr:from>
    <xdr:ext cx="5534025" cy="3228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1437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1</xdr:row>
      <xdr:rowOff>28575</xdr:rowOff>
    </xdr:from>
    <xdr:ext cx="733425" cy="657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200025</xdr:colOff>
      <xdr:row>4</xdr:row>
      <xdr:rowOff>57150</xdr:rowOff>
    </xdr:from>
    <xdr:ext cx="3257550" cy="19050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0485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0485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38100</xdr:rowOff>
    </xdr:from>
    <xdr:ext cx="71437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xdr:row>
      <xdr:rowOff>0</xdr:rowOff>
    </xdr:from>
    <xdr:ext cx="704850"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19050</xdr:rowOff>
    </xdr:from>
    <xdr:ext cx="714375" cy="666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71437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38100</xdr:colOff>
      <xdr:row>1</xdr:row>
      <xdr:rowOff>38100</xdr:rowOff>
    </xdr:from>
    <xdr:ext cx="6677025" cy="6191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xdr:row>
      <xdr:rowOff>19050</xdr:rowOff>
    </xdr:from>
    <xdr:ext cx="704850" cy="666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1437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0485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0485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0485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1437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0485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1437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1437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1437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1437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echdocs.broadcom.com/us/en/vmware-cis/vcf/vvs/9-X/site-protection-and-disaster-recovery-for-vmware-cloud-foundation.html" TargetMode="External"/><Relationship Id="rId2" Type="http://schemas.openxmlformats.org/officeDocument/2006/relationships/hyperlink" Target="https://techdocs.broadcom.com/us/en/vmware-cis/vcf/vvs/9-X/on-prem-ransomware-recovery-for-vmware-cloud-foundation.html" TargetMode="External"/><Relationship Id="rId3" Type="http://schemas.openxmlformats.org/officeDocument/2006/relationships/hyperlink" Target="https://docs.vmware.com/en/VMware-Cloud-Foundation/services/vcf-cross-cloud-mobility-v1/GUID-20440B6A-0805-4A73-88A9-DD431088791C.html"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my_offline_depot@rainpole.i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lax01-w01-r01-esx12.lax.rainpole.io" TargetMode="External"/><Relationship Id="rId10" Type="http://schemas.openxmlformats.org/officeDocument/2006/relationships/hyperlink" Target="http://lax01-w01-r01-esx11.lax.rainpole.io" TargetMode="External"/><Relationship Id="rId13" Type="http://schemas.openxmlformats.org/officeDocument/2006/relationships/hyperlink" Target="http://lax01-w01-r01-esx14.lax.rainpole.io" TargetMode="External"/><Relationship Id="rId12" Type="http://schemas.openxmlformats.org/officeDocument/2006/relationships/hyperlink" Target="http://lax01-w01-r01-esx13.lax.rainpole.io" TargetMode="External"/><Relationship Id="rId1" Type="http://schemas.openxmlformats.org/officeDocument/2006/relationships/hyperlink" Target="http://lax01-w01-r01-esx02.lax.rainpole.io" TargetMode="External"/><Relationship Id="rId2" Type="http://schemas.openxmlformats.org/officeDocument/2006/relationships/hyperlink" Target="http://lax01-w01-r01-esx03.lax.rainpole.io" TargetMode="External"/><Relationship Id="rId3" Type="http://schemas.openxmlformats.org/officeDocument/2006/relationships/hyperlink" Target="http://lax01-w01-r01-esx04.lax.rainpole.io" TargetMode="External"/><Relationship Id="rId4" Type="http://schemas.openxmlformats.org/officeDocument/2006/relationships/hyperlink" Target="http://lax01-w01-r01-esx05.lax.rainpole.io" TargetMode="External"/><Relationship Id="rId9" Type="http://schemas.openxmlformats.org/officeDocument/2006/relationships/hyperlink" Target="http://lax01-w01-r01-esx10.lax.rainpole.io" TargetMode="External"/><Relationship Id="rId15" Type="http://schemas.openxmlformats.org/officeDocument/2006/relationships/hyperlink" Target="http://lax01-w01-r01-esx16.lax.rainpole.io" TargetMode="External"/><Relationship Id="rId14" Type="http://schemas.openxmlformats.org/officeDocument/2006/relationships/hyperlink" Target="http://lax01-w01-r01-esx15.lax.rainpole.io" TargetMode="External"/><Relationship Id="rId16" Type="http://schemas.openxmlformats.org/officeDocument/2006/relationships/drawing" Target="../drawings/drawing7.xml"/><Relationship Id="rId5" Type="http://schemas.openxmlformats.org/officeDocument/2006/relationships/hyperlink" Target="http://lax01-w01-r01-esx06.lax.rainpole.io" TargetMode="External"/><Relationship Id="rId6" Type="http://schemas.openxmlformats.org/officeDocument/2006/relationships/hyperlink" Target="http://lax01-w01-r01-esx07.lax.rainpole.io" TargetMode="External"/><Relationship Id="rId7" Type="http://schemas.openxmlformats.org/officeDocument/2006/relationships/hyperlink" Target="http://lax01-w01-r01-esx08.lax.rainpole.io" TargetMode="External"/><Relationship Id="rId8" Type="http://schemas.openxmlformats.org/officeDocument/2006/relationships/hyperlink" Target="http://lax01-w01-r01-esx09.lax.rainpole.io"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lax01-w01-r01-esx12.lax.rainpole.io" TargetMode="External"/><Relationship Id="rId10" Type="http://schemas.openxmlformats.org/officeDocument/2006/relationships/hyperlink" Target="http://lax01-w01-r01-esx11.lax.rainpole.io" TargetMode="External"/><Relationship Id="rId13" Type="http://schemas.openxmlformats.org/officeDocument/2006/relationships/hyperlink" Target="http://lax01-w01-r01-esx14.lax.rainpole.io" TargetMode="External"/><Relationship Id="rId12" Type="http://schemas.openxmlformats.org/officeDocument/2006/relationships/hyperlink" Target="http://lax01-w01-r01-esx13.lax.rainpole.io" TargetMode="External"/><Relationship Id="rId1" Type="http://schemas.openxmlformats.org/officeDocument/2006/relationships/hyperlink" Target="http://lax01-w01-r01-esx02.lax.rainpole.io" TargetMode="External"/><Relationship Id="rId2" Type="http://schemas.openxmlformats.org/officeDocument/2006/relationships/hyperlink" Target="http://lax01-w01-r01-esx03.lax.rainpole.io" TargetMode="External"/><Relationship Id="rId3" Type="http://schemas.openxmlformats.org/officeDocument/2006/relationships/hyperlink" Target="http://lax01-w01-r01-esx04.lax.rainpole.io" TargetMode="External"/><Relationship Id="rId4" Type="http://schemas.openxmlformats.org/officeDocument/2006/relationships/hyperlink" Target="http://lax01-w01-r01-esx05.lax.rainpole.io" TargetMode="External"/><Relationship Id="rId9" Type="http://schemas.openxmlformats.org/officeDocument/2006/relationships/hyperlink" Target="http://lax01-w01-r01-esx10.lax.rainpole.io" TargetMode="External"/><Relationship Id="rId15" Type="http://schemas.openxmlformats.org/officeDocument/2006/relationships/hyperlink" Target="http://lax01-w01-r01-esx16.lax.rainpole.io" TargetMode="External"/><Relationship Id="rId14" Type="http://schemas.openxmlformats.org/officeDocument/2006/relationships/hyperlink" Target="http://lax01-w01-r01-esx15.lax.rainpole.io" TargetMode="External"/><Relationship Id="rId16" Type="http://schemas.openxmlformats.org/officeDocument/2006/relationships/drawing" Target="../drawings/drawing10.xml"/><Relationship Id="rId5" Type="http://schemas.openxmlformats.org/officeDocument/2006/relationships/hyperlink" Target="http://lax01-w01-r01-esx06.lax.rainpole.io" TargetMode="External"/><Relationship Id="rId6" Type="http://schemas.openxmlformats.org/officeDocument/2006/relationships/hyperlink" Target="http://lax01-w01-r01-esx07.lax.rainpole.io" TargetMode="External"/><Relationship Id="rId7" Type="http://schemas.openxmlformats.org/officeDocument/2006/relationships/hyperlink" Target="http://lax01-w01-r01-esx08.lax.rainpole.io" TargetMode="External"/><Relationship Id="rId8" Type="http://schemas.openxmlformats.org/officeDocument/2006/relationships/hyperlink" Target="http://lax01-w01-r01-esx09.lax.rainpole.io"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3" Type="http://schemas.openxmlformats.org/officeDocument/2006/relationships/hyperlink" Target="mailto:administrator@vsphere.local"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63.78"/>
    <col customWidth="1" min="3" max="3" width="54.78"/>
    <col customWidth="1" min="4" max="4" width="65.78"/>
    <col customWidth="1" min="5" max="5" width="99.44"/>
    <col customWidth="1" min="6" max="26" width="10.78"/>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54.0" customHeight="1">
      <c r="A2" s="1"/>
      <c r="B2" s="2" t="s">
        <v>0</v>
      </c>
      <c r="C2" s="3"/>
      <c r="D2" s="3"/>
      <c r="E2" s="4"/>
      <c r="F2" s="5"/>
      <c r="G2" s="5"/>
      <c r="H2" s="1"/>
      <c r="I2" s="1"/>
      <c r="J2" s="1"/>
      <c r="K2" s="1"/>
      <c r="L2" s="1"/>
      <c r="M2" s="1"/>
      <c r="N2" s="1"/>
      <c r="O2" s="1"/>
      <c r="P2" s="1"/>
      <c r="Q2" s="1"/>
      <c r="R2" s="1"/>
      <c r="S2" s="1"/>
      <c r="T2" s="1"/>
      <c r="U2" s="1"/>
      <c r="V2" s="1"/>
      <c r="W2" s="1"/>
      <c r="X2" s="1"/>
      <c r="Y2" s="1"/>
      <c r="Z2" s="1"/>
    </row>
    <row r="3" ht="19.5" customHeight="1">
      <c r="A3" s="1"/>
      <c r="B3" s="6" t="s">
        <v>1</v>
      </c>
      <c r="C3" s="7"/>
      <c r="D3" s="3"/>
      <c r="E3" s="4"/>
      <c r="F3" s="8"/>
      <c r="G3" s="8"/>
      <c r="H3" s="1"/>
      <c r="I3" s="1"/>
      <c r="J3" s="1"/>
      <c r="K3" s="1"/>
      <c r="L3" s="1"/>
      <c r="M3" s="1"/>
      <c r="N3" s="1"/>
      <c r="O3" s="1"/>
      <c r="P3" s="1"/>
      <c r="Q3" s="1"/>
      <c r="R3" s="1"/>
      <c r="S3" s="1"/>
      <c r="T3" s="1"/>
      <c r="U3" s="1"/>
      <c r="V3" s="1"/>
      <c r="W3" s="1"/>
      <c r="X3" s="1"/>
      <c r="Y3" s="1"/>
      <c r="Z3" s="1"/>
    </row>
    <row r="4" ht="15.75" customHeight="1">
      <c r="A4" s="1"/>
      <c r="B4" s="1"/>
      <c r="C4" s="9"/>
      <c r="D4" s="10"/>
      <c r="E4" s="10"/>
      <c r="F4" s="1"/>
      <c r="G4" s="1"/>
      <c r="H4" s="1"/>
      <c r="I4" s="1"/>
      <c r="J4" s="1"/>
      <c r="K4" s="1"/>
      <c r="L4" s="1"/>
      <c r="M4" s="1"/>
      <c r="N4" s="1"/>
      <c r="O4" s="1"/>
      <c r="P4" s="1"/>
      <c r="Q4" s="1"/>
      <c r="R4" s="1"/>
      <c r="S4" s="1"/>
      <c r="T4" s="1"/>
      <c r="U4" s="1"/>
      <c r="V4" s="1"/>
      <c r="W4" s="1"/>
      <c r="X4" s="1"/>
      <c r="Y4" s="1"/>
      <c r="Z4" s="1"/>
    </row>
    <row r="5" ht="15.75" customHeight="1">
      <c r="A5" s="1"/>
      <c r="B5" s="1"/>
      <c r="C5" s="9"/>
      <c r="D5" s="10"/>
      <c r="E5" s="10"/>
      <c r="F5" s="1"/>
      <c r="G5" s="1"/>
      <c r="H5" s="1"/>
      <c r="I5" s="1"/>
      <c r="J5" s="1"/>
      <c r="K5" s="1"/>
      <c r="L5" s="1"/>
      <c r="M5" s="1"/>
      <c r="N5" s="1"/>
      <c r="O5" s="1"/>
      <c r="P5" s="1"/>
      <c r="Q5" s="1"/>
      <c r="R5" s="1"/>
      <c r="S5" s="1"/>
      <c r="T5" s="1"/>
      <c r="U5" s="1"/>
      <c r="V5" s="1"/>
      <c r="W5" s="1"/>
      <c r="X5" s="1"/>
      <c r="Y5" s="1"/>
      <c r="Z5" s="1"/>
    </row>
    <row r="6" ht="33.75" customHeight="1">
      <c r="A6" s="11"/>
      <c r="B6" s="12" t="s">
        <v>2</v>
      </c>
      <c r="C6" s="13"/>
      <c r="D6" s="13"/>
      <c r="E6" s="14"/>
      <c r="F6" s="11"/>
      <c r="G6" s="11"/>
      <c r="H6" s="11"/>
      <c r="I6" s="11"/>
      <c r="J6" s="11"/>
      <c r="K6" s="11"/>
      <c r="L6" s="11"/>
      <c r="M6" s="11"/>
      <c r="N6" s="11"/>
      <c r="O6" s="11"/>
      <c r="P6" s="11"/>
      <c r="Q6" s="11"/>
      <c r="R6" s="11"/>
      <c r="S6" s="11"/>
      <c r="T6" s="11"/>
      <c r="U6" s="11"/>
      <c r="V6" s="11"/>
      <c r="W6" s="11"/>
      <c r="X6" s="11"/>
      <c r="Y6" s="11"/>
      <c r="Z6" s="11"/>
    </row>
    <row r="7" ht="19.5" customHeight="1">
      <c r="A7" s="1"/>
      <c r="B7" s="15" t="s">
        <v>3</v>
      </c>
      <c r="C7" s="16" t="s">
        <v>4</v>
      </c>
      <c r="D7" s="17" t="s">
        <v>5</v>
      </c>
      <c r="E7" s="14"/>
      <c r="F7" s="1"/>
      <c r="G7" s="1"/>
      <c r="H7" s="1"/>
      <c r="I7" s="1"/>
      <c r="J7" s="1"/>
      <c r="K7" s="1"/>
      <c r="L7" s="1"/>
      <c r="M7" s="1"/>
      <c r="N7" s="1"/>
      <c r="O7" s="1"/>
      <c r="P7" s="1"/>
      <c r="Q7" s="1"/>
      <c r="R7" s="1"/>
      <c r="S7" s="1"/>
      <c r="T7" s="1"/>
      <c r="U7" s="1"/>
      <c r="V7" s="1"/>
      <c r="W7" s="1"/>
      <c r="X7" s="1"/>
      <c r="Y7" s="1"/>
      <c r="Z7" s="1"/>
    </row>
    <row r="8" ht="15.75" customHeight="1">
      <c r="A8" s="1"/>
      <c r="B8" s="18" t="s">
        <v>6</v>
      </c>
      <c r="C8" s="19" t="s">
        <v>7</v>
      </c>
      <c r="D8" s="20" t="s">
        <v>8</v>
      </c>
      <c r="E8" s="14"/>
      <c r="F8" s="1"/>
      <c r="G8" s="1"/>
      <c r="H8" s="1"/>
      <c r="I8" s="1"/>
      <c r="J8" s="1"/>
      <c r="K8" s="1"/>
      <c r="L8" s="1"/>
      <c r="M8" s="1"/>
      <c r="N8" s="1"/>
      <c r="O8" s="1"/>
      <c r="P8" s="1"/>
      <c r="Q8" s="1"/>
      <c r="R8" s="1"/>
      <c r="S8" s="1"/>
      <c r="T8" s="1"/>
      <c r="U8" s="1"/>
      <c r="V8" s="1"/>
      <c r="W8" s="1"/>
      <c r="X8" s="1"/>
      <c r="Y8" s="1"/>
      <c r="Z8" s="1"/>
    </row>
    <row r="9" ht="19.5" customHeight="1">
      <c r="A9" s="1"/>
      <c r="B9" s="18" t="s">
        <v>9</v>
      </c>
      <c r="C9" s="21" t="s">
        <v>10</v>
      </c>
      <c r="D9" s="20" t="s">
        <v>11</v>
      </c>
      <c r="E9" s="14"/>
      <c r="F9" s="1"/>
      <c r="G9" s="1"/>
      <c r="H9" s="1"/>
      <c r="I9" s="1"/>
      <c r="J9" s="1"/>
      <c r="K9" s="1"/>
      <c r="L9" s="1"/>
      <c r="M9" s="1"/>
      <c r="N9" s="1"/>
      <c r="O9" s="1"/>
      <c r="P9" s="1"/>
      <c r="Q9" s="1"/>
      <c r="R9" s="1"/>
      <c r="S9" s="1"/>
      <c r="T9" s="1"/>
      <c r="U9" s="1"/>
      <c r="V9" s="1"/>
      <c r="W9" s="1"/>
      <c r="X9" s="1"/>
      <c r="Y9" s="1"/>
      <c r="Z9" s="1"/>
    </row>
    <row r="10" ht="49.5" customHeight="1">
      <c r="A10" s="1"/>
      <c r="B10" s="18" t="s">
        <v>12</v>
      </c>
      <c r="C10" s="21" t="s">
        <v>10</v>
      </c>
      <c r="D10" s="20" t="s">
        <v>13</v>
      </c>
      <c r="E10" s="14"/>
      <c r="F10" s="1"/>
      <c r="G10" s="1"/>
      <c r="H10" s="1"/>
      <c r="I10" s="1"/>
      <c r="J10" s="1"/>
      <c r="K10" s="1"/>
      <c r="L10" s="1"/>
      <c r="M10" s="1"/>
      <c r="N10" s="1"/>
      <c r="O10" s="1"/>
      <c r="P10" s="1"/>
      <c r="Q10" s="1"/>
      <c r="R10" s="1"/>
      <c r="S10" s="1"/>
      <c r="T10" s="1"/>
      <c r="U10" s="1"/>
      <c r="V10" s="1"/>
      <c r="W10" s="1"/>
      <c r="X10" s="1"/>
      <c r="Y10" s="1"/>
      <c r="Z10" s="1"/>
    </row>
    <row r="11" ht="49.5" customHeight="1">
      <c r="A11" s="1"/>
      <c r="B11" s="18" t="s">
        <v>14</v>
      </c>
      <c r="C11" s="21" t="s">
        <v>15</v>
      </c>
      <c r="D11" s="20" t="s">
        <v>16</v>
      </c>
      <c r="E11" s="14"/>
      <c r="F11" s="1"/>
      <c r="G11" s="1"/>
      <c r="H11" s="1"/>
      <c r="I11" s="1"/>
      <c r="J11" s="1"/>
      <c r="K11" s="1"/>
      <c r="L11" s="1"/>
      <c r="M11" s="1"/>
      <c r="N11" s="1"/>
      <c r="O11" s="1"/>
      <c r="P11" s="1"/>
      <c r="Q11" s="1"/>
      <c r="R11" s="1"/>
      <c r="S11" s="1"/>
      <c r="T11" s="1"/>
      <c r="U11" s="1"/>
      <c r="V11" s="1"/>
      <c r="W11" s="1"/>
      <c r="X11" s="1"/>
      <c r="Y11" s="1"/>
      <c r="Z11" s="1"/>
    </row>
    <row r="12" ht="96.0" customHeight="1">
      <c r="A12" s="1"/>
      <c r="B12" s="18" t="s">
        <v>17</v>
      </c>
      <c r="C12" s="21" t="s">
        <v>10</v>
      </c>
      <c r="D12" s="22" t="s">
        <v>18</v>
      </c>
      <c r="E12" s="14"/>
      <c r="F12" s="1"/>
      <c r="G12" s="1"/>
      <c r="H12" s="1"/>
      <c r="I12" s="1"/>
      <c r="J12" s="1"/>
      <c r="K12" s="1"/>
      <c r="L12" s="1"/>
      <c r="M12" s="1"/>
      <c r="N12" s="1"/>
      <c r="O12" s="1"/>
      <c r="P12" s="1"/>
      <c r="Q12" s="1"/>
      <c r="R12" s="1"/>
      <c r="S12" s="1"/>
      <c r="T12" s="1"/>
      <c r="U12" s="1"/>
      <c r="V12" s="1"/>
      <c r="W12" s="1"/>
      <c r="X12" s="1"/>
      <c r="Y12" s="1"/>
      <c r="Z12" s="1"/>
    </row>
    <row r="13" ht="90.0" customHeight="1">
      <c r="A13" s="1"/>
      <c r="B13" s="18" t="s">
        <v>19</v>
      </c>
      <c r="C13" s="21" t="s">
        <v>10</v>
      </c>
      <c r="D13" s="22" t="s">
        <v>20</v>
      </c>
      <c r="E13" s="14"/>
      <c r="F13" s="1"/>
      <c r="G13" s="1"/>
      <c r="H13" s="1"/>
      <c r="I13" s="1"/>
      <c r="J13" s="1"/>
      <c r="K13" s="1"/>
      <c r="L13" s="1"/>
      <c r="M13" s="1"/>
      <c r="N13" s="1"/>
      <c r="O13" s="1"/>
      <c r="P13" s="1"/>
      <c r="Q13" s="1"/>
      <c r="R13" s="1"/>
      <c r="S13" s="1"/>
      <c r="T13" s="1"/>
      <c r="U13" s="1"/>
      <c r="V13" s="1"/>
      <c r="W13" s="1"/>
      <c r="X13" s="1"/>
      <c r="Y13" s="1"/>
      <c r="Z13" s="1"/>
    </row>
    <row r="14" ht="90.0" customHeight="1">
      <c r="A14" s="1"/>
      <c r="B14" s="18" t="s">
        <v>21</v>
      </c>
      <c r="C14" s="21" t="s">
        <v>10</v>
      </c>
      <c r="D14" s="22" t="s">
        <v>22</v>
      </c>
      <c r="E14" s="14"/>
      <c r="F14" s="1"/>
      <c r="G14" s="1"/>
      <c r="H14" s="1"/>
      <c r="I14" s="1"/>
      <c r="J14" s="1"/>
      <c r="K14" s="1"/>
      <c r="L14" s="1"/>
      <c r="M14" s="1"/>
      <c r="N14" s="1"/>
      <c r="O14" s="1"/>
      <c r="P14" s="1"/>
      <c r="Q14" s="1"/>
      <c r="R14" s="1"/>
      <c r="S14" s="1"/>
      <c r="T14" s="1"/>
      <c r="U14" s="1"/>
      <c r="V14" s="1"/>
      <c r="W14" s="1"/>
      <c r="X14" s="1"/>
      <c r="Y14" s="1"/>
      <c r="Z14" s="1"/>
    </row>
    <row r="15" ht="15.75" customHeight="1">
      <c r="A15" s="1"/>
      <c r="B15" s="18" t="s">
        <v>23</v>
      </c>
      <c r="C15" s="21" t="s">
        <v>10</v>
      </c>
      <c r="D15" s="22" t="s">
        <v>24</v>
      </c>
      <c r="E15" s="23"/>
      <c r="F15" s="1"/>
      <c r="G15" s="1"/>
      <c r="H15" s="1"/>
      <c r="I15" s="1"/>
      <c r="J15" s="1"/>
      <c r="K15" s="1"/>
      <c r="L15" s="1"/>
      <c r="M15" s="1"/>
      <c r="N15" s="1"/>
      <c r="O15" s="1"/>
      <c r="P15" s="1"/>
      <c r="Q15" s="1"/>
      <c r="R15" s="1"/>
      <c r="S15" s="1"/>
      <c r="T15" s="1"/>
      <c r="U15" s="1"/>
      <c r="V15" s="1"/>
      <c r="W15" s="1"/>
      <c r="X15" s="1"/>
      <c r="Y15" s="1"/>
      <c r="Z15" s="1"/>
    </row>
    <row r="16" ht="15.75" customHeight="1">
      <c r="A16" s="1"/>
      <c r="B16" s="18" t="s">
        <v>25</v>
      </c>
      <c r="C16" s="21" t="s">
        <v>10</v>
      </c>
      <c r="D16" s="22" t="s">
        <v>24</v>
      </c>
      <c r="E16" s="23"/>
      <c r="F16" s="1"/>
      <c r="G16" s="1"/>
      <c r="H16" s="1"/>
      <c r="I16" s="1"/>
      <c r="J16" s="1"/>
      <c r="K16" s="1"/>
      <c r="L16" s="1"/>
      <c r="M16" s="1"/>
      <c r="N16" s="1"/>
      <c r="O16" s="1"/>
      <c r="P16" s="1"/>
      <c r="Q16" s="1"/>
      <c r="R16" s="1"/>
      <c r="S16" s="1"/>
      <c r="T16" s="1"/>
      <c r="U16" s="1"/>
      <c r="V16" s="1"/>
      <c r="W16" s="1"/>
      <c r="X16" s="1"/>
      <c r="Y16" s="1"/>
      <c r="Z16" s="1"/>
    </row>
    <row r="17" ht="15.75" customHeight="1">
      <c r="A17" s="1"/>
      <c r="B17" s="18" t="s">
        <v>26</v>
      </c>
      <c r="C17" s="19" t="s">
        <v>27</v>
      </c>
      <c r="D17" s="24" t="s">
        <v>28</v>
      </c>
      <c r="E17" s="14"/>
      <c r="F17" s="1"/>
      <c r="G17" s="1"/>
      <c r="H17" s="1"/>
      <c r="I17" s="1"/>
      <c r="J17" s="1"/>
      <c r="K17" s="1"/>
      <c r="L17" s="1"/>
      <c r="M17" s="1"/>
      <c r="N17" s="1"/>
      <c r="O17" s="1"/>
      <c r="P17" s="1"/>
      <c r="Q17" s="1"/>
      <c r="R17" s="1"/>
      <c r="S17" s="1"/>
      <c r="T17" s="1"/>
      <c r="U17" s="1"/>
      <c r="V17" s="1"/>
      <c r="W17" s="1"/>
      <c r="X17" s="1"/>
      <c r="Y17" s="1"/>
      <c r="Z17" s="1"/>
    </row>
    <row r="18" ht="15.75" customHeight="1">
      <c r="A18" s="1"/>
      <c r="B18" s="1"/>
      <c r="C18" s="9"/>
      <c r="D18" s="10"/>
      <c r="E18" s="10"/>
      <c r="F18" s="1"/>
      <c r="G18" s="1"/>
      <c r="H18" s="1"/>
      <c r="I18" s="1"/>
      <c r="J18" s="1"/>
      <c r="K18" s="1"/>
      <c r="L18" s="1"/>
      <c r="M18" s="1"/>
      <c r="N18" s="1"/>
      <c r="O18" s="1"/>
      <c r="P18" s="1"/>
      <c r="Q18" s="1"/>
      <c r="R18" s="1"/>
      <c r="S18" s="1"/>
      <c r="T18" s="1"/>
      <c r="U18" s="1"/>
      <c r="V18" s="1"/>
      <c r="W18" s="1"/>
      <c r="X18" s="1"/>
      <c r="Y18" s="1"/>
      <c r="Z18" s="1"/>
    </row>
    <row r="19" ht="33.75" customHeight="1">
      <c r="A19" s="11"/>
      <c r="B19" s="12" t="s">
        <v>29</v>
      </c>
      <c r="C19" s="13"/>
      <c r="D19" s="13"/>
      <c r="E19" s="14"/>
      <c r="F19" s="11"/>
      <c r="G19" s="11"/>
      <c r="H19" s="11"/>
      <c r="I19" s="11"/>
      <c r="J19" s="11"/>
      <c r="K19" s="11"/>
      <c r="L19" s="11"/>
      <c r="M19" s="11"/>
      <c r="N19" s="11"/>
      <c r="O19" s="11"/>
      <c r="P19" s="11"/>
      <c r="Q19" s="11"/>
      <c r="R19" s="11"/>
      <c r="S19" s="11"/>
      <c r="T19" s="11"/>
      <c r="U19" s="11"/>
      <c r="V19" s="11"/>
      <c r="W19" s="11"/>
      <c r="X19" s="11"/>
      <c r="Y19" s="11"/>
      <c r="Z19" s="11"/>
    </row>
    <row r="20" ht="19.5" customHeight="1">
      <c r="A20" s="1"/>
      <c r="B20" s="15" t="s">
        <v>3</v>
      </c>
      <c r="C20" s="16" t="s">
        <v>4</v>
      </c>
      <c r="D20" s="17" t="s">
        <v>5</v>
      </c>
      <c r="E20" s="14"/>
      <c r="F20" s="1"/>
      <c r="G20" s="1"/>
      <c r="H20" s="1"/>
      <c r="I20" s="1"/>
      <c r="J20" s="1"/>
      <c r="K20" s="1"/>
      <c r="L20" s="1"/>
      <c r="M20" s="1"/>
      <c r="N20" s="1"/>
      <c r="O20" s="1"/>
      <c r="P20" s="1"/>
      <c r="Q20" s="1"/>
      <c r="R20" s="1"/>
      <c r="S20" s="1"/>
      <c r="T20" s="1"/>
      <c r="U20" s="1"/>
      <c r="V20" s="1"/>
      <c r="W20" s="1"/>
      <c r="X20" s="1"/>
      <c r="Y20" s="1"/>
      <c r="Z20" s="1"/>
    </row>
    <row r="21" ht="19.5" customHeight="1">
      <c r="A21" s="1"/>
      <c r="B21" s="18" t="s">
        <v>30</v>
      </c>
      <c r="C21" s="21" t="s">
        <v>31</v>
      </c>
      <c r="D21" s="25" t="s">
        <v>32</v>
      </c>
      <c r="E21" s="26"/>
      <c r="F21" s="1"/>
      <c r="G21" s="1"/>
      <c r="H21" s="1"/>
      <c r="I21" s="1"/>
      <c r="J21" s="1"/>
      <c r="K21" s="1"/>
      <c r="L21" s="1"/>
      <c r="M21" s="1"/>
      <c r="N21" s="1"/>
      <c r="O21" s="1"/>
      <c r="P21" s="1"/>
      <c r="Q21" s="1"/>
      <c r="R21" s="1"/>
      <c r="S21" s="1"/>
      <c r="T21" s="1"/>
      <c r="U21" s="1"/>
      <c r="V21" s="1"/>
      <c r="W21" s="1"/>
      <c r="X21" s="1"/>
      <c r="Y21" s="1"/>
      <c r="Z21" s="1"/>
    </row>
    <row r="22" ht="19.5" customHeight="1">
      <c r="A22" s="1"/>
      <c r="B22" s="18" t="s">
        <v>9</v>
      </c>
      <c r="C22" s="21" t="s">
        <v>15</v>
      </c>
      <c r="D22" s="27"/>
      <c r="E22" s="28"/>
      <c r="F22" s="1"/>
      <c r="G22" s="1"/>
      <c r="H22" s="1"/>
      <c r="I22" s="1"/>
      <c r="J22" s="1"/>
      <c r="K22" s="1"/>
      <c r="L22" s="1"/>
      <c r="M22" s="1"/>
      <c r="N22" s="1"/>
      <c r="O22" s="1"/>
      <c r="P22" s="1"/>
      <c r="Q22" s="1"/>
      <c r="R22" s="1"/>
      <c r="S22" s="1"/>
      <c r="T22" s="1"/>
      <c r="U22" s="1"/>
      <c r="V22" s="1"/>
      <c r="W22" s="1"/>
      <c r="X22" s="1"/>
      <c r="Y22" s="1"/>
      <c r="Z22" s="1"/>
    </row>
    <row r="23" ht="19.5" customHeight="1">
      <c r="A23" s="1"/>
      <c r="B23" s="18" t="s">
        <v>12</v>
      </c>
      <c r="C23" s="21" t="s">
        <v>15</v>
      </c>
      <c r="D23" s="27"/>
      <c r="E23" s="28"/>
      <c r="F23" s="1"/>
      <c r="G23" s="1"/>
      <c r="H23" s="1"/>
      <c r="I23" s="1"/>
      <c r="J23" s="1"/>
      <c r="K23" s="1"/>
      <c r="L23" s="1"/>
      <c r="M23" s="1"/>
      <c r="N23" s="1"/>
      <c r="O23" s="1"/>
      <c r="P23" s="1"/>
      <c r="Q23" s="1"/>
      <c r="R23" s="1"/>
      <c r="S23" s="1"/>
      <c r="T23" s="1"/>
      <c r="U23" s="1"/>
      <c r="V23" s="1"/>
      <c r="W23" s="1"/>
      <c r="X23" s="1"/>
      <c r="Y23" s="1"/>
      <c r="Z23" s="1"/>
    </row>
    <row r="24" ht="19.5" customHeight="1">
      <c r="A24" s="1"/>
      <c r="B24" s="18" t="s">
        <v>14</v>
      </c>
      <c r="C24" s="21" t="s">
        <v>15</v>
      </c>
      <c r="D24" s="27"/>
      <c r="E24" s="28"/>
      <c r="F24" s="1"/>
      <c r="G24" s="1"/>
      <c r="H24" s="1"/>
      <c r="I24" s="1"/>
      <c r="J24" s="1"/>
      <c r="K24" s="1"/>
      <c r="L24" s="1"/>
      <c r="M24" s="1"/>
      <c r="N24" s="1"/>
      <c r="O24" s="1"/>
      <c r="P24" s="1"/>
      <c r="Q24" s="1"/>
      <c r="R24" s="1"/>
      <c r="S24" s="1"/>
      <c r="T24" s="1"/>
      <c r="U24" s="1"/>
      <c r="V24" s="1"/>
      <c r="W24" s="1"/>
      <c r="X24" s="1"/>
      <c r="Y24" s="1"/>
      <c r="Z24" s="1"/>
    </row>
    <row r="25" ht="19.5" customHeight="1">
      <c r="A25" s="1"/>
      <c r="B25" s="18" t="s">
        <v>33</v>
      </c>
      <c r="C25" s="21" t="s">
        <v>15</v>
      </c>
      <c r="D25" s="27"/>
      <c r="E25" s="28"/>
      <c r="F25" s="1"/>
      <c r="G25" s="1"/>
      <c r="H25" s="1"/>
      <c r="I25" s="1"/>
      <c r="J25" s="1"/>
      <c r="K25" s="1"/>
      <c r="L25" s="1"/>
      <c r="M25" s="1"/>
      <c r="N25" s="1"/>
      <c r="O25" s="1"/>
      <c r="P25" s="1"/>
      <c r="Q25" s="1"/>
      <c r="R25" s="1"/>
      <c r="S25" s="1"/>
      <c r="T25" s="1"/>
      <c r="U25" s="1"/>
      <c r="V25" s="1"/>
      <c r="W25" s="1"/>
      <c r="X25" s="1"/>
      <c r="Y25" s="1"/>
      <c r="Z25" s="1"/>
    </row>
    <row r="26" ht="19.5" customHeight="1">
      <c r="A26" s="1"/>
      <c r="B26" s="18" t="s">
        <v>34</v>
      </c>
      <c r="C26" s="21" t="s">
        <v>15</v>
      </c>
      <c r="D26" s="27"/>
      <c r="E26" s="28"/>
      <c r="F26" s="1"/>
      <c r="G26" s="1"/>
      <c r="H26" s="1"/>
      <c r="I26" s="1"/>
      <c r="J26" s="1"/>
      <c r="K26" s="1"/>
      <c r="L26" s="1"/>
      <c r="M26" s="1"/>
      <c r="N26" s="1"/>
      <c r="O26" s="1"/>
      <c r="P26" s="1"/>
      <c r="Q26" s="1"/>
      <c r="R26" s="1"/>
      <c r="S26" s="1"/>
      <c r="T26" s="1"/>
      <c r="U26" s="1"/>
      <c r="V26" s="1"/>
      <c r="W26" s="1"/>
      <c r="X26" s="1"/>
      <c r="Y26" s="1"/>
      <c r="Z26" s="1"/>
    </row>
    <row r="27" ht="19.5" customHeight="1">
      <c r="A27" s="1"/>
      <c r="B27" s="18" t="s">
        <v>21</v>
      </c>
      <c r="C27" s="21" t="s">
        <v>15</v>
      </c>
      <c r="D27" s="27"/>
      <c r="E27" s="28"/>
      <c r="F27" s="1"/>
      <c r="G27" s="1"/>
      <c r="H27" s="1"/>
      <c r="I27" s="1"/>
      <c r="J27" s="1"/>
      <c r="K27" s="1"/>
      <c r="L27" s="1"/>
      <c r="M27" s="1"/>
      <c r="N27" s="1"/>
      <c r="O27" s="1"/>
      <c r="P27" s="1"/>
      <c r="Q27" s="1"/>
      <c r="R27" s="1"/>
      <c r="S27" s="1"/>
      <c r="T27" s="1"/>
      <c r="U27" s="1"/>
      <c r="V27" s="1"/>
      <c r="W27" s="1"/>
      <c r="X27" s="1"/>
      <c r="Y27" s="1"/>
      <c r="Z27" s="1"/>
    </row>
    <row r="28" ht="19.5" customHeight="1">
      <c r="A28" s="1"/>
      <c r="B28" s="18" t="s">
        <v>23</v>
      </c>
      <c r="C28" s="21" t="s">
        <v>15</v>
      </c>
      <c r="D28" s="27"/>
      <c r="E28" s="28"/>
      <c r="F28" s="1"/>
      <c r="G28" s="1"/>
      <c r="H28" s="1"/>
      <c r="I28" s="1"/>
      <c r="J28" s="1"/>
      <c r="K28" s="1"/>
      <c r="L28" s="1"/>
      <c r="M28" s="1"/>
      <c r="N28" s="1"/>
      <c r="O28" s="1"/>
      <c r="P28" s="1"/>
      <c r="Q28" s="1"/>
      <c r="R28" s="1"/>
      <c r="S28" s="1"/>
      <c r="T28" s="1"/>
      <c r="U28" s="1"/>
      <c r="V28" s="1"/>
      <c r="W28" s="1"/>
      <c r="X28" s="1"/>
      <c r="Y28" s="1"/>
      <c r="Z28" s="1"/>
    </row>
    <row r="29" ht="19.5" customHeight="1">
      <c r="A29" s="1"/>
      <c r="B29" s="18" t="s">
        <v>25</v>
      </c>
      <c r="C29" s="21" t="s">
        <v>15</v>
      </c>
      <c r="D29" s="27"/>
      <c r="E29" s="28"/>
      <c r="F29" s="1"/>
      <c r="G29" s="1"/>
      <c r="H29" s="1"/>
      <c r="I29" s="1"/>
      <c r="J29" s="1"/>
      <c r="K29" s="1"/>
      <c r="L29" s="1"/>
      <c r="M29" s="1"/>
      <c r="N29" s="1"/>
      <c r="O29" s="1"/>
      <c r="P29" s="1"/>
      <c r="Q29" s="1"/>
      <c r="R29" s="1"/>
      <c r="S29" s="1"/>
      <c r="T29" s="1"/>
      <c r="U29" s="1"/>
      <c r="V29" s="1"/>
      <c r="W29" s="1"/>
      <c r="X29" s="1"/>
      <c r="Y29" s="1"/>
      <c r="Z29" s="1"/>
    </row>
    <row r="30" ht="48.75" customHeight="1">
      <c r="A30" s="1"/>
      <c r="B30" s="18" t="s">
        <v>26</v>
      </c>
      <c r="C30" s="19" t="s">
        <v>27</v>
      </c>
      <c r="D30" s="22" t="s">
        <v>35</v>
      </c>
      <c r="E30" s="14"/>
      <c r="F30" s="1"/>
      <c r="G30" s="1"/>
      <c r="H30" s="1"/>
      <c r="I30" s="1"/>
      <c r="J30" s="1"/>
      <c r="K30" s="1"/>
      <c r="L30" s="1"/>
      <c r="M30" s="1"/>
      <c r="N30" s="1"/>
      <c r="O30" s="1"/>
      <c r="P30" s="1"/>
      <c r="Q30" s="1"/>
      <c r="R30" s="1"/>
      <c r="S30" s="1"/>
      <c r="T30" s="1"/>
      <c r="U30" s="1"/>
      <c r="V30" s="1"/>
      <c r="W30" s="1"/>
      <c r="X30" s="1"/>
      <c r="Y30" s="1"/>
      <c r="Z30" s="1"/>
    </row>
    <row r="31" ht="15.75" customHeight="1">
      <c r="A31" s="1"/>
      <c r="B31" s="1"/>
      <c r="C31" s="9"/>
      <c r="D31" s="10"/>
      <c r="E31" s="10"/>
      <c r="F31" s="1"/>
      <c r="G31" s="1"/>
      <c r="H31" s="1"/>
      <c r="I31" s="1"/>
      <c r="J31" s="1"/>
      <c r="K31" s="1"/>
      <c r="L31" s="1"/>
      <c r="M31" s="1"/>
      <c r="N31" s="1"/>
      <c r="O31" s="1"/>
      <c r="P31" s="1"/>
      <c r="Q31" s="1"/>
      <c r="R31" s="1"/>
      <c r="S31" s="1"/>
      <c r="T31" s="1"/>
      <c r="U31" s="1"/>
      <c r="V31" s="1"/>
      <c r="W31" s="1"/>
      <c r="X31" s="1"/>
      <c r="Y31" s="1"/>
      <c r="Z31" s="1"/>
    </row>
    <row r="32" ht="33.75" customHeight="1">
      <c r="A32" s="11"/>
      <c r="B32" s="12" t="s">
        <v>36</v>
      </c>
      <c r="C32" s="13"/>
      <c r="D32" s="13"/>
      <c r="E32" s="14"/>
      <c r="F32" s="11"/>
      <c r="G32" s="11"/>
      <c r="H32" s="11"/>
      <c r="I32" s="11"/>
      <c r="J32" s="11"/>
      <c r="K32" s="11"/>
      <c r="L32" s="11"/>
      <c r="M32" s="11"/>
      <c r="N32" s="11"/>
      <c r="O32" s="11"/>
      <c r="P32" s="11"/>
      <c r="Q32" s="11"/>
      <c r="R32" s="11"/>
      <c r="S32" s="11"/>
      <c r="T32" s="11"/>
      <c r="U32" s="11"/>
      <c r="V32" s="11"/>
      <c r="W32" s="11"/>
      <c r="X32" s="11"/>
      <c r="Y32" s="11"/>
      <c r="Z32" s="11"/>
    </row>
    <row r="33" ht="19.5" customHeight="1">
      <c r="A33" s="1"/>
      <c r="B33" s="15" t="s">
        <v>37</v>
      </c>
      <c r="C33" s="15" t="s">
        <v>38</v>
      </c>
      <c r="D33" s="17" t="s">
        <v>5</v>
      </c>
      <c r="E33" s="14"/>
      <c r="F33" s="1"/>
      <c r="G33" s="1"/>
      <c r="H33" s="1"/>
      <c r="I33" s="1"/>
      <c r="J33" s="1"/>
      <c r="K33" s="1"/>
      <c r="L33" s="1"/>
      <c r="M33" s="1"/>
      <c r="N33" s="1"/>
      <c r="O33" s="1"/>
      <c r="P33" s="1"/>
      <c r="Q33" s="1"/>
      <c r="R33" s="1"/>
      <c r="S33" s="1"/>
      <c r="T33" s="1"/>
      <c r="U33" s="1"/>
      <c r="V33" s="1"/>
      <c r="W33" s="1"/>
      <c r="X33" s="1"/>
      <c r="Y33" s="1"/>
      <c r="Z33" s="1"/>
    </row>
    <row r="34" ht="105.0" customHeight="1">
      <c r="A34" s="1"/>
      <c r="B34" s="29" t="s">
        <v>39</v>
      </c>
      <c r="C34" s="18" t="s">
        <v>40</v>
      </c>
      <c r="D34" s="22" t="s">
        <v>41</v>
      </c>
      <c r="E34" s="14"/>
      <c r="F34" s="1"/>
      <c r="G34" s="1"/>
      <c r="H34" s="1"/>
      <c r="I34" s="1"/>
      <c r="J34" s="1"/>
      <c r="K34" s="1"/>
      <c r="L34" s="1"/>
      <c r="M34" s="1"/>
      <c r="N34" s="1"/>
      <c r="O34" s="1"/>
      <c r="P34" s="1"/>
      <c r="Q34" s="1"/>
      <c r="R34" s="1"/>
      <c r="S34" s="1"/>
      <c r="T34" s="1"/>
      <c r="U34" s="1"/>
      <c r="V34" s="1"/>
      <c r="W34" s="1"/>
      <c r="X34" s="1"/>
      <c r="Y34" s="1"/>
      <c r="Z34" s="1"/>
    </row>
    <row r="35" ht="33.75" customHeight="1">
      <c r="A35" s="1"/>
      <c r="B35" s="30"/>
      <c r="C35" s="31" t="s">
        <v>42</v>
      </c>
      <c r="D35" s="32" t="s">
        <v>43</v>
      </c>
      <c r="E35" s="14"/>
      <c r="F35" s="1"/>
      <c r="G35" s="1"/>
      <c r="H35" s="1"/>
      <c r="I35" s="1"/>
      <c r="J35" s="1"/>
      <c r="K35" s="1"/>
      <c r="L35" s="1"/>
      <c r="M35" s="1"/>
      <c r="N35" s="1"/>
      <c r="O35" s="1"/>
      <c r="P35" s="1"/>
      <c r="Q35" s="1"/>
      <c r="R35" s="1"/>
      <c r="S35" s="1"/>
      <c r="T35" s="1"/>
      <c r="U35" s="1"/>
      <c r="V35" s="1"/>
      <c r="W35" s="1"/>
      <c r="X35" s="1"/>
      <c r="Y35" s="1"/>
      <c r="Z35" s="1"/>
    </row>
    <row r="36" ht="19.5" customHeight="1">
      <c r="A36" s="1"/>
      <c r="B36" s="18"/>
      <c r="C36" s="31" t="s">
        <v>44</v>
      </c>
      <c r="D36" s="22" t="s">
        <v>45</v>
      </c>
      <c r="E36" s="14"/>
      <c r="F36" s="1"/>
      <c r="G36" s="1"/>
      <c r="H36" s="1"/>
      <c r="I36" s="1"/>
      <c r="J36" s="1"/>
      <c r="K36" s="1"/>
      <c r="L36" s="1"/>
      <c r="M36" s="1"/>
      <c r="N36" s="1"/>
      <c r="O36" s="1"/>
      <c r="P36" s="1"/>
      <c r="Q36" s="1"/>
      <c r="R36" s="1"/>
      <c r="S36" s="1"/>
      <c r="T36" s="1"/>
      <c r="U36" s="1"/>
      <c r="V36" s="1"/>
      <c r="W36" s="1"/>
      <c r="X36" s="1"/>
      <c r="Y36" s="1"/>
      <c r="Z36" s="1"/>
    </row>
    <row r="37" ht="19.5" customHeight="1">
      <c r="A37" s="1"/>
      <c r="B37" s="18"/>
      <c r="C37" s="31" t="s">
        <v>46</v>
      </c>
      <c r="D37" s="22" t="s">
        <v>47</v>
      </c>
      <c r="E37" s="14"/>
      <c r="F37" s="1"/>
      <c r="G37" s="1"/>
      <c r="H37" s="1"/>
      <c r="I37" s="1"/>
      <c r="J37" s="1"/>
      <c r="K37" s="1"/>
      <c r="L37" s="1"/>
      <c r="M37" s="1"/>
      <c r="N37" s="1"/>
      <c r="O37" s="1"/>
      <c r="P37" s="1"/>
      <c r="Q37" s="1"/>
      <c r="R37" s="1"/>
      <c r="S37" s="1"/>
      <c r="T37" s="1"/>
      <c r="U37" s="1"/>
      <c r="V37" s="1"/>
      <c r="W37" s="1"/>
      <c r="X37" s="1"/>
      <c r="Y37" s="1"/>
      <c r="Z37" s="1"/>
    </row>
    <row r="38" ht="120.0" customHeight="1">
      <c r="A38" s="1"/>
      <c r="B38" s="18"/>
      <c r="C38" s="31" t="s">
        <v>48</v>
      </c>
      <c r="D38" s="22" t="s">
        <v>49</v>
      </c>
      <c r="E38" s="14"/>
      <c r="F38" s="1"/>
      <c r="G38" s="1"/>
      <c r="H38" s="1"/>
      <c r="I38" s="1"/>
      <c r="J38" s="1"/>
      <c r="K38" s="1"/>
      <c r="L38" s="1"/>
      <c r="M38" s="1"/>
      <c r="N38" s="1"/>
      <c r="O38" s="1"/>
      <c r="P38" s="1"/>
      <c r="Q38" s="1"/>
      <c r="R38" s="1"/>
      <c r="S38" s="1"/>
      <c r="T38" s="1"/>
      <c r="U38" s="1"/>
      <c r="V38" s="1"/>
      <c r="W38" s="1"/>
      <c r="X38" s="1"/>
      <c r="Y38" s="1"/>
      <c r="Z38" s="1"/>
    </row>
    <row r="39" ht="15.75" customHeight="1">
      <c r="A39" s="1"/>
      <c r="B39" s="1"/>
      <c r="C39" s="9"/>
      <c r="D39" s="10"/>
      <c r="E39" s="10"/>
      <c r="F39" s="1"/>
      <c r="G39" s="1"/>
      <c r="H39" s="1"/>
      <c r="I39" s="1"/>
      <c r="J39" s="1"/>
      <c r="K39" s="1"/>
      <c r="L39" s="1"/>
      <c r="M39" s="1"/>
      <c r="N39" s="1"/>
      <c r="O39" s="1"/>
      <c r="P39" s="1"/>
      <c r="Q39" s="1"/>
      <c r="R39" s="1"/>
      <c r="S39" s="1"/>
      <c r="T39" s="1"/>
      <c r="U39" s="1"/>
      <c r="V39" s="1"/>
      <c r="W39" s="1"/>
      <c r="X39" s="1"/>
      <c r="Y39" s="1"/>
      <c r="Z39" s="1"/>
    </row>
    <row r="40" ht="33.75" customHeight="1">
      <c r="A40" s="11"/>
      <c r="B40" s="12" t="s">
        <v>50</v>
      </c>
      <c r="C40" s="13"/>
      <c r="D40" s="13"/>
      <c r="E40" s="14"/>
      <c r="F40" s="11"/>
      <c r="G40" s="11"/>
      <c r="H40" s="11"/>
      <c r="I40" s="11"/>
      <c r="J40" s="11"/>
      <c r="K40" s="11"/>
      <c r="L40" s="11"/>
      <c r="M40" s="11"/>
      <c r="N40" s="11"/>
      <c r="O40" s="11"/>
      <c r="P40" s="11"/>
      <c r="Q40" s="11"/>
      <c r="R40" s="11"/>
      <c r="S40" s="11"/>
      <c r="T40" s="11"/>
      <c r="U40" s="11"/>
      <c r="V40" s="11"/>
      <c r="W40" s="11"/>
      <c r="X40" s="11"/>
      <c r="Y40" s="11"/>
      <c r="Z40" s="11"/>
    </row>
    <row r="41" ht="19.5" customHeight="1">
      <c r="A41" s="1"/>
      <c r="B41" s="15" t="s">
        <v>51</v>
      </c>
      <c r="C41" s="16" t="s">
        <v>52</v>
      </c>
      <c r="D41" s="15" t="s">
        <v>53</v>
      </c>
      <c r="E41" s="15" t="s">
        <v>5</v>
      </c>
      <c r="F41" s="1"/>
      <c r="G41" s="1"/>
      <c r="H41" s="1"/>
      <c r="I41" s="1"/>
      <c r="J41" s="1"/>
      <c r="K41" s="1"/>
      <c r="L41" s="1"/>
      <c r="M41" s="1"/>
      <c r="N41" s="1"/>
      <c r="O41" s="1"/>
      <c r="P41" s="1"/>
      <c r="Q41" s="1"/>
      <c r="R41" s="1"/>
      <c r="S41" s="1"/>
      <c r="T41" s="1"/>
      <c r="U41" s="1"/>
      <c r="V41" s="1"/>
      <c r="W41" s="1"/>
      <c r="X41" s="1"/>
      <c r="Y41" s="1"/>
      <c r="Z41" s="1"/>
    </row>
    <row r="42" ht="15.75" customHeight="1">
      <c r="A42" s="1"/>
      <c r="B42" s="18" t="s">
        <v>54</v>
      </c>
      <c r="C42" s="21" t="s">
        <v>55</v>
      </c>
      <c r="D42" s="31" t="s">
        <v>56</v>
      </c>
      <c r="E42" s="31"/>
      <c r="F42" s="1"/>
      <c r="G42" s="1"/>
      <c r="H42" s="1"/>
      <c r="I42" s="1"/>
      <c r="J42" s="1"/>
      <c r="K42" s="1"/>
      <c r="L42" s="1"/>
      <c r="M42" s="1"/>
      <c r="N42" s="1"/>
      <c r="O42" s="1"/>
      <c r="P42" s="1"/>
      <c r="Q42" s="1"/>
      <c r="R42" s="1"/>
      <c r="S42" s="1"/>
      <c r="T42" s="1"/>
      <c r="U42" s="1"/>
      <c r="V42" s="1"/>
      <c r="W42" s="1"/>
      <c r="X42" s="1"/>
      <c r="Y42" s="1"/>
      <c r="Z42" s="1"/>
    </row>
    <row r="43" ht="15.75" customHeight="1">
      <c r="A43" s="1"/>
      <c r="B43" s="18" t="s">
        <v>57</v>
      </c>
      <c r="C43" s="21" t="s">
        <v>58</v>
      </c>
      <c r="D43" s="31" t="s">
        <v>59</v>
      </c>
      <c r="E43" s="31" t="s">
        <v>60</v>
      </c>
      <c r="F43" s="1"/>
      <c r="G43" s="1"/>
      <c r="H43" s="1"/>
      <c r="I43" s="1"/>
      <c r="J43" s="1"/>
      <c r="K43" s="1"/>
      <c r="L43" s="1"/>
      <c r="M43" s="1"/>
      <c r="N43" s="1"/>
      <c r="O43" s="1"/>
      <c r="P43" s="1"/>
      <c r="Q43" s="1"/>
      <c r="R43" s="1"/>
      <c r="S43" s="1"/>
      <c r="T43" s="1"/>
      <c r="U43" s="1"/>
      <c r="V43" s="1"/>
      <c r="W43" s="1"/>
      <c r="X43" s="1"/>
      <c r="Y43" s="1"/>
      <c r="Z43" s="1"/>
    </row>
    <row r="44" ht="15.75" customHeight="1">
      <c r="A44" s="1"/>
      <c r="B44" s="18" t="s">
        <v>61</v>
      </c>
      <c r="C44" s="21" t="s">
        <v>55</v>
      </c>
      <c r="D44" s="31" t="s">
        <v>62</v>
      </c>
      <c r="E44" s="31" t="s">
        <v>63</v>
      </c>
      <c r="F44" s="1"/>
      <c r="G44" s="1"/>
      <c r="H44" s="1"/>
      <c r="I44" s="1"/>
      <c r="J44" s="1"/>
      <c r="K44" s="1"/>
      <c r="L44" s="1"/>
      <c r="M44" s="1"/>
      <c r="N44" s="1"/>
      <c r="O44" s="1"/>
      <c r="P44" s="1"/>
      <c r="Q44" s="1"/>
      <c r="R44" s="1"/>
      <c r="S44" s="1"/>
      <c r="T44" s="1"/>
      <c r="U44" s="1"/>
      <c r="V44" s="1"/>
      <c r="W44" s="1"/>
      <c r="X44" s="1"/>
      <c r="Y44" s="1"/>
      <c r="Z44" s="1"/>
    </row>
    <row r="45" ht="15.75" customHeight="1">
      <c r="A45" s="1"/>
      <c r="B45" s="1"/>
      <c r="C45" s="9"/>
      <c r="D45" s="10"/>
      <c r="E45" s="10"/>
      <c r="F45" s="1"/>
      <c r="G45" s="1"/>
      <c r="H45" s="1"/>
      <c r="I45" s="1"/>
      <c r="J45" s="1"/>
      <c r="K45" s="1"/>
      <c r="L45" s="1"/>
      <c r="M45" s="1"/>
      <c r="N45" s="1"/>
      <c r="O45" s="1"/>
      <c r="P45" s="1"/>
      <c r="Q45" s="1"/>
      <c r="R45" s="1"/>
      <c r="S45" s="1"/>
      <c r="T45" s="1"/>
      <c r="U45" s="1"/>
      <c r="V45" s="1"/>
      <c r="W45" s="1"/>
      <c r="X45" s="1"/>
      <c r="Y45" s="1"/>
      <c r="Z45" s="1"/>
    </row>
    <row r="46" ht="33.75" customHeight="1">
      <c r="A46" s="1"/>
      <c r="B46" s="12" t="s">
        <v>64</v>
      </c>
      <c r="C46" s="13"/>
      <c r="D46" s="13"/>
      <c r="E46" s="14"/>
      <c r="F46" s="1"/>
      <c r="G46" s="1"/>
      <c r="H46" s="1"/>
      <c r="I46" s="1"/>
      <c r="J46" s="1"/>
      <c r="K46" s="1"/>
      <c r="L46" s="1"/>
      <c r="M46" s="1"/>
      <c r="N46" s="1"/>
      <c r="O46" s="1"/>
      <c r="P46" s="1"/>
      <c r="Q46" s="1"/>
      <c r="R46" s="1"/>
      <c r="S46" s="1"/>
      <c r="T46" s="1"/>
      <c r="U46" s="1"/>
      <c r="V46" s="1"/>
      <c r="W46" s="1"/>
      <c r="X46" s="1"/>
      <c r="Y46" s="1"/>
      <c r="Z46" s="1"/>
    </row>
    <row r="47" ht="19.5" customHeight="1">
      <c r="A47" s="1"/>
      <c r="B47" s="15" t="s">
        <v>51</v>
      </c>
      <c r="C47" s="16" t="s">
        <v>65</v>
      </c>
      <c r="D47" s="15" t="s">
        <v>66</v>
      </c>
      <c r="E47" s="15" t="s">
        <v>5</v>
      </c>
      <c r="F47" s="1"/>
      <c r="G47" s="1"/>
      <c r="H47" s="1"/>
      <c r="I47" s="1"/>
      <c r="J47" s="1"/>
      <c r="K47" s="1"/>
      <c r="L47" s="1"/>
      <c r="M47" s="1"/>
      <c r="N47" s="1"/>
      <c r="O47" s="1"/>
      <c r="P47" s="1"/>
      <c r="Q47" s="1"/>
      <c r="R47" s="1"/>
      <c r="S47" s="1"/>
      <c r="T47" s="1"/>
      <c r="U47" s="1"/>
      <c r="V47" s="1"/>
      <c r="W47" s="1"/>
      <c r="X47" s="1"/>
      <c r="Y47" s="1"/>
      <c r="Z47" s="1"/>
    </row>
    <row r="48" ht="19.5" customHeight="1">
      <c r="A48" s="1"/>
      <c r="B48" s="18" t="s">
        <v>67</v>
      </c>
      <c r="C48" s="18" t="s">
        <v>68</v>
      </c>
      <c r="D48" s="18" t="s">
        <v>69</v>
      </c>
      <c r="E48" s="18" t="s">
        <v>70</v>
      </c>
      <c r="F48" s="1"/>
      <c r="G48" s="1"/>
      <c r="H48" s="1"/>
      <c r="I48" s="1"/>
      <c r="J48" s="1"/>
      <c r="K48" s="1"/>
      <c r="L48" s="1"/>
      <c r="M48" s="1"/>
      <c r="N48" s="1"/>
      <c r="O48" s="1"/>
      <c r="P48" s="1"/>
      <c r="Q48" s="1"/>
      <c r="R48" s="1"/>
      <c r="S48" s="1"/>
      <c r="T48" s="1"/>
      <c r="U48" s="1"/>
      <c r="V48" s="1"/>
      <c r="W48" s="1"/>
      <c r="X48" s="1"/>
      <c r="Y48" s="1"/>
      <c r="Z48" s="1"/>
    </row>
    <row r="49" ht="15.75" customHeight="1">
      <c r="A49" s="1"/>
      <c r="B49" s="1"/>
      <c r="C49" s="9"/>
      <c r="D49" s="10"/>
      <c r="E49" s="10"/>
      <c r="F49" s="1"/>
      <c r="G49" s="1"/>
      <c r="H49" s="1"/>
      <c r="I49" s="1"/>
      <c r="J49" s="1"/>
      <c r="K49" s="1"/>
      <c r="L49" s="1"/>
      <c r="M49" s="1"/>
      <c r="N49" s="1"/>
      <c r="O49" s="1"/>
      <c r="P49" s="1"/>
      <c r="Q49" s="1"/>
      <c r="R49" s="1"/>
      <c r="S49" s="1"/>
      <c r="T49" s="1"/>
      <c r="U49" s="1"/>
      <c r="V49" s="1"/>
      <c r="W49" s="1"/>
      <c r="X49" s="1"/>
      <c r="Y49" s="1"/>
      <c r="Z49" s="1"/>
    </row>
    <row r="50" ht="33.75" customHeight="1">
      <c r="A50" s="1"/>
      <c r="B50" s="12" t="s">
        <v>71</v>
      </c>
      <c r="C50" s="13"/>
      <c r="D50" s="13"/>
      <c r="E50" s="14"/>
      <c r="F50" s="1"/>
      <c r="G50" s="1"/>
      <c r="H50" s="1"/>
      <c r="I50" s="1"/>
      <c r="J50" s="1"/>
      <c r="K50" s="1"/>
      <c r="L50" s="1"/>
      <c r="M50" s="1"/>
      <c r="N50" s="1"/>
      <c r="O50" s="1"/>
      <c r="P50" s="1"/>
      <c r="Q50" s="1"/>
      <c r="R50" s="1"/>
      <c r="S50" s="1"/>
      <c r="T50" s="1"/>
      <c r="U50" s="1"/>
      <c r="V50" s="1"/>
      <c r="W50" s="1"/>
      <c r="X50" s="1"/>
      <c r="Y50" s="1"/>
      <c r="Z50" s="1"/>
    </row>
    <row r="51" ht="19.5" customHeight="1">
      <c r="A51" s="1"/>
      <c r="B51" s="15" t="s">
        <v>72</v>
      </c>
      <c r="C51" s="16" t="s">
        <v>73</v>
      </c>
      <c r="D51" s="15" t="s">
        <v>74</v>
      </c>
      <c r="E51" s="15" t="s">
        <v>5</v>
      </c>
      <c r="F51" s="1"/>
      <c r="G51" s="1"/>
      <c r="H51" s="1"/>
      <c r="I51" s="1"/>
      <c r="J51" s="1"/>
      <c r="K51" s="1"/>
      <c r="L51" s="1"/>
      <c r="M51" s="1"/>
      <c r="N51" s="1"/>
      <c r="O51" s="1"/>
      <c r="P51" s="1"/>
      <c r="Q51" s="1"/>
      <c r="R51" s="1"/>
      <c r="S51" s="1"/>
      <c r="T51" s="1"/>
      <c r="U51" s="1"/>
      <c r="V51" s="1"/>
      <c r="W51" s="1"/>
      <c r="X51" s="1"/>
      <c r="Y51" s="1"/>
      <c r="Z51" s="1"/>
    </row>
    <row r="52" ht="39.75" customHeight="1">
      <c r="A52" s="1"/>
      <c r="B52" s="18" t="s">
        <v>75</v>
      </c>
      <c r="C52" s="33" t="s">
        <v>76</v>
      </c>
      <c r="D52" s="33" t="s">
        <v>77</v>
      </c>
      <c r="E52" s="34" t="s">
        <v>78</v>
      </c>
      <c r="F52" s="1"/>
      <c r="G52" s="1"/>
      <c r="H52" s="1"/>
      <c r="I52" s="1"/>
      <c r="J52" s="1"/>
      <c r="K52" s="1"/>
      <c r="L52" s="1"/>
      <c r="M52" s="1"/>
      <c r="N52" s="1"/>
      <c r="O52" s="1"/>
      <c r="P52" s="1"/>
      <c r="Q52" s="1"/>
      <c r="R52" s="1"/>
      <c r="S52" s="1"/>
      <c r="T52" s="1"/>
      <c r="U52" s="1"/>
      <c r="V52" s="1"/>
      <c r="W52" s="1"/>
      <c r="X52" s="1"/>
      <c r="Y52" s="1"/>
      <c r="Z52" s="1"/>
    </row>
    <row r="53" ht="39.75" customHeight="1">
      <c r="A53" s="1"/>
      <c r="B53" s="18" t="s">
        <v>79</v>
      </c>
      <c r="C53" s="18"/>
      <c r="D53" s="18"/>
      <c r="E53" s="31" t="s">
        <v>80</v>
      </c>
      <c r="F53" s="1"/>
      <c r="G53" s="1"/>
      <c r="H53" s="1"/>
      <c r="I53" s="1"/>
      <c r="J53" s="1"/>
      <c r="K53" s="1"/>
      <c r="L53" s="1"/>
      <c r="M53" s="1"/>
      <c r="N53" s="1"/>
      <c r="O53" s="1"/>
      <c r="P53" s="1"/>
      <c r="Q53" s="1"/>
      <c r="R53" s="1"/>
      <c r="S53" s="1"/>
      <c r="T53" s="1"/>
      <c r="U53" s="1"/>
      <c r="V53" s="1"/>
      <c r="W53" s="1"/>
      <c r="X53" s="1"/>
      <c r="Y53" s="1"/>
      <c r="Z53" s="1"/>
    </row>
    <row r="54" ht="39.75" customHeight="1">
      <c r="A54" s="1"/>
      <c r="B54" s="18" t="s">
        <v>81</v>
      </c>
      <c r="C54" s="18"/>
      <c r="D54" s="18"/>
      <c r="E54" s="31" t="s">
        <v>82</v>
      </c>
      <c r="F54" s="1"/>
      <c r="G54" s="1"/>
      <c r="H54" s="1"/>
      <c r="I54" s="1"/>
      <c r="J54" s="1"/>
      <c r="K54" s="1"/>
      <c r="L54" s="1"/>
      <c r="M54" s="1"/>
      <c r="N54" s="1"/>
      <c r="O54" s="1"/>
      <c r="P54" s="1"/>
      <c r="Q54" s="1"/>
      <c r="R54" s="1"/>
      <c r="S54" s="1"/>
      <c r="T54" s="1"/>
      <c r="U54" s="1"/>
      <c r="V54" s="1"/>
      <c r="W54" s="1"/>
      <c r="X54" s="1"/>
      <c r="Y54" s="1"/>
      <c r="Z54" s="1"/>
    </row>
    <row r="55" ht="19.5" customHeight="1">
      <c r="A55" s="1"/>
      <c r="B55" s="18" t="s">
        <v>83</v>
      </c>
      <c r="C55" s="18"/>
      <c r="D55" s="18"/>
      <c r="E55" s="31" t="s">
        <v>84</v>
      </c>
      <c r="F55" s="1"/>
      <c r="G55" s="1"/>
      <c r="H55" s="1"/>
      <c r="I55" s="1"/>
      <c r="J55" s="1"/>
      <c r="K55" s="1"/>
      <c r="L55" s="1"/>
      <c r="M55" s="1"/>
      <c r="N55" s="1"/>
      <c r="O55" s="1"/>
      <c r="P55" s="1"/>
      <c r="Q55" s="1"/>
      <c r="R55" s="1"/>
      <c r="S55" s="1"/>
      <c r="T55" s="1"/>
      <c r="U55" s="1"/>
      <c r="V55" s="1"/>
      <c r="W55" s="1"/>
      <c r="X55" s="1"/>
      <c r="Y55" s="1"/>
      <c r="Z55" s="1"/>
    </row>
    <row r="56" ht="15.75" customHeight="1">
      <c r="A56" s="1"/>
      <c r="B56" s="1"/>
      <c r="C56" s="9"/>
      <c r="D56" s="10"/>
      <c r="E56" s="10"/>
      <c r="F56" s="1"/>
      <c r="G56" s="1"/>
      <c r="H56" s="1"/>
      <c r="I56" s="1"/>
      <c r="J56" s="1"/>
      <c r="K56" s="1"/>
      <c r="L56" s="1"/>
      <c r="M56" s="1"/>
      <c r="N56" s="1"/>
      <c r="O56" s="1"/>
      <c r="P56" s="1"/>
      <c r="Q56" s="1"/>
      <c r="R56" s="1"/>
      <c r="S56" s="1"/>
      <c r="T56" s="1"/>
      <c r="U56" s="1"/>
      <c r="V56" s="1"/>
      <c r="W56" s="1"/>
      <c r="X56" s="1"/>
      <c r="Y56" s="1"/>
      <c r="Z56" s="1"/>
    </row>
    <row r="57" ht="33.75" customHeight="1">
      <c r="A57" s="11"/>
      <c r="B57" s="12" t="s">
        <v>85</v>
      </c>
      <c r="C57" s="13"/>
      <c r="D57" s="13"/>
      <c r="E57" s="14"/>
      <c r="F57" s="11"/>
      <c r="G57" s="11"/>
      <c r="H57" s="11"/>
      <c r="I57" s="11"/>
      <c r="J57" s="11"/>
      <c r="K57" s="11"/>
      <c r="L57" s="11"/>
      <c r="M57" s="11"/>
      <c r="N57" s="11"/>
      <c r="O57" s="11"/>
      <c r="P57" s="11"/>
      <c r="Q57" s="11"/>
      <c r="R57" s="11"/>
      <c r="S57" s="11"/>
      <c r="T57" s="11"/>
      <c r="U57" s="11"/>
      <c r="V57" s="11"/>
      <c r="W57" s="11"/>
      <c r="X57" s="11"/>
      <c r="Y57" s="11"/>
      <c r="Z57" s="11"/>
    </row>
    <row r="58" ht="19.5" customHeight="1">
      <c r="A58" s="1"/>
      <c r="B58" s="15" t="s">
        <v>37</v>
      </c>
      <c r="C58" s="17" t="s">
        <v>5</v>
      </c>
      <c r="D58" s="13"/>
      <c r="E58" s="14"/>
      <c r="F58" s="1"/>
      <c r="G58" s="1"/>
      <c r="H58" s="1"/>
      <c r="I58" s="1"/>
      <c r="J58" s="1"/>
      <c r="K58" s="1"/>
      <c r="L58" s="1"/>
      <c r="M58" s="1"/>
      <c r="N58" s="1"/>
      <c r="O58" s="1"/>
      <c r="P58" s="1"/>
      <c r="Q58" s="1"/>
      <c r="R58" s="1"/>
      <c r="S58" s="1"/>
      <c r="T58" s="1"/>
      <c r="U58" s="1"/>
      <c r="V58" s="1"/>
      <c r="W58" s="1"/>
      <c r="X58" s="1"/>
      <c r="Y58" s="1"/>
      <c r="Z58" s="1"/>
    </row>
    <row r="59" ht="33.75" customHeight="1">
      <c r="A59" s="1"/>
      <c r="B59" s="18" t="s">
        <v>86</v>
      </c>
      <c r="C59" s="22" t="s">
        <v>87</v>
      </c>
      <c r="D59" s="13"/>
      <c r="E59" s="14"/>
      <c r="F59" s="1"/>
      <c r="G59" s="1"/>
      <c r="H59" s="1"/>
      <c r="I59" s="1"/>
      <c r="J59" s="1"/>
      <c r="K59" s="1"/>
      <c r="L59" s="1"/>
      <c r="M59" s="1"/>
      <c r="N59" s="1"/>
      <c r="O59" s="1"/>
      <c r="P59" s="1"/>
      <c r="Q59" s="1"/>
      <c r="R59" s="1"/>
      <c r="S59" s="1"/>
      <c r="T59" s="1"/>
      <c r="U59" s="1"/>
      <c r="V59" s="1"/>
      <c r="W59" s="1"/>
      <c r="X59" s="1"/>
      <c r="Y59" s="1"/>
      <c r="Z59" s="1"/>
    </row>
    <row r="60" ht="15.75" customHeight="1">
      <c r="A60" s="1"/>
      <c r="B60" s="1"/>
      <c r="C60" s="9"/>
      <c r="D60" s="10"/>
      <c r="E60" s="10"/>
      <c r="F60" s="1"/>
      <c r="G60" s="1"/>
      <c r="H60" s="1"/>
      <c r="I60" s="1"/>
      <c r="J60" s="1"/>
      <c r="K60" s="1"/>
      <c r="L60" s="1"/>
      <c r="M60" s="1"/>
      <c r="N60" s="1"/>
      <c r="O60" s="1"/>
      <c r="P60" s="1"/>
      <c r="Q60" s="1"/>
      <c r="R60" s="1"/>
      <c r="S60" s="1"/>
      <c r="T60" s="1"/>
      <c r="U60" s="1"/>
      <c r="V60" s="1"/>
      <c r="W60" s="1"/>
      <c r="X60" s="1"/>
      <c r="Y60" s="1"/>
      <c r="Z60" s="1"/>
    </row>
    <row r="61" ht="33.75" customHeight="1">
      <c r="A61" s="1"/>
      <c r="B61" s="12" t="s">
        <v>88</v>
      </c>
      <c r="C61" s="13"/>
      <c r="D61" s="13"/>
      <c r="E61" s="14"/>
      <c r="F61" s="1"/>
      <c r="G61" s="1"/>
      <c r="H61" s="1"/>
      <c r="I61" s="1"/>
      <c r="J61" s="1"/>
      <c r="K61" s="1"/>
      <c r="L61" s="1"/>
      <c r="M61" s="1"/>
      <c r="N61" s="1"/>
      <c r="O61" s="1"/>
      <c r="P61" s="1"/>
      <c r="Q61" s="1"/>
      <c r="R61" s="1"/>
      <c r="S61" s="1"/>
      <c r="T61" s="1"/>
      <c r="U61" s="1"/>
      <c r="V61" s="1"/>
      <c r="W61" s="1"/>
      <c r="X61" s="1"/>
      <c r="Y61" s="1"/>
      <c r="Z61" s="1"/>
    </row>
    <row r="62" ht="19.5" customHeight="1">
      <c r="A62" s="1"/>
      <c r="B62" s="15" t="s">
        <v>37</v>
      </c>
      <c r="C62" s="15" t="s">
        <v>73</v>
      </c>
      <c r="D62" s="15" t="s">
        <v>89</v>
      </c>
      <c r="E62" s="15" t="s">
        <v>5</v>
      </c>
      <c r="F62" s="1"/>
      <c r="G62" s="1"/>
      <c r="H62" s="1"/>
      <c r="I62" s="1"/>
      <c r="J62" s="1"/>
      <c r="K62" s="1"/>
      <c r="L62" s="1"/>
      <c r="M62" s="1"/>
      <c r="N62" s="1"/>
      <c r="O62" s="1"/>
      <c r="P62" s="1"/>
      <c r="Q62" s="1"/>
      <c r="R62" s="1"/>
      <c r="S62" s="1"/>
      <c r="T62" s="1"/>
      <c r="U62" s="1"/>
      <c r="V62" s="1"/>
      <c r="W62" s="1"/>
      <c r="X62" s="1"/>
      <c r="Y62" s="1"/>
      <c r="Z62" s="1"/>
    </row>
    <row r="63" ht="19.5" customHeight="1">
      <c r="A63" s="1"/>
      <c r="B63" s="18" t="s">
        <v>90</v>
      </c>
      <c r="C63" s="18" t="s">
        <v>91</v>
      </c>
      <c r="D63" s="18" t="s">
        <v>92</v>
      </c>
      <c r="E63" s="31" t="s">
        <v>93</v>
      </c>
      <c r="F63" s="1"/>
      <c r="G63" s="1"/>
      <c r="H63" s="1"/>
      <c r="I63" s="1"/>
      <c r="J63" s="1"/>
      <c r="K63" s="1"/>
      <c r="L63" s="1"/>
      <c r="M63" s="1"/>
      <c r="N63" s="1"/>
      <c r="O63" s="1"/>
      <c r="P63" s="1"/>
      <c r="Q63" s="1"/>
      <c r="R63" s="1"/>
      <c r="S63" s="1"/>
      <c r="T63" s="1"/>
      <c r="U63" s="1"/>
      <c r="V63" s="1"/>
      <c r="W63" s="1"/>
      <c r="X63" s="1"/>
      <c r="Y63" s="1"/>
      <c r="Z63" s="1"/>
    </row>
    <row r="64" ht="69.0" customHeight="1">
      <c r="A64" s="1"/>
      <c r="B64" s="18"/>
      <c r="C64" s="18" t="s">
        <v>94</v>
      </c>
      <c r="D64" s="18" t="s">
        <v>95</v>
      </c>
      <c r="E64" s="31" t="s">
        <v>96</v>
      </c>
      <c r="F64" s="1"/>
      <c r="G64" s="1"/>
      <c r="H64" s="1"/>
      <c r="I64" s="1"/>
      <c r="J64" s="1"/>
      <c r="K64" s="1"/>
      <c r="L64" s="1"/>
      <c r="M64" s="1"/>
      <c r="N64" s="1"/>
      <c r="O64" s="1"/>
      <c r="P64" s="1"/>
      <c r="Q64" s="1"/>
      <c r="R64" s="1"/>
      <c r="S64" s="1"/>
      <c r="T64" s="1"/>
      <c r="U64" s="1"/>
      <c r="V64" s="1"/>
      <c r="W64" s="1"/>
      <c r="X64" s="1"/>
      <c r="Y64" s="1"/>
      <c r="Z64" s="1"/>
    </row>
    <row r="65" ht="19.5" customHeight="1">
      <c r="A65" s="1"/>
      <c r="B65" s="18" t="s">
        <v>97</v>
      </c>
      <c r="C65" s="18" t="s">
        <v>98</v>
      </c>
      <c r="D65" s="18"/>
      <c r="E65" s="31" t="s">
        <v>99</v>
      </c>
      <c r="F65" s="1"/>
      <c r="G65" s="1"/>
      <c r="H65" s="1"/>
      <c r="I65" s="1"/>
      <c r="J65" s="1"/>
      <c r="K65" s="1"/>
      <c r="L65" s="1"/>
      <c r="M65" s="1"/>
      <c r="N65" s="1"/>
      <c r="O65" s="1"/>
      <c r="P65" s="1"/>
      <c r="Q65" s="1"/>
      <c r="R65" s="1"/>
      <c r="S65" s="1"/>
      <c r="T65" s="1"/>
      <c r="U65" s="1"/>
      <c r="V65" s="1"/>
      <c r="W65" s="1"/>
      <c r="X65" s="1"/>
      <c r="Y65" s="1"/>
      <c r="Z65" s="1"/>
    </row>
    <row r="66" ht="15.75" customHeight="1">
      <c r="A66" s="1"/>
      <c r="B66" s="1"/>
      <c r="C66" s="9"/>
      <c r="D66" s="10"/>
      <c r="E66" s="10"/>
      <c r="F66" s="1"/>
      <c r="G66" s="1"/>
      <c r="H66" s="1"/>
      <c r="I66" s="1"/>
      <c r="J66" s="1"/>
      <c r="K66" s="1"/>
      <c r="L66" s="1"/>
      <c r="M66" s="1"/>
      <c r="N66" s="1"/>
      <c r="O66" s="1"/>
      <c r="P66" s="1"/>
      <c r="Q66" s="1"/>
      <c r="R66" s="1"/>
      <c r="S66" s="1"/>
      <c r="T66" s="1"/>
      <c r="U66" s="1"/>
      <c r="V66" s="1"/>
      <c r="W66" s="1"/>
      <c r="X66" s="1"/>
      <c r="Y66" s="1"/>
      <c r="Z66" s="1"/>
    </row>
    <row r="67" ht="33.75" customHeight="1">
      <c r="A67" s="1"/>
      <c r="B67" s="12" t="s">
        <v>100</v>
      </c>
      <c r="C67" s="13"/>
      <c r="D67" s="13"/>
      <c r="E67" s="14"/>
      <c r="F67" s="1"/>
      <c r="G67" s="1"/>
      <c r="H67" s="1"/>
      <c r="I67" s="1"/>
      <c r="J67" s="1"/>
      <c r="K67" s="1"/>
      <c r="L67" s="1"/>
      <c r="M67" s="1"/>
      <c r="N67" s="1"/>
      <c r="O67" s="1"/>
      <c r="P67" s="1"/>
      <c r="Q67" s="1"/>
      <c r="R67" s="1"/>
      <c r="S67" s="1"/>
      <c r="T67" s="1"/>
      <c r="U67" s="1"/>
      <c r="V67" s="1"/>
      <c r="W67" s="1"/>
      <c r="X67" s="1"/>
      <c r="Y67" s="1"/>
      <c r="Z67" s="1"/>
    </row>
    <row r="68" ht="19.5" customHeight="1">
      <c r="A68" s="1"/>
      <c r="B68" s="15" t="s">
        <v>37</v>
      </c>
      <c r="C68" s="15" t="s">
        <v>101</v>
      </c>
      <c r="D68" s="17" t="s">
        <v>5</v>
      </c>
      <c r="E68" s="14"/>
      <c r="F68" s="1"/>
      <c r="G68" s="1"/>
      <c r="H68" s="1"/>
      <c r="I68" s="1"/>
      <c r="J68" s="1"/>
      <c r="K68" s="1"/>
      <c r="L68" s="1"/>
      <c r="M68" s="1"/>
      <c r="N68" s="1"/>
      <c r="O68" s="1"/>
      <c r="P68" s="1"/>
      <c r="Q68" s="1"/>
      <c r="R68" s="1"/>
      <c r="S68" s="1"/>
      <c r="T68" s="1"/>
      <c r="U68" s="1"/>
      <c r="V68" s="1"/>
      <c r="W68" s="1"/>
      <c r="X68" s="1"/>
      <c r="Y68" s="1"/>
      <c r="Z68" s="1"/>
    </row>
    <row r="69" ht="76.5" customHeight="1">
      <c r="A69" s="1"/>
      <c r="B69" s="18" t="s">
        <v>102</v>
      </c>
      <c r="C69" s="18"/>
      <c r="D69" s="22" t="s">
        <v>103</v>
      </c>
      <c r="E69" s="14"/>
      <c r="F69" s="1"/>
      <c r="G69" s="1"/>
      <c r="H69" s="1"/>
      <c r="I69" s="1"/>
      <c r="J69" s="1"/>
      <c r="K69" s="1"/>
      <c r="L69" s="1"/>
      <c r="M69" s="1"/>
      <c r="N69" s="1"/>
      <c r="O69" s="1"/>
      <c r="P69" s="1"/>
      <c r="Q69" s="1"/>
      <c r="R69" s="1"/>
      <c r="S69" s="1"/>
      <c r="T69" s="1"/>
      <c r="U69" s="1"/>
      <c r="V69" s="1"/>
      <c r="W69" s="1"/>
      <c r="X69" s="1"/>
      <c r="Y69" s="1"/>
      <c r="Z69" s="1"/>
    </row>
    <row r="70" ht="339.75" customHeight="1">
      <c r="A70" s="1"/>
      <c r="B70" s="18" t="s">
        <v>104</v>
      </c>
      <c r="C70" s="31" t="s">
        <v>105</v>
      </c>
      <c r="D70" s="22" t="s">
        <v>106</v>
      </c>
      <c r="E70" s="14"/>
      <c r="F70" s="1"/>
      <c r="G70" s="1"/>
      <c r="H70" s="1"/>
      <c r="I70" s="1"/>
      <c r="J70" s="1"/>
      <c r="K70" s="1"/>
      <c r="L70" s="1"/>
      <c r="M70" s="1"/>
      <c r="N70" s="1"/>
      <c r="O70" s="1"/>
      <c r="P70" s="1"/>
      <c r="Q70" s="1"/>
      <c r="R70" s="1"/>
      <c r="S70" s="1"/>
      <c r="T70" s="1"/>
      <c r="U70" s="1"/>
      <c r="V70" s="1"/>
      <c r="W70" s="1"/>
      <c r="X70" s="1"/>
      <c r="Y70" s="1"/>
      <c r="Z70" s="1"/>
    </row>
    <row r="71" ht="15.75" customHeight="1">
      <c r="A71" s="1"/>
      <c r="B71" s="1"/>
      <c r="C71" s="9"/>
      <c r="D71" s="10"/>
      <c r="E71" s="10"/>
      <c r="F71" s="1"/>
      <c r="G71" s="1"/>
      <c r="H71" s="1"/>
      <c r="I71" s="1"/>
      <c r="J71" s="1"/>
      <c r="K71" s="1"/>
      <c r="L71" s="1"/>
      <c r="M71" s="1"/>
      <c r="N71" s="1"/>
      <c r="O71" s="1"/>
      <c r="P71" s="1"/>
      <c r="Q71" s="1"/>
      <c r="R71" s="1"/>
      <c r="S71" s="1"/>
      <c r="T71" s="1"/>
      <c r="U71" s="1"/>
      <c r="V71" s="1"/>
      <c r="W71" s="1"/>
      <c r="X71" s="1"/>
      <c r="Y71" s="1"/>
      <c r="Z71" s="1"/>
    </row>
    <row r="72" ht="33.75" customHeight="1">
      <c r="A72" s="11"/>
      <c r="B72" s="12" t="s">
        <v>107</v>
      </c>
      <c r="C72" s="13"/>
      <c r="D72" s="13"/>
      <c r="E72" s="14"/>
      <c r="F72" s="11"/>
      <c r="G72" s="11"/>
      <c r="H72" s="11"/>
      <c r="I72" s="11"/>
      <c r="J72" s="11"/>
      <c r="K72" s="11"/>
      <c r="L72" s="11"/>
      <c r="M72" s="11"/>
      <c r="N72" s="11"/>
      <c r="O72" s="11"/>
      <c r="P72" s="11"/>
      <c r="Q72" s="11"/>
      <c r="R72" s="11"/>
      <c r="S72" s="11"/>
      <c r="T72" s="11"/>
      <c r="U72" s="11"/>
      <c r="V72" s="11"/>
      <c r="W72" s="11"/>
      <c r="X72" s="11"/>
      <c r="Y72" s="11"/>
      <c r="Z72" s="11"/>
    </row>
    <row r="73" ht="19.5" customHeight="1">
      <c r="A73" s="1"/>
      <c r="B73" s="15" t="s">
        <v>37</v>
      </c>
      <c r="C73" s="17" t="s">
        <v>5</v>
      </c>
      <c r="D73" s="13"/>
      <c r="E73" s="14"/>
      <c r="F73" s="1"/>
      <c r="G73" s="1"/>
      <c r="H73" s="1"/>
      <c r="I73" s="1"/>
      <c r="J73" s="1"/>
      <c r="K73" s="1"/>
      <c r="L73" s="1"/>
      <c r="M73" s="1"/>
      <c r="N73" s="1"/>
      <c r="O73" s="1"/>
      <c r="P73" s="1"/>
      <c r="Q73" s="1"/>
      <c r="R73" s="1"/>
      <c r="S73" s="1"/>
      <c r="T73" s="1"/>
      <c r="U73" s="1"/>
      <c r="V73" s="1"/>
      <c r="W73" s="1"/>
      <c r="X73" s="1"/>
      <c r="Y73" s="1"/>
      <c r="Z73" s="1"/>
    </row>
    <row r="74" ht="33.75" customHeight="1">
      <c r="A74" s="1"/>
      <c r="B74" s="18" t="s">
        <v>108</v>
      </c>
      <c r="C74" s="20" t="s">
        <v>109</v>
      </c>
      <c r="D74" s="13"/>
      <c r="E74" s="14"/>
      <c r="F74" s="1"/>
      <c r="G74" s="1"/>
      <c r="H74" s="1"/>
      <c r="I74" s="1"/>
      <c r="J74" s="1"/>
      <c r="K74" s="1"/>
      <c r="L74" s="1"/>
      <c r="M74" s="1"/>
      <c r="N74" s="1"/>
      <c r="O74" s="1"/>
      <c r="P74" s="1"/>
      <c r="Q74" s="1"/>
      <c r="R74" s="1"/>
      <c r="S74" s="1"/>
      <c r="T74" s="1"/>
      <c r="U74" s="1"/>
      <c r="V74" s="1"/>
      <c r="W74" s="1"/>
      <c r="X74" s="1"/>
      <c r="Y74" s="1"/>
      <c r="Z74" s="1"/>
    </row>
    <row r="75" ht="15.75" customHeight="1">
      <c r="A75" s="1"/>
      <c r="B75" s="1"/>
      <c r="C75" s="9"/>
      <c r="D75" s="10"/>
      <c r="E75" s="10"/>
      <c r="F75" s="1"/>
      <c r="G75" s="1"/>
      <c r="H75" s="1"/>
      <c r="I75" s="1"/>
      <c r="J75" s="1"/>
      <c r="K75" s="1"/>
      <c r="L75" s="1"/>
      <c r="M75" s="1"/>
      <c r="N75" s="1"/>
      <c r="O75" s="1"/>
      <c r="P75" s="1"/>
      <c r="Q75" s="1"/>
      <c r="R75" s="1"/>
      <c r="S75" s="1"/>
      <c r="T75" s="1"/>
      <c r="U75" s="1"/>
      <c r="V75" s="1"/>
      <c r="W75" s="1"/>
      <c r="X75" s="1"/>
      <c r="Y75" s="1"/>
      <c r="Z75" s="1"/>
    </row>
    <row r="76" ht="33.75" customHeight="1">
      <c r="A76" s="11"/>
      <c r="B76" s="12" t="s">
        <v>110</v>
      </c>
      <c r="C76" s="13"/>
      <c r="D76" s="13"/>
      <c r="E76" s="14"/>
      <c r="F76" s="11"/>
      <c r="G76" s="11"/>
      <c r="H76" s="11"/>
      <c r="I76" s="11"/>
      <c r="J76" s="11"/>
      <c r="K76" s="11"/>
      <c r="L76" s="11"/>
      <c r="M76" s="11"/>
      <c r="N76" s="11"/>
      <c r="O76" s="11"/>
      <c r="P76" s="11"/>
      <c r="Q76" s="11"/>
      <c r="R76" s="11"/>
      <c r="S76" s="11"/>
      <c r="T76" s="11"/>
      <c r="U76" s="11"/>
      <c r="V76" s="11"/>
      <c r="W76" s="11"/>
      <c r="X76" s="11"/>
      <c r="Y76" s="11"/>
      <c r="Z76" s="11"/>
    </row>
    <row r="77" ht="19.5" customHeight="1">
      <c r="A77" s="1"/>
      <c r="B77" s="15" t="s">
        <v>37</v>
      </c>
      <c r="C77" s="17" t="s">
        <v>5</v>
      </c>
      <c r="D77" s="13"/>
      <c r="E77" s="14"/>
      <c r="F77" s="1"/>
      <c r="G77" s="1"/>
      <c r="H77" s="1"/>
      <c r="I77" s="1"/>
      <c r="J77" s="1"/>
      <c r="K77" s="1"/>
      <c r="L77" s="1"/>
      <c r="M77" s="1"/>
      <c r="N77" s="1"/>
      <c r="O77" s="1"/>
      <c r="P77" s="1"/>
      <c r="Q77" s="1"/>
      <c r="R77" s="1"/>
      <c r="S77" s="1"/>
      <c r="T77" s="1"/>
      <c r="U77" s="1"/>
      <c r="V77" s="1"/>
      <c r="W77" s="1"/>
      <c r="X77" s="1"/>
      <c r="Y77" s="1"/>
      <c r="Z77" s="1"/>
    </row>
    <row r="78" ht="49.5" customHeight="1">
      <c r="A78" s="1"/>
      <c r="B78" s="18" t="s">
        <v>110</v>
      </c>
      <c r="C78" s="20" t="s">
        <v>111</v>
      </c>
      <c r="D78" s="13"/>
      <c r="E78" s="14"/>
      <c r="F78" s="1"/>
      <c r="G78" s="1"/>
      <c r="H78" s="1"/>
      <c r="I78" s="1"/>
      <c r="J78" s="1"/>
      <c r="K78" s="1"/>
      <c r="L78" s="1"/>
      <c r="M78" s="1"/>
      <c r="N78" s="1"/>
      <c r="O78" s="1"/>
      <c r="P78" s="1"/>
      <c r="Q78" s="1"/>
      <c r="R78" s="1"/>
      <c r="S78" s="1"/>
      <c r="T78" s="1"/>
      <c r="U78" s="1"/>
      <c r="V78" s="1"/>
      <c r="W78" s="1"/>
      <c r="X78" s="1"/>
      <c r="Y78" s="1"/>
      <c r="Z78" s="1"/>
    </row>
    <row r="79" ht="15.75" customHeight="1">
      <c r="A79" s="1"/>
      <c r="B79" s="1"/>
      <c r="C79" s="9"/>
      <c r="D79" s="10"/>
      <c r="E79" s="10"/>
      <c r="F79" s="1"/>
      <c r="G79" s="1"/>
      <c r="H79" s="1"/>
      <c r="I79" s="1"/>
      <c r="J79" s="1"/>
      <c r="K79" s="1"/>
      <c r="L79" s="1"/>
      <c r="M79" s="1"/>
      <c r="N79" s="1"/>
      <c r="O79" s="1"/>
      <c r="P79" s="1"/>
      <c r="Q79" s="1"/>
      <c r="R79" s="1"/>
      <c r="S79" s="1"/>
      <c r="T79" s="1"/>
      <c r="U79" s="1"/>
      <c r="V79" s="1"/>
      <c r="W79" s="1"/>
      <c r="X79" s="1"/>
      <c r="Y79" s="1"/>
      <c r="Z79" s="1"/>
    </row>
    <row r="80" ht="33.75" customHeight="1">
      <c r="A80" s="11"/>
      <c r="B80" s="12" t="s">
        <v>112</v>
      </c>
      <c r="C80" s="13"/>
      <c r="D80" s="13"/>
      <c r="E80" s="14"/>
      <c r="F80" s="11"/>
      <c r="G80" s="11"/>
      <c r="H80" s="11"/>
      <c r="I80" s="11"/>
      <c r="J80" s="11"/>
      <c r="K80" s="11"/>
      <c r="L80" s="11"/>
      <c r="M80" s="11"/>
      <c r="N80" s="11"/>
      <c r="O80" s="11"/>
      <c r="P80" s="11"/>
      <c r="Q80" s="11"/>
      <c r="R80" s="11"/>
      <c r="S80" s="11"/>
      <c r="T80" s="11"/>
      <c r="U80" s="11"/>
      <c r="V80" s="11"/>
      <c r="W80" s="11"/>
      <c r="X80" s="11"/>
      <c r="Y80" s="11"/>
      <c r="Z80" s="11"/>
    </row>
    <row r="81" ht="19.5" customHeight="1">
      <c r="A81" s="1"/>
      <c r="B81" s="15" t="s">
        <v>37</v>
      </c>
      <c r="C81" s="17" t="s">
        <v>5</v>
      </c>
      <c r="D81" s="13"/>
      <c r="E81" s="14"/>
      <c r="F81" s="1"/>
      <c r="G81" s="1"/>
      <c r="H81" s="1"/>
      <c r="I81" s="1"/>
      <c r="J81" s="1"/>
      <c r="K81" s="1"/>
      <c r="L81" s="1"/>
      <c r="M81" s="1"/>
      <c r="N81" s="1"/>
      <c r="O81" s="1"/>
      <c r="P81" s="1"/>
      <c r="Q81" s="1"/>
      <c r="R81" s="1"/>
      <c r="S81" s="1"/>
      <c r="T81" s="1"/>
      <c r="U81" s="1"/>
      <c r="V81" s="1"/>
      <c r="W81" s="1"/>
      <c r="X81" s="1"/>
      <c r="Y81" s="1"/>
      <c r="Z81" s="1"/>
    </row>
    <row r="82" ht="33.75" customHeight="1">
      <c r="A82" s="1"/>
      <c r="B82" s="18" t="s">
        <v>112</v>
      </c>
      <c r="C82" s="20" t="s">
        <v>113</v>
      </c>
      <c r="D82" s="13"/>
      <c r="E82" s="14"/>
      <c r="F82" s="1"/>
      <c r="G82" s="1"/>
      <c r="H82" s="1"/>
      <c r="I82" s="1"/>
      <c r="J82" s="1"/>
      <c r="K82" s="1"/>
      <c r="L82" s="1"/>
      <c r="M82" s="1"/>
      <c r="N82" s="1"/>
      <c r="O82" s="1"/>
      <c r="P82" s="1"/>
      <c r="Q82" s="1"/>
      <c r="R82" s="1"/>
      <c r="S82" s="1"/>
      <c r="T82" s="1"/>
      <c r="U82" s="1"/>
      <c r="V82" s="1"/>
      <c r="W82" s="1"/>
      <c r="X82" s="1"/>
      <c r="Y82" s="1"/>
      <c r="Z82" s="1"/>
    </row>
    <row r="83" ht="15.75" customHeight="1">
      <c r="A83" s="1"/>
      <c r="B83" s="1"/>
      <c r="C83" s="9"/>
      <c r="D83" s="10"/>
      <c r="E83" s="10"/>
      <c r="F83" s="1"/>
      <c r="G83" s="1"/>
      <c r="H83" s="1"/>
      <c r="I83" s="1"/>
      <c r="J83" s="1"/>
      <c r="K83" s="1"/>
      <c r="L83" s="1"/>
      <c r="M83" s="1"/>
      <c r="N83" s="1"/>
      <c r="O83" s="1"/>
      <c r="P83" s="1"/>
      <c r="Q83" s="1"/>
      <c r="R83" s="1"/>
      <c r="S83" s="1"/>
      <c r="T83" s="1"/>
      <c r="U83" s="1"/>
      <c r="V83" s="1"/>
      <c r="W83" s="1"/>
      <c r="X83" s="1"/>
      <c r="Y83" s="1"/>
      <c r="Z83" s="1"/>
    </row>
    <row r="84" ht="33.75" customHeight="1">
      <c r="A84" s="11"/>
      <c r="B84" s="12" t="s">
        <v>114</v>
      </c>
      <c r="C84" s="13"/>
      <c r="D84" s="13"/>
      <c r="E84" s="14"/>
      <c r="F84" s="11"/>
      <c r="G84" s="11"/>
      <c r="H84" s="11"/>
      <c r="I84" s="11"/>
      <c r="J84" s="11"/>
      <c r="K84" s="11"/>
      <c r="L84" s="11"/>
      <c r="M84" s="11"/>
      <c r="N84" s="11"/>
      <c r="O84" s="11"/>
      <c r="P84" s="11"/>
      <c r="Q84" s="11"/>
      <c r="R84" s="11"/>
      <c r="S84" s="11"/>
      <c r="T84" s="11"/>
      <c r="U84" s="11"/>
      <c r="V84" s="11"/>
      <c r="W84" s="11"/>
      <c r="X84" s="11"/>
      <c r="Y84" s="11"/>
      <c r="Z84" s="11"/>
    </row>
    <row r="85" ht="19.5" customHeight="1">
      <c r="A85" s="1"/>
      <c r="B85" s="15" t="s">
        <v>37</v>
      </c>
      <c r="C85" s="17" t="s">
        <v>5</v>
      </c>
      <c r="D85" s="13"/>
      <c r="E85" s="14"/>
      <c r="F85" s="1"/>
      <c r="G85" s="1"/>
      <c r="H85" s="1"/>
      <c r="I85" s="1"/>
      <c r="J85" s="1"/>
      <c r="K85" s="1"/>
      <c r="L85" s="1"/>
      <c r="M85" s="1"/>
      <c r="N85" s="1"/>
      <c r="O85" s="1"/>
      <c r="P85" s="1"/>
      <c r="Q85" s="1"/>
      <c r="R85" s="1"/>
      <c r="S85" s="1"/>
      <c r="T85" s="1"/>
      <c r="U85" s="1"/>
      <c r="V85" s="1"/>
      <c r="W85" s="1"/>
      <c r="X85" s="1"/>
      <c r="Y85" s="1"/>
      <c r="Z85" s="1"/>
    </row>
    <row r="86" ht="60.0" customHeight="1">
      <c r="A86" s="1"/>
      <c r="B86" s="18" t="s">
        <v>114</v>
      </c>
      <c r="C86" s="20" t="s">
        <v>115</v>
      </c>
      <c r="D86" s="13"/>
      <c r="E86" s="14"/>
      <c r="F86" s="1"/>
      <c r="G86" s="1"/>
      <c r="H86" s="1"/>
      <c r="I86" s="1"/>
      <c r="J86" s="1"/>
      <c r="K86" s="1"/>
      <c r="L86" s="1"/>
      <c r="M86" s="1"/>
      <c r="N86" s="1"/>
      <c r="O86" s="1"/>
      <c r="P86" s="1"/>
      <c r="Q86" s="1"/>
      <c r="R86" s="1"/>
      <c r="S86" s="1"/>
      <c r="T86" s="1"/>
      <c r="U86" s="1"/>
      <c r="V86" s="1"/>
      <c r="W86" s="1"/>
      <c r="X86" s="1"/>
      <c r="Y86" s="1"/>
      <c r="Z86" s="1"/>
    </row>
    <row r="87" ht="15.75" customHeight="1">
      <c r="A87" s="1"/>
      <c r="B87" s="1"/>
      <c r="C87" s="9"/>
      <c r="D87" s="10"/>
      <c r="E87" s="10"/>
      <c r="F87" s="1"/>
      <c r="G87" s="1"/>
      <c r="H87" s="1"/>
      <c r="I87" s="1"/>
      <c r="J87" s="1"/>
      <c r="K87" s="1"/>
      <c r="L87" s="1"/>
      <c r="M87" s="1"/>
      <c r="N87" s="1"/>
      <c r="O87" s="1"/>
      <c r="P87" s="1"/>
      <c r="Q87" s="1"/>
      <c r="R87" s="1"/>
      <c r="S87" s="1"/>
      <c r="T87" s="1"/>
      <c r="U87" s="1"/>
      <c r="V87" s="1"/>
      <c r="W87" s="1"/>
      <c r="X87" s="1"/>
      <c r="Y87" s="1"/>
      <c r="Z87" s="1"/>
    </row>
    <row r="88" ht="15.75" customHeight="1">
      <c r="A88" s="1"/>
      <c r="B88" s="1"/>
      <c r="C88" s="9"/>
      <c r="D88" s="10"/>
      <c r="E88" s="10"/>
      <c r="F88" s="1"/>
      <c r="G88" s="1"/>
      <c r="H88" s="1"/>
      <c r="I88" s="1"/>
      <c r="J88" s="1"/>
      <c r="K88" s="1"/>
      <c r="L88" s="1"/>
      <c r="M88" s="1"/>
      <c r="N88" s="1"/>
      <c r="O88" s="1"/>
      <c r="P88" s="1"/>
      <c r="Q88" s="1"/>
      <c r="R88" s="1"/>
      <c r="S88" s="1"/>
      <c r="T88" s="1"/>
      <c r="U88" s="1"/>
      <c r="V88" s="1"/>
      <c r="W88" s="1"/>
      <c r="X88" s="1"/>
      <c r="Y88" s="1"/>
      <c r="Z88" s="1"/>
    </row>
    <row r="89" ht="15.75" customHeight="1">
      <c r="A89" s="1"/>
      <c r="B89" s="1"/>
      <c r="C89" s="9"/>
      <c r="D89" s="10"/>
      <c r="E89" s="10"/>
      <c r="F89" s="1"/>
      <c r="G89" s="1"/>
      <c r="H89" s="1"/>
      <c r="I89" s="1"/>
      <c r="J89" s="1"/>
      <c r="K89" s="1"/>
      <c r="L89" s="1"/>
      <c r="M89" s="1"/>
      <c r="N89" s="1"/>
      <c r="O89" s="1"/>
      <c r="P89" s="1"/>
      <c r="Q89" s="1"/>
      <c r="R89" s="1"/>
      <c r="S89" s="1"/>
      <c r="T89" s="1"/>
      <c r="U89" s="1"/>
      <c r="V89" s="1"/>
      <c r="W89" s="1"/>
      <c r="X89" s="1"/>
      <c r="Y89" s="1"/>
      <c r="Z89" s="1"/>
    </row>
    <row r="90" ht="15.75" customHeight="1">
      <c r="A90" s="1"/>
      <c r="B90" s="1"/>
      <c r="C90" s="9"/>
      <c r="D90" s="10"/>
      <c r="E90" s="10"/>
      <c r="F90" s="1"/>
      <c r="G90" s="1"/>
      <c r="H90" s="1"/>
      <c r="I90" s="1"/>
      <c r="J90" s="1"/>
      <c r="K90" s="1"/>
      <c r="L90" s="1"/>
      <c r="M90" s="1"/>
      <c r="N90" s="1"/>
      <c r="O90" s="1"/>
      <c r="P90" s="1"/>
      <c r="Q90" s="1"/>
      <c r="R90" s="1"/>
      <c r="S90" s="1"/>
      <c r="T90" s="1"/>
      <c r="U90" s="1"/>
      <c r="V90" s="1"/>
      <c r="W90" s="1"/>
      <c r="X90" s="1"/>
      <c r="Y90" s="1"/>
      <c r="Z90" s="1"/>
    </row>
    <row r="91" ht="15.75" customHeight="1">
      <c r="A91" s="1"/>
      <c r="B91" s="1"/>
      <c r="C91" s="9"/>
      <c r="D91" s="10"/>
      <c r="E91" s="10"/>
      <c r="F91" s="1"/>
      <c r="G91" s="1"/>
      <c r="H91" s="1"/>
      <c r="I91" s="1"/>
      <c r="J91" s="1"/>
      <c r="K91" s="1"/>
      <c r="L91" s="1"/>
      <c r="M91" s="1"/>
      <c r="N91" s="1"/>
      <c r="O91" s="1"/>
      <c r="P91" s="1"/>
      <c r="Q91" s="1"/>
      <c r="R91" s="1"/>
      <c r="S91" s="1"/>
      <c r="T91" s="1"/>
      <c r="U91" s="1"/>
      <c r="V91" s="1"/>
      <c r="W91" s="1"/>
      <c r="X91" s="1"/>
      <c r="Y91" s="1"/>
      <c r="Z91" s="1"/>
    </row>
    <row r="92" ht="15.75" customHeight="1">
      <c r="A92" s="1"/>
      <c r="B92" s="1"/>
      <c r="C92" s="9"/>
      <c r="D92" s="10"/>
      <c r="E92" s="10"/>
      <c r="F92" s="1"/>
      <c r="G92" s="1"/>
      <c r="H92" s="1"/>
      <c r="I92" s="1"/>
      <c r="J92" s="1"/>
      <c r="K92" s="1"/>
      <c r="L92" s="1"/>
      <c r="M92" s="1"/>
      <c r="N92" s="1"/>
      <c r="O92" s="1"/>
      <c r="P92" s="1"/>
      <c r="Q92" s="1"/>
      <c r="R92" s="1"/>
      <c r="S92" s="1"/>
      <c r="T92" s="1"/>
      <c r="U92" s="1"/>
      <c r="V92" s="1"/>
      <c r="W92" s="1"/>
      <c r="X92" s="1"/>
      <c r="Y92" s="1"/>
      <c r="Z92" s="1"/>
    </row>
    <row r="93" ht="15.75" customHeight="1">
      <c r="A93" s="1"/>
      <c r="B93" s="1"/>
      <c r="C93" s="9"/>
      <c r="D93" s="10"/>
      <c r="E93" s="10"/>
      <c r="F93" s="1"/>
      <c r="G93" s="1"/>
      <c r="H93" s="1"/>
      <c r="I93" s="1"/>
      <c r="J93" s="1"/>
      <c r="K93" s="1"/>
      <c r="L93" s="1"/>
      <c r="M93" s="1"/>
      <c r="N93" s="1"/>
      <c r="O93" s="1"/>
      <c r="P93" s="1"/>
      <c r="Q93" s="1"/>
      <c r="R93" s="1"/>
      <c r="S93" s="1"/>
      <c r="T93" s="1"/>
      <c r="U93" s="1"/>
      <c r="V93" s="1"/>
      <c r="W93" s="1"/>
      <c r="X93" s="1"/>
      <c r="Y93" s="1"/>
      <c r="Z93" s="1"/>
    </row>
    <row r="94" ht="15.75" customHeight="1">
      <c r="A94" s="1"/>
      <c r="B94" s="1"/>
      <c r="C94" s="9"/>
      <c r="D94" s="10"/>
      <c r="E94" s="10"/>
      <c r="F94" s="1"/>
      <c r="G94" s="1"/>
      <c r="H94" s="1"/>
      <c r="I94" s="1"/>
      <c r="J94" s="1"/>
      <c r="K94" s="1"/>
      <c r="L94" s="1"/>
      <c r="M94" s="1"/>
      <c r="N94" s="1"/>
      <c r="O94" s="1"/>
      <c r="P94" s="1"/>
      <c r="Q94" s="1"/>
      <c r="R94" s="1"/>
      <c r="S94" s="1"/>
      <c r="T94" s="1"/>
      <c r="U94" s="1"/>
      <c r="V94" s="1"/>
      <c r="W94" s="1"/>
      <c r="X94" s="1"/>
      <c r="Y94" s="1"/>
      <c r="Z94" s="1"/>
    </row>
    <row r="95" ht="15.75" customHeight="1">
      <c r="A95" s="1"/>
      <c r="B95" s="1"/>
      <c r="C95" s="9"/>
      <c r="D95" s="10"/>
      <c r="E95" s="10"/>
      <c r="F95" s="1"/>
      <c r="G95" s="1"/>
      <c r="H95" s="1"/>
      <c r="I95" s="1"/>
      <c r="J95" s="1"/>
      <c r="K95" s="1"/>
      <c r="L95" s="1"/>
      <c r="M95" s="1"/>
      <c r="N95" s="1"/>
      <c r="O95" s="1"/>
      <c r="P95" s="1"/>
      <c r="Q95" s="1"/>
      <c r="R95" s="1"/>
      <c r="S95" s="1"/>
      <c r="T95" s="1"/>
      <c r="U95" s="1"/>
      <c r="V95" s="1"/>
      <c r="W95" s="1"/>
      <c r="X95" s="1"/>
      <c r="Y95" s="1"/>
      <c r="Z95" s="1"/>
    </row>
    <row r="96" ht="15.75" customHeight="1">
      <c r="A96" s="1"/>
      <c r="B96" s="1"/>
      <c r="C96" s="9"/>
      <c r="D96" s="10"/>
      <c r="E96" s="10"/>
      <c r="F96" s="1"/>
      <c r="G96" s="1"/>
      <c r="H96" s="1"/>
      <c r="I96" s="1"/>
      <c r="J96" s="1"/>
      <c r="K96" s="1"/>
      <c r="L96" s="1"/>
      <c r="M96" s="1"/>
      <c r="N96" s="1"/>
      <c r="O96" s="1"/>
      <c r="P96" s="1"/>
      <c r="Q96" s="1"/>
      <c r="R96" s="1"/>
      <c r="S96" s="1"/>
      <c r="T96" s="1"/>
      <c r="U96" s="1"/>
      <c r="V96" s="1"/>
      <c r="W96" s="1"/>
      <c r="X96" s="1"/>
      <c r="Y96" s="1"/>
      <c r="Z96" s="1"/>
    </row>
    <row r="97" ht="15.75" customHeight="1">
      <c r="A97" s="1"/>
      <c r="B97" s="1"/>
      <c r="C97" s="9"/>
      <c r="D97" s="10"/>
      <c r="E97" s="10"/>
      <c r="F97" s="1"/>
      <c r="G97" s="1"/>
      <c r="H97" s="1"/>
      <c r="I97" s="1"/>
      <c r="J97" s="1"/>
      <c r="K97" s="1"/>
      <c r="L97" s="1"/>
      <c r="M97" s="1"/>
      <c r="N97" s="1"/>
      <c r="O97" s="1"/>
      <c r="P97" s="1"/>
      <c r="Q97" s="1"/>
      <c r="R97" s="1"/>
      <c r="S97" s="1"/>
      <c r="T97" s="1"/>
      <c r="U97" s="1"/>
      <c r="V97" s="1"/>
      <c r="W97" s="1"/>
      <c r="X97" s="1"/>
      <c r="Y97" s="1"/>
      <c r="Z97" s="1"/>
    </row>
    <row r="98" ht="15.75" customHeight="1">
      <c r="A98" s="1"/>
      <c r="B98" s="1"/>
      <c r="C98" s="9"/>
      <c r="D98" s="10"/>
      <c r="E98" s="10"/>
      <c r="F98" s="1"/>
      <c r="G98" s="1"/>
      <c r="H98" s="1"/>
      <c r="I98" s="1"/>
      <c r="J98" s="1"/>
      <c r="K98" s="1"/>
      <c r="L98" s="1"/>
      <c r="M98" s="1"/>
      <c r="N98" s="1"/>
      <c r="O98" s="1"/>
      <c r="P98" s="1"/>
      <c r="Q98" s="1"/>
      <c r="R98" s="1"/>
      <c r="S98" s="1"/>
      <c r="T98" s="1"/>
      <c r="U98" s="1"/>
      <c r="V98" s="1"/>
      <c r="W98" s="1"/>
      <c r="X98" s="1"/>
      <c r="Y98" s="1"/>
      <c r="Z98" s="1"/>
    </row>
    <row r="99" ht="15.75" customHeight="1">
      <c r="A99" s="1"/>
      <c r="B99" s="1"/>
      <c r="C99" s="9"/>
      <c r="D99" s="10"/>
      <c r="E99" s="10"/>
      <c r="F99" s="1"/>
      <c r="G99" s="1"/>
      <c r="H99" s="1"/>
      <c r="I99" s="1"/>
      <c r="J99" s="1"/>
      <c r="K99" s="1"/>
      <c r="L99" s="1"/>
      <c r="M99" s="1"/>
      <c r="N99" s="1"/>
      <c r="O99" s="1"/>
      <c r="P99" s="1"/>
      <c r="Q99" s="1"/>
      <c r="R99" s="1"/>
      <c r="S99" s="1"/>
      <c r="T99" s="1"/>
      <c r="U99" s="1"/>
      <c r="V99" s="1"/>
      <c r="W99" s="1"/>
      <c r="X99" s="1"/>
      <c r="Y99" s="1"/>
      <c r="Z99" s="1"/>
    </row>
    <row r="100" ht="15.75" customHeight="1">
      <c r="A100" s="1"/>
      <c r="B100" s="1"/>
      <c r="C100" s="9"/>
      <c r="D100" s="10"/>
      <c r="E100" s="10"/>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9"/>
      <c r="D101" s="10"/>
      <c r="E101" s="10"/>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9"/>
      <c r="D102" s="10"/>
      <c r="E102" s="10"/>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9"/>
      <c r="D103" s="10"/>
      <c r="E103" s="10"/>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9"/>
      <c r="D104" s="10"/>
      <c r="E104" s="10"/>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9"/>
      <c r="D105" s="10"/>
      <c r="E105" s="10"/>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9"/>
      <c r="D106" s="10"/>
      <c r="E106" s="10"/>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9"/>
      <c r="D107" s="10"/>
      <c r="E107" s="10"/>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9"/>
      <c r="D108" s="10"/>
      <c r="E108" s="10"/>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9"/>
      <c r="D109" s="10"/>
      <c r="E109" s="10"/>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9"/>
      <c r="D110" s="10"/>
      <c r="E110" s="10"/>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9"/>
      <c r="D111" s="10"/>
      <c r="E111" s="10"/>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9"/>
      <c r="D112" s="10"/>
      <c r="E112" s="10"/>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9"/>
      <c r="D113" s="10"/>
      <c r="E113" s="10"/>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9"/>
      <c r="D114" s="10"/>
      <c r="E114" s="10"/>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9"/>
      <c r="D115" s="10"/>
      <c r="E115" s="10"/>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9"/>
      <c r="D116" s="10"/>
      <c r="E116" s="10"/>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9"/>
      <c r="D117" s="10"/>
      <c r="E117" s="10"/>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9"/>
      <c r="D118" s="10"/>
      <c r="E118" s="10"/>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9"/>
      <c r="D119" s="10"/>
      <c r="E119" s="10"/>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9"/>
      <c r="D120" s="10"/>
      <c r="E120" s="10"/>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9"/>
      <c r="D121" s="10"/>
      <c r="E121" s="10"/>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9"/>
      <c r="D122" s="10"/>
      <c r="E122" s="10"/>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9"/>
      <c r="D123" s="10"/>
      <c r="E123" s="10"/>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9"/>
      <c r="D124" s="10"/>
      <c r="E124" s="10"/>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9"/>
      <c r="D125" s="10"/>
      <c r="E125" s="10"/>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9"/>
      <c r="D126" s="10"/>
      <c r="E126" s="10"/>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9"/>
      <c r="D127" s="10"/>
      <c r="E127" s="10"/>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9"/>
      <c r="D128" s="10"/>
      <c r="E128" s="10"/>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9"/>
      <c r="D129" s="10"/>
      <c r="E129" s="10"/>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9"/>
      <c r="D130" s="10"/>
      <c r="E130" s="10"/>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9"/>
      <c r="D131" s="10"/>
      <c r="E131" s="10"/>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9"/>
      <c r="D132" s="10"/>
      <c r="E132" s="10"/>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9"/>
      <c r="D133" s="10"/>
      <c r="E133" s="10"/>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9"/>
      <c r="D134" s="10"/>
      <c r="E134" s="10"/>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9"/>
      <c r="D135" s="10"/>
      <c r="E135" s="10"/>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9"/>
      <c r="D136" s="10"/>
      <c r="E136" s="10"/>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9"/>
      <c r="D137" s="10"/>
      <c r="E137" s="10"/>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9"/>
      <c r="D138" s="10"/>
      <c r="E138" s="10"/>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9"/>
      <c r="D139" s="10"/>
      <c r="E139" s="10"/>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9"/>
      <c r="D140" s="10"/>
      <c r="E140" s="10"/>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9"/>
      <c r="D141" s="10"/>
      <c r="E141" s="10"/>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9"/>
      <c r="D142" s="10"/>
      <c r="E142" s="10"/>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9"/>
      <c r="D143" s="10"/>
      <c r="E143" s="10"/>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9"/>
      <c r="D144" s="10"/>
      <c r="E144" s="10"/>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9"/>
      <c r="D145" s="10"/>
      <c r="E145" s="10"/>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9"/>
      <c r="D146" s="10"/>
      <c r="E146" s="10"/>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9"/>
      <c r="D147" s="10"/>
      <c r="E147" s="10"/>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9"/>
      <c r="D148" s="10"/>
      <c r="E148" s="10"/>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9"/>
      <c r="D149" s="10"/>
      <c r="E149" s="10"/>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9"/>
      <c r="D150" s="10"/>
      <c r="E150" s="10"/>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9"/>
      <c r="D151" s="10"/>
      <c r="E151" s="10"/>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9"/>
      <c r="D152" s="10"/>
      <c r="E152" s="10"/>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9"/>
      <c r="D153" s="10"/>
      <c r="E153" s="10"/>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9"/>
      <c r="D154" s="10"/>
      <c r="E154" s="10"/>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9"/>
      <c r="D155" s="10"/>
      <c r="E155" s="10"/>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9"/>
      <c r="D156" s="10"/>
      <c r="E156" s="10"/>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9"/>
      <c r="D157" s="10"/>
      <c r="E157" s="10"/>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9"/>
      <c r="D158" s="10"/>
      <c r="E158" s="10"/>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9"/>
      <c r="D159" s="10"/>
      <c r="E159" s="10"/>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9"/>
      <c r="D160" s="10"/>
      <c r="E160" s="10"/>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9"/>
      <c r="D161" s="10"/>
      <c r="E161" s="10"/>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9"/>
      <c r="D162" s="10"/>
      <c r="E162" s="10"/>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9"/>
      <c r="D163" s="10"/>
      <c r="E163" s="10"/>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9"/>
      <c r="D164" s="10"/>
      <c r="E164" s="10"/>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9"/>
      <c r="D165" s="10"/>
      <c r="E165" s="10"/>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9"/>
      <c r="D166" s="10"/>
      <c r="E166" s="10"/>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9"/>
      <c r="D167" s="10"/>
      <c r="E167" s="10"/>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9"/>
      <c r="D168" s="10"/>
      <c r="E168" s="10"/>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9"/>
      <c r="D169" s="10"/>
      <c r="E169" s="10"/>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9"/>
      <c r="D170" s="10"/>
      <c r="E170" s="10"/>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9"/>
      <c r="D171" s="10"/>
      <c r="E171" s="10"/>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9"/>
      <c r="D172" s="10"/>
      <c r="E172" s="10"/>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9"/>
      <c r="D173" s="10"/>
      <c r="E173" s="10"/>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9"/>
      <c r="D174" s="10"/>
      <c r="E174" s="10"/>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9"/>
      <c r="D175" s="10"/>
      <c r="E175" s="10"/>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9"/>
      <c r="D176" s="10"/>
      <c r="E176" s="10"/>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9"/>
      <c r="D177" s="10"/>
      <c r="E177" s="10"/>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9"/>
      <c r="D178" s="10"/>
      <c r="E178" s="10"/>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9"/>
      <c r="D179" s="10"/>
      <c r="E179" s="10"/>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9"/>
      <c r="D180" s="10"/>
      <c r="E180" s="10"/>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9"/>
      <c r="D181" s="10"/>
      <c r="E181" s="10"/>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9"/>
      <c r="D182" s="10"/>
      <c r="E182" s="10"/>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9"/>
      <c r="D183" s="10"/>
      <c r="E183" s="10"/>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9"/>
      <c r="D184" s="10"/>
      <c r="E184" s="10"/>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9"/>
      <c r="D185" s="10"/>
      <c r="E185" s="10"/>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9"/>
      <c r="D186" s="10"/>
      <c r="E186" s="10"/>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9"/>
      <c r="D187" s="10"/>
      <c r="E187" s="10"/>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9"/>
      <c r="D188" s="10"/>
      <c r="E188" s="10"/>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9"/>
      <c r="D189" s="10"/>
      <c r="E189" s="10"/>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9"/>
      <c r="D190" s="10"/>
      <c r="E190" s="10"/>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9"/>
      <c r="D191" s="10"/>
      <c r="E191" s="10"/>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9"/>
      <c r="D192" s="10"/>
      <c r="E192" s="10"/>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9"/>
      <c r="D193" s="10"/>
      <c r="E193" s="10"/>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9"/>
      <c r="D194" s="10"/>
      <c r="E194" s="10"/>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9"/>
      <c r="D195" s="10"/>
      <c r="E195" s="10"/>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9"/>
      <c r="D196" s="10"/>
      <c r="E196" s="10"/>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9"/>
      <c r="D197" s="10"/>
      <c r="E197" s="10"/>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9"/>
      <c r="D198" s="10"/>
      <c r="E198" s="10"/>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9"/>
      <c r="D199" s="10"/>
      <c r="E199" s="10"/>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9"/>
      <c r="D200" s="10"/>
      <c r="E200" s="10"/>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9"/>
      <c r="D201" s="10"/>
      <c r="E201" s="10"/>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9"/>
      <c r="D202" s="10"/>
      <c r="E202" s="10"/>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9"/>
      <c r="D203" s="10"/>
      <c r="E203" s="10"/>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9"/>
      <c r="D204" s="10"/>
      <c r="E204" s="10"/>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9"/>
      <c r="D205" s="10"/>
      <c r="E205" s="10"/>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9"/>
      <c r="D206" s="10"/>
      <c r="E206" s="10"/>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9"/>
      <c r="D207" s="10"/>
      <c r="E207" s="10"/>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9"/>
      <c r="D208" s="10"/>
      <c r="E208" s="10"/>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9"/>
      <c r="D209" s="10"/>
      <c r="E209" s="10"/>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9"/>
      <c r="D210" s="10"/>
      <c r="E210" s="10"/>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9"/>
      <c r="D211" s="10"/>
      <c r="E211" s="10"/>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9"/>
      <c r="D212" s="10"/>
      <c r="E212" s="10"/>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9"/>
      <c r="D213" s="10"/>
      <c r="E213" s="10"/>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9"/>
      <c r="D214" s="10"/>
      <c r="E214" s="10"/>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9"/>
      <c r="D215" s="10"/>
      <c r="E215" s="10"/>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9"/>
      <c r="D216" s="10"/>
      <c r="E216" s="10"/>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9"/>
      <c r="D217" s="10"/>
      <c r="E217" s="10"/>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9"/>
      <c r="D218" s="10"/>
      <c r="E218" s="10"/>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9"/>
      <c r="D219" s="10"/>
      <c r="E219" s="10"/>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9"/>
      <c r="D220" s="10"/>
      <c r="E220" s="10"/>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9"/>
      <c r="D221" s="10"/>
      <c r="E221" s="10"/>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9"/>
      <c r="D222" s="10"/>
      <c r="E222" s="10"/>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9"/>
      <c r="D223" s="10"/>
      <c r="E223" s="10"/>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9"/>
      <c r="D224" s="10"/>
      <c r="E224" s="10"/>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9"/>
      <c r="D225" s="10"/>
      <c r="E225" s="10"/>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9"/>
      <c r="D226" s="10"/>
      <c r="E226" s="10"/>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9"/>
      <c r="D227" s="10"/>
      <c r="E227" s="10"/>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9"/>
      <c r="D228" s="10"/>
      <c r="E228" s="10"/>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9"/>
      <c r="D229" s="10"/>
      <c r="E229" s="10"/>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9"/>
      <c r="D230" s="10"/>
      <c r="E230" s="10"/>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9"/>
      <c r="D231" s="10"/>
      <c r="E231" s="10"/>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9"/>
      <c r="D232" s="10"/>
      <c r="E232" s="10"/>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9"/>
      <c r="D233" s="10"/>
      <c r="E233" s="10"/>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9"/>
      <c r="D234" s="10"/>
      <c r="E234" s="10"/>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9"/>
      <c r="D235" s="10"/>
      <c r="E235" s="10"/>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9"/>
      <c r="D236" s="10"/>
      <c r="E236" s="10"/>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9"/>
      <c r="D237" s="10"/>
      <c r="E237" s="10"/>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9"/>
      <c r="D238" s="10"/>
      <c r="E238" s="10"/>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9"/>
      <c r="D239" s="10"/>
      <c r="E239" s="10"/>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9"/>
      <c r="D240" s="10"/>
      <c r="E240" s="10"/>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9"/>
      <c r="D241" s="10"/>
      <c r="E241" s="10"/>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9"/>
      <c r="D242" s="10"/>
      <c r="E242" s="10"/>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9"/>
      <c r="D243" s="10"/>
      <c r="E243" s="10"/>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9"/>
      <c r="D244" s="10"/>
      <c r="E244" s="10"/>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9"/>
      <c r="D245" s="10"/>
      <c r="E245" s="10"/>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9"/>
      <c r="D246" s="10"/>
      <c r="E246" s="10"/>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9"/>
      <c r="D247" s="10"/>
      <c r="E247" s="10"/>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9"/>
      <c r="D248" s="10"/>
      <c r="E248" s="10"/>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9"/>
      <c r="D249" s="10"/>
      <c r="E249" s="10"/>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9"/>
      <c r="D250" s="10"/>
      <c r="E250" s="10"/>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9"/>
      <c r="D251" s="10"/>
      <c r="E251" s="10"/>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9"/>
      <c r="D252" s="10"/>
      <c r="E252" s="10"/>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9"/>
      <c r="D253" s="10"/>
      <c r="E253" s="10"/>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9"/>
      <c r="D254" s="10"/>
      <c r="E254" s="10"/>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9"/>
      <c r="D255" s="10"/>
      <c r="E255" s="10"/>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9"/>
      <c r="D256" s="10"/>
      <c r="E256" s="10"/>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9"/>
      <c r="D257" s="10"/>
      <c r="E257" s="10"/>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9"/>
      <c r="D258" s="10"/>
      <c r="E258" s="10"/>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9"/>
      <c r="D259" s="10"/>
      <c r="E259" s="10"/>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9"/>
      <c r="D260" s="10"/>
      <c r="E260" s="10"/>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9"/>
      <c r="D261" s="10"/>
      <c r="E261" s="10"/>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9"/>
      <c r="D262" s="10"/>
      <c r="E262" s="10"/>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9"/>
      <c r="D263" s="10"/>
      <c r="E263" s="10"/>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9"/>
      <c r="D264" s="10"/>
      <c r="E264" s="10"/>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9"/>
      <c r="D265" s="10"/>
      <c r="E265" s="10"/>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9"/>
      <c r="D266" s="10"/>
      <c r="E266" s="10"/>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9"/>
      <c r="D267" s="10"/>
      <c r="E267" s="10"/>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9"/>
      <c r="D268" s="10"/>
      <c r="E268" s="10"/>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9"/>
      <c r="D269" s="10"/>
      <c r="E269" s="10"/>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9"/>
      <c r="D270" s="10"/>
      <c r="E270" s="10"/>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9"/>
      <c r="D271" s="10"/>
      <c r="E271" s="10"/>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9"/>
      <c r="D272" s="10"/>
      <c r="E272" s="10"/>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9"/>
      <c r="D273" s="10"/>
      <c r="E273" s="10"/>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9"/>
      <c r="D274" s="10"/>
      <c r="E274" s="10"/>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9"/>
      <c r="D275" s="10"/>
      <c r="E275" s="10"/>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9"/>
      <c r="D276" s="10"/>
      <c r="E276" s="10"/>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9"/>
      <c r="D277" s="10"/>
      <c r="E277" s="10"/>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9"/>
      <c r="D278" s="10"/>
      <c r="E278" s="10"/>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9"/>
      <c r="D279" s="10"/>
      <c r="E279" s="10"/>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9"/>
      <c r="D280" s="10"/>
      <c r="E280" s="10"/>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9"/>
      <c r="D281" s="10"/>
      <c r="E281" s="10"/>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9"/>
      <c r="D282" s="10"/>
      <c r="E282" s="10"/>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9"/>
      <c r="D283" s="10"/>
      <c r="E283" s="10"/>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9"/>
      <c r="D284" s="10"/>
      <c r="E284" s="10"/>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9"/>
      <c r="D285" s="10"/>
      <c r="E285" s="10"/>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9"/>
      <c r="D286" s="10"/>
      <c r="E286" s="10"/>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9"/>
      <c r="D287" s="10"/>
      <c r="E287" s="10"/>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9"/>
      <c r="D288" s="10"/>
      <c r="E288" s="10"/>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9"/>
      <c r="D289" s="10"/>
      <c r="E289" s="10"/>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9"/>
      <c r="D290" s="10"/>
      <c r="E290" s="10"/>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9"/>
      <c r="D291" s="10"/>
      <c r="E291" s="10"/>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9"/>
      <c r="D292" s="10"/>
      <c r="E292" s="10"/>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9"/>
      <c r="D293" s="10"/>
      <c r="E293" s="10"/>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9"/>
      <c r="D294" s="10"/>
      <c r="E294" s="10"/>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9"/>
      <c r="D295" s="10"/>
      <c r="E295" s="10"/>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9"/>
      <c r="D296" s="10"/>
      <c r="E296" s="10"/>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9"/>
      <c r="D297" s="10"/>
      <c r="E297" s="10"/>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9"/>
      <c r="D298" s="10"/>
      <c r="E298" s="10"/>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9"/>
      <c r="D299" s="10"/>
      <c r="E299" s="10"/>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9"/>
      <c r="D300" s="10"/>
      <c r="E300" s="10"/>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9"/>
      <c r="D301" s="10"/>
      <c r="E301" s="10"/>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9"/>
      <c r="D302" s="10"/>
      <c r="E302" s="10"/>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9"/>
      <c r="D303" s="10"/>
      <c r="E303" s="10"/>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9"/>
      <c r="D304" s="10"/>
      <c r="E304" s="10"/>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9"/>
      <c r="D305" s="10"/>
      <c r="E305" s="10"/>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9"/>
      <c r="D306" s="10"/>
      <c r="E306" s="10"/>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9"/>
      <c r="D307" s="10"/>
      <c r="E307" s="10"/>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9"/>
      <c r="D308" s="10"/>
      <c r="E308" s="10"/>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9"/>
      <c r="D309" s="10"/>
      <c r="E309" s="10"/>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9"/>
      <c r="D310" s="10"/>
      <c r="E310" s="10"/>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9"/>
      <c r="D311" s="10"/>
      <c r="E311" s="10"/>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9"/>
      <c r="D312" s="10"/>
      <c r="E312" s="10"/>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9"/>
      <c r="D313" s="10"/>
      <c r="E313" s="10"/>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9"/>
      <c r="D314" s="10"/>
      <c r="E314" s="10"/>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9"/>
      <c r="D315" s="10"/>
      <c r="E315" s="10"/>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9"/>
      <c r="D316" s="10"/>
      <c r="E316" s="10"/>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9"/>
      <c r="D317" s="10"/>
      <c r="E317" s="10"/>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9"/>
      <c r="D318" s="10"/>
      <c r="E318" s="10"/>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9"/>
      <c r="D319" s="10"/>
      <c r="E319" s="10"/>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9"/>
      <c r="D320" s="10"/>
      <c r="E320" s="10"/>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9"/>
      <c r="D321" s="10"/>
      <c r="E321" s="10"/>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9"/>
      <c r="D322" s="10"/>
      <c r="E322" s="10"/>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9"/>
      <c r="D323" s="10"/>
      <c r="E323" s="10"/>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9"/>
      <c r="D324" s="10"/>
      <c r="E324" s="10"/>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9"/>
      <c r="D325" s="10"/>
      <c r="E325" s="10"/>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9"/>
      <c r="D326" s="10"/>
      <c r="E326" s="10"/>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9"/>
      <c r="D327" s="10"/>
      <c r="E327" s="10"/>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9"/>
      <c r="D328" s="10"/>
      <c r="E328" s="10"/>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9"/>
      <c r="D329" s="10"/>
      <c r="E329" s="10"/>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9"/>
      <c r="D330" s="10"/>
      <c r="E330" s="10"/>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9"/>
      <c r="D331" s="10"/>
      <c r="E331" s="10"/>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9"/>
      <c r="D332" s="10"/>
      <c r="E332" s="10"/>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9"/>
      <c r="D333" s="10"/>
      <c r="E333" s="10"/>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9"/>
      <c r="D334" s="10"/>
      <c r="E334" s="10"/>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9"/>
      <c r="D335" s="10"/>
      <c r="E335" s="10"/>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9"/>
      <c r="D336" s="10"/>
      <c r="E336" s="10"/>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9"/>
      <c r="D337" s="10"/>
      <c r="E337" s="10"/>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9"/>
      <c r="D338" s="10"/>
      <c r="E338" s="10"/>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9"/>
      <c r="D339" s="10"/>
      <c r="E339" s="10"/>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9"/>
      <c r="D340" s="10"/>
      <c r="E340" s="10"/>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9"/>
      <c r="D341" s="10"/>
      <c r="E341" s="10"/>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9"/>
      <c r="D342" s="10"/>
      <c r="E342" s="10"/>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9"/>
      <c r="D343" s="10"/>
      <c r="E343" s="10"/>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9"/>
      <c r="D344" s="10"/>
      <c r="E344" s="10"/>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9"/>
      <c r="D345" s="10"/>
      <c r="E345" s="10"/>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9"/>
      <c r="D346" s="10"/>
      <c r="E346" s="10"/>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9"/>
      <c r="D347" s="10"/>
      <c r="E347" s="10"/>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9"/>
      <c r="D348" s="10"/>
      <c r="E348" s="10"/>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9"/>
      <c r="D349" s="10"/>
      <c r="E349" s="10"/>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9"/>
      <c r="D350" s="10"/>
      <c r="E350" s="10"/>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9"/>
      <c r="D351" s="10"/>
      <c r="E351" s="10"/>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9"/>
      <c r="D352" s="10"/>
      <c r="E352" s="10"/>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9"/>
      <c r="D353" s="10"/>
      <c r="E353" s="10"/>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9"/>
      <c r="D354" s="10"/>
      <c r="E354" s="10"/>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9"/>
      <c r="D355" s="10"/>
      <c r="E355" s="10"/>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9"/>
      <c r="D356" s="10"/>
      <c r="E356" s="10"/>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9"/>
      <c r="D357" s="10"/>
      <c r="E357" s="10"/>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9"/>
      <c r="D358" s="10"/>
      <c r="E358" s="10"/>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9"/>
      <c r="D359" s="10"/>
      <c r="E359" s="10"/>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9"/>
      <c r="D360" s="10"/>
      <c r="E360" s="10"/>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9"/>
      <c r="D361" s="10"/>
      <c r="E361" s="10"/>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9"/>
      <c r="D362" s="10"/>
      <c r="E362" s="10"/>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9"/>
      <c r="D363" s="10"/>
      <c r="E363" s="10"/>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9"/>
      <c r="D364" s="10"/>
      <c r="E364" s="10"/>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9"/>
      <c r="D365" s="10"/>
      <c r="E365" s="10"/>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9"/>
      <c r="D366" s="10"/>
      <c r="E366" s="10"/>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9"/>
      <c r="D367" s="10"/>
      <c r="E367" s="10"/>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9"/>
      <c r="D368" s="10"/>
      <c r="E368" s="10"/>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9"/>
      <c r="D369" s="10"/>
      <c r="E369" s="10"/>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9"/>
      <c r="D370" s="10"/>
      <c r="E370" s="10"/>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9"/>
      <c r="D371" s="10"/>
      <c r="E371" s="10"/>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9"/>
      <c r="D372" s="10"/>
      <c r="E372" s="10"/>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9"/>
      <c r="D373" s="10"/>
      <c r="E373" s="10"/>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9"/>
      <c r="D374" s="10"/>
      <c r="E374" s="10"/>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9"/>
      <c r="D375" s="10"/>
      <c r="E375" s="10"/>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9"/>
      <c r="D376" s="10"/>
      <c r="E376" s="10"/>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9"/>
      <c r="D377" s="10"/>
      <c r="E377" s="10"/>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9"/>
      <c r="D378" s="10"/>
      <c r="E378" s="10"/>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9"/>
      <c r="D379" s="10"/>
      <c r="E379" s="10"/>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9"/>
      <c r="D380" s="10"/>
      <c r="E380" s="10"/>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9"/>
      <c r="D381" s="10"/>
      <c r="E381" s="10"/>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9"/>
      <c r="D382" s="10"/>
      <c r="E382" s="10"/>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9"/>
      <c r="D383" s="10"/>
      <c r="E383" s="10"/>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9"/>
      <c r="D384" s="10"/>
      <c r="E384" s="10"/>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9"/>
      <c r="D385" s="10"/>
      <c r="E385" s="10"/>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9"/>
      <c r="D386" s="10"/>
      <c r="E386" s="10"/>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9"/>
      <c r="D387" s="10"/>
      <c r="E387" s="10"/>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9"/>
      <c r="D388" s="10"/>
      <c r="E388" s="10"/>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9"/>
      <c r="D389" s="10"/>
      <c r="E389" s="10"/>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9"/>
      <c r="D390" s="10"/>
      <c r="E390" s="10"/>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9"/>
      <c r="D391" s="10"/>
      <c r="E391" s="10"/>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9"/>
      <c r="D392" s="10"/>
      <c r="E392" s="10"/>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9"/>
      <c r="D393" s="10"/>
      <c r="E393" s="10"/>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9"/>
      <c r="D394" s="10"/>
      <c r="E394" s="10"/>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9"/>
      <c r="D395" s="10"/>
      <c r="E395" s="10"/>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9"/>
      <c r="D396" s="10"/>
      <c r="E396" s="10"/>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9"/>
      <c r="D397" s="10"/>
      <c r="E397" s="10"/>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9"/>
      <c r="D398" s="10"/>
      <c r="E398" s="10"/>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9"/>
      <c r="D399" s="10"/>
      <c r="E399" s="10"/>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9"/>
      <c r="D400" s="10"/>
      <c r="E400" s="10"/>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9"/>
      <c r="D401" s="10"/>
      <c r="E401" s="10"/>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9"/>
      <c r="D402" s="10"/>
      <c r="E402" s="10"/>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9"/>
      <c r="D403" s="10"/>
      <c r="E403" s="10"/>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9"/>
      <c r="D404" s="10"/>
      <c r="E404" s="10"/>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9"/>
      <c r="D405" s="10"/>
      <c r="E405" s="10"/>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9"/>
      <c r="D406" s="10"/>
      <c r="E406" s="10"/>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9"/>
      <c r="D407" s="10"/>
      <c r="E407" s="10"/>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9"/>
      <c r="D408" s="10"/>
      <c r="E408" s="10"/>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9"/>
      <c r="D409" s="10"/>
      <c r="E409" s="10"/>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9"/>
      <c r="D410" s="10"/>
      <c r="E410" s="10"/>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9"/>
      <c r="D411" s="10"/>
      <c r="E411" s="10"/>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9"/>
      <c r="D412" s="10"/>
      <c r="E412" s="10"/>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9"/>
      <c r="D413" s="10"/>
      <c r="E413" s="10"/>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9"/>
      <c r="D414" s="10"/>
      <c r="E414" s="10"/>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9"/>
      <c r="D415" s="10"/>
      <c r="E415" s="10"/>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9"/>
      <c r="D416" s="10"/>
      <c r="E416" s="10"/>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9"/>
      <c r="D417" s="10"/>
      <c r="E417" s="10"/>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9"/>
      <c r="D418" s="10"/>
      <c r="E418" s="10"/>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9"/>
      <c r="D419" s="10"/>
      <c r="E419" s="10"/>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9"/>
      <c r="D420" s="10"/>
      <c r="E420" s="10"/>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9"/>
      <c r="D421" s="10"/>
      <c r="E421" s="10"/>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9"/>
      <c r="D422" s="10"/>
      <c r="E422" s="10"/>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9"/>
      <c r="D423" s="10"/>
      <c r="E423" s="10"/>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9"/>
      <c r="D424" s="10"/>
      <c r="E424" s="10"/>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9"/>
      <c r="D425" s="10"/>
      <c r="E425" s="10"/>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9"/>
      <c r="D426" s="10"/>
      <c r="E426" s="10"/>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9"/>
      <c r="D427" s="10"/>
      <c r="E427" s="10"/>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9"/>
      <c r="D428" s="10"/>
      <c r="E428" s="10"/>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9"/>
      <c r="D429" s="10"/>
      <c r="E429" s="10"/>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9"/>
      <c r="D430" s="10"/>
      <c r="E430" s="10"/>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9"/>
      <c r="D431" s="10"/>
      <c r="E431" s="10"/>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9"/>
      <c r="D432" s="10"/>
      <c r="E432" s="10"/>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9"/>
      <c r="D433" s="10"/>
      <c r="E433" s="10"/>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9"/>
      <c r="D434" s="10"/>
      <c r="E434" s="10"/>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9"/>
      <c r="D435" s="10"/>
      <c r="E435" s="10"/>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9"/>
      <c r="D436" s="10"/>
      <c r="E436" s="10"/>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9"/>
      <c r="D437" s="10"/>
      <c r="E437" s="10"/>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9"/>
      <c r="D438" s="10"/>
      <c r="E438" s="10"/>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9"/>
      <c r="D439" s="10"/>
      <c r="E439" s="10"/>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9"/>
      <c r="D440" s="10"/>
      <c r="E440" s="10"/>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9"/>
      <c r="D441" s="10"/>
      <c r="E441" s="10"/>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9"/>
      <c r="D442" s="10"/>
      <c r="E442" s="10"/>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9"/>
      <c r="D443" s="10"/>
      <c r="E443" s="10"/>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9"/>
      <c r="D444" s="10"/>
      <c r="E444" s="10"/>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9"/>
      <c r="D445" s="10"/>
      <c r="E445" s="10"/>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9"/>
      <c r="D446" s="10"/>
      <c r="E446" s="10"/>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9"/>
      <c r="D447" s="10"/>
      <c r="E447" s="10"/>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9"/>
      <c r="D448" s="10"/>
      <c r="E448" s="10"/>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9"/>
      <c r="D449" s="10"/>
      <c r="E449" s="10"/>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9"/>
      <c r="D450" s="10"/>
      <c r="E450" s="10"/>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9"/>
      <c r="D451" s="10"/>
      <c r="E451" s="10"/>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9"/>
      <c r="D452" s="10"/>
      <c r="E452" s="10"/>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9"/>
      <c r="D453" s="10"/>
      <c r="E453" s="10"/>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9"/>
      <c r="D454" s="10"/>
      <c r="E454" s="10"/>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9"/>
      <c r="D455" s="10"/>
      <c r="E455" s="10"/>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9"/>
      <c r="D456" s="10"/>
      <c r="E456" s="10"/>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9"/>
      <c r="D457" s="10"/>
      <c r="E457" s="10"/>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9"/>
      <c r="D458" s="10"/>
      <c r="E458" s="10"/>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9"/>
      <c r="D459" s="10"/>
      <c r="E459" s="10"/>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9"/>
      <c r="D460" s="10"/>
      <c r="E460" s="10"/>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9"/>
      <c r="D461" s="10"/>
      <c r="E461" s="10"/>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9"/>
      <c r="D462" s="10"/>
      <c r="E462" s="10"/>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9"/>
      <c r="D463" s="10"/>
      <c r="E463" s="10"/>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9"/>
      <c r="D464" s="10"/>
      <c r="E464" s="10"/>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9"/>
      <c r="D465" s="10"/>
      <c r="E465" s="10"/>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9"/>
      <c r="D466" s="10"/>
      <c r="E466" s="10"/>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9"/>
      <c r="D467" s="10"/>
      <c r="E467" s="10"/>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9"/>
      <c r="D468" s="10"/>
      <c r="E468" s="10"/>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9"/>
      <c r="D469" s="10"/>
      <c r="E469" s="10"/>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9"/>
      <c r="D470" s="10"/>
      <c r="E470" s="10"/>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9"/>
      <c r="D471" s="10"/>
      <c r="E471" s="10"/>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9"/>
      <c r="D472" s="10"/>
      <c r="E472" s="10"/>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9"/>
      <c r="D473" s="10"/>
      <c r="E473" s="10"/>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9"/>
      <c r="D474" s="10"/>
      <c r="E474" s="10"/>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9"/>
      <c r="D475" s="10"/>
      <c r="E475" s="10"/>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9"/>
      <c r="D476" s="10"/>
      <c r="E476" s="10"/>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9"/>
      <c r="D477" s="10"/>
      <c r="E477" s="10"/>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9"/>
      <c r="D478" s="10"/>
      <c r="E478" s="10"/>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9"/>
      <c r="D479" s="10"/>
      <c r="E479" s="10"/>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9"/>
      <c r="D480" s="10"/>
      <c r="E480" s="10"/>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9"/>
      <c r="D481" s="10"/>
      <c r="E481" s="10"/>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9"/>
      <c r="D482" s="10"/>
      <c r="E482" s="10"/>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9"/>
      <c r="D483" s="10"/>
      <c r="E483" s="10"/>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9"/>
      <c r="D484" s="10"/>
      <c r="E484" s="10"/>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9"/>
      <c r="D485" s="10"/>
      <c r="E485" s="10"/>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9"/>
      <c r="D486" s="10"/>
      <c r="E486" s="10"/>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9"/>
      <c r="D487" s="10"/>
      <c r="E487" s="10"/>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9"/>
      <c r="D488" s="10"/>
      <c r="E488" s="10"/>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9"/>
      <c r="D489" s="10"/>
      <c r="E489" s="10"/>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9"/>
      <c r="D490" s="10"/>
      <c r="E490" s="10"/>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9"/>
      <c r="D491" s="10"/>
      <c r="E491" s="10"/>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9"/>
      <c r="D492" s="10"/>
      <c r="E492" s="10"/>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9"/>
      <c r="D493" s="10"/>
      <c r="E493" s="10"/>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9"/>
      <c r="D494" s="10"/>
      <c r="E494" s="10"/>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9"/>
      <c r="D495" s="10"/>
      <c r="E495" s="10"/>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9"/>
      <c r="D496" s="10"/>
      <c r="E496" s="10"/>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9"/>
      <c r="D497" s="10"/>
      <c r="E497" s="10"/>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9"/>
      <c r="D498" s="10"/>
      <c r="E498" s="10"/>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9"/>
      <c r="D499" s="10"/>
      <c r="E499" s="10"/>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9"/>
      <c r="D500" s="10"/>
      <c r="E500" s="10"/>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9"/>
      <c r="D501" s="10"/>
      <c r="E501" s="10"/>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9"/>
      <c r="D502" s="10"/>
      <c r="E502" s="10"/>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9"/>
      <c r="D503" s="10"/>
      <c r="E503" s="10"/>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9"/>
      <c r="D504" s="10"/>
      <c r="E504" s="10"/>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9"/>
      <c r="D505" s="10"/>
      <c r="E505" s="10"/>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9"/>
      <c r="D506" s="10"/>
      <c r="E506" s="10"/>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9"/>
      <c r="D507" s="10"/>
      <c r="E507" s="10"/>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9"/>
      <c r="D508" s="10"/>
      <c r="E508" s="10"/>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9"/>
      <c r="D509" s="10"/>
      <c r="E509" s="10"/>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9"/>
      <c r="D510" s="10"/>
      <c r="E510" s="10"/>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9"/>
      <c r="D511" s="10"/>
      <c r="E511" s="10"/>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9"/>
      <c r="D512" s="10"/>
      <c r="E512" s="10"/>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9"/>
      <c r="D513" s="10"/>
      <c r="E513" s="10"/>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9"/>
      <c r="D514" s="10"/>
      <c r="E514" s="10"/>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9"/>
      <c r="D515" s="10"/>
      <c r="E515" s="10"/>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9"/>
      <c r="D516" s="10"/>
      <c r="E516" s="10"/>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9"/>
      <c r="D517" s="10"/>
      <c r="E517" s="10"/>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9"/>
      <c r="D518" s="10"/>
      <c r="E518" s="10"/>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9"/>
      <c r="D519" s="10"/>
      <c r="E519" s="10"/>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9"/>
      <c r="D520" s="10"/>
      <c r="E520" s="10"/>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9"/>
      <c r="D521" s="10"/>
      <c r="E521" s="10"/>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9"/>
      <c r="D522" s="10"/>
      <c r="E522" s="10"/>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9"/>
      <c r="D523" s="10"/>
      <c r="E523" s="10"/>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9"/>
      <c r="D524" s="10"/>
      <c r="E524" s="10"/>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9"/>
      <c r="D525" s="10"/>
      <c r="E525" s="10"/>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9"/>
      <c r="D526" s="10"/>
      <c r="E526" s="10"/>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9"/>
      <c r="D527" s="10"/>
      <c r="E527" s="10"/>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9"/>
      <c r="D528" s="10"/>
      <c r="E528" s="10"/>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9"/>
      <c r="D529" s="10"/>
      <c r="E529" s="10"/>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9"/>
      <c r="D530" s="10"/>
      <c r="E530" s="10"/>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9"/>
      <c r="D531" s="10"/>
      <c r="E531" s="10"/>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9"/>
      <c r="D532" s="10"/>
      <c r="E532" s="10"/>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9"/>
      <c r="D533" s="10"/>
      <c r="E533" s="10"/>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9"/>
      <c r="D534" s="10"/>
      <c r="E534" s="10"/>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9"/>
      <c r="D535" s="10"/>
      <c r="E535" s="10"/>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9"/>
      <c r="D536" s="10"/>
      <c r="E536" s="10"/>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9"/>
      <c r="D537" s="10"/>
      <c r="E537" s="10"/>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9"/>
      <c r="D538" s="10"/>
      <c r="E538" s="10"/>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9"/>
      <c r="D539" s="10"/>
      <c r="E539" s="10"/>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9"/>
      <c r="D540" s="10"/>
      <c r="E540" s="10"/>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9"/>
      <c r="D541" s="10"/>
      <c r="E541" s="10"/>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9"/>
      <c r="D542" s="10"/>
      <c r="E542" s="10"/>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9"/>
      <c r="D543" s="10"/>
      <c r="E543" s="10"/>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9"/>
      <c r="D544" s="10"/>
      <c r="E544" s="10"/>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9"/>
      <c r="D545" s="10"/>
      <c r="E545" s="10"/>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9"/>
      <c r="D546" s="10"/>
      <c r="E546" s="10"/>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9"/>
      <c r="D547" s="10"/>
      <c r="E547" s="10"/>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9"/>
      <c r="D548" s="10"/>
      <c r="E548" s="10"/>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9"/>
      <c r="D549" s="10"/>
      <c r="E549" s="10"/>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9"/>
      <c r="D550" s="10"/>
      <c r="E550" s="10"/>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9"/>
      <c r="D551" s="10"/>
      <c r="E551" s="10"/>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9"/>
      <c r="D552" s="10"/>
      <c r="E552" s="10"/>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9"/>
      <c r="D553" s="10"/>
      <c r="E553" s="10"/>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9"/>
      <c r="D554" s="10"/>
      <c r="E554" s="10"/>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9"/>
      <c r="D555" s="10"/>
      <c r="E555" s="10"/>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9"/>
      <c r="D556" s="10"/>
      <c r="E556" s="10"/>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9"/>
      <c r="D557" s="10"/>
      <c r="E557" s="10"/>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9"/>
      <c r="D558" s="10"/>
      <c r="E558" s="10"/>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9"/>
      <c r="D559" s="10"/>
      <c r="E559" s="10"/>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9"/>
      <c r="D560" s="10"/>
      <c r="E560" s="10"/>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9"/>
      <c r="D561" s="10"/>
      <c r="E561" s="10"/>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9"/>
      <c r="D562" s="10"/>
      <c r="E562" s="10"/>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9"/>
      <c r="D563" s="10"/>
      <c r="E563" s="10"/>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9"/>
      <c r="D564" s="10"/>
      <c r="E564" s="10"/>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9"/>
      <c r="D565" s="10"/>
      <c r="E565" s="10"/>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9"/>
      <c r="D566" s="10"/>
      <c r="E566" s="10"/>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9"/>
      <c r="D567" s="10"/>
      <c r="E567" s="10"/>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9"/>
      <c r="D568" s="10"/>
      <c r="E568" s="10"/>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9"/>
      <c r="D569" s="10"/>
      <c r="E569" s="10"/>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9"/>
      <c r="D570" s="10"/>
      <c r="E570" s="10"/>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9"/>
      <c r="D571" s="10"/>
      <c r="E571" s="10"/>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9"/>
      <c r="D572" s="10"/>
      <c r="E572" s="10"/>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9"/>
      <c r="D573" s="10"/>
      <c r="E573" s="10"/>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9"/>
      <c r="D574" s="10"/>
      <c r="E574" s="10"/>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9"/>
      <c r="D575" s="10"/>
      <c r="E575" s="10"/>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9"/>
      <c r="D576" s="10"/>
      <c r="E576" s="10"/>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9"/>
      <c r="D577" s="10"/>
      <c r="E577" s="10"/>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9"/>
      <c r="D578" s="10"/>
      <c r="E578" s="10"/>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9"/>
      <c r="D579" s="10"/>
      <c r="E579" s="10"/>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9"/>
      <c r="D580" s="10"/>
      <c r="E580" s="10"/>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9"/>
      <c r="D581" s="10"/>
      <c r="E581" s="10"/>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9"/>
      <c r="D582" s="10"/>
      <c r="E582" s="10"/>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9"/>
      <c r="D583" s="10"/>
      <c r="E583" s="10"/>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9"/>
      <c r="D584" s="10"/>
      <c r="E584" s="10"/>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9"/>
      <c r="D585" s="10"/>
      <c r="E585" s="10"/>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9"/>
      <c r="D586" s="10"/>
      <c r="E586" s="10"/>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9"/>
      <c r="D587" s="10"/>
      <c r="E587" s="10"/>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9"/>
      <c r="D588" s="10"/>
      <c r="E588" s="10"/>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9"/>
      <c r="D589" s="10"/>
      <c r="E589" s="10"/>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9"/>
      <c r="D590" s="10"/>
      <c r="E590" s="10"/>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9"/>
      <c r="D591" s="10"/>
      <c r="E591" s="10"/>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9"/>
      <c r="D592" s="10"/>
      <c r="E592" s="10"/>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9"/>
      <c r="D593" s="10"/>
      <c r="E593" s="10"/>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9"/>
      <c r="D594" s="10"/>
      <c r="E594" s="10"/>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9"/>
      <c r="D595" s="10"/>
      <c r="E595" s="10"/>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9"/>
      <c r="D596" s="10"/>
      <c r="E596" s="10"/>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9"/>
      <c r="D597" s="10"/>
      <c r="E597" s="10"/>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9"/>
      <c r="D598" s="10"/>
      <c r="E598" s="10"/>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9"/>
      <c r="D599" s="10"/>
      <c r="E599" s="10"/>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9"/>
      <c r="D600" s="10"/>
      <c r="E600" s="10"/>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9"/>
      <c r="D601" s="10"/>
      <c r="E601" s="10"/>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9"/>
      <c r="D602" s="10"/>
      <c r="E602" s="10"/>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9"/>
      <c r="D603" s="10"/>
      <c r="E603" s="10"/>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9"/>
      <c r="D604" s="10"/>
      <c r="E604" s="10"/>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9"/>
      <c r="D605" s="10"/>
      <c r="E605" s="10"/>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9"/>
      <c r="D606" s="10"/>
      <c r="E606" s="10"/>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9"/>
      <c r="D607" s="10"/>
      <c r="E607" s="10"/>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9"/>
      <c r="D608" s="10"/>
      <c r="E608" s="10"/>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9"/>
      <c r="D609" s="10"/>
      <c r="E609" s="10"/>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9"/>
      <c r="D610" s="10"/>
      <c r="E610" s="10"/>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9"/>
      <c r="D611" s="10"/>
      <c r="E611" s="10"/>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9"/>
      <c r="D612" s="10"/>
      <c r="E612" s="10"/>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9"/>
      <c r="D613" s="10"/>
      <c r="E613" s="10"/>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9"/>
      <c r="D614" s="10"/>
      <c r="E614" s="10"/>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9"/>
      <c r="D615" s="10"/>
      <c r="E615" s="10"/>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9"/>
      <c r="D616" s="10"/>
      <c r="E616" s="10"/>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9"/>
      <c r="D617" s="10"/>
      <c r="E617" s="10"/>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9"/>
      <c r="D618" s="10"/>
      <c r="E618" s="10"/>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9"/>
      <c r="D619" s="10"/>
      <c r="E619" s="10"/>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9"/>
      <c r="D620" s="10"/>
      <c r="E620" s="10"/>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9"/>
      <c r="D621" s="10"/>
      <c r="E621" s="10"/>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9"/>
      <c r="D622" s="10"/>
      <c r="E622" s="10"/>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9"/>
      <c r="D623" s="10"/>
      <c r="E623" s="10"/>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9"/>
      <c r="D624" s="10"/>
      <c r="E624" s="10"/>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9"/>
      <c r="D625" s="10"/>
      <c r="E625" s="10"/>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9"/>
      <c r="D626" s="10"/>
      <c r="E626" s="10"/>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9"/>
      <c r="D627" s="10"/>
      <c r="E627" s="10"/>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9"/>
      <c r="D628" s="10"/>
      <c r="E628" s="10"/>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9"/>
      <c r="D629" s="10"/>
      <c r="E629" s="10"/>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9"/>
      <c r="D630" s="10"/>
      <c r="E630" s="10"/>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9"/>
      <c r="D631" s="10"/>
      <c r="E631" s="10"/>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9"/>
      <c r="D632" s="10"/>
      <c r="E632" s="10"/>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9"/>
      <c r="D633" s="10"/>
      <c r="E633" s="10"/>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9"/>
      <c r="D634" s="10"/>
      <c r="E634" s="10"/>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9"/>
      <c r="D635" s="10"/>
      <c r="E635" s="10"/>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9"/>
      <c r="D636" s="10"/>
      <c r="E636" s="10"/>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9"/>
      <c r="D637" s="10"/>
      <c r="E637" s="10"/>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9"/>
      <c r="D638" s="10"/>
      <c r="E638" s="10"/>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9"/>
      <c r="D639" s="10"/>
      <c r="E639" s="10"/>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9"/>
      <c r="D640" s="10"/>
      <c r="E640" s="10"/>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9"/>
      <c r="D641" s="10"/>
      <c r="E641" s="10"/>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9"/>
      <c r="D642" s="10"/>
      <c r="E642" s="10"/>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9"/>
      <c r="D643" s="10"/>
      <c r="E643" s="10"/>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9"/>
      <c r="D644" s="10"/>
      <c r="E644" s="10"/>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9"/>
      <c r="D645" s="10"/>
      <c r="E645" s="10"/>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9"/>
      <c r="D646" s="10"/>
      <c r="E646" s="10"/>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9"/>
      <c r="D647" s="10"/>
      <c r="E647" s="10"/>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9"/>
      <c r="D648" s="10"/>
      <c r="E648" s="10"/>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9"/>
      <c r="D649" s="10"/>
      <c r="E649" s="10"/>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9"/>
      <c r="D650" s="10"/>
      <c r="E650" s="10"/>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9"/>
      <c r="D651" s="10"/>
      <c r="E651" s="10"/>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9"/>
      <c r="D652" s="10"/>
      <c r="E652" s="10"/>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9"/>
      <c r="D653" s="10"/>
      <c r="E653" s="10"/>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9"/>
      <c r="D654" s="10"/>
      <c r="E654" s="10"/>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9"/>
      <c r="D655" s="10"/>
      <c r="E655" s="10"/>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9"/>
      <c r="D656" s="10"/>
      <c r="E656" s="10"/>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9"/>
      <c r="D657" s="10"/>
      <c r="E657" s="10"/>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9"/>
      <c r="D658" s="10"/>
      <c r="E658" s="10"/>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9"/>
      <c r="D659" s="10"/>
      <c r="E659" s="10"/>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9"/>
      <c r="D660" s="10"/>
      <c r="E660" s="10"/>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9"/>
      <c r="D661" s="10"/>
      <c r="E661" s="10"/>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9"/>
      <c r="D662" s="10"/>
      <c r="E662" s="10"/>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9"/>
      <c r="D663" s="10"/>
      <c r="E663" s="10"/>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9"/>
      <c r="D664" s="10"/>
      <c r="E664" s="10"/>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9"/>
      <c r="D665" s="10"/>
      <c r="E665" s="10"/>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9"/>
      <c r="D666" s="10"/>
      <c r="E666" s="10"/>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9"/>
      <c r="D667" s="10"/>
      <c r="E667" s="10"/>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9"/>
      <c r="D668" s="10"/>
      <c r="E668" s="10"/>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9"/>
      <c r="D669" s="10"/>
      <c r="E669" s="10"/>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9"/>
      <c r="D670" s="10"/>
      <c r="E670" s="10"/>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9"/>
      <c r="D671" s="10"/>
      <c r="E671" s="10"/>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9"/>
      <c r="D672" s="10"/>
      <c r="E672" s="10"/>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9"/>
      <c r="D673" s="10"/>
      <c r="E673" s="10"/>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9"/>
      <c r="D674" s="10"/>
      <c r="E674" s="10"/>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9"/>
      <c r="D675" s="10"/>
      <c r="E675" s="10"/>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9"/>
      <c r="D676" s="10"/>
      <c r="E676" s="10"/>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9"/>
      <c r="D677" s="10"/>
      <c r="E677" s="10"/>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9"/>
      <c r="D678" s="10"/>
      <c r="E678" s="10"/>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9"/>
      <c r="D679" s="10"/>
      <c r="E679" s="10"/>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9"/>
      <c r="D680" s="10"/>
      <c r="E680" s="10"/>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9"/>
      <c r="D681" s="10"/>
      <c r="E681" s="10"/>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9"/>
      <c r="D682" s="10"/>
      <c r="E682" s="10"/>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9"/>
      <c r="D683" s="10"/>
      <c r="E683" s="10"/>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9"/>
      <c r="D684" s="10"/>
      <c r="E684" s="10"/>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9"/>
      <c r="D685" s="10"/>
      <c r="E685" s="10"/>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9"/>
      <c r="D686" s="10"/>
      <c r="E686" s="10"/>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9"/>
      <c r="D687" s="10"/>
      <c r="E687" s="10"/>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9"/>
      <c r="D688" s="10"/>
      <c r="E688" s="10"/>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9"/>
      <c r="D689" s="10"/>
      <c r="E689" s="10"/>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9"/>
      <c r="D690" s="10"/>
      <c r="E690" s="10"/>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9"/>
      <c r="D691" s="10"/>
      <c r="E691" s="10"/>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9"/>
      <c r="D692" s="10"/>
      <c r="E692" s="10"/>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9"/>
      <c r="D693" s="10"/>
      <c r="E693" s="10"/>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9"/>
      <c r="D694" s="10"/>
      <c r="E694" s="10"/>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9"/>
      <c r="D695" s="10"/>
      <c r="E695" s="10"/>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9"/>
      <c r="D696" s="10"/>
      <c r="E696" s="10"/>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9"/>
      <c r="D697" s="10"/>
      <c r="E697" s="10"/>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9"/>
      <c r="D698" s="10"/>
      <c r="E698" s="10"/>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9"/>
      <c r="D699" s="10"/>
      <c r="E699" s="10"/>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9"/>
      <c r="D700" s="10"/>
      <c r="E700" s="10"/>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9"/>
      <c r="D701" s="10"/>
      <c r="E701" s="10"/>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9"/>
      <c r="D702" s="10"/>
      <c r="E702" s="10"/>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9"/>
      <c r="D703" s="10"/>
      <c r="E703" s="10"/>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9"/>
      <c r="D704" s="10"/>
      <c r="E704" s="10"/>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9"/>
      <c r="D705" s="10"/>
      <c r="E705" s="10"/>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9"/>
      <c r="D706" s="10"/>
      <c r="E706" s="10"/>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9"/>
      <c r="D707" s="10"/>
      <c r="E707" s="10"/>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9"/>
      <c r="D708" s="10"/>
      <c r="E708" s="10"/>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9"/>
      <c r="D709" s="10"/>
      <c r="E709" s="10"/>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9"/>
      <c r="D710" s="10"/>
      <c r="E710" s="10"/>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9"/>
      <c r="D711" s="10"/>
      <c r="E711" s="10"/>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9"/>
      <c r="D712" s="10"/>
      <c r="E712" s="10"/>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9"/>
      <c r="D713" s="10"/>
      <c r="E713" s="10"/>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9"/>
      <c r="D714" s="10"/>
      <c r="E714" s="10"/>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9"/>
      <c r="D715" s="10"/>
      <c r="E715" s="10"/>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9"/>
      <c r="D716" s="10"/>
      <c r="E716" s="10"/>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9"/>
      <c r="D717" s="10"/>
      <c r="E717" s="10"/>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9"/>
      <c r="D718" s="10"/>
      <c r="E718" s="10"/>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9"/>
      <c r="D719" s="10"/>
      <c r="E719" s="10"/>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9"/>
      <c r="D720" s="10"/>
      <c r="E720" s="10"/>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9"/>
      <c r="D721" s="10"/>
      <c r="E721" s="10"/>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9"/>
      <c r="D722" s="10"/>
      <c r="E722" s="10"/>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9"/>
      <c r="D723" s="10"/>
      <c r="E723" s="10"/>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9"/>
      <c r="D724" s="10"/>
      <c r="E724" s="10"/>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9"/>
      <c r="D725" s="10"/>
      <c r="E725" s="10"/>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9"/>
      <c r="D726" s="10"/>
      <c r="E726" s="10"/>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9"/>
      <c r="D727" s="10"/>
      <c r="E727" s="10"/>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9"/>
      <c r="D728" s="10"/>
      <c r="E728" s="10"/>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9"/>
      <c r="D729" s="10"/>
      <c r="E729" s="10"/>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9"/>
      <c r="D730" s="10"/>
      <c r="E730" s="10"/>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9"/>
      <c r="D731" s="10"/>
      <c r="E731" s="10"/>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9"/>
      <c r="D732" s="10"/>
      <c r="E732" s="10"/>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9"/>
      <c r="D733" s="10"/>
      <c r="E733" s="10"/>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9"/>
      <c r="D734" s="10"/>
      <c r="E734" s="10"/>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9"/>
      <c r="D735" s="10"/>
      <c r="E735" s="10"/>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9"/>
      <c r="D736" s="10"/>
      <c r="E736" s="10"/>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9"/>
      <c r="D737" s="10"/>
      <c r="E737" s="10"/>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9"/>
      <c r="D738" s="10"/>
      <c r="E738" s="10"/>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9"/>
      <c r="D739" s="10"/>
      <c r="E739" s="10"/>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9"/>
      <c r="D740" s="10"/>
      <c r="E740" s="10"/>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9"/>
      <c r="D741" s="10"/>
      <c r="E741" s="10"/>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9"/>
      <c r="D742" s="10"/>
      <c r="E742" s="10"/>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9"/>
      <c r="D743" s="10"/>
      <c r="E743" s="10"/>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9"/>
      <c r="D744" s="10"/>
      <c r="E744" s="10"/>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9"/>
      <c r="D745" s="10"/>
      <c r="E745" s="10"/>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9"/>
      <c r="D746" s="10"/>
      <c r="E746" s="10"/>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9"/>
      <c r="D747" s="10"/>
      <c r="E747" s="10"/>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9"/>
      <c r="D748" s="10"/>
      <c r="E748" s="10"/>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9"/>
      <c r="D749" s="10"/>
      <c r="E749" s="10"/>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9"/>
      <c r="D750" s="10"/>
      <c r="E750" s="10"/>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9"/>
      <c r="D751" s="10"/>
      <c r="E751" s="10"/>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9"/>
      <c r="D752" s="10"/>
      <c r="E752" s="10"/>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9"/>
      <c r="D753" s="10"/>
      <c r="E753" s="10"/>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9"/>
      <c r="D754" s="10"/>
      <c r="E754" s="10"/>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9"/>
      <c r="D755" s="10"/>
      <c r="E755" s="10"/>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9"/>
      <c r="D756" s="10"/>
      <c r="E756" s="10"/>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9"/>
      <c r="D757" s="10"/>
      <c r="E757" s="10"/>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9"/>
      <c r="D758" s="10"/>
      <c r="E758" s="10"/>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9"/>
      <c r="D759" s="10"/>
      <c r="E759" s="10"/>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9"/>
      <c r="D760" s="10"/>
      <c r="E760" s="10"/>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9"/>
      <c r="D761" s="10"/>
      <c r="E761" s="10"/>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9"/>
      <c r="D762" s="10"/>
      <c r="E762" s="10"/>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9"/>
      <c r="D763" s="10"/>
      <c r="E763" s="10"/>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9"/>
      <c r="D764" s="10"/>
      <c r="E764" s="10"/>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9"/>
      <c r="D765" s="10"/>
      <c r="E765" s="10"/>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9"/>
      <c r="D766" s="10"/>
      <c r="E766" s="10"/>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9"/>
      <c r="D767" s="10"/>
      <c r="E767" s="10"/>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9"/>
      <c r="D768" s="10"/>
      <c r="E768" s="10"/>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9"/>
      <c r="D769" s="10"/>
      <c r="E769" s="10"/>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9"/>
      <c r="D770" s="10"/>
      <c r="E770" s="10"/>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9"/>
      <c r="D771" s="10"/>
      <c r="E771" s="10"/>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9"/>
      <c r="D772" s="10"/>
      <c r="E772" s="10"/>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9"/>
      <c r="D773" s="10"/>
      <c r="E773" s="10"/>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9"/>
      <c r="D774" s="10"/>
      <c r="E774" s="10"/>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9"/>
      <c r="D775" s="10"/>
      <c r="E775" s="10"/>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9"/>
      <c r="D776" s="10"/>
      <c r="E776" s="10"/>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9"/>
      <c r="D777" s="10"/>
      <c r="E777" s="10"/>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9"/>
      <c r="D778" s="10"/>
      <c r="E778" s="10"/>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9"/>
      <c r="D779" s="10"/>
      <c r="E779" s="10"/>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9"/>
      <c r="D780" s="10"/>
      <c r="E780" s="10"/>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9"/>
      <c r="D781" s="10"/>
      <c r="E781" s="10"/>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9"/>
      <c r="D782" s="10"/>
      <c r="E782" s="10"/>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9"/>
      <c r="D783" s="10"/>
      <c r="E783" s="10"/>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9"/>
      <c r="D784" s="10"/>
      <c r="E784" s="10"/>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9"/>
      <c r="D785" s="10"/>
      <c r="E785" s="10"/>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9"/>
      <c r="D786" s="10"/>
      <c r="E786" s="10"/>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9"/>
      <c r="D787" s="10"/>
      <c r="E787" s="10"/>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9"/>
      <c r="D788" s="10"/>
      <c r="E788" s="10"/>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9"/>
      <c r="D789" s="10"/>
      <c r="E789" s="10"/>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9"/>
      <c r="D790" s="10"/>
      <c r="E790" s="10"/>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9"/>
      <c r="D791" s="10"/>
      <c r="E791" s="10"/>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9"/>
      <c r="D792" s="10"/>
      <c r="E792" s="10"/>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9"/>
      <c r="D793" s="10"/>
      <c r="E793" s="10"/>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9"/>
      <c r="D794" s="10"/>
      <c r="E794" s="10"/>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9"/>
      <c r="D795" s="10"/>
      <c r="E795" s="10"/>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9"/>
      <c r="D796" s="10"/>
      <c r="E796" s="10"/>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9"/>
      <c r="D797" s="10"/>
      <c r="E797" s="10"/>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9"/>
      <c r="D798" s="10"/>
      <c r="E798" s="10"/>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9"/>
      <c r="D799" s="10"/>
      <c r="E799" s="10"/>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9"/>
      <c r="D800" s="10"/>
      <c r="E800" s="10"/>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9"/>
      <c r="D801" s="10"/>
      <c r="E801" s="10"/>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9"/>
      <c r="D802" s="10"/>
      <c r="E802" s="10"/>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9"/>
      <c r="D803" s="10"/>
      <c r="E803" s="10"/>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9"/>
      <c r="D804" s="10"/>
      <c r="E804" s="10"/>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9"/>
      <c r="D805" s="10"/>
      <c r="E805" s="10"/>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9"/>
      <c r="D806" s="10"/>
      <c r="E806" s="10"/>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9"/>
      <c r="D807" s="10"/>
      <c r="E807" s="10"/>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9"/>
      <c r="D808" s="10"/>
      <c r="E808" s="10"/>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9"/>
      <c r="D809" s="10"/>
      <c r="E809" s="10"/>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9"/>
      <c r="D810" s="10"/>
      <c r="E810" s="10"/>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9"/>
      <c r="D811" s="10"/>
      <c r="E811" s="10"/>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9"/>
      <c r="D812" s="10"/>
      <c r="E812" s="10"/>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9"/>
      <c r="D813" s="10"/>
      <c r="E813" s="10"/>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9"/>
      <c r="D814" s="10"/>
      <c r="E814" s="10"/>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9"/>
      <c r="D815" s="10"/>
      <c r="E815" s="10"/>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9"/>
      <c r="D816" s="10"/>
      <c r="E816" s="10"/>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9"/>
      <c r="D817" s="10"/>
      <c r="E817" s="10"/>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9"/>
      <c r="D818" s="10"/>
      <c r="E818" s="10"/>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9"/>
      <c r="D819" s="10"/>
      <c r="E819" s="10"/>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9"/>
      <c r="D820" s="10"/>
      <c r="E820" s="10"/>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9"/>
      <c r="D821" s="10"/>
      <c r="E821" s="10"/>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9"/>
      <c r="D822" s="10"/>
      <c r="E822" s="10"/>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9"/>
      <c r="D823" s="10"/>
      <c r="E823" s="10"/>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9"/>
      <c r="D824" s="10"/>
      <c r="E824" s="10"/>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9"/>
      <c r="D825" s="10"/>
      <c r="E825" s="10"/>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9"/>
      <c r="D826" s="10"/>
      <c r="E826" s="10"/>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9"/>
      <c r="D827" s="10"/>
      <c r="E827" s="10"/>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9"/>
      <c r="D828" s="10"/>
      <c r="E828" s="10"/>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9"/>
      <c r="D829" s="10"/>
      <c r="E829" s="10"/>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9"/>
      <c r="D830" s="10"/>
      <c r="E830" s="10"/>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9"/>
      <c r="D831" s="10"/>
      <c r="E831" s="10"/>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9"/>
      <c r="D832" s="10"/>
      <c r="E832" s="10"/>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9"/>
      <c r="D833" s="10"/>
      <c r="E833" s="10"/>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9"/>
      <c r="D834" s="10"/>
      <c r="E834" s="10"/>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9"/>
      <c r="D835" s="10"/>
      <c r="E835" s="10"/>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9"/>
      <c r="D836" s="10"/>
      <c r="E836" s="10"/>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9"/>
      <c r="D837" s="10"/>
      <c r="E837" s="10"/>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9"/>
      <c r="D838" s="10"/>
      <c r="E838" s="10"/>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9"/>
      <c r="D839" s="10"/>
      <c r="E839" s="10"/>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9"/>
      <c r="D840" s="10"/>
      <c r="E840" s="10"/>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9"/>
      <c r="D841" s="10"/>
      <c r="E841" s="10"/>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9"/>
      <c r="D842" s="10"/>
      <c r="E842" s="10"/>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9"/>
      <c r="D843" s="10"/>
      <c r="E843" s="10"/>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9"/>
      <c r="D844" s="10"/>
      <c r="E844" s="10"/>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9"/>
      <c r="D845" s="10"/>
      <c r="E845" s="10"/>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9"/>
      <c r="D846" s="10"/>
      <c r="E846" s="10"/>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9"/>
      <c r="D847" s="10"/>
      <c r="E847" s="10"/>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9"/>
      <c r="D848" s="10"/>
      <c r="E848" s="10"/>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9"/>
      <c r="D849" s="10"/>
      <c r="E849" s="10"/>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9"/>
      <c r="D850" s="10"/>
      <c r="E850" s="10"/>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9"/>
      <c r="D851" s="10"/>
      <c r="E851" s="10"/>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9"/>
      <c r="D852" s="10"/>
      <c r="E852" s="10"/>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9"/>
      <c r="D853" s="10"/>
      <c r="E853" s="10"/>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9"/>
      <c r="D854" s="10"/>
      <c r="E854" s="10"/>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9"/>
      <c r="D855" s="10"/>
      <c r="E855" s="10"/>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9"/>
      <c r="D856" s="10"/>
      <c r="E856" s="10"/>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9"/>
      <c r="D857" s="10"/>
      <c r="E857" s="10"/>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9"/>
      <c r="D858" s="10"/>
      <c r="E858" s="10"/>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9"/>
      <c r="D859" s="10"/>
      <c r="E859" s="10"/>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9"/>
      <c r="D860" s="10"/>
      <c r="E860" s="10"/>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9"/>
      <c r="D861" s="10"/>
      <c r="E861" s="10"/>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9"/>
      <c r="D862" s="10"/>
      <c r="E862" s="10"/>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9"/>
      <c r="D863" s="10"/>
      <c r="E863" s="10"/>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9"/>
      <c r="D864" s="10"/>
      <c r="E864" s="10"/>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9"/>
      <c r="D865" s="10"/>
      <c r="E865" s="10"/>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9"/>
      <c r="D866" s="10"/>
      <c r="E866" s="10"/>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9"/>
      <c r="D867" s="10"/>
      <c r="E867" s="10"/>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9"/>
      <c r="D868" s="10"/>
      <c r="E868" s="10"/>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9"/>
      <c r="D869" s="10"/>
      <c r="E869" s="10"/>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9"/>
      <c r="D870" s="10"/>
      <c r="E870" s="10"/>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9"/>
      <c r="D871" s="10"/>
      <c r="E871" s="10"/>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9"/>
      <c r="D872" s="10"/>
      <c r="E872" s="10"/>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9"/>
      <c r="D873" s="10"/>
      <c r="E873" s="10"/>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9"/>
      <c r="D874" s="10"/>
      <c r="E874" s="10"/>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9"/>
      <c r="D875" s="10"/>
      <c r="E875" s="10"/>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9"/>
      <c r="D876" s="10"/>
      <c r="E876" s="10"/>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9"/>
      <c r="D877" s="10"/>
      <c r="E877" s="10"/>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9"/>
      <c r="D878" s="10"/>
      <c r="E878" s="10"/>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9"/>
      <c r="D879" s="10"/>
      <c r="E879" s="10"/>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9"/>
      <c r="D880" s="10"/>
      <c r="E880" s="10"/>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9"/>
      <c r="D881" s="10"/>
      <c r="E881" s="10"/>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9"/>
      <c r="D882" s="10"/>
      <c r="E882" s="10"/>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9"/>
      <c r="D883" s="10"/>
      <c r="E883" s="10"/>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9"/>
      <c r="D884" s="10"/>
      <c r="E884" s="10"/>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9"/>
      <c r="D885" s="10"/>
      <c r="E885" s="10"/>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9"/>
      <c r="D886" s="10"/>
      <c r="E886" s="10"/>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9"/>
      <c r="D887" s="10"/>
      <c r="E887" s="10"/>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9"/>
      <c r="D888" s="10"/>
      <c r="E888" s="10"/>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9"/>
      <c r="D889" s="10"/>
      <c r="E889" s="10"/>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9"/>
      <c r="D890" s="10"/>
      <c r="E890" s="10"/>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9"/>
      <c r="D891" s="10"/>
      <c r="E891" s="10"/>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9"/>
      <c r="D892" s="10"/>
      <c r="E892" s="10"/>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9"/>
      <c r="D893" s="10"/>
      <c r="E893" s="10"/>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9"/>
      <c r="D894" s="10"/>
      <c r="E894" s="10"/>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9"/>
      <c r="D895" s="10"/>
      <c r="E895" s="10"/>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9"/>
      <c r="D896" s="10"/>
      <c r="E896" s="10"/>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9"/>
      <c r="D897" s="10"/>
      <c r="E897" s="10"/>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9"/>
      <c r="D898" s="10"/>
      <c r="E898" s="10"/>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9"/>
      <c r="D899" s="10"/>
      <c r="E899" s="10"/>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9"/>
      <c r="D900" s="10"/>
      <c r="E900" s="10"/>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9"/>
      <c r="D901" s="10"/>
      <c r="E901" s="10"/>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9"/>
      <c r="D902" s="10"/>
      <c r="E902" s="10"/>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9"/>
      <c r="D903" s="10"/>
      <c r="E903" s="10"/>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9"/>
      <c r="D904" s="10"/>
      <c r="E904" s="10"/>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9"/>
      <c r="D905" s="10"/>
      <c r="E905" s="10"/>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9"/>
      <c r="D906" s="10"/>
      <c r="E906" s="10"/>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9"/>
      <c r="D907" s="10"/>
      <c r="E907" s="10"/>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9"/>
      <c r="D908" s="10"/>
      <c r="E908" s="10"/>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9"/>
      <c r="D909" s="10"/>
      <c r="E909" s="10"/>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9"/>
      <c r="D910" s="10"/>
      <c r="E910" s="10"/>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9"/>
      <c r="D911" s="10"/>
      <c r="E911" s="10"/>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9"/>
      <c r="D912" s="10"/>
      <c r="E912" s="10"/>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9"/>
      <c r="D913" s="10"/>
      <c r="E913" s="10"/>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9"/>
      <c r="D914" s="10"/>
      <c r="E914" s="10"/>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9"/>
      <c r="D915" s="10"/>
      <c r="E915" s="10"/>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9"/>
      <c r="D916" s="10"/>
      <c r="E916" s="10"/>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9"/>
      <c r="D917" s="10"/>
      <c r="E917" s="10"/>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9"/>
      <c r="D918" s="10"/>
      <c r="E918" s="10"/>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9"/>
      <c r="D919" s="10"/>
      <c r="E919" s="10"/>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9"/>
      <c r="D920" s="10"/>
      <c r="E920" s="10"/>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9"/>
      <c r="D921" s="10"/>
      <c r="E921" s="10"/>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9"/>
      <c r="D922" s="10"/>
      <c r="E922" s="10"/>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9"/>
      <c r="D923" s="10"/>
      <c r="E923" s="10"/>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9"/>
      <c r="D924" s="10"/>
      <c r="E924" s="10"/>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9"/>
      <c r="D925" s="10"/>
      <c r="E925" s="10"/>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9"/>
      <c r="D926" s="10"/>
      <c r="E926" s="10"/>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9"/>
      <c r="D927" s="10"/>
      <c r="E927" s="10"/>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9"/>
      <c r="D928" s="10"/>
      <c r="E928" s="10"/>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9"/>
      <c r="D929" s="10"/>
      <c r="E929" s="10"/>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9"/>
      <c r="D930" s="10"/>
      <c r="E930" s="10"/>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9"/>
      <c r="D931" s="10"/>
      <c r="E931" s="10"/>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9"/>
      <c r="D932" s="10"/>
      <c r="E932" s="10"/>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9"/>
      <c r="D933" s="10"/>
      <c r="E933" s="10"/>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9"/>
      <c r="D934" s="10"/>
      <c r="E934" s="10"/>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9"/>
      <c r="D935" s="10"/>
      <c r="E935" s="10"/>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9"/>
      <c r="D936" s="10"/>
      <c r="E936" s="10"/>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9"/>
      <c r="D937" s="10"/>
      <c r="E937" s="10"/>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9"/>
      <c r="D938" s="10"/>
      <c r="E938" s="10"/>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9"/>
      <c r="D939" s="10"/>
      <c r="E939" s="10"/>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9"/>
      <c r="D940" s="10"/>
      <c r="E940" s="10"/>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9"/>
      <c r="D941" s="10"/>
      <c r="E941" s="10"/>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9"/>
      <c r="D942" s="10"/>
      <c r="E942" s="10"/>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9"/>
      <c r="D943" s="10"/>
      <c r="E943" s="10"/>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9"/>
      <c r="D944" s="10"/>
      <c r="E944" s="10"/>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9"/>
      <c r="D945" s="10"/>
      <c r="E945" s="10"/>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9"/>
      <c r="D946" s="10"/>
      <c r="E946" s="10"/>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9"/>
      <c r="D947" s="10"/>
      <c r="E947" s="10"/>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9"/>
      <c r="D948" s="10"/>
      <c r="E948" s="10"/>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9"/>
      <c r="D949" s="10"/>
      <c r="E949" s="10"/>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9"/>
      <c r="D950" s="10"/>
      <c r="E950" s="10"/>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9"/>
      <c r="D951" s="10"/>
      <c r="E951" s="10"/>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9"/>
      <c r="D952" s="10"/>
      <c r="E952" s="10"/>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9"/>
      <c r="D953" s="10"/>
      <c r="E953" s="10"/>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9"/>
      <c r="D954" s="10"/>
      <c r="E954" s="10"/>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9"/>
      <c r="D955" s="10"/>
      <c r="E955" s="10"/>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9"/>
      <c r="D956" s="10"/>
      <c r="E956" s="10"/>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9"/>
      <c r="D957" s="10"/>
      <c r="E957" s="10"/>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9"/>
      <c r="D958" s="10"/>
      <c r="E958" s="10"/>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9"/>
      <c r="D959" s="10"/>
      <c r="E959" s="10"/>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9"/>
      <c r="D960" s="10"/>
      <c r="E960" s="10"/>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9"/>
      <c r="D961" s="10"/>
      <c r="E961" s="10"/>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9"/>
      <c r="D962" s="10"/>
      <c r="E962" s="10"/>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9"/>
      <c r="D963" s="10"/>
      <c r="E963" s="10"/>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9"/>
      <c r="D964" s="10"/>
      <c r="E964" s="10"/>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9"/>
      <c r="D965" s="10"/>
      <c r="E965" s="10"/>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9"/>
      <c r="D966" s="10"/>
      <c r="E966" s="10"/>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9"/>
      <c r="D967" s="10"/>
      <c r="E967" s="10"/>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9"/>
      <c r="D968" s="10"/>
      <c r="E968" s="10"/>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9"/>
      <c r="D969" s="10"/>
      <c r="E969" s="10"/>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9"/>
      <c r="D970" s="10"/>
      <c r="E970" s="10"/>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9"/>
      <c r="D971" s="10"/>
      <c r="E971" s="10"/>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9"/>
      <c r="D972" s="10"/>
      <c r="E972" s="10"/>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9"/>
      <c r="D973" s="10"/>
      <c r="E973" s="10"/>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9"/>
      <c r="D974" s="10"/>
      <c r="E974" s="10"/>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9"/>
      <c r="D975" s="10"/>
      <c r="E975" s="10"/>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9"/>
      <c r="D976" s="10"/>
      <c r="E976" s="10"/>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9"/>
      <c r="D977" s="10"/>
      <c r="E977" s="10"/>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9"/>
      <c r="D978" s="10"/>
      <c r="E978" s="10"/>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9"/>
      <c r="D979" s="10"/>
      <c r="E979" s="10"/>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9"/>
      <c r="D980" s="10"/>
      <c r="E980" s="10"/>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9"/>
      <c r="D981" s="10"/>
      <c r="E981" s="10"/>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9"/>
      <c r="D982" s="10"/>
      <c r="E982" s="10"/>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9"/>
      <c r="D983" s="10"/>
      <c r="E983" s="10"/>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9"/>
      <c r="D984" s="10"/>
      <c r="E984" s="10"/>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9"/>
      <c r="D985" s="10"/>
      <c r="E985" s="10"/>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9"/>
      <c r="D986" s="10"/>
      <c r="E986" s="10"/>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9"/>
      <c r="D987" s="10"/>
      <c r="E987" s="10"/>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9"/>
      <c r="D988" s="10"/>
      <c r="E988" s="10"/>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9"/>
      <c r="D989" s="10"/>
      <c r="E989" s="10"/>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9"/>
      <c r="D990" s="10"/>
      <c r="E990" s="10"/>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9"/>
      <c r="D991" s="10"/>
      <c r="E991" s="10"/>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9"/>
      <c r="D992" s="10"/>
      <c r="E992" s="10"/>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9"/>
      <c r="D993" s="10"/>
      <c r="E993" s="10"/>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9"/>
      <c r="D994" s="10"/>
      <c r="E994" s="10"/>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9"/>
      <c r="D995" s="10"/>
      <c r="E995" s="10"/>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9"/>
      <c r="D996" s="10"/>
      <c r="E996" s="10"/>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9"/>
      <c r="D997" s="10"/>
      <c r="E997" s="10"/>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9"/>
      <c r="D998" s="10"/>
      <c r="E998" s="10"/>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9"/>
      <c r="D999" s="10"/>
      <c r="E999" s="10"/>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9"/>
      <c r="D1000" s="10"/>
      <c r="E1000" s="10"/>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7">
    <mergeCell ref="B2:E2"/>
    <mergeCell ref="C3:E3"/>
    <mergeCell ref="B6:E6"/>
    <mergeCell ref="D7:E7"/>
    <mergeCell ref="D8:E8"/>
    <mergeCell ref="D9:E9"/>
    <mergeCell ref="D10:E10"/>
    <mergeCell ref="D11:E11"/>
    <mergeCell ref="D12:E12"/>
    <mergeCell ref="D13:E13"/>
    <mergeCell ref="D14:E14"/>
    <mergeCell ref="D17:E17"/>
    <mergeCell ref="B19:E19"/>
    <mergeCell ref="D20:E20"/>
    <mergeCell ref="D21:E29"/>
    <mergeCell ref="D30:E30"/>
    <mergeCell ref="B32:E32"/>
    <mergeCell ref="D33:E33"/>
    <mergeCell ref="B34:B35"/>
    <mergeCell ref="D34:E34"/>
    <mergeCell ref="D35:E35"/>
    <mergeCell ref="D36:E36"/>
    <mergeCell ref="D37:E37"/>
    <mergeCell ref="D38:E38"/>
    <mergeCell ref="B40:E40"/>
    <mergeCell ref="B46:E46"/>
    <mergeCell ref="B50:E50"/>
    <mergeCell ref="B57:E57"/>
    <mergeCell ref="C58:E58"/>
    <mergeCell ref="C59:E59"/>
    <mergeCell ref="B61:E61"/>
    <mergeCell ref="B67:E67"/>
    <mergeCell ref="D68:E68"/>
    <mergeCell ref="D69:E69"/>
    <mergeCell ref="D70:E70"/>
    <mergeCell ref="C81:E81"/>
    <mergeCell ref="C82:E82"/>
    <mergeCell ref="B84:E84"/>
    <mergeCell ref="C85:E85"/>
    <mergeCell ref="C86:E86"/>
    <mergeCell ref="B72:E72"/>
    <mergeCell ref="C73:E73"/>
    <mergeCell ref="C74:E74"/>
    <mergeCell ref="B76:E76"/>
    <mergeCell ref="C77:E77"/>
    <mergeCell ref="C78:E78"/>
    <mergeCell ref="B80:E8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223A"/>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4" width="1.78"/>
    <col customWidth="1" min="5" max="5" width="60.78"/>
    <col customWidth="1" min="6" max="8" width="1.78"/>
    <col customWidth="1" min="9" max="9" width="2.78"/>
    <col customWidth="1" min="10" max="10" width="47.44"/>
    <col customWidth="1" min="11" max="11" width="76.0"/>
    <col customWidth="1" min="12" max="12" width="25.33"/>
    <col customWidth="1" min="13" max="13" width="100.78"/>
    <col customWidth="1" min="14" max="33" width="10.78"/>
  </cols>
  <sheetData>
    <row r="1" ht="15.75" customHeight="1">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row>
    <row r="2" ht="54.0" customHeight="1">
      <c r="A2" s="35"/>
      <c r="B2" s="36" t="s">
        <v>116</v>
      </c>
      <c r="C2" s="13"/>
      <c r="D2" s="13"/>
      <c r="E2" s="13"/>
      <c r="F2" s="13"/>
      <c r="G2" s="13"/>
      <c r="H2" s="13"/>
      <c r="I2" s="13"/>
      <c r="J2" s="13"/>
      <c r="K2" s="13"/>
      <c r="L2" s="13"/>
      <c r="M2" s="14"/>
      <c r="N2" s="1"/>
      <c r="O2" s="35"/>
      <c r="P2" s="35"/>
      <c r="Q2" s="35"/>
      <c r="R2" s="35"/>
      <c r="S2" s="35"/>
      <c r="T2" s="35"/>
      <c r="U2" s="35"/>
      <c r="V2" s="35"/>
      <c r="W2" s="35"/>
      <c r="X2" s="35"/>
      <c r="Y2" s="35"/>
      <c r="Z2" s="35"/>
      <c r="AA2" s="35"/>
      <c r="AB2" s="35"/>
      <c r="AC2" s="35"/>
      <c r="AD2" s="35"/>
      <c r="AE2" s="35"/>
      <c r="AF2" s="35"/>
      <c r="AG2" s="35"/>
    </row>
    <row r="3" ht="19.5" customHeight="1">
      <c r="A3" s="35"/>
      <c r="B3" s="37" t="s">
        <v>117</v>
      </c>
      <c r="C3" s="13"/>
      <c r="D3" s="13"/>
      <c r="E3" s="13"/>
      <c r="F3" s="13"/>
      <c r="G3" s="13"/>
      <c r="H3" s="13"/>
      <c r="I3" s="13"/>
      <c r="J3" s="13"/>
      <c r="K3" s="13"/>
      <c r="L3" s="38"/>
      <c r="M3" s="39" t="str">
        <f>pnp_version_number</f>
        <v>v1.9.0.007</v>
      </c>
      <c r="N3" s="1"/>
      <c r="O3" s="35"/>
      <c r="P3" s="35"/>
      <c r="Q3" s="35"/>
      <c r="R3" s="35"/>
      <c r="S3" s="35"/>
      <c r="T3" s="35"/>
      <c r="U3" s="35"/>
      <c r="V3" s="35"/>
      <c r="W3" s="35"/>
      <c r="X3" s="35"/>
      <c r="Y3" s="35"/>
      <c r="Z3" s="35"/>
      <c r="AA3" s="35"/>
      <c r="AB3" s="35"/>
      <c r="AC3" s="35"/>
      <c r="AD3" s="35"/>
      <c r="AE3" s="35"/>
      <c r="AF3" s="35"/>
      <c r="AG3" s="35"/>
    </row>
    <row r="4" ht="15.75" customHeight="1">
      <c r="A4" s="35"/>
      <c r="B4" s="35"/>
      <c r="C4" s="35"/>
      <c r="D4" s="35"/>
      <c r="E4" s="35"/>
      <c r="F4" s="35"/>
      <c r="G4" s="35"/>
      <c r="H4" s="35"/>
      <c r="I4" s="40"/>
      <c r="J4" s="40"/>
      <c r="K4" s="35"/>
      <c r="L4" s="35"/>
      <c r="M4" s="35"/>
      <c r="N4" s="35"/>
      <c r="O4" s="35"/>
      <c r="P4" s="35"/>
      <c r="Q4" s="35"/>
      <c r="R4" s="35"/>
      <c r="S4" s="35"/>
      <c r="T4" s="35"/>
      <c r="U4" s="35"/>
      <c r="V4" s="35"/>
      <c r="W4" s="35"/>
      <c r="X4" s="35"/>
      <c r="Y4" s="35"/>
      <c r="Z4" s="35"/>
      <c r="AA4" s="35"/>
      <c r="AB4" s="35"/>
      <c r="AC4" s="35"/>
      <c r="AD4" s="35"/>
      <c r="AE4" s="35"/>
      <c r="AF4" s="35"/>
      <c r="AG4" s="35"/>
    </row>
    <row r="5" ht="15.75" customHeight="1">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row>
    <row r="6" ht="19.5" customHeight="1">
      <c r="A6" s="35"/>
      <c r="B6" s="12" t="s">
        <v>118</v>
      </c>
      <c r="C6" s="13"/>
      <c r="D6" s="13"/>
      <c r="E6" s="13"/>
      <c r="F6" s="13"/>
      <c r="G6" s="13"/>
      <c r="H6" s="13"/>
      <c r="I6" s="13"/>
      <c r="J6" s="13"/>
      <c r="K6" s="13"/>
      <c r="L6" s="13"/>
      <c r="M6" s="14"/>
      <c r="N6" s="1"/>
      <c r="O6" s="35"/>
      <c r="P6" s="35"/>
      <c r="Q6" s="35"/>
      <c r="R6" s="35"/>
      <c r="S6" s="35"/>
      <c r="T6" s="35"/>
      <c r="U6" s="35"/>
      <c r="V6" s="35"/>
      <c r="W6" s="35"/>
      <c r="X6" s="35"/>
      <c r="Y6" s="35"/>
      <c r="Z6" s="35"/>
      <c r="AA6" s="35"/>
      <c r="AB6" s="35"/>
      <c r="AC6" s="35"/>
      <c r="AD6" s="35"/>
      <c r="AE6" s="35"/>
      <c r="AF6" s="35"/>
      <c r="AG6" s="35"/>
    </row>
    <row r="7" ht="19.5" customHeight="1">
      <c r="A7" s="35"/>
      <c r="B7" s="32" t="s">
        <v>119</v>
      </c>
      <c r="C7" s="13"/>
      <c r="D7" s="13"/>
      <c r="E7" s="13"/>
      <c r="F7" s="13"/>
      <c r="G7" s="13"/>
      <c r="H7" s="13"/>
      <c r="I7" s="13"/>
      <c r="J7" s="13"/>
      <c r="K7" s="13"/>
      <c r="L7" s="13"/>
      <c r="M7" s="14"/>
      <c r="N7" s="1"/>
      <c r="O7" s="35"/>
      <c r="P7" s="35"/>
      <c r="Q7" s="35"/>
      <c r="R7" s="35"/>
      <c r="S7" s="35"/>
      <c r="T7" s="35"/>
      <c r="U7" s="35"/>
      <c r="V7" s="35"/>
      <c r="W7" s="35"/>
      <c r="X7" s="35"/>
      <c r="Y7" s="35"/>
      <c r="Z7" s="35"/>
      <c r="AA7" s="35"/>
      <c r="AB7" s="35"/>
      <c r="AC7" s="35"/>
      <c r="AD7" s="35"/>
      <c r="AE7" s="35"/>
      <c r="AF7" s="35"/>
      <c r="AG7" s="35"/>
    </row>
    <row r="8" ht="19.5" customHeight="1">
      <c r="A8" s="35"/>
      <c r="B8" s="35"/>
      <c r="C8" s="35"/>
      <c r="D8" s="35"/>
      <c r="E8" s="35"/>
      <c r="F8" s="35"/>
      <c r="G8" s="35"/>
      <c r="H8" s="35"/>
      <c r="I8" s="40"/>
      <c r="J8" s="35"/>
      <c r="K8" s="35"/>
      <c r="L8" s="35"/>
      <c r="M8" s="35"/>
      <c r="N8" s="35"/>
      <c r="O8" s="35"/>
      <c r="P8" s="35"/>
      <c r="Q8" s="35"/>
      <c r="R8" s="35"/>
      <c r="S8" s="35"/>
      <c r="T8" s="35"/>
      <c r="U8" s="35"/>
      <c r="V8" s="35"/>
      <c r="W8" s="35"/>
      <c r="X8" s="35"/>
      <c r="Y8" s="35"/>
      <c r="Z8" s="35"/>
      <c r="AA8" s="35"/>
      <c r="AB8" s="35"/>
      <c r="AC8" s="35"/>
      <c r="AD8" s="35"/>
      <c r="AE8" s="35"/>
      <c r="AF8" s="35"/>
      <c r="AG8" s="35"/>
    </row>
    <row r="9" ht="15.75" customHeight="1">
      <c r="A9" s="41"/>
      <c r="B9" s="41"/>
      <c r="C9" s="41"/>
      <c r="D9" s="41"/>
      <c r="E9" s="41"/>
      <c r="F9" s="41"/>
      <c r="G9" s="41"/>
      <c r="H9" s="41"/>
      <c r="I9" s="41"/>
      <c r="J9" s="42" t="s">
        <v>120</v>
      </c>
      <c r="K9" s="13"/>
      <c r="L9" s="13"/>
      <c r="M9" s="14"/>
      <c r="N9" s="41"/>
      <c r="O9" s="41"/>
      <c r="P9" s="41"/>
      <c r="Q9" s="41"/>
      <c r="R9" s="41"/>
      <c r="S9" s="41"/>
      <c r="T9" s="41"/>
      <c r="U9" s="41"/>
      <c r="V9" s="41"/>
      <c r="W9" s="41"/>
      <c r="X9" s="41"/>
      <c r="Y9" s="41"/>
      <c r="Z9" s="41"/>
      <c r="AA9" s="41"/>
      <c r="AB9" s="41"/>
      <c r="AC9" s="41"/>
      <c r="AD9" s="41"/>
      <c r="AE9" s="41"/>
      <c r="AF9" s="41"/>
      <c r="AG9" s="41"/>
    </row>
    <row r="10" ht="15.75" customHeight="1">
      <c r="A10" s="41"/>
      <c r="B10" s="41"/>
      <c r="C10" s="41"/>
      <c r="D10" s="41"/>
      <c r="E10" s="41"/>
      <c r="F10" s="41"/>
      <c r="G10" s="41"/>
      <c r="H10" s="41"/>
      <c r="I10" s="41"/>
      <c r="J10" s="43" t="s">
        <v>121</v>
      </c>
      <c r="K10" s="13"/>
      <c r="L10" s="13"/>
      <c r="M10" s="14"/>
      <c r="N10" s="41"/>
      <c r="O10" s="41"/>
      <c r="P10" s="41"/>
      <c r="Q10" s="41"/>
      <c r="R10" s="41"/>
      <c r="S10" s="41"/>
      <c r="T10" s="41"/>
      <c r="U10" s="41"/>
      <c r="V10" s="41"/>
      <c r="W10" s="41"/>
      <c r="X10" s="41"/>
      <c r="Y10" s="41"/>
      <c r="Z10" s="41"/>
      <c r="AA10" s="41"/>
      <c r="AB10" s="41"/>
      <c r="AC10" s="41"/>
      <c r="AD10" s="41"/>
      <c r="AE10" s="41"/>
      <c r="AF10" s="41"/>
      <c r="AG10" s="41"/>
    </row>
    <row r="11" ht="15.75" customHeight="1">
      <c r="A11" s="41"/>
      <c r="B11" s="41"/>
      <c r="C11" s="41"/>
      <c r="D11" s="41"/>
      <c r="E11" s="41"/>
      <c r="F11" s="41"/>
      <c r="G11" s="41"/>
      <c r="H11" s="41"/>
      <c r="I11" s="41"/>
      <c r="J11" s="44" t="str">
        <f>IF(vcf_version_chosen="No Version Selected","Select Version",vcf_version_chosen)</f>
        <v>9.0.2.0</v>
      </c>
      <c r="K11" s="45"/>
      <c r="L11" s="45"/>
      <c r="M11" s="26"/>
      <c r="N11" s="41"/>
      <c r="O11" s="41"/>
      <c r="P11" s="41"/>
      <c r="Q11" s="41"/>
      <c r="R11" s="41"/>
      <c r="S11" s="41"/>
      <c r="T11" s="41"/>
      <c r="U11" s="41"/>
      <c r="V11" s="41"/>
      <c r="W11" s="41"/>
      <c r="X11" s="41"/>
      <c r="Y11" s="41"/>
      <c r="Z11" s="41"/>
      <c r="AA11" s="41"/>
      <c r="AB11" s="41"/>
      <c r="AC11" s="41"/>
      <c r="AD11" s="41"/>
      <c r="AE11" s="41"/>
      <c r="AF11" s="41"/>
      <c r="AG11" s="41"/>
    </row>
    <row r="12" ht="15.75" customHeight="1">
      <c r="A12" s="41"/>
      <c r="B12" s="41"/>
      <c r="C12" s="41"/>
      <c r="D12" s="41"/>
      <c r="E12" s="41"/>
      <c r="F12" s="41"/>
      <c r="G12" s="41"/>
      <c r="H12" s="41"/>
      <c r="I12" s="41"/>
      <c r="J12" s="46"/>
      <c r="K12" s="47"/>
      <c r="L12" s="47"/>
      <c r="M12" s="48"/>
      <c r="N12" s="41"/>
      <c r="O12" s="41"/>
      <c r="P12" s="41"/>
      <c r="Q12" s="41"/>
      <c r="R12" s="41"/>
      <c r="S12" s="41"/>
      <c r="T12" s="41"/>
      <c r="U12" s="41"/>
      <c r="V12" s="41"/>
      <c r="W12" s="41"/>
      <c r="X12" s="41"/>
      <c r="Y12" s="41"/>
      <c r="Z12" s="41"/>
      <c r="AA12" s="41"/>
      <c r="AB12" s="41"/>
      <c r="AC12" s="41"/>
      <c r="AD12" s="41"/>
      <c r="AE12" s="41"/>
      <c r="AF12" s="41"/>
      <c r="AG12" s="41"/>
    </row>
    <row r="13" ht="15.75" customHeight="1">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row>
    <row r="14" ht="15.75" customHeight="1">
      <c r="A14" s="41"/>
      <c r="B14" s="41"/>
      <c r="C14" s="41"/>
      <c r="D14" s="41"/>
      <c r="E14" s="41"/>
      <c r="F14" s="41"/>
      <c r="G14" s="41"/>
      <c r="H14" s="41"/>
      <c r="I14" s="41"/>
      <c r="J14" s="12" t="s">
        <v>122</v>
      </c>
      <c r="K14" s="13"/>
      <c r="L14" s="13"/>
      <c r="M14" s="14"/>
      <c r="N14" s="41"/>
      <c r="O14" s="41"/>
      <c r="P14" s="41"/>
      <c r="Q14" s="41"/>
      <c r="R14" s="41"/>
      <c r="S14" s="41"/>
      <c r="T14" s="41"/>
      <c r="U14" s="41"/>
      <c r="V14" s="41"/>
      <c r="W14" s="41"/>
      <c r="X14" s="41"/>
      <c r="Y14" s="41"/>
      <c r="Z14" s="41"/>
      <c r="AA14" s="41"/>
      <c r="AB14" s="41"/>
      <c r="AC14" s="41"/>
      <c r="AD14" s="41"/>
      <c r="AE14" s="41"/>
      <c r="AF14" s="41"/>
      <c r="AG14" s="41"/>
    </row>
    <row r="15" ht="15.75" customHeight="1">
      <c r="A15" s="41"/>
      <c r="B15" s="41"/>
      <c r="C15" s="41"/>
      <c r="D15" s="41"/>
      <c r="E15" s="41"/>
      <c r="F15" s="41"/>
      <c r="G15" s="41"/>
      <c r="H15" s="41"/>
      <c r="I15" s="41"/>
      <c r="J15" s="49" t="s">
        <v>123</v>
      </c>
      <c r="K15" s="49" t="s">
        <v>38</v>
      </c>
      <c r="L15" s="49" t="s">
        <v>124</v>
      </c>
      <c r="M15" s="49" t="s">
        <v>125</v>
      </c>
      <c r="N15" s="41"/>
      <c r="O15" s="41"/>
      <c r="P15" s="41"/>
      <c r="Q15" s="41"/>
      <c r="R15" s="41"/>
      <c r="S15" s="41"/>
      <c r="T15" s="41"/>
      <c r="U15" s="41"/>
      <c r="V15" s="41"/>
      <c r="W15" s="41"/>
      <c r="X15" s="41"/>
      <c r="Y15" s="41"/>
      <c r="Z15" s="41"/>
      <c r="AA15" s="41"/>
      <c r="AB15" s="41"/>
      <c r="AC15" s="41"/>
      <c r="AD15" s="41"/>
      <c r="AE15" s="41"/>
      <c r="AF15" s="41"/>
      <c r="AG15" s="41"/>
    </row>
    <row r="16" ht="15.75" customHeight="1">
      <c r="A16" s="41"/>
      <c r="B16" s="41"/>
      <c r="C16" s="41"/>
      <c r="D16" s="41"/>
      <c r="E16" s="41"/>
      <c r="F16" s="41"/>
      <c r="G16" s="41"/>
      <c r="H16" s="41"/>
      <c r="I16" s="41"/>
      <c r="J16" s="50" t="s">
        <v>126</v>
      </c>
      <c r="K16" s="51" t="str">
        <f>CONCATENATE(mgmt_domain_deployment_type_chosen," Deployment Version")</f>
        <v>VMware Cloud Foundation Deployment Version</v>
      </c>
      <c r="L16" s="18" t="str">
        <f>IF(vcf_version_chosen="No Version Selected","Excluded","Included")</f>
        <v>Included</v>
      </c>
      <c r="M16" s="18" t="str">
        <f>IF(vcf_version_result="Excluded",CONCATENATE("Cause: ",mgmt_domain_deployment_type_chosen, " Deployment Version is not selected"),CONCATENATE(mgmt_domain_deployment_type_chosen," Version ",vcf_version," selected"))</f>
        <v>VMware Cloud Foundation Version 9.0.2.0 selected</v>
      </c>
      <c r="N16" s="41"/>
      <c r="O16" s="41"/>
      <c r="P16" s="41"/>
      <c r="Q16" s="41"/>
      <c r="R16" s="41"/>
      <c r="S16" s="41"/>
      <c r="T16" s="41"/>
      <c r="U16" s="41"/>
      <c r="V16" s="41"/>
      <c r="W16" s="41"/>
      <c r="X16" s="41"/>
      <c r="Y16" s="41"/>
      <c r="Z16" s="41"/>
      <c r="AA16" s="41"/>
      <c r="AB16" s="41"/>
      <c r="AC16" s="41"/>
      <c r="AD16" s="41"/>
      <c r="AE16" s="41"/>
      <c r="AF16" s="41"/>
      <c r="AG16" s="41"/>
    </row>
    <row r="17" ht="15.75" customHeight="1">
      <c r="A17" s="41"/>
      <c r="B17" s="41"/>
      <c r="C17" s="41"/>
      <c r="D17" s="41"/>
      <c r="E17" s="41"/>
      <c r="F17" s="41"/>
      <c r="G17" s="41"/>
      <c r="H17" s="41"/>
      <c r="I17" s="41"/>
      <c r="J17" s="52" t="s">
        <v>121</v>
      </c>
      <c r="K17" s="51" t="s">
        <v>127</v>
      </c>
      <c r="L17" s="18" t="str">
        <f>IF(vcf_version_chosen="No Version Selected","Excluded","Included")</f>
        <v>Included</v>
      </c>
      <c r="M17" s="18"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c r="N17" s="41"/>
      <c r="O17" s="41"/>
      <c r="P17" s="41"/>
      <c r="Q17" s="41"/>
      <c r="R17" s="41"/>
      <c r="S17" s="41"/>
      <c r="T17" s="41"/>
      <c r="U17" s="41"/>
      <c r="V17" s="41"/>
      <c r="W17" s="41"/>
      <c r="X17" s="41"/>
      <c r="Y17" s="41"/>
      <c r="Z17" s="41"/>
      <c r="AA17" s="41"/>
      <c r="AB17" s="41"/>
      <c r="AC17" s="41"/>
      <c r="AD17" s="41"/>
      <c r="AE17" s="41"/>
      <c r="AF17" s="41"/>
      <c r="AG17" s="41"/>
    </row>
    <row r="18" ht="15.75" customHeight="1">
      <c r="A18" s="41"/>
      <c r="B18" s="41"/>
      <c r="C18" s="41"/>
      <c r="D18" s="41"/>
      <c r="E18" s="41"/>
      <c r="F18" s="41"/>
      <c r="G18" s="41"/>
      <c r="H18" s="41"/>
      <c r="I18" s="41"/>
      <c r="J18" s="52" t="s">
        <v>128</v>
      </c>
      <c r="K18" s="51" t="s">
        <v>129</v>
      </c>
      <c r="L18" s="18" t="str">
        <f>IF(vcf_version_chosen="No Version Selected","Excluded",IF(mgmt_domain_deployment_type_chosen="VMware vSphere Foundation","Excluded",IF(mgmt_domain_chosen="Deploy a new VCF fleet","Included","Included")))</f>
        <v>Included</v>
      </c>
      <c r="M18" s="18"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an additional VCF Instance</v>
      </c>
      <c r="N18" s="41"/>
      <c r="O18" s="41"/>
      <c r="P18" s="41"/>
      <c r="Q18" s="41"/>
      <c r="R18" s="41"/>
      <c r="S18" s="41"/>
      <c r="T18" s="41"/>
      <c r="U18" s="41"/>
      <c r="V18" s="41"/>
      <c r="W18" s="41"/>
      <c r="X18" s="41"/>
      <c r="Y18" s="41"/>
      <c r="Z18" s="41"/>
      <c r="AA18" s="41"/>
      <c r="AB18" s="41"/>
      <c r="AC18" s="41"/>
      <c r="AD18" s="41"/>
      <c r="AE18" s="41"/>
      <c r="AF18" s="41"/>
      <c r="AG18" s="41"/>
    </row>
    <row r="19" ht="15.75" customHeight="1">
      <c r="A19" s="41"/>
      <c r="B19" s="41"/>
      <c r="C19" s="41"/>
      <c r="D19" s="41"/>
      <c r="E19" s="41"/>
      <c r="F19" s="41"/>
      <c r="G19" s="41"/>
      <c r="H19" s="41"/>
      <c r="I19" s="41"/>
      <c r="J19" s="53" t="s">
        <v>130</v>
      </c>
      <c r="K19" s="51" t="s">
        <v>131</v>
      </c>
      <c r="L19" s="18" t="str">
        <f>IF(vcf_version_chosen="No Version Selected","Excluded",
IF(AND(mgmt_domain_deployment_type_chosen="VMware vSphere Foundation",vcf_granular_option_chosen="Create VI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18" t="str">
        <f>IF(vcf_version_result="Excluded",CONCATENATE("Cause: ",mgmt_domain_deployment_type_chosen," Deployment Version is not selected"),
IF(AND(mgmt_domain_deployment_type_chosen="VMware vSphere Foundation",vcf_granular_option_chosen="Create VI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VI Workload Domain","A VI Workload Domain will be added on an exsiting VCF Instance",
IF(vcf_granular_option_chosen="VMware vSphere Foundation Deployment","Deploy a new VMware vSphere Foundation Cluster",""))))))))))</f>
        <v>VMware Cloud Foundation Installer will deploy a new VCF Instance in an existing VCF fleet</v>
      </c>
      <c r="N19" s="41"/>
      <c r="O19" s="41"/>
      <c r="P19" s="41"/>
      <c r="Q19" s="41"/>
      <c r="R19" s="41"/>
      <c r="S19" s="41"/>
      <c r="T19" s="41"/>
      <c r="U19" s="41"/>
      <c r="V19" s="41"/>
      <c r="W19" s="41"/>
      <c r="X19" s="41"/>
      <c r="Y19" s="41"/>
      <c r="Z19" s="41"/>
      <c r="AA19" s="41"/>
      <c r="AB19" s="41"/>
      <c r="AC19" s="41"/>
      <c r="AD19" s="41"/>
      <c r="AE19" s="41"/>
      <c r="AF19" s="41"/>
      <c r="AG19" s="41"/>
    </row>
    <row r="20" ht="15.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row>
    <row r="24" ht="15.75" customHeight="1">
      <c r="A24" s="41"/>
      <c r="B24" s="41"/>
      <c r="C24" s="41"/>
      <c r="D24" s="41"/>
      <c r="E24" s="41"/>
      <c r="F24" s="41"/>
      <c r="G24" s="41"/>
      <c r="H24" s="41"/>
      <c r="I24" s="41"/>
      <c r="J24" s="54"/>
      <c r="K24" s="41"/>
      <c r="L24" s="41"/>
      <c r="M24" s="41"/>
      <c r="N24" s="41"/>
      <c r="O24" s="41"/>
      <c r="P24" s="41"/>
      <c r="Q24" s="41"/>
      <c r="R24" s="41"/>
      <c r="S24" s="41"/>
      <c r="T24" s="41"/>
      <c r="U24" s="41"/>
      <c r="V24" s="41"/>
      <c r="W24" s="41"/>
      <c r="X24" s="41"/>
      <c r="Y24" s="41"/>
      <c r="Z24" s="41"/>
      <c r="AA24" s="41"/>
      <c r="AB24" s="41"/>
      <c r="AC24" s="41"/>
      <c r="AD24" s="41"/>
      <c r="AE24" s="41"/>
      <c r="AF24" s="41"/>
      <c r="AG24" s="41"/>
    </row>
    <row r="25" ht="15.75" customHeight="1">
      <c r="A25" s="41"/>
      <c r="B25" s="41"/>
      <c r="C25" s="41"/>
      <c r="D25" s="41"/>
      <c r="E25" s="41"/>
      <c r="F25" s="41"/>
      <c r="G25" s="41"/>
      <c r="H25" s="41"/>
      <c r="I25" s="41"/>
      <c r="J25" s="54"/>
      <c r="K25" s="41"/>
      <c r="L25" s="41"/>
      <c r="M25" s="41"/>
      <c r="N25" s="41"/>
      <c r="O25" s="41"/>
      <c r="P25" s="41"/>
      <c r="Q25" s="41"/>
      <c r="R25" s="41"/>
      <c r="S25" s="41"/>
      <c r="T25" s="41"/>
      <c r="U25" s="41"/>
      <c r="V25" s="41"/>
      <c r="W25" s="41"/>
      <c r="X25" s="41"/>
      <c r="Y25" s="41"/>
      <c r="Z25" s="41"/>
      <c r="AA25" s="41"/>
      <c r="AB25" s="41"/>
      <c r="AC25" s="41"/>
      <c r="AD25" s="41"/>
      <c r="AE25" s="41"/>
      <c r="AF25" s="41"/>
      <c r="AG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row>
    <row r="27" ht="15.75" customHeight="1">
      <c r="A27" s="41"/>
      <c r="B27" s="41"/>
      <c r="C27" s="41"/>
      <c r="D27" s="41"/>
      <c r="E27" s="41"/>
      <c r="F27" s="41"/>
      <c r="G27" s="41"/>
      <c r="H27" s="41"/>
      <c r="I27" s="41"/>
      <c r="J27" s="54"/>
      <c r="K27" s="41"/>
      <c r="L27" s="41"/>
      <c r="M27" s="41"/>
      <c r="N27" s="41"/>
      <c r="O27" s="41"/>
      <c r="P27" s="41"/>
      <c r="Q27" s="41"/>
      <c r="R27" s="41"/>
      <c r="S27" s="41"/>
      <c r="T27" s="41"/>
      <c r="U27" s="41"/>
      <c r="V27" s="41"/>
      <c r="W27" s="41"/>
      <c r="X27" s="41"/>
      <c r="Y27" s="41"/>
      <c r="Z27" s="41"/>
      <c r="AA27" s="41"/>
      <c r="AB27" s="41"/>
      <c r="AC27" s="41"/>
      <c r="AD27" s="41"/>
      <c r="AE27" s="41"/>
      <c r="AF27" s="41"/>
      <c r="AG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row>
    <row r="29" ht="15.75" customHeight="1">
      <c r="A29" s="41"/>
      <c r="B29" s="41"/>
      <c r="C29" s="41"/>
      <c r="D29" s="41"/>
      <c r="E29" s="55"/>
      <c r="F29" s="55"/>
      <c r="G29" s="55"/>
      <c r="H29" s="55"/>
      <c r="I29" s="41"/>
      <c r="J29" s="41"/>
      <c r="K29" s="41"/>
      <c r="L29" s="41"/>
      <c r="M29" s="41"/>
      <c r="N29" s="55"/>
      <c r="O29" s="41"/>
      <c r="P29" s="41"/>
      <c r="Q29" s="41"/>
      <c r="R29" s="41"/>
      <c r="S29" s="41"/>
      <c r="T29" s="41"/>
      <c r="U29" s="41"/>
      <c r="V29" s="41"/>
      <c r="W29" s="41"/>
      <c r="X29" s="41"/>
      <c r="Y29" s="41"/>
      <c r="Z29" s="41"/>
      <c r="AA29" s="41"/>
      <c r="AB29" s="41"/>
      <c r="AC29" s="41"/>
      <c r="AD29" s="41"/>
      <c r="AE29" s="41"/>
      <c r="AF29" s="41"/>
      <c r="AG29" s="41"/>
    </row>
    <row r="30" ht="15.75" customHeight="1">
      <c r="A30" s="41"/>
      <c r="B30" s="41"/>
      <c r="C30" s="41"/>
      <c r="D30" s="41"/>
      <c r="E30" s="55"/>
      <c r="F30" s="55"/>
      <c r="G30" s="55"/>
      <c r="H30" s="55"/>
      <c r="I30" s="41"/>
      <c r="J30" s="41"/>
      <c r="K30" s="41"/>
      <c r="L30" s="41"/>
      <c r="M30" s="41"/>
      <c r="N30" s="55"/>
      <c r="O30" s="41"/>
      <c r="P30" s="41"/>
      <c r="Q30" s="41"/>
      <c r="R30" s="41"/>
      <c r="S30" s="41"/>
      <c r="T30" s="41"/>
      <c r="U30" s="41"/>
      <c r="V30" s="41"/>
      <c r="W30" s="41"/>
      <c r="X30" s="41"/>
      <c r="Y30" s="41"/>
      <c r="Z30" s="41"/>
      <c r="AA30" s="41"/>
      <c r="AB30" s="41"/>
      <c r="AC30" s="41"/>
      <c r="AD30" s="41"/>
      <c r="AE30" s="41"/>
      <c r="AF30" s="41"/>
      <c r="AG30" s="41"/>
    </row>
    <row r="31" ht="15.75" customHeight="1">
      <c r="A31" s="41"/>
      <c r="B31" s="41"/>
      <c r="C31" s="41"/>
      <c r="D31" s="41"/>
      <c r="E31" s="55"/>
      <c r="F31" s="55"/>
      <c r="G31" s="55"/>
      <c r="H31" s="55"/>
      <c r="I31" s="55"/>
      <c r="J31" s="41"/>
      <c r="K31" s="41"/>
      <c r="L31" s="41"/>
      <c r="M31" s="41"/>
      <c r="N31" s="55"/>
      <c r="O31" s="41"/>
      <c r="P31" s="41"/>
      <c r="Q31" s="41"/>
      <c r="R31" s="41"/>
      <c r="S31" s="41"/>
      <c r="T31" s="41"/>
      <c r="U31" s="41"/>
      <c r="V31" s="41"/>
      <c r="W31" s="41"/>
      <c r="X31" s="41"/>
      <c r="Y31" s="41"/>
      <c r="Z31" s="41"/>
      <c r="AA31" s="41"/>
      <c r="AB31" s="41"/>
      <c r="AC31" s="41"/>
      <c r="AD31" s="41"/>
      <c r="AE31" s="41"/>
      <c r="AF31" s="41"/>
      <c r="AG31" s="41"/>
    </row>
    <row r="32" ht="15.75" customHeight="1">
      <c r="A32" s="41"/>
      <c r="B32" s="41"/>
      <c r="C32" s="41"/>
      <c r="D32" s="41"/>
      <c r="E32" s="55"/>
      <c r="F32" s="55"/>
      <c r="G32" s="55"/>
      <c r="H32" s="55"/>
      <c r="I32" s="55"/>
      <c r="J32" s="41"/>
      <c r="K32" s="41"/>
      <c r="L32" s="41"/>
      <c r="M32" s="41"/>
      <c r="N32" s="55"/>
      <c r="O32" s="41"/>
      <c r="P32" s="41"/>
      <c r="Q32" s="41"/>
      <c r="R32" s="41"/>
      <c r="S32" s="41"/>
      <c r="T32" s="41"/>
      <c r="U32" s="41"/>
      <c r="V32" s="41"/>
      <c r="W32" s="41"/>
      <c r="X32" s="41"/>
      <c r="Y32" s="41"/>
      <c r="Z32" s="41"/>
      <c r="AA32" s="41"/>
      <c r="AB32" s="41"/>
      <c r="AC32" s="41"/>
      <c r="AD32" s="41"/>
      <c r="AE32" s="41"/>
      <c r="AF32" s="41"/>
      <c r="AG32" s="41"/>
    </row>
    <row r="33" ht="15.75" customHeight="1">
      <c r="A33" s="41"/>
      <c r="B33" s="41"/>
      <c r="C33" s="41"/>
      <c r="D33" s="41"/>
      <c r="E33" s="55"/>
      <c r="F33" s="55"/>
      <c r="G33" s="55"/>
      <c r="H33" s="55"/>
      <c r="I33" s="55"/>
      <c r="J33" s="41"/>
      <c r="K33" s="41"/>
      <c r="L33" s="41"/>
      <c r="M33" s="41"/>
      <c r="N33" s="55"/>
      <c r="O33" s="41"/>
      <c r="P33" s="41"/>
      <c r="Q33" s="41"/>
      <c r="R33" s="41"/>
      <c r="S33" s="41"/>
      <c r="T33" s="41"/>
      <c r="U33" s="41"/>
      <c r="V33" s="41"/>
      <c r="W33" s="41"/>
      <c r="X33" s="41"/>
      <c r="Y33" s="41"/>
      <c r="Z33" s="41"/>
      <c r="AA33" s="41"/>
      <c r="AB33" s="41"/>
      <c r="AC33" s="41"/>
      <c r="AD33" s="41"/>
      <c r="AE33" s="41"/>
      <c r="AF33" s="41"/>
      <c r="AG33" s="41"/>
    </row>
    <row r="34" ht="15.75" customHeight="1">
      <c r="A34" s="41"/>
      <c r="B34" s="41"/>
      <c r="C34" s="41"/>
      <c r="D34" s="41"/>
      <c r="E34" s="55"/>
      <c r="F34" s="55"/>
      <c r="G34" s="55"/>
      <c r="H34" s="55"/>
      <c r="I34" s="55"/>
      <c r="J34" s="41"/>
      <c r="K34" s="41"/>
      <c r="L34" s="41"/>
      <c r="M34" s="41"/>
      <c r="N34" s="55"/>
      <c r="O34" s="41"/>
      <c r="P34" s="41"/>
      <c r="Q34" s="41"/>
      <c r="R34" s="41"/>
      <c r="S34" s="41"/>
      <c r="T34" s="41"/>
      <c r="U34" s="41"/>
      <c r="V34" s="41"/>
      <c r="W34" s="41"/>
      <c r="X34" s="41"/>
      <c r="Y34" s="41"/>
      <c r="Z34" s="41"/>
      <c r="AA34" s="41"/>
      <c r="AB34" s="41"/>
      <c r="AC34" s="41"/>
      <c r="AD34" s="41"/>
      <c r="AE34" s="41"/>
      <c r="AF34" s="41"/>
      <c r="AG34" s="41"/>
    </row>
    <row r="35" ht="15.75" customHeight="1">
      <c r="A35" s="41"/>
      <c r="B35" s="41"/>
      <c r="C35" s="41"/>
      <c r="D35" s="41"/>
      <c r="E35" s="55"/>
      <c r="F35" s="55"/>
      <c r="G35" s="55"/>
      <c r="H35" s="55"/>
      <c r="I35" s="55"/>
      <c r="J35" s="41"/>
      <c r="K35" s="41"/>
      <c r="L35" s="41"/>
      <c r="M35" s="41"/>
      <c r="N35" s="55"/>
      <c r="O35" s="41"/>
      <c r="P35" s="41"/>
      <c r="Q35" s="41"/>
      <c r="R35" s="41"/>
      <c r="S35" s="41"/>
      <c r="T35" s="41"/>
      <c r="U35" s="41"/>
      <c r="V35" s="41"/>
      <c r="W35" s="41"/>
      <c r="X35" s="41"/>
      <c r="Y35" s="41"/>
      <c r="Z35" s="41"/>
      <c r="AA35" s="41"/>
      <c r="AB35" s="41"/>
      <c r="AC35" s="41"/>
      <c r="AD35" s="41"/>
      <c r="AE35" s="41"/>
      <c r="AF35" s="41"/>
      <c r="AG35" s="41"/>
    </row>
    <row r="36" ht="15.75" customHeight="1">
      <c r="A36" s="41"/>
      <c r="B36" s="41"/>
      <c r="C36" s="41"/>
      <c r="D36" s="41"/>
      <c r="E36" s="55"/>
      <c r="F36" s="55"/>
      <c r="G36" s="55"/>
      <c r="H36" s="55"/>
      <c r="I36" s="55"/>
      <c r="J36" s="41"/>
      <c r="K36" s="41"/>
      <c r="L36" s="41"/>
      <c r="M36" s="41"/>
      <c r="N36" s="55"/>
      <c r="O36" s="41"/>
      <c r="P36" s="41"/>
      <c r="Q36" s="41"/>
      <c r="R36" s="41"/>
      <c r="S36" s="41"/>
      <c r="T36" s="41"/>
      <c r="U36" s="41"/>
      <c r="V36" s="41"/>
      <c r="W36" s="41"/>
      <c r="X36" s="41"/>
      <c r="Y36" s="41"/>
      <c r="Z36" s="41"/>
      <c r="AA36" s="41"/>
      <c r="AB36" s="41"/>
      <c r="AC36" s="41"/>
      <c r="AD36" s="41"/>
      <c r="AE36" s="41"/>
      <c r="AF36" s="41"/>
      <c r="AG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row>
  </sheetData>
  <mergeCells count="8">
    <mergeCell ref="B2:M2"/>
    <mergeCell ref="B3:L3"/>
    <mergeCell ref="B6:M6"/>
    <mergeCell ref="B7:M7"/>
    <mergeCell ref="J9:M9"/>
    <mergeCell ref="J10:M10"/>
    <mergeCell ref="J11:M12"/>
    <mergeCell ref="J14:M14"/>
  </mergeCells>
  <dataValidations>
    <dataValidation type="list" allowBlank="1" showErrorMessage="1" sqref="J17">
      <formula1>"VMware Cloud Foundation,VMware vSphere Foundation"</formula1>
    </dataValidation>
    <dataValidation type="list" allowBlank="1" showErrorMessage="1" sqref="J16">
      <formula1>"No Version Selected,9.0.0.0,9.0.1.0,9.0.2.0"</formula1>
    </dataValidation>
    <dataValidation type="list" allowBlank="1" showErrorMessage="1" sqref="J18">
      <formula1>INDIRECT(SUBSTITUTE(J17," ","_"))</formula1>
    </dataValidation>
    <dataValidation type="list" allowBlank="1" showErrorMessage="1" sqref="J19">
      <formula1>IF(mgmt_domain_deployment_type_chosen="VMware vSphere Foundation",VMware_vSphere_Foundation,INDIRECT(SUBSTITUTE(J18," ","_")))</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11.78"/>
    <col customWidth="1" min="3" max="3" width="12.78"/>
    <col customWidth="1" min="4" max="4" width="12.44"/>
    <col customWidth="1" min="5" max="5" width="21.78"/>
    <col customWidth="1" min="6" max="6" width="12.0"/>
    <col customWidth="1" min="7" max="7" width="13.0"/>
    <col customWidth="1" min="8" max="8" width="27.0"/>
    <col customWidth="1" min="9" max="9" width="17.78"/>
    <col customWidth="1" min="10" max="10" width="14.67"/>
    <col customWidth="1" min="11" max="11" width="15.44"/>
    <col customWidth="1" min="12" max="12" width="19.78"/>
    <col customWidth="1" min="13" max="13" width="15.0"/>
    <col customWidth="1" min="14" max="14" width="11.0"/>
    <col customWidth="1" min="15" max="15" width="14.78"/>
    <col customWidth="1" min="16" max="16" width="25.44"/>
    <col customWidth="1" min="17" max="17" width="12.0"/>
    <col customWidth="1" min="18" max="18" width="13.11"/>
    <col customWidth="1" min="19" max="19" width="13.78"/>
    <col customWidth="1" min="20" max="20" width="7.0"/>
    <col customWidth="1" min="21" max="21" width="18.0"/>
    <col customWidth="1" min="22" max="22" width="11.78"/>
    <col customWidth="1" min="23" max="23" width="31.0"/>
    <col customWidth="1" min="24" max="27" width="10.78"/>
    <col customWidth="1" min="28" max="28" width="34.78"/>
    <col customWidth="1" min="29" max="33" width="10.78"/>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54.0" customHeight="1">
      <c r="A2" s="1"/>
      <c r="B2" s="56" t="s">
        <v>132</v>
      </c>
      <c r="C2" s="3"/>
      <c r="D2" s="3"/>
      <c r="E2" s="3"/>
      <c r="F2" s="3"/>
      <c r="G2" s="3"/>
      <c r="H2" s="3"/>
      <c r="I2" s="3"/>
      <c r="J2" s="3"/>
      <c r="K2" s="3"/>
      <c r="L2" s="3"/>
      <c r="M2" s="3"/>
      <c r="N2" s="3"/>
      <c r="O2" s="3"/>
      <c r="P2" s="3"/>
      <c r="Q2" s="3"/>
      <c r="R2" s="3"/>
      <c r="S2" s="3"/>
      <c r="T2" s="3"/>
      <c r="U2" s="3"/>
      <c r="V2" s="3"/>
      <c r="W2" s="3"/>
      <c r="X2" s="3"/>
      <c r="Y2" s="3"/>
      <c r="Z2" s="3"/>
      <c r="AA2" s="3"/>
      <c r="AB2" s="4"/>
      <c r="AC2" s="1"/>
      <c r="AD2" s="1"/>
      <c r="AE2" s="1"/>
      <c r="AF2" s="1"/>
      <c r="AG2" s="1"/>
    </row>
    <row r="3" ht="19.5" customHeight="1">
      <c r="A3" s="1"/>
      <c r="B3" s="7"/>
      <c r="C3" s="3"/>
      <c r="D3" s="3"/>
      <c r="E3" s="3"/>
      <c r="F3" s="3"/>
      <c r="G3" s="3"/>
      <c r="H3" s="3"/>
      <c r="I3" s="3"/>
      <c r="J3" s="3"/>
      <c r="K3" s="3"/>
      <c r="L3" s="3"/>
      <c r="M3" s="3"/>
      <c r="N3" s="3"/>
      <c r="O3" s="3"/>
      <c r="P3" s="3"/>
      <c r="Q3" s="3"/>
      <c r="R3" s="3"/>
      <c r="S3" s="3"/>
      <c r="T3" s="3"/>
      <c r="U3" s="3"/>
      <c r="V3" s="3"/>
      <c r="W3" s="3"/>
      <c r="X3" s="3"/>
      <c r="Y3" s="3"/>
      <c r="Z3" s="3"/>
      <c r="AA3" s="3"/>
      <c r="AB3" s="4"/>
      <c r="AC3" s="1"/>
      <c r="AD3" s="1"/>
      <c r="AE3" s="1"/>
      <c r="AF3" s="1"/>
      <c r="AG3" s="1"/>
    </row>
    <row r="4" ht="15.75" customHeight="1">
      <c r="A4" s="1"/>
      <c r="B4" s="1"/>
      <c r="C4" s="1"/>
      <c r="D4" s="1"/>
      <c r="E4" s="1"/>
      <c r="F4" s="1"/>
      <c r="G4" s="1"/>
      <c r="H4" s="10"/>
      <c r="I4" s="10"/>
      <c r="J4" s="1"/>
      <c r="K4" s="1"/>
      <c r="L4" s="1"/>
      <c r="M4" s="1"/>
      <c r="N4" s="1"/>
      <c r="O4" s="1"/>
      <c r="P4" s="1"/>
      <c r="Q4" s="1"/>
      <c r="R4" s="1"/>
      <c r="S4" s="1"/>
      <c r="T4" s="1"/>
      <c r="U4" s="1"/>
      <c r="V4" s="1"/>
      <c r="W4" s="1"/>
      <c r="X4" s="1"/>
      <c r="Y4" s="1"/>
      <c r="Z4" s="1"/>
      <c r="AA4" s="1"/>
      <c r="AB4" s="1"/>
      <c r="AC4" s="1"/>
      <c r="AD4" s="1"/>
      <c r="AE4" s="1"/>
      <c r="AF4" s="1"/>
      <c r="AG4" s="1"/>
    </row>
    <row r="5" ht="15.0" customHeight="1">
      <c r="A5" s="1"/>
      <c r="B5" s="1"/>
      <c r="C5" s="1"/>
      <c r="D5" s="1"/>
      <c r="E5" s="1"/>
      <c r="F5" s="1"/>
      <c r="G5" s="1"/>
      <c r="H5" s="1"/>
      <c r="I5" s="10"/>
      <c r="J5" s="10"/>
      <c r="K5" s="10"/>
      <c r="L5" s="10"/>
      <c r="M5" s="10"/>
      <c r="N5" s="10"/>
      <c r="O5" s="10"/>
      <c r="P5" s="10"/>
      <c r="Q5" s="10"/>
      <c r="R5" s="1"/>
      <c r="S5" s="1"/>
      <c r="T5" s="1"/>
      <c r="U5" s="1"/>
      <c r="V5" s="1"/>
      <c r="W5" s="1"/>
      <c r="X5" s="1"/>
      <c r="Y5" s="1"/>
      <c r="Z5" s="1"/>
      <c r="AA5" s="1"/>
      <c r="AB5" s="1"/>
      <c r="AC5" s="1"/>
      <c r="AD5" s="1"/>
      <c r="AE5" s="1"/>
      <c r="AF5" s="1"/>
      <c r="AG5" s="1"/>
    </row>
    <row r="6" ht="19.5" customHeight="1">
      <c r="A6" s="11"/>
      <c r="B6" s="12" t="s">
        <v>133</v>
      </c>
      <c r="C6" s="13"/>
      <c r="D6" s="13"/>
      <c r="E6" s="14"/>
      <c r="F6" s="1"/>
      <c r="G6" s="57" t="s">
        <v>134</v>
      </c>
      <c r="H6" s="58"/>
      <c r="I6" s="58"/>
      <c r="J6" s="58"/>
      <c r="K6" s="58"/>
      <c r="L6" s="58"/>
      <c r="M6" s="59"/>
      <c r="N6" s="1"/>
      <c r="O6" s="60" t="s">
        <v>135</v>
      </c>
      <c r="P6" s="61"/>
      <c r="Q6" s="62"/>
      <c r="R6" s="3"/>
      <c r="S6" s="4"/>
      <c r="T6" s="10"/>
      <c r="U6" s="60" t="s">
        <v>5</v>
      </c>
      <c r="V6" s="61"/>
      <c r="W6" s="61"/>
      <c r="X6" s="61"/>
      <c r="Y6" s="61"/>
      <c r="Z6" s="61"/>
      <c r="AA6" s="61"/>
      <c r="AB6" s="61"/>
      <c r="AC6" s="63"/>
      <c r="AD6" s="63"/>
      <c r="AE6" s="63"/>
      <c r="AF6" s="11"/>
      <c r="AG6" s="11"/>
    </row>
    <row r="7" ht="19.5" customHeight="1">
      <c r="A7" s="1"/>
      <c r="B7" s="43" t="s">
        <v>136</v>
      </c>
      <c r="C7" s="13"/>
      <c r="D7" s="14"/>
      <c r="E7" s="64" t="s">
        <v>137</v>
      </c>
      <c r="F7" s="1"/>
      <c r="G7" s="65" t="s">
        <v>136</v>
      </c>
      <c r="H7" s="66"/>
      <c r="I7" s="67"/>
      <c r="J7" s="49" t="s">
        <v>138</v>
      </c>
      <c r="K7" s="49" t="s">
        <v>139</v>
      </c>
      <c r="L7" s="49" t="s">
        <v>140</v>
      </c>
      <c r="M7" s="49" t="s">
        <v>141</v>
      </c>
      <c r="N7" s="1"/>
      <c r="O7" s="43" t="s">
        <v>142</v>
      </c>
      <c r="P7" s="13"/>
      <c r="Q7" s="14"/>
      <c r="R7" s="43" t="s">
        <v>143</v>
      </c>
      <c r="S7" s="14"/>
      <c r="T7" s="10"/>
      <c r="U7" s="63" t="s">
        <v>144</v>
      </c>
      <c r="AC7" s="63"/>
      <c r="AD7" s="63"/>
      <c r="AE7" s="63"/>
      <c r="AF7" s="1"/>
      <c r="AG7" s="1"/>
    </row>
    <row r="8" ht="19.5" customHeight="1">
      <c r="A8" s="1"/>
      <c r="B8" s="32" t="s">
        <v>145</v>
      </c>
      <c r="C8" s="13"/>
      <c r="D8" s="14"/>
      <c r="E8" s="68">
        <v>30.0</v>
      </c>
      <c r="F8" s="1"/>
      <c r="G8" s="22" t="s">
        <v>146</v>
      </c>
      <c r="H8" s="13"/>
      <c r="I8" s="14"/>
      <c r="J8" s="18">
        <v>1.0</v>
      </c>
      <c r="K8" s="31">
        <f>sizing_sddc_manager_cpu</f>
        <v>4</v>
      </c>
      <c r="L8" s="31">
        <f>sizing_sddc_manager_ram</f>
        <v>16</v>
      </c>
      <c r="M8" s="31">
        <f>sizing_sddc_manager_disk</f>
        <v>914</v>
      </c>
      <c r="N8" s="1"/>
      <c r="O8" s="32" t="s">
        <v>147</v>
      </c>
      <c r="P8" s="13"/>
      <c r="Q8" s="14"/>
      <c r="R8" s="69">
        <f t="array" ref="R8">IF(OR(H32="Mandatory - HA Cluster",sizing_vcfops_deployment_model_chosen="Deploy HA",sizing_vcfvidb_chosen="Deploy HA"),MAX(4,(ROUNDUP(((SUM(K8:K27)/sizing_cpu_oversubscription)/sizing_mgmt_cluster_host_core_count),0)),((ROUNDUP((SUM(L8:L27/sizing_ram_oversubscription)/sizing_mgmt_cluster_host_ram_count),0))+1)),
IF(OR(sizing_storage_type="vSAN-ESA",sizing_storage_type="vSAN-OSA"),MAX(3,(ROUNDUP(((SUM(K8:K27)/sizing_cpu_oversubscription)/sizing_mgmt_cluster_host_core_count),0)),((ROUNDUP((SUM(L8:L27/sizing_ram_oversubscription)/sizing_mgmt_cluster_host_ram_count),0))+1)),MAX(2,(ROUNDUP(((SUM(K8:K27)/sizing_cpu_oversubscription)/sizing_mgmt_cluster_host_core_count),0)),((ROUNDUP((SUM(L8:L27/sizing_ram_oversubscription)/sizing_mgmt_cluster_host_ram_count),0))+1))))</f>
        <v>4</v>
      </c>
      <c r="S8" s="14"/>
      <c r="T8" s="70"/>
      <c r="AC8" s="63"/>
      <c r="AD8" s="63"/>
      <c r="AE8" s="63"/>
      <c r="AF8" s="1"/>
      <c r="AG8" s="1"/>
    </row>
    <row r="9" ht="19.5" customHeight="1">
      <c r="A9" s="1"/>
      <c r="B9" s="32" t="s">
        <v>148</v>
      </c>
      <c r="C9" s="13"/>
      <c r="D9" s="14"/>
      <c r="E9" s="68">
        <v>10.0</v>
      </c>
      <c r="F9" s="1"/>
      <c r="G9" s="32" t="s">
        <v>149</v>
      </c>
      <c r="H9" s="13"/>
      <c r="I9" s="14"/>
      <c r="J9" s="18">
        <v>2.0</v>
      </c>
      <c r="K9" s="18">
        <v>2.0</v>
      </c>
      <c r="L9" s="18">
        <v>1.0</v>
      </c>
      <c r="M9" s="18">
        <v>0.0</v>
      </c>
      <c r="N9" s="1"/>
      <c r="O9" s="32" t="s">
        <v>150</v>
      </c>
      <c r="P9" s="13"/>
      <c r="Q9" s="14"/>
      <c r="R9" s="71" t="str">
        <f>CONCATENATE(ROUNDUP(SUM(K8:K27)/(calculated_mgmt_host_count-1)/sizing_cpu_oversubscription,0)," CPUs")</f>
        <v>10 CPUs</v>
      </c>
      <c r="S9" s="14"/>
      <c r="T9" s="1"/>
      <c r="AC9" s="63"/>
      <c r="AD9" s="63"/>
      <c r="AE9" s="63"/>
      <c r="AF9" s="63"/>
      <c r="AG9" s="1"/>
    </row>
    <row r="10" ht="19.5" customHeight="1">
      <c r="A10" s="1"/>
      <c r="B10" s="1"/>
      <c r="C10" s="1"/>
      <c r="D10" s="1"/>
      <c r="E10" s="1"/>
      <c r="F10" s="1"/>
      <c r="G10" s="22" t="s">
        <v>151</v>
      </c>
      <c r="H10" s="13"/>
      <c r="I10" s="14"/>
      <c r="J10" s="18">
        <v>1.0</v>
      </c>
      <c r="K10" s="31">
        <f>IF(sizing_m01_included="Included",VLOOKUP(D32,table_vcenter_appliance_cpu,2,FALSE),0)</f>
        <v>8</v>
      </c>
      <c r="L10" s="31">
        <f>IF(sizing_m01_included="Included",VLOOKUP(D32,table_vcenter_appliance_ram,2,FALSE),0)</f>
        <v>30</v>
      </c>
      <c r="M10" s="31">
        <f>IF(sizing_m01_included="Included",VLOOKUP(CONCATENATE(D32,F32),table_vcenter_disk_gb,2,FALSE),0)</f>
        <v>908</v>
      </c>
      <c r="N10" s="1"/>
      <c r="O10" s="32" t="s">
        <v>152</v>
      </c>
      <c r="P10" s="13"/>
      <c r="Q10" s="14"/>
      <c r="R10" s="71" t="str">
        <f>CONCATENATE(ROUNDUP(SUM(L8:L27)/(calculated_mgmt_host_count-1)/sizing_ram_oversubscription,0)," GB RAM")</f>
        <v>69 GB RAM</v>
      </c>
      <c r="S10" s="14"/>
      <c r="T10" s="1"/>
      <c r="AC10" s="63"/>
      <c r="AD10" s="63"/>
      <c r="AE10" s="63"/>
      <c r="AF10" s="63"/>
      <c r="AG10" s="1"/>
    </row>
    <row r="11" ht="19.5" customHeight="1">
      <c r="A11" s="1"/>
      <c r="B11" s="12" t="s">
        <v>153</v>
      </c>
      <c r="C11" s="13"/>
      <c r="D11" s="13"/>
      <c r="E11" s="14"/>
      <c r="F11" s="1"/>
      <c r="G11" s="22" t="s">
        <v>154</v>
      </c>
      <c r="H11" s="13"/>
      <c r="I11" s="14"/>
      <c r="J11" s="18">
        <f>SUM(IF(H32="Mandatory - Single Node",1,3),IF(sizing_m01_nsxt_gm_appliance_size&lt;&gt;"Excluded",3,0))</f>
        <v>6</v>
      </c>
      <c r="K11" s="31">
        <f>SUM(PRODUCT(VLOOKUP(sizing_m01_nsxt_appliance_size,table_nsxt_manager_cpu,2,FALSE),IF(H32="Mandatory - HA Cluster",3,1)),(PRODUCT(IF(sizing_m01_nsxt_gm_appliance_size&lt;&gt;"Excluded",VLOOKUP(sizing_m01_nsxt_gm_appliance_size,table_nsxt_manager_cpu,2,FALSE),0),3)))</f>
        <v>36</v>
      </c>
      <c r="L11" s="31">
        <f>SUM(PRODUCT(VLOOKUP(sizing_m01_nsxt_appliance_size,table_nsxt_manager_ram,2,FALSE),IF(H32="Mandatory - HA Cluster",3,1)),(PRODUCT(IF(sizing_m01_nsxt_gm_appliance_size&lt;&gt;"Excluded",VLOOKUP(sizing_m01_nsxt_gm_appliance_size,table_nsxt_manager_ram,2,FALSE),0),3)))</f>
        <v>144</v>
      </c>
      <c r="M11" s="31">
        <f>SUM(PRODUCT(VLOOKUP(sizing_m01_nsxt_appliance_size,table_nsxt_manager_disk_gb,2,FALSE),IF(H32="Mandatory - HA Cluster",3,1)),(PRODUCT(IF(sizing_m01_nsxt_gm_appliance_size&lt;&gt;"Excluded",VLOOKUP(sizing_m01_nsxt_gm_appliance_size,table_nsxt_manager_disk_gb,2,FALSE),0),3)))</f>
        <v>1800</v>
      </c>
      <c r="N11" s="1"/>
      <c r="O11" s="1"/>
      <c r="P11" s="1"/>
      <c r="Q11" s="1"/>
      <c r="R11" s="1"/>
      <c r="S11" s="1"/>
      <c r="T11" s="10"/>
      <c r="AC11" s="63"/>
      <c r="AD11" s="63"/>
      <c r="AE11" s="63"/>
      <c r="AF11" s="63"/>
      <c r="AG11" s="1"/>
    </row>
    <row r="12" ht="19.5" customHeight="1">
      <c r="A12" s="1"/>
      <c r="B12" s="43" t="s">
        <v>155</v>
      </c>
      <c r="C12" s="13"/>
      <c r="D12" s="14"/>
      <c r="E12" s="64" t="s">
        <v>137</v>
      </c>
      <c r="F12" s="1"/>
      <c r="G12" s="22" t="s">
        <v>156</v>
      </c>
      <c r="H12" s="13"/>
      <c r="I12" s="14"/>
      <c r="J12" s="18">
        <f>IF(sizing_m01_nsxt_edge_size&lt;&gt;"Excluded",2,0)</f>
        <v>2</v>
      </c>
      <c r="K12" s="31">
        <f>PRODUCT(IF(AND(sizing_m01_nsxt_edge_size&lt;&gt;"Excluded",sizing_m01_included="Included"),VLOOKUP(sizing_m01_nsxt_edge_size,table_nsxt_edge_cpu,2,FALSE),0),J12)</f>
        <v>8</v>
      </c>
      <c r="L12" s="31">
        <f>PRODUCT(IF(AND(sizing_m01_nsxt_edge_size&lt;&gt;"Excluded",sizing_m01_included="Included"),VLOOKUP(sizing_m01_nsxt_edge_size,table_nsxt_edge_ram,2,FALSE),0),2)</f>
        <v>16</v>
      </c>
      <c r="M12" s="31">
        <f>PRODUCT(IF(AND(sizing_m01_nsxt_edge_size&lt;&gt;"Excluded",sizing_m01_included="Included"),VLOOKUP(sizing_m01_nsxt_edge_size,table_nsxt_edge_disk_gb,2,FALSE),0),J12)</f>
        <v>400</v>
      </c>
      <c r="N12" s="1"/>
      <c r="O12" s="72" t="s">
        <v>157</v>
      </c>
      <c r="P12" s="72"/>
      <c r="Q12" s="72"/>
      <c r="R12" s="72"/>
      <c r="S12" s="72"/>
      <c r="T12" s="10"/>
      <c r="AC12" s="63"/>
      <c r="AD12" s="63"/>
      <c r="AE12" s="63"/>
      <c r="AF12" s="63"/>
      <c r="AG12" s="1"/>
    </row>
    <row r="13" ht="19.5" customHeight="1">
      <c r="A13" s="1"/>
      <c r="B13" s="32" t="s">
        <v>158</v>
      </c>
      <c r="C13" s="13"/>
      <c r="D13" s="14"/>
      <c r="E13" s="73">
        <v>64.0</v>
      </c>
      <c r="F13" s="1"/>
      <c r="G13" s="32" t="s">
        <v>159</v>
      </c>
      <c r="H13" s="13"/>
      <c r="I13" s="14"/>
      <c r="J13" s="18">
        <f>IF(sizing_mgmt_avi_lb_appliance_size="Excluded",0,3)</f>
        <v>0</v>
      </c>
      <c r="K13" s="18">
        <f>IF(sizing_mgmt_avi_lb_appliance_size="Excluded",0,PRODUCT(J13,IF(AND(sizing_m01_included="Included",sizing_mgmt_avi_lb_appliance_size&lt;&gt;"Excluded"),VLOOKUP(sizing_mgmt_avi_lb_appliance_size,table_avi_lb_cpu,2,FALSE),0)))</f>
        <v>0</v>
      </c>
      <c r="L13" s="31">
        <f>IF(sizing_mgmt_avi_lb_appliance_size="Excluded",0,PRODUCT(J13,IF(AND(sizing_m01_included="Included",sizing_mgmt_avi_lb_appliance_size&lt;&gt;"Excluded"),VLOOKUP(sizing_mgmt_avi_lb_appliance_size,table_avi_lb_ram,2,FALSE),0)))</f>
        <v>0</v>
      </c>
      <c r="M13" s="31">
        <f>IF(sizing_mgmt_avi_lb_appliance_size="Excluded",0,PRODUCT(J13,IF(AND(sizing_m01_included="Included",sizing_mgmt_avi_lb_appliance_size&lt;&gt;"Excluded"),VLOOKUP(sizing_mgmt_avi_lb_appliance_size,table_avi_lb_disk,2,FALSE),0)))</f>
        <v>0</v>
      </c>
      <c r="N13" s="1"/>
      <c r="O13" s="32" t="s">
        <v>160</v>
      </c>
      <c r="P13" s="74"/>
      <c r="Q13" s="74"/>
      <c r="R13" s="75" t="s">
        <v>161</v>
      </c>
      <c r="S13" s="14"/>
      <c r="T13" s="10"/>
      <c r="AC13" s="63"/>
      <c r="AD13" s="63"/>
      <c r="AE13" s="63"/>
      <c r="AF13" s="63"/>
      <c r="AG13" s="1"/>
    </row>
    <row r="14" ht="19.5" customHeight="1">
      <c r="A14" s="1"/>
      <c r="B14" s="32" t="s">
        <v>162</v>
      </c>
      <c r="C14" s="13"/>
      <c r="D14" s="14"/>
      <c r="E14" s="73">
        <v>384.0</v>
      </c>
      <c r="F14" s="1"/>
      <c r="G14" s="32" t="s">
        <v>163</v>
      </c>
      <c r="H14" s="13"/>
      <c r="I14" s="14"/>
      <c r="J14" s="18">
        <f>IF(sizing_m01_ssp_chosen="Medium",9,IF(sizing_m01_ssp_chosen="Large",12,IF(sizing_m01_ssp_chosen="X-Large",14,0)))</f>
        <v>0</v>
      </c>
      <c r="K14" s="18">
        <f>IF(sizing_m01_ssp_chosen&lt;&gt;"Excluded",VLOOKUP(sizing_m01_ssp_chosen,table_ssp_cpu,2,FALSE),0)</f>
        <v>0</v>
      </c>
      <c r="L14" s="18">
        <f>IF(sizing_m01_ssp_chosen&lt;&gt;"Excluded",VLOOKUP(sizing_m01_ssp_chosen,table_ssp_ram,2,FALSE),0)</f>
        <v>0</v>
      </c>
      <c r="M14" s="18">
        <f>IF(sizing_m01_ssp_chosen&lt;&gt;"Excluded",VLOOKUP(sizing_m01_ssp_chosen,table_ssp_disk,2,FALSE),0)</f>
        <v>0</v>
      </c>
      <c r="N14" s="1"/>
      <c r="O14" s="76" t="s">
        <v>136</v>
      </c>
      <c r="P14" s="77"/>
      <c r="Q14" s="77"/>
      <c r="R14" s="78" t="s">
        <v>164</v>
      </c>
      <c r="S14" s="14"/>
      <c r="T14" s="10"/>
      <c r="AC14" s="63"/>
      <c r="AD14" s="63"/>
      <c r="AE14" s="63"/>
      <c r="AF14" s="63"/>
      <c r="AG14" s="1"/>
    </row>
    <row r="15" ht="19.5" customHeight="1">
      <c r="A15" s="1"/>
      <c r="B15" s="32" t="s">
        <v>165</v>
      </c>
      <c r="C15" s="13"/>
      <c r="D15" s="14"/>
      <c r="E15" s="73">
        <v>2.0</v>
      </c>
      <c r="F15" s="1"/>
      <c r="G15" s="32" t="s">
        <v>166</v>
      </c>
      <c r="H15" s="13"/>
      <c r="I15" s="14"/>
      <c r="J15" s="18">
        <f>COUNTIF(C36:C59,"Included")</f>
        <v>0</v>
      </c>
      <c r="K15" s="31">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f>
        <v>0</v>
      </c>
      <c r="L15" s="31">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f>
        <v>0</v>
      </c>
      <c r="M15" s="31">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f>
        <v>0</v>
      </c>
      <c r="N15" s="1"/>
      <c r="O15" s="32" t="s">
        <v>167</v>
      </c>
      <c r="P15" s="74"/>
      <c r="Q15" s="74"/>
      <c r="R15" s="22">
        <f>(SUM(M8:M27))</f>
        <v>4022</v>
      </c>
      <c r="S15" s="14"/>
      <c r="T15" s="10"/>
      <c r="AC15" s="63"/>
      <c r="AD15" s="63"/>
      <c r="AE15" s="63"/>
      <c r="AF15" s="63"/>
      <c r="AG15" s="1"/>
    </row>
    <row r="16" ht="19.5" customHeight="1">
      <c r="A16" s="1"/>
      <c r="B16" s="32" t="s">
        <v>168</v>
      </c>
      <c r="C16" s="13"/>
      <c r="D16" s="14"/>
      <c r="E16" s="73">
        <v>1.0</v>
      </c>
      <c r="F16" s="1"/>
      <c r="G16" s="18" t="s">
        <v>169</v>
      </c>
      <c r="H16" s="18"/>
      <c r="I16" s="18"/>
      <c r="J16" s="18">
        <f>SUM(
(IF(AND(sizing_w01_chosen="Included",sizing_w01_nsxt_model&lt;&gt;"Shared"),IF(sizing_w01_nsxt_model="Mandatory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f>
        <v>0</v>
      </c>
      <c r="K16" s="31">
        <f>SUM(
        PRODUCT((IF(AND(sizing_w01_chosen="Included",sizing_w01_nsxt_model&lt;&gt;"Shared"),VLOOKUP(sizing_w01_nsxt_appliance_size,table_nsxt_manager_cpu,2,FALSE),0)),IF(sizing_w01_nsxt_model="Mandatory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Cluster",3,1)),'Static Reference Tables'!D71)</f>
        <v>0</v>
      </c>
      <c r="L16" s="31">
        <f>SUM(
        PRODUCT((IF(AND(sizing_w01_chosen="Included",sizing_w01_nsxt_model&lt;&gt;"Shared"),VLOOKUP(sizing_w01_nsxt_appliance_size,table_nsxt_manager_ram,2,FALSE),0)),IF(sizing_w01_nsxt_model="Mandatory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Cluster",3,1)),'Static Reference Tables'!D72)</f>
        <v>0</v>
      </c>
      <c r="M16" s="31">
        <f>SUM(
        PRODUCT((IF(AND(sizing_w01_chosen="Included",sizing_w01_nsxt_model&lt;&gt;"Shared"),VLOOKUP(sizing_w01_nsxt_appliance_size,table_nsxt_manager_disk_gb,2,FALSE),0)),IF(sizing_w01_nsxt_model="Mandatory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Cluster",3,1)),,'Static Reference Tables'!D73)</f>
        <v>0</v>
      </c>
      <c r="N16" s="1"/>
      <c r="O16" s="32" t="s">
        <v>170</v>
      </c>
      <c r="P16" s="74"/>
      <c r="Q16" s="74"/>
      <c r="R16" s="22" t="str">
        <f>CONCATENATE(SUM(L8:L27))</f>
        <v>207</v>
      </c>
      <c r="S16" s="14"/>
      <c r="T16" s="10"/>
      <c r="AC16" s="63"/>
      <c r="AD16" s="63"/>
      <c r="AE16" s="63"/>
      <c r="AF16" s="63"/>
      <c r="AG16" s="1"/>
    </row>
    <row r="17" ht="19.5" customHeight="1">
      <c r="A17" s="1"/>
      <c r="B17" s="1"/>
      <c r="C17" s="1"/>
      <c r="D17" s="1"/>
      <c r="E17" s="1"/>
      <c r="F17" s="1"/>
      <c r="G17" s="32" t="s">
        <v>171</v>
      </c>
      <c r="H17" s="13"/>
      <c r="I17" s="14"/>
      <c r="J17" s="18">
        <f>COUNTIF(S36:S59,"&lt;&gt;Excluded")*3</f>
        <v>0</v>
      </c>
      <c r="K17" s="18">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f>
        <v>0</v>
      </c>
      <c r="L17" s="18">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f>
        <v>0</v>
      </c>
      <c r="M17" s="18">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f>
        <v>0</v>
      </c>
      <c r="N17" s="1"/>
      <c r="O17" s="32" t="s">
        <v>172</v>
      </c>
      <c r="P17" s="74"/>
      <c r="Q17" s="74"/>
      <c r="R17" s="22">
        <f>R15+R16</f>
        <v>4229</v>
      </c>
      <c r="S17" s="14"/>
      <c r="T17" s="10"/>
      <c r="AC17" s="63"/>
      <c r="AD17" s="63"/>
      <c r="AE17" s="63"/>
      <c r="AF17" s="63"/>
      <c r="AG17" s="1"/>
    </row>
    <row r="18" ht="19.5" customHeight="1">
      <c r="A18" s="1"/>
      <c r="B18" s="12" t="s">
        <v>173</v>
      </c>
      <c r="C18" s="13"/>
      <c r="D18" s="13"/>
      <c r="E18" s="14"/>
      <c r="F18" s="1"/>
      <c r="G18" s="32" t="s">
        <v>174</v>
      </c>
      <c r="H18" s="13"/>
      <c r="I18" s="14"/>
      <c r="J18" s="18">
        <f>SUM(PRODUCT(9,COUNTIF(V36:V59,"Medium")),PRODUCT(12,COUNTIF(V36:V59,"Large")),PRODUCT(14,COUNTIF(V36:V59,"X-Large")))</f>
        <v>0</v>
      </c>
      <c r="K18" s="51">
        <f>SUM((PRODUCT((VLOOKUP("Medium",table_ssp_cpu,2,FALSE)),COUNTIF(V36:V59,"Medium"))),PRODUCT((VLOOKUP("Large",table_ssp_cpu,2,FALSE)),COUNTIF(V36:V59,"Large")),PRODUCT((VLOOKUP("X-Large",table_ssp_cpu,2,FALSE)),COUNTIF(V36:V59,"X-Large")))</f>
        <v>0</v>
      </c>
      <c r="L18" s="51">
        <f>SUM((PRODUCT((VLOOKUP("Medium",table_ssp_ram,2,FALSE)),COUNTIF(V36:V59,"Medium"))),PRODUCT((VLOOKUP("Large",table_ssp_ram,2,FALSE)),COUNTIF(V36:V59,"Large")),PRODUCT((VLOOKUP("X-Large",table_ssp_ram,2,FALSE)),COUNTIF(V36:V59,"X-Large")))</f>
        <v>0</v>
      </c>
      <c r="M18" s="51">
        <f>SUM((PRODUCT((VLOOKUP("Medium",table_ssp_disk,2,FALSE)),COUNTIF(V36:V59,"Medium"))),PRODUCT((VLOOKUP("Large",table_ssp_disk,2,FALSE)),COUNTIF(V36:V59,"Large")),PRODUCT((VLOOKUP("X-Large",table_ssp_disk,2,FALSE)),COUNTIF(V36:V59,"X-Large")))</f>
        <v>0</v>
      </c>
      <c r="N18" s="1"/>
      <c r="O18" s="32" t="s">
        <v>175</v>
      </c>
      <c r="P18" s="74"/>
      <c r="Q18" s="74"/>
      <c r="R18" s="22">
        <f>ROUNDUP(IF(R13="vSAN-ESA",R17*1.5,R17*2),0)</f>
        <v>8458</v>
      </c>
      <c r="S18" s="14"/>
      <c r="T18" s="10"/>
      <c r="AC18" s="63"/>
      <c r="AD18" s="63"/>
      <c r="AE18" s="63"/>
      <c r="AF18" s="63"/>
      <c r="AG18" s="1"/>
    </row>
    <row r="19" ht="19.5" customHeight="1">
      <c r="A19" s="1"/>
      <c r="B19" s="43" t="s">
        <v>176</v>
      </c>
      <c r="C19" s="13"/>
      <c r="D19" s="14"/>
      <c r="E19" s="64" t="s">
        <v>137</v>
      </c>
      <c r="F19" s="1"/>
      <c r="G19" s="32" t="s">
        <v>177</v>
      </c>
      <c r="H19" s="13"/>
      <c r="I19" s="14"/>
      <c r="J19" s="18">
        <f>IF(sizing_vcfops_ha_chosen="Exclude",0,1)</f>
        <v>0</v>
      </c>
      <c r="K19" s="31">
        <f>IF(sizing_vcfops_ha_chosen="Exclude",0,sizing_vcffm_cpu)</f>
        <v>0</v>
      </c>
      <c r="L19" s="31">
        <f>IF(sizing_vcfops_ha_chosen="Exclude",0,sizing_vcffm_ram)</f>
        <v>0</v>
      </c>
      <c r="M19" s="31">
        <f>IF(sizing_vcfops_ha_chosen="Exclude",0,sizing_vcffm_disk)</f>
        <v>0</v>
      </c>
      <c r="N19" s="1"/>
      <c r="O19" s="32" t="s">
        <v>178</v>
      </c>
      <c r="P19" s="74"/>
      <c r="Q19" s="74"/>
      <c r="R19" s="22">
        <f>ROUNDUP(R18*(1+(sizing_virtual_machine_overhead/100)),0)</f>
        <v>10996</v>
      </c>
      <c r="S19" s="14"/>
      <c r="T19" s="70"/>
      <c r="AC19" s="63"/>
      <c r="AD19" s="63"/>
      <c r="AE19" s="63"/>
      <c r="AF19" s="63"/>
      <c r="AG19" s="1"/>
    </row>
    <row r="20" ht="19.5" customHeight="1">
      <c r="A20" s="1"/>
      <c r="B20" s="32" t="s">
        <v>179</v>
      </c>
      <c r="C20" s="13"/>
      <c r="D20" s="14"/>
      <c r="E20" s="73" t="s">
        <v>180</v>
      </c>
      <c r="F20" s="1"/>
      <c r="G20" s="32" t="s">
        <v>181</v>
      </c>
      <c r="H20" s="13"/>
      <c r="I20" s="14"/>
      <c r="J20" s="18">
        <f>IF(sizing_vcfops_ha_chosen&lt;&gt;"Exclude",IF(sizing_vcfops_deployment_model_chosen="Deploy HA",3,IF(sizing_vcfops_deployment_model_chosen="Deploy Simple",1,0)),0)</f>
        <v>0</v>
      </c>
      <c r="K20" s="18">
        <f>IF(sizing_vcfops_ha_chosen&lt;&gt;"Exclude",PRODUCT(VLOOKUP(sizing_vcfops_ha_chosen,table_vcfops_appliance_cpu,2,FALSE),J20),0)</f>
        <v>0</v>
      </c>
      <c r="L20" s="18">
        <f>IF(sizing_vcfops_ha_chosen&lt;&gt;"Exclude",PRODUCT(VLOOKUP(sizing_vcfops_ha_chosen,table_vcfops_appliance_ram,2,FALSE),J20),0)</f>
        <v>0</v>
      </c>
      <c r="M20" s="18">
        <f>IF(sizing_vcfops_ha_chosen&lt;&gt;"Exclude",PRODUCT(VLOOKUP(sizing_vcfops_ha_chosen,table_vcfops_appliance_disk,2,FALSE),J20),0)</f>
        <v>0</v>
      </c>
      <c r="N20" s="1"/>
      <c r="O20" s="32" t="s">
        <v>182</v>
      </c>
      <c r="P20" s="74"/>
      <c r="Q20" s="74"/>
      <c r="R20" s="22">
        <f>IF(OR((sizing_storage_type="FC"),(sizing_storage_type="NFS")),ROUNDUP(R17*(1+(sizing_estimated_growth/100)),0),ROUNDUP(R19*(1+(sizing_estimated_growth/100)),0))</f>
        <v>4652</v>
      </c>
      <c r="S20" s="14"/>
      <c r="T20" s="1"/>
      <c r="AC20" s="63"/>
      <c r="AD20" s="63"/>
      <c r="AE20" s="63"/>
      <c r="AF20" s="63"/>
      <c r="AG20" s="1"/>
    </row>
    <row r="21" ht="19.5" customHeight="1">
      <c r="A21" s="1"/>
      <c r="B21" s="32" t="s">
        <v>183</v>
      </c>
      <c r="C21" s="13"/>
      <c r="D21" s="14"/>
      <c r="E21" s="73" t="s">
        <v>184</v>
      </c>
      <c r="F21" s="1"/>
      <c r="G21" s="32" t="s">
        <v>185</v>
      </c>
      <c r="H21" s="13"/>
      <c r="I21" s="14"/>
      <c r="J21" s="18">
        <f>IF(sizing_vcfops_collector_chosen="Exclude",0,1)</f>
        <v>0</v>
      </c>
      <c r="K21" s="18">
        <f>IF(sizing_vcfops_collector_chosen="Exclude",0,VLOOKUP(sizing_vcfops_collector_chosen,table_vcfo_p_cpu,2,FALSE))</f>
        <v>0</v>
      </c>
      <c r="L21" s="18">
        <f>IF(sizing_vcfops_collector_chosen="Exclude",0,VLOOKUP(sizing_vcfops_collector_chosen,table_vcfo_p_ram,2,FALSE))</f>
        <v>0</v>
      </c>
      <c r="M21" s="18">
        <f>IF(sizing_vcfops_collector_chosen="Exclude",0,VLOOKUP(sizing_vcfops_collector_chosen,table_vcfo_p_disk,2,FALSE))</f>
        <v>0</v>
      </c>
      <c r="N21" s="1"/>
      <c r="O21" s="71" t="s">
        <v>186</v>
      </c>
      <c r="P21" s="79"/>
      <c r="Q21" s="79"/>
      <c r="R21" s="69" t="str">
        <f>CONCATENATE(ROUNDUP(R20/(calculated_mgmt_host_count-1),0)," GB Disk")</f>
        <v>1551 GB Disk</v>
      </c>
      <c r="S21" s="14"/>
      <c r="T21" s="1"/>
      <c r="AC21" s="63"/>
      <c r="AD21" s="63"/>
      <c r="AE21" s="63"/>
      <c r="AF21" s="63"/>
      <c r="AG21" s="1"/>
    </row>
    <row r="22" ht="19.5" customHeight="1">
      <c r="A22" s="1"/>
      <c r="B22" s="32" t="s">
        <v>187</v>
      </c>
      <c r="C22" s="13"/>
      <c r="D22" s="14"/>
      <c r="E22" s="73" t="s">
        <v>184</v>
      </c>
      <c r="F22" s="1"/>
      <c r="G22" s="32" t="s">
        <v>188</v>
      </c>
      <c r="H22" s="13"/>
      <c r="I22" s="14"/>
      <c r="J22" s="18">
        <f>IF(sizing_vcfauto_chosen="Exclude",0,
IF(sizing_vcfauto_chosen="Small",1,
IF(sizing_vcfauto_chosen="Medium",3,
IF(sizing_vcfauto_chosen="Large",3,)
)))</f>
        <v>0</v>
      </c>
      <c r="K22" s="18">
        <f>IF(sizing_vcfauto_chosen="Exclude",0,PRODUCT(VLOOKUP(sizing_vcfauto_chosen,table_vcfa_appliance_cpu,2,FALSE),J22))</f>
        <v>0</v>
      </c>
      <c r="L22" s="31">
        <f>IF(sizing_vcfauto_chosen="Exclude",0,PRODUCT(VLOOKUP(sizing_vcfauto_chosen,table_vcfa_appliance_ram,2,FALSE),J22))</f>
        <v>0</v>
      </c>
      <c r="M22" s="18">
        <f>IF(sizing_vcfauto_chosen="Exclude",0,PRODUCT(VLOOKUP(sizing_vcfauto_chosen,table_vcfa_appliance_disk,2,FALSE),J22))</f>
        <v>0</v>
      </c>
      <c r="N22" s="80"/>
      <c r="O22" s="1"/>
      <c r="P22" s="1"/>
      <c r="Q22" s="1"/>
      <c r="R22" s="1"/>
      <c r="S22" s="1"/>
      <c r="T22" s="80"/>
      <c r="AC22" s="63"/>
      <c r="AD22" s="63"/>
      <c r="AE22" s="63"/>
      <c r="AF22" s="63"/>
      <c r="AG22" s="63"/>
    </row>
    <row r="23" ht="19.5" customHeight="1">
      <c r="A23" s="1"/>
      <c r="B23" s="32" t="s">
        <v>189</v>
      </c>
      <c r="C23" s="13"/>
      <c r="D23" s="14"/>
      <c r="E23" s="73" t="s">
        <v>184</v>
      </c>
      <c r="F23" s="1"/>
      <c r="G23" s="32" t="s">
        <v>190</v>
      </c>
      <c r="H23" s="13"/>
      <c r="I23" s="14"/>
      <c r="J23" s="18">
        <f>IF(sizing_vcfops_logs_chosen="Exclude",0,IF(sizing_vcfops_deployment_model_chosen="Deploy HA",3,1))</f>
        <v>0</v>
      </c>
      <c r="K23" s="18" t="str">
        <f>IF(sizing_vcfops_logs_chosen="Exclude","0",PRODUCT(IF(sizing_vcfops_logs_chosen="Existing Component",0,IF(sizing_vcfops_deployment_model_chosen="Deploy HA",3,1)),VLOOKUP(sizing_vcfops_logs_chosen,table_vrli_appliance_cpu,2,)))</f>
        <v>0</v>
      </c>
      <c r="L23" s="18" t="str">
        <f>IF(sizing_vcfops_logs_chosen="Exclude","0",PRODUCT(IF(E24="Existing Component",0,IF(sizing_vcfops_deployment_model_chosen="Deploy HA",3,1)),VLOOKUP(E24,table_vrli_appliance_ram,2,)))</f>
        <v>0</v>
      </c>
      <c r="M23" s="18" t="str">
        <f>IF(sizing_vcfops_logs_chosen="Exclude","0",PRODUCT(IF(E24="Existing Component",0,IF(sizing_vcfops_deployment_model_chosen="Deploy HA",3,1)),VLOOKUP(E24,table_vrli_appliance_disk,2,)))</f>
        <v>0</v>
      </c>
      <c r="N23" s="1"/>
      <c r="O23" s="81"/>
      <c r="P23" s="81"/>
      <c r="Q23" s="81"/>
      <c r="R23" s="81"/>
      <c r="S23" s="80"/>
      <c r="T23" s="80"/>
      <c r="AC23" s="63"/>
      <c r="AD23" s="63"/>
      <c r="AE23" s="63"/>
      <c r="AF23" s="63"/>
      <c r="AG23" s="63"/>
    </row>
    <row r="24" ht="19.5" customHeight="1">
      <c r="A24" s="1"/>
      <c r="B24" s="32" t="s">
        <v>191</v>
      </c>
      <c r="C24" s="13"/>
      <c r="D24" s="14"/>
      <c r="E24" s="73" t="s">
        <v>184</v>
      </c>
      <c r="F24" s="1"/>
      <c r="G24" s="32" t="s">
        <v>192</v>
      </c>
      <c r="H24" s="13"/>
      <c r="I24" s="14"/>
      <c r="J24" s="18">
        <f>IF(sizing_vcfops_net_chosen="Exclude",0,IF(sizing_vcfops_deployment_model_chosen="Deploy HA",3,1))</f>
        <v>0</v>
      </c>
      <c r="K24" s="18" t="str">
        <f>IF(sizing_vcfops_net_chosen="Exclude","0",PRODUCT(VLOOKUP(sizing_vcfops_net_chosen,table_vcfopsnet_appliance_cpu,2,),J24))</f>
        <v>0</v>
      </c>
      <c r="L24" s="18" t="str">
        <f>IF(sizing_vcfops_net_chosen="Exclude","0",PRODUCT(VLOOKUP(sizing_vcfops_net_chosen,table_vcfopsnet_appliance_ram,2,),J24))</f>
        <v>0</v>
      </c>
      <c r="M24" s="18" t="str">
        <f>IF(sizing_vcfops_net_chosen="Exclude","0",PRODUCT(VLOOKUP(sizing_vcfops_net_chosen,table_vcfopsnet_appliance_disk,2,),J24))</f>
        <v>0</v>
      </c>
      <c r="N24" s="80"/>
      <c r="O24" s="81"/>
      <c r="P24" s="81"/>
      <c r="Q24" s="81"/>
      <c r="R24" s="81"/>
      <c r="S24" s="80"/>
      <c r="T24" s="80"/>
      <c r="AC24" s="63"/>
      <c r="AD24" s="63"/>
      <c r="AE24" s="63"/>
      <c r="AF24" s="63"/>
      <c r="AG24" s="63"/>
    </row>
    <row r="25" ht="19.5" customHeight="1">
      <c r="A25" s="1"/>
      <c r="B25" s="32" t="s">
        <v>193</v>
      </c>
      <c r="C25" s="13"/>
      <c r="D25" s="14"/>
      <c r="E25" s="73" t="s">
        <v>184</v>
      </c>
      <c r="F25" s="1"/>
      <c r="G25" s="32" t="s">
        <v>194</v>
      </c>
      <c r="H25" s="13"/>
      <c r="I25" s="14"/>
      <c r="J25" s="18">
        <f>IF(sizing_vcfops_net_collector_chosen="Exclude",0,1)</f>
        <v>0</v>
      </c>
      <c r="K25" s="18" t="str">
        <f>IF(sizing_vcfops_net_collector_chosen="Exclude","0",PRODUCT(IF(sizing_vcfops_net_collector_chosen="Exclude",0,1),VLOOKUP(sizing_vcfops_net_collector_chosen,table_vcfopsnet_collector_cpu,2,)))</f>
        <v>0</v>
      </c>
      <c r="L25" s="18" t="str">
        <f>IF(sizing_vcfops_net_collector_chosen="Exclude","0",PRODUCT(IF(sizing_vcfops_net_collector_chosen="Exclude",0,1),VLOOKUP(sizing_vcfops_net_collector_chosen,table_vcfopsnet_collector_ram,2,)))</f>
        <v>0</v>
      </c>
      <c r="M25" s="18" t="str">
        <f>IF(sizing_vcfops_net_collector_chosen="Exclude","0",PRODUCT(IF(sizing_vcfops_net_collector_chosen="Excludet",0,1),VLOOKUP(sizing_vcfops_net_collector_chosen,table_vcfopsnet_collector_disk,2,)))</f>
        <v>0</v>
      </c>
      <c r="N25" s="80"/>
      <c r="O25" s="81"/>
      <c r="P25" s="81"/>
      <c r="Q25" s="81"/>
      <c r="R25" s="81"/>
      <c r="S25" s="80"/>
      <c r="T25" s="80"/>
      <c r="AC25" s="63"/>
      <c r="AD25" s="63"/>
      <c r="AE25" s="63"/>
      <c r="AF25" s="63"/>
      <c r="AG25" s="63"/>
    </row>
    <row r="26" ht="19.5" customHeight="1">
      <c r="A26" s="1"/>
      <c r="B26" s="32" t="s">
        <v>195</v>
      </c>
      <c r="C26" s="13"/>
      <c r="D26" s="14"/>
      <c r="E26" s="82" t="s">
        <v>184</v>
      </c>
      <c r="F26" s="1"/>
      <c r="G26" s="32" t="s">
        <v>196</v>
      </c>
      <c r="H26" s="74"/>
      <c r="I26" s="68"/>
      <c r="J26" s="18">
        <f>IF(OR(sizing_vcfvidb_chosen="Embedded",sizing_vcfvidb_chosen="Exclude"),0,IF(sizing_vcfvidb_chosen="Deploy HA",3,1))</f>
        <v>0</v>
      </c>
      <c r="K26" s="18">
        <f>PRODUCT(VLOOKUP("Medium",table_wsa_appliance_cpu,2,FALSE),J26)</f>
        <v>0</v>
      </c>
      <c r="L26" s="18">
        <f>PRODUCT(VLOOKUP("Medium",table_wsa_appliance_ram,2,FALSE),J26)</f>
        <v>0</v>
      </c>
      <c r="M26" s="18">
        <f>PRODUCT(VLOOKUP("Medium",table_wsa_appliance_disk,2,FALSE),J26)</f>
        <v>0</v>
      </c>
      <c r="N26" s="80"/>
      <c r="O26" s="81"/>
      <c r="P26" s="81"/>
      <c r="Q26" s="81"/>
      <c r="R26" s="81"/>
      <c r="S26" s="80"/>
      <c r="T26" s="80"/>
      <c r="AC26" s="63"/>
      <c r="AD26" s="63"/>
      <c r="AE26" s="63"/>
      <c r="AF26" s="63"/>
      <c r="AG26" s="63"/>
    </row>
    <row r="27" ht="19.5" customHeight="1">
      <c r="A27" s="1"/>
      <c r="B27" s="32" t="s">
        <v>196</v>
      </c>
      <c r="C27" s="13"/>
      <c r="D27" s="14"/>
      <c r="E27" s="73" t="s">
        <v>184</v>
      </c>
      <c r="F27" s="1"/>
      <c r="G27" s="32" t="s">
        <v>197</v>
      </c>
      <c r="H27" s="74"/>
      <c r="I27" s="68"/>
      <c r="J27" s="18">
        <f>G79</f>
        <v>0</v>
      </c>
      <c r="K27" s="31">
        <f>(SUMPRODUCT('Management Domain Sizing'!$G$71:$G$78,'Management Domain Sizing'!H71:H78))</f>
        <v>0</v>
      </c>
      <c r="L27" s="31">
        <f>(SUMPRODUCT('Management Domain Sizing'!$G$71:$G$78,'Management Domain Sizing'!I71:I78))</f>
        <v>0</v>
      </c>
      <c r="M27" s="31">
        <f>(SUMPRODUCT('Management Domain Sizing'!$G$71:$G$78,'Management Domain Sizing'!J71:J78))</f>
        <v>0</v>
      </c>
      <c r="N27" s="80"/>
      <c r="O27" s="81"/>
      <c r="P27" s="81"/>
      <c r="Q27" s="81"/>
      <c r="R27" s="81"/>
      <c r="S27" s="80"/>
      <c r="T27" s="80"/>
      <c r="AC27" s="63"/>
      <c r="AD27" s="63"/>
      <c r="AE27" s="63"/>
      <c r="AF27" s="63"/>
      <c r="AG27" s="63"/>
    </row>
    <row r="28" ht="19.5" customHeight="1">
      <c r="A28" s="1"/>
      <c r="B28" s="1"/>
      <c r="C28" s="1"/>
      <c r="D28" s="1"/>
      <c r="E28" s="1"/>
      <c r="F28" s="1"/>
      <c r="G28" s="71" t="s">
        <v>198</v>
      </c>
      <c r="H28" s="79"/>
      <c r="I28" s="83"/>
      <c r="J28" s="84">
        <f>SUM(J8:J27)</f>
        <v>12</v>
      </c>
      <c r="K28" s="85" t="str">
        <f>CONCATENATE(SUM(K8:K27)," vCPUs")</f>
        <v>58 vCPUs</v>
      </c>
      <c r="L28" s="85" t="str">
        <f t="shared" ref="L28:M28" si="1">CONCATENATE(SUM(L8:L27)," GB")</f>
        <v>207 GB</v>
      </c>
      <c r="M28" s="85" t="str">
        <f t="shared" si="1"/>
        <v>4022 GB</v>
      </c>
      <c r="N28" s="80"/>
      <c r="O28" s="81"/>
      <c r="P28" s="81"/>
      <c r="Q28" s="81"/>
      <c r="R28" s="81"/>
      <c r="S28" s="80"/>
      <c r="T28" s="80"/>
      <c r="AC28" s="63"/>
      <c r="AD28" s="63"/>
      <c r="AE28" s="63"/>
      <c r="AF28" s="63"/>
      <c r="AG28" s="63"/>
    </row>
    <row r="29" ht="19.5" customHeight="1">
      <c r="A29" s="1"/>
      <c r="B29" s="1"/>
      <c r="C29" s="1"/>
      <c r="D29" s="1"/>
      <c r="E29" s="1"/>
      <c r="F29" s="1"/>
      <c r="G29" s="1"/>
      <c r="H29" s="10"/>
      <c r="I29" s="10"/>
      <c r="J29" s="1"/>
      <c r="K29" s="1"/>
      <c r="L29" s="1"/>
      <c r="M29" s="1"/>
      <c r="N29" s="1"/>
      <c r="O29" s="1"/>
      <c r="P29" s="1"/>
      <c r="Q29" s="1"/>
      <c r="R29" s="1"/>
      <c r="S29" s="1"/>
      <c r="T29" s="1"/>
      <c r="U29" s="1"/>
      <c r="V29" s="1"/>
      <c r="W29" s="1"/>
      <c r="X29" s="1"/>
      <c r="Y29" s="1"/>
      <c r="Z29" s="1"/>
      <c r="AA29" s="1"/>
      <c r="AB29" s="1"/>
      <c r="AC29" s="1"/>
      <c r="AD29" s="1"/>
      <c r="AE29" s="1"/>
      <c r="AF29" s="1"/>
      <c r="AG29" s="1"/>
    </row>
    <row r="30" ht="33.75" customHeight="1">
      <c r="A30" s="11"/>
      <c r="B30" s="86" t="s">
        <v>199</v>
      </c>
      <c r="C30" s="87"/>
      <c r="D30" s="87"/>
      <c r="E30" s="87"/>
      <c r="F30" s="87"/>
      <c r="G30" s="87"/>
      <c r="H30" s="87"/>
      <c r="I30" s="87"/>
      <c r="J30" s="87"/>
      <c r="K30" s="87"/>
      <c r="L30" s="87"/>
      <c r="M30" s="87"/>
      <c r="N30" s="88"/>
      <c r="O30" s="58"/>
      <c r="P30" s="58"/>
      <c r="Q30" s="58"/>
      <c r="R30" s="58"/>
      <c r="S30" s="58"/>
      <c r="T30" s="58"/>
      <c r="U30" s="58"/>
      <c r="V30" s="58"/>
      <c r="W30" s="58"/>
      <c r="X30" s="58"/>
      <c r="Y30" s="58"/>
      <c r="Z30" s="58"/>
      <c r="AA30" s="58"/>
      <c r="AB30" s="59"/>
      <c r="AC30" s="11"/>
      <c r="AD30" s="11"/>
      <c r="AE30" s="11"/>
      <c r="AF30" s="11"/>
      <c r="AG30" s="11"/>
    </row>
    <row r="31" ht="19.5" customHeight="1">
      <c r="A31" s="1"/>
      <c r="B31" s="49" t="s">
        <v>200</v>
      </c>
      <c r="C31" s="49" t="s">
        <v>201</v>
      </c>
      <c r="D31" s="43" t="s">
        <v>202</v>
      </c>
      <c r="E31" s="14"/>
      <c r="F31" s="43" t="s">
        <v>203</v>
      </c>
      <c r="G31" s="14"/>
      <c r="H31" s="49" t="s">
        <v>204</v>
      </c>
      <c r="I31" s="43" t="s">
        <v>205</v>
      </c>
      <c r="J31" s="13"/>
      <c r="K31" s="14"/>
      <c r="L31" s="43" t="s">
        <v>206</v>
      </c>
      <c r="M31" s="13"/>
      <c r="N31" s="14"/>
      <c r="O31" s="43" t="s">
        <v>207</v>
      </c>
      <c r="P31" s="14"/>
      <c r="Q31" s="43" t="s">
        <v>208</v>
      </c>
      <c r="R31" s="13"/>
      <c r="S31" s="13"/>
      <c r="T31" s="14"/>
      <c r="U31" s="43" t="s">
        <v>209</v>
      </c>
      <c r="V31" s="13"/>
      <c r="W31" s="14"/>
      <c r="X31" s="89" t="s">
        <v>5</v>
      </c>
      <c r="Y31" s="89"/>
      <c r="Z31" s="89"/>
      <c r="AA31" s="89"/>
      <c r="AB31" s="90"/>
      <c r="AC31" s="1"/>
      <c r="AD31" s="1"/>
      <c r="AE31" s="1"/>
      <c r="AF31" s="1"/>
      <c r="AG31" s="1"/>
    </row>
    <row r="32" ht="19.5" customHeight="1">
      <c r="A32" s="1"/>
      <c r="B32" s="31" t="s">
        <v>210</v>
      </c>
      <c r="C32" s="18" t="s">
        <v>211</v>
      </c>
      <c r="D32" s="18" t="s">
        <v>212</v>
      </c>
      <c r="E32" s="18" t="str">
        <f>CONCATENATE(IF(sizing_m01_included="Included",VLOOKUP(D32,table_vcenter_appliance_cpu,2,FALSE),0)," CPUS ",": ",IF(sizing_m01_included="Included",VLOOKUP(D32,table_vcenter_appliance_ram,2,FALSE),0)," GB")</f>
        <v>8 CPUS : 30 GB</v>
      </c>
      <c r="F32" s="18" t="s">
        <v>213</v>
      </c>
      <c r="G32" s="18" t="str">
        <f>CONCATENATE(IF(sizing_m01_included="Included",VLOOKUP(CONCATENATE(D32,F32),table_vcenter_disk_gb,2,FALSE),0)," GB")</f>
        <v>908 GB</v>
      </c>
      <c r="H32" s="18" t="s">
        <v>214</v>
      </c>
      <c r="I32" s="18" t="s">
        <v>212</v>
      </c>
      <c r="J32" s="32" t="str">
        <f>CONCATENATE(IF(AND(sizing_m01_included="Included",mgmt_nsxt_appliance_size_chosen&lt;&gt;"Shared"),
VLOOKUP(sizing_m01_nsxt_appliance_size,table_nsxt_manager_cpu,2,FALSE),0), " CPUS : ",IF(AND(sizing_m01_included="Included",mgmt_nsxt_appliance_size_chosen&lt;&gt;"Shared"),
VLOOKUP(sizing_m01_nsxt_appliance_size,table_nsxt_manager_ram,2,FALSE),0)," GB : ",IF(AND(sizing_m01_included="Included",mgmt_nsxt_appliance_size_chosen&lt;&gt;"Shared"),
VLOOKUP(sizing_m01_nsxt_appliance_size,table_nsxt_manager_disk_gb,2,FALSE),0)," GB")</f>
        <v>6 CPUS : 24 GB : 300 GB</v>
      </c>
      <c r="K32" s="14"/>
      <c r="L32" s="18" t="s">
        <v>212</v>
      </c>
      <c r="M32" s="32"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4 CPUs : 8 GB: 200 GB </v>
      </c>
      <c r="N32" s="14"/>
      <c r="O32" s="18" t="s">
        <v>212</v>
      </c>
      <c r="P32" s="18"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6 CPU : 24 GB : 300 GB</v>
      </c>
      <c r="Q32" s="18" t="s">
        <v>215</v>
      </c>
      <c r="R32" s="32"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S32" s="13"/>
      <c r="T32" s="14"/>
      <c r="U32" s="18" t="s">
        <v>215</v>
      </c>
      <c r="V32" s="32" t="str">
        <f>CONCATENATE(IF(sizing_m01_ssp_chosen&lt;&gt;"Excluded",VLOOKUP(sizing_m01_ssp_chosen,table_ssp_cpu,2,FALSE),0)," CPUs : ",IF(sizing_m01_ssp_chosen&lt;&gt;"Excluded",VLOOKUP(sizing_m01_ssp_chosen,table_ssp_ram,2,FALSE),0), " GB : ",IF(sizing_m01_ssp_chosen&lt;&gt;"Excluded",VLOOKUP(sizing_m01_ssp_chosen,table_ssp_disk,2,FALSE),0)," GB")</f>
        <v>0 CPUs : 0 GB : 0 GB</v>
      </c>
      <c r="W32" s="14"/>
      <c r="X32" s="74" t="str">
        <f>IF(sizing_m01_included="Included",CONCATENATE("vCenter ",VLOOKUP(mgmt_vcenter_appliance_size_chosen,vcenter_sizing_limits,2,FALSE)," | NSX ",VLOOKUP(sizing_m01_nsxt_appliance_size,nsx_sizing_limits,2,FALSE)),"")</f>
        <v>vCenter 400 Hosts - 4000 VM | NSX 128 Hosts - 5 vSphere Clusters</v>
      </c>
      <c r="Y32" s="74"/>
      <c r="Z32" s="74"/>
      <c r="AA32" s="74"/>
      <c r="AB32" s="68"/>
      <c r="AC32" s="1"/>
      <c r="AD32" s="1"/>
      <c r="AE32" s="1"/>
      <c r="AF32" s="1"/>
      <c r="AG32" s="1"/>
    </row>
    <row r="33" ht="19.5" customHeight="1">
      <c r="A33" s="1"/>
      <c r="B33" s="1"/>
      <c r="C33" s="1"/>
      <c r="D33" s="1"/>
      <c r="E33" s="1"/>
      <c r="F33" s="1"/>
      <c r="G33" s="10"/>
      <c r="H33" s="10"/>
      <c r="I33" s="1"/>
      <c r="J33" s="1"/>
      <c r="K33" s="1"/>
      <c r="L33" s="1"/>
      <c r="M33" s="1"/>
      <c r="N33" s="1"/>
      <c r="O33" s="1"/>
      <c r="P33" s="1"/>
      <c r="Q33" s="1"/>
      <c r="R33" s="1"/>
      <c r="S33" s="1"/>
      <c r="T33" s="1"/>
      <c r="U33" s="1"/>
      <c r="V33" s="1"/>
      <c r="W33" s="1"/>
      <c r="X33" s="1"/>
      <c r="Y33" s="1"/>
      <c r="Z33" s="1"/>
      <c r="AA33" s="1"/>
      <c r="AB33" s="1"/>
      <c r="AC33" s="1"/>
      <c r="AD33" s="1"/>
      <c r="AE33" s="1"/>
      <c r="AF33" s="1"/>
      <c r="AG33" s="1"/>
    </row>
    <row r="34" ht="33.75" customHeight="1">
      <c r="A34" s="11"/>
      <c r="B34" s="86" t="s">
        <v>216</v>
      </c>
      <c r="C34" s="87"/>
      <c r="D34" s="91"/>
      <c r="E34" s="91"/>
      <c r="F34" s="91"/>
      <c r="G34" s="91"/>
      <c r="H34" s="91"/>
      <c r="I34" s="91"/>
      <c r="J34" s="91"/>
      <c r="K34" s="91"/>
      <c r="L34" s="91"/>
      <c r="M34" s="91"/>
      <c r="N34" s="91"/>
      <c r="O34" s="91"/>
      <c r="P34" s="61"/>
      <c r="Q34" s="61"/>
      <c r="R34" s="62"/>
      <c r="S34" s="3"/>
      <c r="T34" s="3"/>
      <c r="U34" s="3"/>
      <c r="V34" s="3"/>
      <c r="W34" s="3"/>
      <c r="X34" s="3"/>
      <c r="Y34" s="3"/>
      <c r="Z34" s="3"/>
      <c r="AA34" s="3"/>
      <c r="AB34" s="4"/>
      <c r="AC34" s="11"/>
      <c r="AD34" s="11"/>
      <c r="AE34" s="11"/>
      <c r="AF34" s="11"/>
      <c r="AG34" s="11"/>
    </row>
    <row r="35" ht="19.5" customHeight="1">
      <c r="A35" s="1"/>
      <c r="B35" s="49" t="s">
        <v>200</v>
      </c>
      <c r="C35" s="49" t="s">
        <v>201</v>
      </c>
      <c r="D35" s="43" t="s">
        <v>217</v>
      </c>
      <c r="E35" s="14"/>
      <c r="F35" s="43" t="s">
        <v>218</v>
      </c>
      <c r="G35" s="14"/>
      <c r="H35" s="49" t="s">
        <v>204</v>
      </c>
      <c r="I35" s="43" t="s">
        <v>219</v>
      </c>
      <c r="J35" s="13"/>
      <c r="K35" s="14"/>
      <c r="L35" s="49" t="s">
        <v>220</v>
      </c>
      <c r="M35" s="43" t="s">
        <v>221</v>
      </c>
      <c r="N35" s="13"/>
      <c r="O35" s="14"/>
      <c r="P35" s="43" t="s">
        <v>222</v>
      </c>
      <c r="Q35" s="13"/>
      <c r="R35" s="14"/>
      <c r="S35" s="43" t="s">
        <v>208</v>
      </c>
      <c r="T35" s="13"/>
      <c r="U35" s="14"/>
      <c r="V35" s="43" t="s">
        <v>223</v>
      </c>
      <c r="W35" s="14"/>
      <c r="X35" s="43" t="s">
        <v>5</v>
      </c>
      <c r="Y35" s="13"/>
      <c r="Z35" s="13"/>
      <c r="AA35" s="13"/>
      <c r="AB35" s="14"/>
      <c r="AC35" s="1"/>
      <c r="AD35" s="1"/>
      <c r="AE35" s="1"/>
      <c r="AF35" s="1"/>
      <c r="AG35" s="1"/>
    </row>
    <row r="36" ht="19.5" customHeight="1">
      <c r="A36" s="1"/>
      <c r="B36" s="31" t="s">
        <v>224</v>
      </c>
      <c r="C36" s="92" t="s">
        <v>215</v>
      </c>
      <c r="D36" s="18" t="s">
        <v>212</v>
      </c>
      <c r="E36" s="18" t="str">
        <f>CONCATENATE(IF(sizing_w01_chosen="Included",VLOOKUP(sizing_w01_vcenter_appliance_size,table_vcenter_appliance_cpu,2,FALSE),0)," CPUs ",": ",IF(sizing_w01_chosen="Included",VLOOKUP(sizing_w01_vcenter_appliance_size,table_vcenter_appliance_ram,2,FALSE),0)," GB")</f>
        <v>0 CPUs : 0 GB</v>
      </c>
      <c r="F36" s="18" t="s">
        <v>213</v>
      </c>
      <c r="G36" s="18" t="str">
        <f>CONCATENATE(IF(sizing_w01_chosen="Included",VLOOKUP(CONCATENATE(sizing_w01_vcenter_appliance_size,sizing_w01_vcenter_storage_size),table_vcenter_disk_gb,2,FALSE),0)," GB")</f>
        <v>0 GB</v>
      </c>
      <c r="H36" s="18" t="s">
        <v>214</v>
      </c>
      <c r="I36" s="18" t="s">
        <v>225</v>
      </c>
      <c r="J36" s="32"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36" s="14"/>
      <c r="L36" s="18" t="s">
        <v>215</v>
      </c>
      <c r="M36" s="18" t="s">
        <v>225</v>
      </c>
      <c r="N36" s="93"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36" s="14"/>
      <c r="P36" s="18" t="s">
        <v>184</v>
      </c>
      <c r="Q36" s="32" t="str">
        <f>(CONCATENATE(IF(AND(sizing_w01_chosen="Included",sizing_w01_spr_chosen="Include"),VLOOKUP(input_wld_srm_vm_size,table_srm_cpu,2,FALSE),0)," CPUs :",IF(AND(sizing_w01_chosen="Included",sizing_w01_spr_chosen="Include"),VLOOKUP(input_wld_srm_vm_size,table_srm_ram,2,FALSE),0)," GB : ",IF(AND(sizing_w01_chosen="Included",sizing_w01_spr_chosen="Include"),VLOOKUP(input_wld_srm_vm_size,table_srm_disk,2,FALSE),0)," GB"))</f>
        <v>0 CPUs :0 GB : 0 GB</v>
      </c>
      <c r="R36" s="14"/>
      <c r="S36" s="94" t="s">
        <v>215</v>
      </c>
      <c r="T36" s="94"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U36" s="14"/>
      <c r="V36" s="18" t="s">
        <v>215</v>
      </c>
      <c r="W36" s="18" t="str">
        <f>CONCATENATE(IF(sizing_w01_ssp_chosen&lt;&gt;"Excluded",VLOOKUP(sizing_w01_ssp_chosen,table_ssp_cpu,2,FALSE),0)," CPUs : ",IF(sizing_w01_ssp_chosen&lt;&gt;"Excluded",VLOOKUP(sizing_w01_ssp_chosen,table_ssp_ram,2,FALSE),0), " GB : ",IF(sizing_w01_ssp_chosen&lt;&gt;"Excluded",VLOOKUP(sizing_w01_ssp_chosen,table_ssp_disk,2,FALSE),0)," GB")</f>
        <v>0 CPUs : 0 GB : 0 GB</v>
      </c>
      <c r="X36" s="32" t="str">
        <f>IF(sizing_w01_chosen="Included",CONCATENATE("vCenter:",VLOOKUP(sizing_w01_vcenter_appliance_size,vcenter_sizing_limits,2,FALSE)," | NSX LM ",VLOOKUP(sizing_w01_nsxt_appliance_size,nsx_sizing_limits,2,FALSE)),"")</f>
        <v/>
      </c>
      <c r="Y36" s="13"/>
      <c r="Z36" s="13"/>
      <c r="AA36" s="13"/>
      <c r="AB36" s="14"/>
      <c r="AC36" s="1"/>
      <c r="AD36" s="1"/>
      <c r="AE36" s="1"/>
      <c r="AF36" s="1"/>
      <c r="AG36" s="1"/>
    </row>
    <row r="37" ht="19.5" customHeight="1">
      <c r="A37" s="1"/>
      <c r="B37" s="31" t="s">
        <v>226</v>
      </c>
      <c r="C37" s="92" t="s">
        <v>215</v>
      </c>
      <c r="D37" s="95" t="s">
        <v>212</v>
      </c>
      <c r="E37" s="18" t="str">
        <f>CONCATENATE(IF(sizing_w02_chosen="Included",VLOOKUP(sizing_w02_vcenter_appliance_size,table_vcenter_appliance_cpu,2,FALSE),0)," CPUs ",": ",IF(sizing_w02_chosen="Included",VLOOKUP(sizing_w02_vcenter_appliance_size,table_vcenter_appliance_ram,2,FALSE),0)," GB")</f>
        <v>0 CPUs : 0 GB</v>
      </c>
      <c r="F37" s="95" t="s">
        <v>213</v>
      </c>
      <c r="G37" s="18" t="str">
        <f>CONCATENATE(IF(sizing_w02_chosen="Included",VLOOKUP(CONCATENATE(sizing_w02_vcenter_appliance_size,sizing_w02_vcenter_storage_size),table_vcenter_disk_gb,2,FALSE),0)," GB")</f>
        <v>0 GB</v>
      </c>
      <c r="H37" s="95" t="s">
        <v>227</v>
      </c>
      <c r="I37" s="95" t="s">
        <v>225</v>
      </c>
      <c r="J37" s="32"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37" s="14"/>
      <c r="L37" s="31" t="s">
        <v>215</v>
      </c>
      <c r="M37" s="31" t="s">
        <v>225</v>
      </c>
      <c r="N37" s="93"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37" s="14"/>
      <c r="P37" s="31" t="s">
        <v>184</v>
      </c>
      <c r="Q37" s="22" t="str">
        <f>(CONCATENATE(IF(AND(sizing_w02_chosen="Included",sizing_w02_spr_chosen="Include"),VLOOKUP(input_wld_srm_vm_size,table_srm_cpu,2,FALSE),0)," CPUs :",IF(AND(sizing_w02_chosen="Included",sizing_w02_spr_chosen="Include"),VLOOKUP(input_wld_srm_vm_size,table_srm_ram,2,FALSE),0)," GB : ",IF(AND(sizing_w02_chosen="Included",sizing_w02_spr_chosen="Include"),VLOOKUP(input_wld_srm_vm_size,table_srm_disk,2,FALSE),0)," GB"))</f>
        <v>0 CPUs :0 GB : 0 GB</v>
      </c>
      <c r="R37" s="14"/>
      <c r="S37" s="22" t="s">
        <v>215</v>
      </c>
      <c r="T37" s="32"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U37" s="14"/>
      <c r="V37" s="18" t="s">
        <v>215</v>
      </c>
      <c r="W37" s="18" t="str">
        <f>CONCATENATE(IF(sizing_w02_ssp_chosen&lt;&gt;"Excluded",VLOOKUP(sizing_w02_ssp_chosen,table_ssp_cpu,2,FALSE),0)," CPUs : ",IF(sizing_w02_ssp_chosen&lt;&gt;"Excluded",VLOOKUP(sizing_w02_ssp_chosen,table_ssp_ram,2,FALSE),0), " GB : ",IF(sizing_w02_ssp_chosen&lt;&gt;"Excluded",VLOOKUP(sizing_w02_ssp_chosen,table_ssp_disk,2,FALSE),0)," GB")</f>
        <v>0 CPUs : 0 GB : 0 GB</v>
      </c>
      <c r="X37" s="32" t="str">
        <f>IF(sizing_w02_chosen="Included",CONCATENATE("vCenter:",VLOOKUP(sizing_w02_vcenter_appliance_size,vcenter_sizing_limits,2,FALSE)," | NSX LM ",VLOOKUP(sizing_w02_nsxt_appliance_size,nsx_sizing_limits,2,FALSE)),"")</f>
        <v/>
      </c>
      <c r="Y37" s="13"/>
      <c r="Z37" s="13"/>
      <c r="AA37" s="13"/>
      <c r="AB37" s="14"/>
      <c r="AC37" s="1"/>
      <c r="AD37" s="1"/>
      <c r="AE37" s="1"/>
      <c r="AF37" s="1"/>
      <c r="AG37" s="1"/>
    </row>
    <row r="38" ht="19.5" customHeight="1">
      <c r="A38" s="1"/>
      <c r="B38" s="31" t="s">
        <v>228</v>
      </c>
      <c r="C38" s="96" t="s">
        <v>215</v>
      </c>
      <c r="D38" s="95" t="s">
        <v>212</v>
      </c>
      <c r="E38" s="18" t="str">
        <f>CONCATENATE(IF(sizing_w03_chosen="Included",VLOOKUP(sizing_w03_vcenter_appliance_size,table_vcenter_appliance_cpu,2,FALSE),0)," CPUs ",": ",IF(sizing_w03_chosen="Included",VLOOKUP(sizing_w03_vcenter_appliance_size,table_vcenter_appliance_ram,2,FALSE),0)," GB")</f>
        <v>0 CPUs : 0 GB</v>
      </c>
      <c r="F38" s="95" t="s">
        <v>213</v>
      </c>
      <c r="G38" s="18" t="str">
        <f>CONCATENATE(IF(sizing_w03_chosen="Included",VLOOKUP(CONCATENATE(sizing_w03_vcenter_appliance_size,sizing_w03_vcenter_storage_size),table_vcenter_disk_gb,2,FALSE),0)," GB")</f>
        <v>0 GB</v>
      </c>
      <c r="H38" s="95" t="s">
        <v>227</v>
      </c>
      <c r="I38" s="95" t="s">
        <v>225</v>
      </c>
      <c r="J38" s="32"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38" s="14"/>
      <c r="L38" s="31" t="s">
        <v>215</v>
      </c>
      <c r="M38" s="18" t="s">
        <v>225</v>
      </c>
      <c r="N38" s="93"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38" s="14"/>
      <c r="P38" s="31" t="s">
        <v>184</v>
      </c>
      <c r="Q38" s="22" t="str">
        <f>(CONCATENATE(IF(AND(sizing_w03_chosen="Included",sizing_w03_spr_chosen="Include"),VLOOKUP(input_wld_srm_vm_size,table_srm_cpu,2,FALSE),0)," CPUs :",IF(AND(sizing_w03_chosen="Included",sizing_w03_spr_chosen="Include"),VLOOKUP(input_wld_srm_vm_size,table_srm_ram,2,FALSE),0)," GB : ",IF(AND(sizing_w03_chosen="Included",sizing_w03_spr_chosen="Include"),VLOOKUP(input_wld_srm_vm_size,table_srm_disk,2,FALSE),0)," GB"))</f>
        <v>0 CPUs :0 GB : 0 GB</v>
      </c>
      <c r="R38" s="14"/>
      <c r="S38" s="22" t="s">
        <v>215</v>
      </c>
      <c r="T38" s="22"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U38" s="14"/>
      <c r="V38" s="18" t="s">
        <v>215</v>
      </c>
      <c r="W38" s="18" t="str">
        <f>CONCATENATE(IF(sizing_w03_ssp_chosen&lt;&gt;"Excluded",VLOOKUP(sizing_w03_ssp_chosen,table_ssp_cpu,2,FALSE),0)," CPUs : ",IF(sizing_w03_ssp_chosen&lt;&gt;"Excluded",VLOOKUP(sizing_w03_ssp_chosen,table_ssp_ram,2,FALSE),0), " GB : ",IF(sizing_w03_ssp_chosen&lt;&gt;"Excluded",VLOOKUP(sizing_w03_ssp_chosen,table_ssp_disk,2,FALSE),0)," GB")</f>
        <v>0 CPUs : 0 GB : 0 GB</v>
      </c>
      <c r="X38" s="32" t="str">
        <f>IF(sizing_w03_chosen="Included",CONCATENATE("vCenter:",VLOOKUP(sizing_w03_vcenter_appliance_size,vcenter_sizing_limits,2,FALSE)," | NSX LM ",VLOOKUP(sizing_w03_nsxt_appliance_size,nsx_sizing_limits,2,FALSE)),"")</f>
        <v/>
      </c>
      <c r="Y38" s="13"/>
      <c r="Z38" s="13"/>
      <c r="AA38" s="13"/>
      <c r="AB38" s="14"/>
      <c r="AC38" s="1"/>
      <c r="AD38" s="1"/>
      <c r="AE38" s="1"/>
      <c r="AF38" s="1"/>
      <c r="AG38" s="1"/>
    </row>
    <row r="39" ht="19.5" customHeight="1">
      <c r="A39" s="1"/>
      <c r="B39" s="31" t="s">
        <v>229</v>
      </c>
      <c r="C39" s="96" t="s">
        <v>215</v>
      </c>
      <c r="D39" s="95" t="s">
        <v>212</v>
      </c>
      <c r="E39" s="18" t="str">
        <f>CONCATENATE(IF(sizing_w04_chosen="Included",VLOOKUP(sizing_w04_vcenter_appliance_size,table_vcenter_appliance_cpu,2,FALSE),0)," CPUs ",": ",IF(sizing_w04_chosen="Included",VLOOKUP(sizing_w04_vcenter_appliance_size,table_vcenter_appliance_ram,2,FALSE),0)," GB")</f>
        <v>0 CPUs : 0 GB</v>
      </c>
      <c r="F39" s="95" t="s">
        <v>213</v>
      </c>
      <c r="G39" s="18" t="str">
        <f>CONCATENATE(IF(sizing_w04_chosen="Included",VLOOKUP(CONCATENATE(sizing_w04_vcenter_appliance_size,sizing_w04_vcenter_storage_size),table_vcenter_disk_gb,2,FALSE),0)," GB")</f>
        <v>0 GB</v>
      </c>
      <c r="H39" s="95" t="s">
        <v>227</v>
      </c>
      <c r="I39" s="95" t="s">
        <v>225</v>
      </c>
      <c r="J39" s="32"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39" s="14"/>
      <c r="L39" s="31" t="s">
        <v>215</v>
      </c>
      <c r="M39" s="18" t="s">
        <v>225</v>
      </c>
      <c r="N39" s="93"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39" s="14"/>
      <c r="P39" s="31" t="s">
        <v>184</v>
      </c>
      <c r="Q39" s="22" t="str">
        <f>(CONCATENATE(IF(AND(sizing_w04_chosen="Included",sizing_w04_spr_chosen="Include"),VLOOKUP(input_wld_srm_vm_size,table_srm_cpu,2,FALSE),0)," CPUs :",IF(AND(sizing_w04_chosen="Included",sizing_w04_spr_chosen="Include"),VLOOKUP(input_wld_srm_vm_size,table_srm_ram,2,FALSE),0)," GB : ",IF(AND(sizing_w04_chosen="Included",sizing_w04_spr_chosen="Include"),VLOOKUP(input_wld_srm_vm_size,table_srm_disk,2,FALSE),0)," GB"))</f>
        <v>0 CPUs :0 GB : 0 GB</v>
      </c>
      <c r="R39" s="14"/>
      <c r="S39" s="31" t="s">
        <v>215</v>
      </c>
      <c r="T39" s="22"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U39" s="14"/>
      <c r="V39" s="18" t="s">
        <v>215</v>
      </c>
      <c r="W39" s="18" t="str">
        <f>CONCATENATE(IF(sizing_w04_ssp_chosen&lt;&gt;"Excluded",VLOOKUP(sizing_w04_ssp_chosen,table_ssp_cpu,2,FALSE),0)," CPUs : ",IF(sizing_w04_ssp_chosen&lt;&gt;"Excluded",VLOOKUP(sizing_w04_ssp_chosen,table_ssp_ram,2,FALSE),0), " GB : ",IF(sizing_w04_ssp_chosen&lt;&gt;"Excluded",VLOOKUP(sizing_w04_ssp_chosen,table_ssp_disk,2,FALSE),0)," GB")</f>
        <v>0 CPUs : 0 GB : 0 GB</v>
      </c>
      <c r="X39" s="32" t="str">
        <f>IF(sizing_w04_chosen="Included",CONCATENATE("vCenter:",VLOOKUP(sizing_w04_vcenter_appliance_size,vcenter_sizing_limits,2,FALSE)," | NSX LM ",VLOOKUP(sizing_w04_nsxt_appliance_size,nsx_sizing_limits,2,FALSE)),"")</f>
        <v/>
      </c>
      <c r="Y39" s="13"/>
      <c r="Z39" s="13"/>
      <c r="AA39" s="13"/>
      <c r="AB39" s="14"/>
      <c r="AC39" s="1"/>
      <c r="AD39" s="1"/>
      <c r="AE39" s="1"/>
      <c r="AF39" s="1"/>
      <c r="AG39" s="1"/>
    </row>
    <row r="40" ht="19.5" customHeight="1">
      <c r="A40" s="1"/>
      <c r="B40" s="31" t="s">
        <v>230</v>
      </c>
      <c r="C40" s="96" t="s">
        <v>215</v>
      </c>
      <c r="D40" s="95" t="s">
        <v>212</v>
      </c>
      <c r="E40" s="95" t="str">
        <f>CONCATENATE(IF(sizing_w05_chosen="Included",VLOOKUP(sizing_w05_vcenter_appliance_size,table_vcenter_appliance_cpu,2,FALSE),0)," CPUs ",": ",IF(sizing_w05_chosen="Included",VLOOKUP(sizing_w05_vcenter_appliance_size,table_vcenter_appliance_ram,2,FALSE),0)," GB")</f>
        <v>0 CPUs : 0 GB</v>
      </c>
      <c r="F40" s="95" t="s">
        <v>213</v>
      </c>
      <c r="G40" s="95" t="str">
        <f>CONCATENATE(IF(sizing_w05_chosen="Included",VLOOKUP(CONCATENATE(sizing_w05_vcenter_appliance_size,sizing_w05_vcenter_storage_size),table_vcenter_disk_gb,2,FALSE),0)," GB")</f>
        <v>0 GB</v>
      </c>
      <c r="H40" s="95" t="s">
        <v>227</v>
      </c>
      <c r="I40" s="95" t="s">
        <v>225</v>
      </c>
      <c r="J40" s="97"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0" s="14"/>
      <c r="L40" s="31" t="s">
        <v>215</v>
      </c>
      <c r="M40" s="18" t="s">
        <v>225</v>
      </c>
      <c r="N40" s="93"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0" s="14"/>
      <c r="P40" s="31" t="s">
        <v>184</v>
      </c>
      <c r="Q40" s="22" t="str">
        <f>(CONCATENATE(IF(AND(sizing_w05_chosen="Included",sizing_w05_spr_chosen="Include"),VLOOKUP(input_wld_srm_vm_size,table_srm_cpu,2,FALSE),0)," CPUs :",IF(AND(sizing_w05_chosen="Included",sizing_w05_spr_chosen="Include"),VLOOKUP(input_wld_srm_vm_size,table_srm_ram,2,FALSE),0)," GB : ",IF(AND(sizing_w05_chosen="Included",sizing_w05_spr_chosen="Include"),VLOOKUP(input_wld_srm_vm_size,table_srm_disk,2,FALSE),0)," GB"))</f>
        <v>0 CPUs :0 GB : 0 GB</v>
      </c>
      <c r="R40" s="14"/>
      <c r="S40" s="31" t="s">
        <v>215</v>
      </c>
      <c r="T40" s="22"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U40" s="14"/>
      <c r="V40" s="18" t="s">
        <v>215</v>
      </c>
      <c r="W40" s="18" t="str">
        <f>CONCATENATE(IF(sizing_w05_ssp_chosen&lt;&gt;"Excluded",VLOOKUP(sizing_w05_ssp_chosen,table_ssp_cpu,2,FALSE),0)," CPUs : ",IF(sizing_w05_ssp_chosen&lt;&gt;"Excluded",VLOOKUP(sizing_w05_ssp_chosen,table_ssp_ram,2,FALSE),0), " GB : ",IF(sizing_w05_ssp_chosen&lt;&gt;"Excluded",VLOOKUP(sizing_w05_ssp_chosen,table_ssp_disk,2,FALSE),0)," GB")</f>
        <v>0 CPUs : 0 GB : 0 GB</v>
      </c>
      <c r="X40" s="32" t="str">
        <f>IF(sizing_w05_chosen="Included",CONCATENATE("vCenter:",VLOOKUP(sizing_w05_vcenter_appliance_size,vcenter_sizing_limits,2,FALSE)," | NSX LM ",VLOOKUP(sizing_w05_nsxt_appliance_size,nsx_sizing_limits,2,FALSE)),"")</f>
        <v/>
      </c>
      <c r="Y40" s="13"/>
      <c r="Z40" s="13"/>
      <c r="AA40" s="13"/>
      <c r="AB40" s="14"/>
      <c r="AC40" s="1"/>
      <c r="AD40" s="1"/>
      <c r="AE40" s="1"/>
      <c r="AF40" s="1"/>
      <c r="AG40" s="1"/>
    </row>
    <row r="41" ht="19.5" customHeight="1">
      <c r="A41" s="1"/>
      <c r="B41" s="31" t="s">
        <v>231</v>
      </c>
      <c r="C41" s="96" t="s">
        <v>215</v>
      </c>
      <c r="D41" s="95" t="s">
        <v>212</v>
      </c>
      <c r="E41" s="95" t="str">
        <f>CONCATENATE(IF(sizing_w06_chosen="Included",VLOOKUP(sizing_w06_vcenter_appliance_size,table_vcenter_appliance_cpu,2,FALSE),0)," CPUs ",": ",IF(sizing_w06_chosen="Included",VLOOKUP(sizing_w06_vcenter_appliance_size,table_vcenter_appliance_ram,2,FALSE),0)," GB")</f>
        <v>0 CPUs : 0 GB</v>
      </c>
      <c r="F41" s="95" t="s">
        <v>213</v>
      </c>
      <c r="G41" s="95" t="str">
        <f>CONCATENATE(IF(sizing_w06_chosen="Included",VLOOKUP(CONCATENATE(sizing_w06_vcenter_appliance_size,sizing_w06_vcenter_storage_size),table_vcenter_disk_gb,2,FALSE),0)," GB")</f>
        <v>0 GB</v>
      </c>
      <c r="H41" s="95" t="s">
        <v>227</v>
      </c>
      <c r="I41" s="95" t="s">
        <v>225</v>
      </c>
      <c r="J41" s="97"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1" s="14"/>
      <c r="L41" s="31" t="s">
        <v>215</v>
      </c>
      <c r="M41" s="18" t="s">
        <v>225</v>
      </c>
      <c r="N41" s="93"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1" s="14"/>
      <c r="P41" s="31" t="s">
        <v>184</v>
      </c>
      <c r="Q41" s="22" t="str">
        <f>(CONCATENATE(IF(AND(sizing_w06_chosen="Included",sizing_w06_spr_chosen="Include"),VLOOKUP(input_wld_srm_vm_size,table_srm_cpu,2,FALSE),0)," CPUs :",IF(AND(sizing_w06_chosen="Included",sizing_w06_spr_chosen="Include"),VLOOKUP(input_wld_srm_vm_size,table_srm_ram,2,FALSE),0)," GB : ",IF(AND(sizing_w06_chosen="Included",sizing_w06_spr_chosen="Include"),VLOOKUP(input_wld_srm_vm_size,table_srm_disk,2,FALSE),0)," GB"))</f>
        <v>0 CPUs :0 GB : 0 GB</v>
      </c>
      <c r="R41" s="14"/>
      <c r="S41" s="31" t="s">
        <v>215</v>
      </c>
      <c r="T41" s="22"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U41" s="14"/>
      <c r="V41" s="18" t="s">
        <v>215</v>
      </c>
      <c r="W41" s="18" t="str">
        <f>CONCATENATE(IF(sizing_w06_ssp_chosen&lt;&gt;"Excluded",VLOOKUP(sizing_w06_ssp_chosen,table_ssp_cpu,2,FALSE),0)," CPUs : ",IF(sizing_w06_ssp_chosen&lt;&gt;"Excluded",VLOOKUP(sizing_w06_ssp_chosen,table_ssp_ram,2,FALSE),0), " GB : ",IF(sizing_w06_ssp_chosen&lt;&gt;"Excluded",VLOOKUP(sizing_w06_ssp_chosen,table_ssp_disk,2,FALSE),0)," GB")</f>
        <v>0 CPUs : 0 GB : 0 GB</v>
      </c>
      <c r="X41" s="32" t="str">
        <f>IF(sizing_w06_chosen="Included",CONCATENATE("vCenter:",VLOOKUP(sizing_w06_vcenter_appliance_size,vcenter_sizing_limits,2,FALSE)," | NSX LM ",VLOOKUP(sizing_w06_nsxt_appliance_size,nsx_sizing_limits,2,FALSE)),"")</f>
        <v/>
      </c>
      <c r="Y41" s="13"/>
      <c r="Z41" s="13"/>
      <c r="AA41" s="13"/>
      <c r="AB41" s="14"/>
      <c r="AC41" s="1"/>
      <c r="AD41" s="1"/>
      <c r="AE41" s="1"/>
      <c r="AF41" s="1"/>
      <c r="AG41" s="1"/>
    </row>
    <row r="42" ht="19.5" customHeight="1">
      <c r="A42" s="1"/>
      <c r="B42" s="31" t="s">
        <v>232</v>
      </c>
      <c r="C42" s="96" t="s">
        <v>215</v>
      </c>
      <c r="D42" s="95" t="s">
        <v>212</v>
      </c>
      <c r="E42" s="95" t="str">
        <f>CONCATENATE(IF(sizing_w07_chosen="Included",VLOOKUP(sizing_w07_vcenter_appliance_size,table_vcenter_appliance_cpu,2,FALSE),0)," CPUs ",": ",IF(sizing_w07_chosen="Included",VLOOKUP(sizing_w07_vcenter_appliance_size,table_vcenter_appliance_ram,2,FALSE),0)," GB")</f>
        <v>0 CPUs : 0 GB</v>
      </c>
      <c r="F42" s="95" t="s">
        <v>213</v>
      </c>
      <c r="G42" s="95" t="str">
        <f>CONCATENATE(IF(sizing_w07_chosen="Included",VLOOKUP(CONCATENATE(sizing_w07_vcenter_appliance_size,sizing_w07_vcenter_storage_size),table_vcenter_disk_gb,2,FALSE),0)," GB")</f>
        <v>0 GB</v>
      </c>
      <c r="H42" s="95" t="s">
        <v>227</v>
      </c>
      <c r="I42" s="95" t="s">
        <v>225</v>
      </c>
      <c r="J42" s="97"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42" s="14"/>
      <c r="L42" s="31" t="s">
        <v>215</v>
      </c>
      <c r="M42" s="18" t="s">
        <v>225</v>
      </c>
      <c r="N42" s="93"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42" s="14"/>
      <c r="P42" s="31" t="s">
        <v>184</v>
      </c>
      <c r="Q42" s="22" t="str">
        <f>(CONCATENATE(IF(AND(sizing_w07_chosen="Included",sizing_w07_spr_chosen="Include"),VLOOKUP(input_wld_srm_vm_size,table_srm_cpu,2,FALSE),0)," CPUs :",IF(AND(sizing_w07_chosen="Included",sizing_w07_spr_chosen="Include"),VLOOKUP(input_wld_srm_vm_size,table_srm_ram,2,FALSE),0)," GB : ",IF(AND(sizing_w07_chosen="Included",sizing_w07_spr_chosen="Include"),VLOOKUP(input_wld_srm_vm_size,table_srm_disk,2,FALSE),0)," GB"))</f>
        <v>0 CPUs :0 GB : 0 GB</v>
      </c>
      <c r="R42" s="14"/>
      <c r="S42" s="31" t="s">
        <v>215</v>
      </c>
      <c r="T42" s="22"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U42" s="14"/>
      <c r="V42" s="18" t="s">
        <v>215</v>
      </c>
      <c r="W42" s="18" t="str">
        <f>CONCATENATE(IF(sizing_w07_ssp_chosen&lt;&gt;"Excluded",VLOOKUP(sizing_w07_ssp_chosen,table_ssp_cpu,2,FALSE),0)," CPUs : ",IF(sizing_w07_ssp_chosen&lt;&gt;"Excluded",VLOOKUP(sizing_w07_ssp_chosen,table_ssp_ram,2,FALSE),0), " GB : ",IF(sizing_w07_ssp_chosen&lt;&gt;"Excluded",VLOOKUP(sizing_w07_ssp_chosen,table_ssp_disk,2,FALSE),0)," GB")</f>
        <v>0 CPUs : 0 GB : 0 GB</v>
      </c>
      <c r="X42" s="32" t="str">
        <f>IF(sizing_w07_chosen="Included",CONCATENATE("vCenter:",VLOOKUP(sizing_w07_vcenter_appliance_size,vcenter_sizing_limits,2,FALSE)," | NSX LM ",VLOOKUP(sizing_w07_nsxt_appliance_size,nsx_sizing_limits,2,FALSE)),"")</f>
        <v/>
      </c>
      <c r="Y42" s="13"/>
      <c r="Z42" s="13"/>
      <c r="AA42" s="13"/>
      <c r="AB42" s="14"/>
      <c r="AC42" s="1"/>
      <c r="AD42" s="1"/>
      <c r="AE42" s="1"/>
      <c r="AF42" s="1"/>
      <c r="AG42" s="1"/>
    </row>
    <row r="43" ht="19.5" customHeight="1">
      <c r="A43" s="1"/>
      <c r="B43" s="31" t="s">
        <v>233</v>
      </c>
      <c r="C43" s="96" t="s">
        <v>215</v>
      </c>
      <c r="D43" s="95" t="s">
        <v>212</v>
      </c>
      <c r="E43" s="95" t="str">
        <f>CONCATENATE(IF(sizing_w08_chosen="Included",VLOOKUP(sizing_w08_vcenter_appliance_size,table_vcenter_appliance_cpu,2,FALSE),0)," CPUs ",": ",IF(sizing_w08_chosen="Included",VLOOKUP(sizing_w08_vcenter_appliance_size,table_vcenter_appliance_ram,2,FALSE),0)," GB")</f>
        <v>0 CPUs : 0 GB</v>
      </c>
      <c r="F43" s="95" t="s">
        <v>213</v>
      </c>
      <c r="G43" s="95" t="str">
        <f>CONCATENATE(IF(sizing_w08_chosen="Included",VLOOKUP(CONCATENATE(sizing_w08_vcenter_appliance_size,sizing_w08_vcenter_storage_size),table_vcenter_disk_gb,2,FALSE),0)," GB")</f>
        <v>0 GB</v>
      </c>
      <c r="H43" s="95" t="s">
        <v>227</v>
      </c>
      <c r="I43" s="95" t="s">
        <v>225</v>
      </c>
      <c r="J43" s="97"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43" s="14"/>
      <c r="L43" s="31" t="s">
        <v>215</v>
      </c>
      <c r="M43" s="18" t="s">
        <v>225</v>
      </c>
      <c r="N43" s="93"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43" s="14"/>
      <c r="P43" s="31" t="s">
        <v>184</v>
      </c>
      <c r="Q43" s="22" t="str">
        <f>(CONCATENATE(IF(AND(sizing_w08_chosen="Included",sizing_w08_spr_chosen="Include"),VLOOKUP(input_wld_srm_vm_size,table_srm_cpu,2,FALSE),0)," CPUs :",IF(AND(sizing_w08_chosen="Included",sizing_w08_spr_chosen="Include"),VLOOKUP(input_wld_srm_vm_size,table_srm_ram,2,FALSE),0)," GB : ",IF(AND(sizing_w08_chosen="Included",sizing_w08_spr_chosen="Include"),VLOOKUP(input_wld_srm_vm_size,table_srm_disk,2,FALSE),0)," GB"))</f>
        <v>0 CPUs :0 GB : 0 GB</v>
      </c>
      <c r="R43" s="14"/>
      <c r="S43" s="31" t="s">
        <v>215</v>
      </c>
      <c r="T43" s="22"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U43" s="14"/>
      <c r="V43" s="18" t="s">
        <v>215</v>
      </c>
      <c r="W43" s="18" t="str">
        <f>CONCATENATE(IF(sizing_w08_ssp_chosen&lt;&gt;"Excluded",VLOOKUP(sizing_w08_ssp_chosen,table_ssp_cpu,2,FALSE),0)," CPUs : ",IF(sizing_w08_ssp_chosen&lt;&gt;"Excluded",VLOOKUP(sizing_w08_ssp_chosen,table_ssp_ram,2,FALSE),0), " GB : ",IF(sizing_w08_ssp_chosen&lt;&gt;"Excluded",VLOOKUP(sizing_w08_ssp_chosen,table_ssp_disk,2,FALSE),0)," GB")</f>
        <v>0 CPUs : 0 GB : 0 GB</v>
      </c>
      <c r="X43" s="32" t="str">
        <f>IF(sizing_w08_chosen="Included",CONCATENATE("vCenter:",VLOOKUP(sizing_w08_vcenter_appliance_size,vcenter_sizing_limits,2,FALSE)," | NSX LM ",VLOOKUP(sizing_w08_nsxt_appliance_size,nsx_sizing_limits,2,FALSE)),"")</f>
        <v/>
      </c>
      <c r="Y43" s="13"/>
      <c r="Z43" s="13"/>
      <c r="AA43" s="13"/>
      <c r="AB43" s="14"/>
      <c r="AC43" s="1"/>
      <c r="AD43" s="1"/>
      <c r="AE43" s="1"/>
      <c r="AF43" s="1"/>
      <c r="AG43" s="1"/>
    </row>
    <row r="44" ht="19.5" customHeight="1">
      <c r="A44" s="1"/>
      <c r="B44" s="31" t="s">
        <v>234</v>
      </c>
      <c r="C44" s="96" t="s">
        <v>215</v>
      </c>
      <c r="D44" s="95" t="s">
        <v>212</v>
      </c>
      <c r="E44" s="95" t="str">
        <f>CONCATENATE(IF(sizing_w09_chosen="Included",VLOOKUP(sizing_w09_vcenter_appliance_size,table_vcenter_appliance_cpu,2,FALSE),0)," CPUs ",": ",IF(sizing_w09_chosen="Included",VLOOKUP(sizing_w09_vcenter_appliance_size,table_vcenter_appliance_ram,2,FALSE),0)," GB")</f>
        <v>0 CPUs : 0 GB</v>
      </c>
      <c r="F44" s="95" t="s">
        <v>213</v>
      </c>
      <c r="G44" s="95" t="str">
        <f>CONCATENATE(IF(sizing_w09_chosen="Included",VLOOKUP(CONCATENATE(sizing_w09_vcenter_appliance_size,sizing_w09_vcenter_storage_size),table_vcenter_disk_gb,2,FALSE),0)," GB")</f>
        <v>0 GB</v>
      </c>
      <c r="H44" s="95" t="s">
        <v>227</v>
      </c>
      <c r="I44" s="95" t="s">
        <v>225</v>
      </c>
      <c r="J44" s="97"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44" s="14"/>
      <c r="L44" s="31" t="s">
        <v>215</v>
      </c>
      <c r="M44" s="18" t="s">
        <v>225</v>
      </c>
      <c r="N44" s="93"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44" s="14"/>
      <c r="P44" s="31" t="s">
        <v>184</v>
      </c>
      <c r="Q44" s="22" t="str">
        <f>(CONCATENATE(IF(AND(sizing_w09_chosen="Included",sizing_w09_spr_chosen="Include"),VLOOKUP(input_wld_srm_vm_size,table_srm_cpu,2,FALSE),0)," CPUs :",IF(AND(sizing_w09_chosen="Included",sizing_w09_spr_chosen="Include"),VLOOKUP(input_wld_srm_vm_size,table_srm_ram,2,FALSE),0)," GB : ",IF(AND(sizing_w09_chosen="Included",sizing_w09_spr_chosen="Include"),VLOOKUP(input_wld_srm_vm_size,table_srm_disk,2,FALSE),0)," GB"))</f>
        <v>0 CPUs :0 GB : 0 GB</v>
      </c>
      <c r="R44" s="14"/>
      <c r="S44" s="31" t="s">
        <v>215</v>
      </c>
      <c r="T44" s="22"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U44" s="14"/>
      <c r="V44" s="18" t="s">
        <v>215</v>
      </c>
      <c r="W44" s="18" t="str">
        <f>CONCATENATE(IF(sizing_w09_ssp_chosen&lt;&gt;"Excluded",VLOOKUP(sizing_w09_ssp_chosen,table_ssp_cpu,2,FALSE),0)," CPUs : ",IF(sizing_w09_ssp_chosen&lt;&gt;"Excluded",VLOOKUP(sizing_w09_ssp_chosen,table_ssp_ram,2,FALSE),0), " GB : ",IF(sizing_w09_ssp_chosen&lt;&gt;"Excluded",VLOOKUP(sizing_w09_ssp_chosen,table_ssp_disk,2,FALSE),0)," GB")</f>
        <v>0 CPUs : 0 GB : 0 GB</v>
      </c>
      <c r="X44" s="32" t="str">
        <f>IF(sizing_w09_chosen="Included",CONCATENATE("vCenter:",VLOOKUP(sizing_w09_vcenter_appliance_size,vcenter_sizing_limits,2,FALSE)," | NSX LM ",VLOOKUP(sizing_w09_nsxt_appliance_size,nsx_sizing_limits,2,FALSE)),"")</f>
        <v/>
      </c>
      <c r="Y44" s="13"/>
      <c r="Z44" s="13"/>
      <c r="AA44" s="13"/>
      <c r="AB44" s="14"/>
      <c r="AC44" s="1"/>
      <c r="AD44" s="1"/>
      <c r="AE44" s="1"/>
      <c r="AF44" s="1"/>
      <c r="AG44" s="1"/>
    </row>
    <row r="45" ht="19.5" customHeight="1">
      <c r="A45" s="1"/>
      <c r="B45" s="31" t="s">
        <v>235</v>
      </c>
      <c r="C45" s="96" t="s">
        <v>215</v>
      </c>
      <c r="D45" s="95" t="s">
        <v>212</v>
      </c>
      <c r="E45" s="95" t="str">
        <f>CONCATENATE(IF(sizing_w10_chosen="Included",VLOOKUP(sizing_w10_vcenter_appliance_size,table_vcenter_appliance_cpu,2,FALSE),0)," CPUs ",": ",IF(sizing_w10_chosen="Included",VLOOKUP(sizing_w10_vcenter_appliance_size,table_vcenter_appliance_ram,2,FALSE),0)," GB")</f>
        <v>0 CPUs : 0 GB</v>
      </c>
      <c r="F45" s="95" t="s">
        <v>213</v>
      </c>
      <c r="G45" s="95" t="str">
        <f>CONCATENATE(IF(sizing_w10_chosen="Included",VLOOKUP(CONCATENATE(sizing_w10_vcenter_appliance_size,sizing_w10_vcenter_storage_size),table_vcenter_disk_gb,2,FALSE),0)," GB")</f>
        <v>0 GB</v>
      </c>
      <c r="H45" s="95" t="s">
        <v>227</v>
      </c>
      <c r="I45" s="95" t="s">
        <v>225</v>
      </c>
      <c r="J45" s="97"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45" s="14"/>
      <c r="L45" s="31" t="s">
        <v>215</v>
      </c>
      <c r="M45" s="18" t="s">
        <v>225</v>
      </c>
      <c r="N45" s="93"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45" s="14"/>
      <c r="P45" s="31" t="s">
        <v>184</v>
      </c>
      <c r="Q45" s="22" t="str">
        <f>(CONCATENATE(IF(AND(sizing_w10_chosen="Included",sizing_w10_spr_chosen="Include"),VLOOKUP(input_wld_srm_vm_size,table_srm_cpu,2,FALSE),0)," CPUs :",IF(AND(sizing_w10_chosen="Included",sizing_w10_spr_chosen="Include"),VLOOKUP(input_wld_srm_vm_size,table_srm_ram,2,FALSE),0)," GB : ",IF(AND(sizing_w10_chosen="Included",sizing_w10_spr_chosen="Include"),VLOOKUP(input_wld_srm_vm_size,table_srm_disk,2,FALSE),0)," GB"))</f>
        <v>0 CPUs :0 GB : 0 GB</v>
      </c>
      <c r="R45" s="14"/>
      <c r="S45" s="31" t="s">
        <v>215</v>
      </c>
      <c r="T45" s="22"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U45" s="14"/>
      <c r="V45" s="18" t="s">
        <v>215</v>
      </c>
      <c r="W45" s="18" t="str">
        <f>CONCATENATE(IF(sizing_w10_ssp_chosen&lt;&gt;"Excluded",VLOOKUP(sizing_w10_ssp_chosen,table_ssp_cpu,2,FALSE),0)," CPUs : ",IF(sizing_w10_ssp_chosen&lt;&gt;"Excluded",VLOOKUP(sizing_w10_ssp_chosen,table_ssp_ram,2,FALSE),0), " GB : ",IF(sizing_w10_ssp_chosen&lt;&gt;"Excluded",VLOOKUP(sizing_w10_ssp_chosen,table_ssp_disk,2,FALSE),0)," GB")</f>
        <v>0 CPUs : 0 GB : 0 GB</v>
      </c>
      <c r="X45" s="32" t="str">
        <f>IF(sizing_w10_chosen="Included",CONCATENATE("vCenter:",VLOOKUP(sizing_w10_vcenter_appliance_size,vcenter_sizing_limits,2,FALSE)," | NSX LM ",VLOOKUP(sizing_w10_nsxt_appliance_size,nsx_sizing_limits,2,FALSE)),"")</f>
        <v/>
      </c>
      <c r="Y45" s="13"/>
      <c r="Z45" s="13"/>
      <c r="AA45" s="13"/>
      <c r="AB45" s="14"/>
      <c r="AC45" s="1"/>
      <c r="AD45" s="1"/>
      <c r="AE45" s="1"/>
      <c r="AF45" s="1"/>
      <c r="AG45" s="1"/>
    </row>
    <row r="46" ht="19.5" customHeight="1">
      <c r="A46" s="1"/>
      <c r="B46" s="31" t="s">
        <v>236</v>
      </c>
      <c r="C46" s="96" t="s">
        <v>215</v>
      </c>
      <c r="D46" s="95" t="s">
        <v>212</v>
      </c>
      <c r="E46" s="95" t="str">
        <f>CONCATENATE(IF(sizing_w11_chosen="Included",VLOOKUP(sizing_w11_vcenter_appliance_size,table_vcenter_appliance_cpu,2,FALSE),0)," CPUs ",": ",IF(sizing_w11_chosen="Included",VLOOKUP(sizing_w11_vcenter_appliance_size,table_vcenter_appliance_ram,2,FALSE),0)," GB")</f>
        <v>0 CPUs : 0 GB</v>
      </c>
      <c r="F46" s="95" t="s">
        <v>213</v>
      </c>
      <c r="G46" s="95" t="str">
        <f>CONCATENATE(IF(sizing_w11_chosen="Included",VLOOKUP(CONCATENATE(sizing_w11_vcenter_appliance_size,sizing_w11_vcenter_storage_size),table_vcenter_disk_gb,2,FALSE),0)," GB")</f>
        <v>0 GB</v>
      </c>
      <c r="H46" s="95" t="s">
        <v>227</v>
      </c>
      <c r="I46" s="95" t="s">
        <v>225</v>
      </c>
      <c r="J46" s="97"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46" s="14"/>
      <c r="L46" s="31" t="s">
        <v>215</v>
      </c>
      <c r="M46" s="18" t="s">
        <v>225</v>
      </c>
      <c r="N46" s="93"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46" s="14"/>
      <c r="P46" s="31" t="s">
        <v>184</v>
      </c>
      <c r="Q46" s="22" t="str">
        <f>(CONCATENATE(IF(AND(sizing_w11_chosen="Included",sizing_w11_spr_chosen="Include"),VLOOKUP(input_wld_srm_vm_size,table_srm_cpu,2,FALSE),0)," CPUs :",IF(AND(sizing_w11_chosen="Included",sizing_w11_spr_chosen="Include"),VLOOKUP(input_wld_srm_vm_size,table_srm_ram,2,FALSE),0)," GB : ",IF(AND(sizing_w11_chosen="Included",sizing_w11_spr_chosen="Include"),VLOOKUP(input_wld_srm_vm_size,table_srm_disk,2,FALSE),0)," GB"))</f>
        <v>0 CPUs :0 GB : 0 GB</v>
      </c>
      <c r="R46" s="14"/>
      <c r="S46" s="31" t="s">
        <v>215</v>
      </c>
      <c r="T46" s="22"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U46" s="14"/>
      <c r="V46" s="18" t="s">
        <v>215</v>
      </c>
      <c r="W46" s="18" t="str">
        <f>CONCATENATE(IF(sizing_w11_ssp_chosen&lt;&gt;"Excluded",VLOOKUP(sizing_w11_ssp_chosen,table_ssp_cpu,2,FALSE),0)," CPUs : ",IF(sizing_w11_ssp_chosen&lt;&gt;"Excluded",VLOOKUP(sizing_w11_ssp_chosen,table_ssp_ram,2,FALSE),0), " GB : ",IF(sizing_w11_ssp_chosen&lt;&gt;"Excluded",VLOOKUP(sizing_w11_ssp_chosen,table_ssp_disk,2,FALSE),0)," GB")</f>
        <v>0 CPUs : 0 GB : 0 GB</v>
      </c>
      <c r="X46" s="32" t="str">
        <f>IF(sizing_w11_chosen="Included",CONCATENATE("vCenter:",VLOOKUP(sizing_w11_vcenter_appliance_size,vcenter_sizing_limits,2,FALSE)," | NSX LM ",VLOOKUP(sizing_w01_nsxt_appliance_size,nsx_sizing_limits,2,FALSE)),"")</f>
        <v/>
      </c>
      <c r="Y46" s="13"/>
      <c r="Z46" s="13"/>
      <c r="AA46" s="13"/>
      <c r="AB46" s="14"/>
      <c r="AC46" s="1"/>
      <c r="AD46" s="1"/>
      <c r="AE46" s="1"/>
      <c r="AF46" s="1"/>
      <c r="AG46" s="1"/>
    </row>
    <row r="47" ht="19.5" customHeight="1">
      <c r="A47" s="1"/>
      <c r="B47" s="31" t="s">
        <v>237</v>
      </c>
      <c r="C47" s="96" t="s">
        <v>215</v>
      </c>
      <c r="D47" s="95" t="s">
        <v>212</v>
      </c>
      <c r="E47" s="95" t="str">
        <f>CONCATENATE(IF(sizing_w12_chosen="Included",VLOOKUP(sizing_w12_vcenter_appliance_size,table_vcenter_appliance_cpu,2,FALSE),0)," CPUs ",": ",IF(sizing_w12_chosen="Included",VLOOKUP(sizing_w12_vcenter_appliance_size,table_vcenter_appliance_ram,2,FALSE),0)," GB")</f>
        <v>0 CPUs : 0 GB</v>
      </c>
      <c r="F47" s="95" t="s">
        <v>213</v>
      </c>
      <c r="G47" s="95" t="str">
        <f>CONCATENATE(IF(sizing_w12_chosen="Included",VLOOKUP(CONCATENATE(sizing_w12_vcenter_appliance_size,sizing_w12_vcenter_storage_size),table_vcenter_disk_gb,2,FALSE),0)," GB")</f>
        <v>0 GB</v>
      </c>
      <c r="H47" s="95" t="s">
        <v>227</v>
      </c>
      <c r="I47" s="95" t="s">
        <v>225</v>
      </c>
      <c r="J47" s="97"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47" s="14"/>
      <c r="L47" s="31" t="s">
        <v>215</v>
      </c>
      <c r="M47" s="18" t="s">
        <v>225</v>
      </c>
      <c r="N47" s="93"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47" s="14"/>
      <c r="P47" s="31" t="s">
        <v>184</v>
      </c>
      <c r="Q47" s="22" t="str">
        <f>(CONCATENATE(IF(AND(sizing_w12_chosen="Included",sizing_w12_spr_chosen="Include"),VLOOKUP(input_wld_srm_vm_size,table_srm_cpu,2,FALSE),0)," CPUs :",IF(AND(sizing_w12_chosen="Included",sizing_w12_spr_chosen="Include"),VLOOKUP(input_wld_srm_vm_size,table_srm_ram,2,FALSE),0)," GB : ",IF(AND(sizing_w12_chosen="Included",sizing_w12_spr_chosen="Include"),VLOOKUP(input_wld_srm_vm_size,table_srm_disk,2,FALSE),0)," GB"))</f>
        <v>0 CPUs :0 GB : 0 GB</v>
      </c>
      <c r="R47" s="14"/>
      <c r="S47" s="31" t="s">
        <v>215</v>
      </c>
      <c r="T47" s="22"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U47" s="14"/>
      <c r="V47" s="18" t="s">
        <v>215</v>
      </c>
      <c r="W47" s="18" t="str">
        <f>CONCATENATE(IF(sizing_w12_ssp_chosen&lt;&gt;"Excluded",VLOOKUP(sizing_w12_ssp_chosen,table_ssp_cpu,2,FALSE),0)," CPUs : ",IF(sizing_w12_ssp_chosen&lt;&gt;"Excluded",VLOOKUP(sizing_w12_ssp_chosen,table_ssp_ram,2,FALSE),0), " GB : ",IF(sizing_w12_ssp_chosen&lt;&gt;"Excluded",VLOOKUP(sizing_w12_ssp_chosen,table_ssp_disk,2,FALSE),0)," GB")</f>
        <v>0 CPUs : 0 GB : 0 GB</v>
      </c>
      <c r="X47" s="32" t="str">
        <f>IF(sizing_w12_chosen="Included",CONCATENATE("vCenter:",VLOOKUP(sizing_w12_vcenter_appliance_size,vcenter_sizing_limits,2,FALSE)," | NSX LM ",VLOOKUP(sizing_w12_nsxt_appliance_size,nsx_sizing_limits,2,FALSE)),"")</f>
        <v/>
      </c>
      <c r="Y47" s="13"/>
      <c r="Z47" s="13"/>
      <c r="AA47" s="13"/>
      <c r="AB47" s="14"/>
      <c r="AC47" s="1"/>
      <c r="AD47" s="1"/>
      <c r="AE47" s="1"/>
      <c r="AF47" s="1"/>
      <c r="AG47" s="1"/>
    </row>
    <row r="48" ht="19.5" customHeight="1">
      <c r="A48" s="1"/>
      <c r="B48" s="31" t="s">
        <v>238</v>
      </c>
      <c r="C48" s="96" t="s">
        <v>215</v>
      </c>
      <c r="D48" s="95" t="s">
        <v>212</v>
      </c>
      <c r="E48" s="95" t="str">
        <f>CONCATENATE(IF(sizing_w13_chosen="Included",VLOOKUP(sizing_w13_vcenter_appliance_size,table_vcenter_appliance_cpu,2,FALSE),0)," CPUs ",": ",IF(sizing_w13_chosen="Included",VLOOKUP(sizing_w13_vcenter_appliance_size,table_vcenter_appliance_ram,2,FALSE),0)," GB")</f>
        <v>0 CPUs : 0 GB</v>
      </c>
      <c r="F48" s="95" t="s">
        <v>213</v>
      </c>
      <c r="G48" s="95" t="str">
        <f>CONCATENATE(IF(sizing_w13_chosen="Included",VLOOKUP(CONCATENATE(sizing_w13_vcenter_appliance_size,sizing_w13_vcenter_storage_size),table_vcenter_disk_gb,2,FALSE),0)," GB")</f>
        <v>0 GB</v>
      </c>
      <c r="H48" s="95" t="s">
        <v>227</v>
      </c>
      <c r="I48" s="95" t="s">
        <v>225</v>
      </c>
      <c r="J48" s="97"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48" s="14"/>
      <c r="L48" s="31" t="s">
        <v>215</v>
      </c>
      <c r="M48" s="18" t="s">
        <v>225</v>
      </c>
      <c r="N48" s="93"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48" s="14"/>
      <c r="P48" s="31" t="s">
        <v>184</v>
      </c>
      <c r="Q48" s="22" t="str">
        <f>(CONCATENATE(IF(AND(sizing_w13_chosen="Included",sizing_w13_spr_chosen="Include"),VLOOKUP(input_wld_srm_vm_size,table_srm_cpu,2,FALSE),0)," CPUs :",IF(AND(sizing_w13_chosen="Included",sizing_w13_spr_chosen="Include"),VLOOKUP(input_wld_srm_vm_size,table_srm_ram,2,FALSE),0)," GB : ",IF(AND(sizing_w13_chosen="Included",sizing_w13_spr_chosen="Include"),VLOOKUP(input_wld_srm_vm_size,table_srm_disk,2,FALSE),0)," GB"))</f>
        <v>0 CPUs :0 GB : 0 GB</v>
      </c>
      <c r="R48" s="14"/>
      <c r="S48" s="31" t="s">
        <v>215</v>
      </c>
      <c r="T48" s="22"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U48" s="14"/>
      <c r="V48" s="18" t="s">
        <v>215</v>
      </c>
      <c r="W48" s="18" t="str">
        <f>CONCATENATE(IF(sizing_w13_ssp_chosen&lt;&gt;"Excluded",VLOOKUP(sizing_w13_ssp_chosen,table_ssp_cpu,2,FALSE),0)," CPUs : ",IF(sizing_w13_ssp_chosen&lt;&gt;"Excluded",VLOOKUP(sizing_w13_ssp_chosen,table_ssp_ram,2,FALSE),0), " GB : ",IF(sizing_w13_ssp_chosen&lt;&gt;"Excluded",VLOOKUP(sizing_w13_ssp_chosen,table_ssp_disk,2,FALSE),0)," GB")</f>
        <v>0 CPUs : 0 GB : 0 GB</v>
      </c>
      <c r="X48" s="32" t="str">
        <f>IF(sizing_w13_chosen="Included",CONCATENATE("vCenter:",VLOOKUP(sizing_w13_vcenter_appliance_size,vcenter_sizing_limits,2,FALSE)," | NSX LM ",VLOOKUP(sizing_w13_nsxt_appliance_size,nsx_sizing_limits,2,FALSE)),"")</f>
        <v/>
      </c>
      <c r="Y48" s="13"/>
      <c r="Z48" s="13"/>
      <c r="AA48" s="13"/>
      <c r="AB48" s="14"/>
      <c r="AC48" s="1"/>
      <c r="AD48" s="1"/>
      <c r="AE48" s="1"/>
      <c r="AF48" s="1"/>
      <c r="AG48" s="1"/>
    </row>
    <row r="49" ht="19.5" customHeight="1">
      <c r="A49" s="1"/>
      <c r="B49" s="31" t="s">
        <v>239</v>
      </c>
      <c r="C49" s="96" t="s">
        <v>215</v>
      </c>
      <c r="D49" s="95" t="s">
        <v>212</v>
      </c>
      <c r="E49" s="95" t="str">
        <f>CONCATENATE(IF(sizing_w14_chosen="Included",VLOOKUP(sizing_w14_vcenter_appliance_size,table_vcenter_appliance_cpu,2,FALSE),0)," CPUs ",": ",IF(sizing_w14_chosen="Included",VLOOKUP(sizing_w14_vcenter_appliance_size,table_vcenter_appliance_ram,2,FALSE),0)," GB")</f>
        <v>0 CPUs : 0 GB</v>
      </c>
      <c r="F49" s="95" t="s">
        <v>213</v>
      </c>
      <c r="G49" s="95" t="str">
        <f>CONCATENATE(IF(sizing_w14_chosen="Included",VLOOKUP(CONCATENATE(sizing_w14_vcenter_appliance_size,sizing_w14_vcenter_storage_size),table_vcenter_disk_gb,2,FALSE),0)," GB")</f>
        <v>0 GB</v>
      </c>
      <c r="H49" s="95" t="s">
        <v>227</v>
      </c>
      <c r="I49" s="95" t="s">
        <v>225</v>
      </c>
      <c r="J49" s="97"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49" s="14"/>
      <c r="L49" s="31" t="s">
        <v>215</v>
      </c>
      <c r="M49" s="18" t="s">
        <v>225</v>
      </c>
      <c r="N49" s="93"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49" s="14"/>
      <c r="P49" s="31" t="s">
        <v>184</v>
      </c>
      <c r="Q49" s="22" t="str">
        <f>(CONCATENATE(IF(AND(sizing_w14_chosen="Included",sizing_w14_spr_chosen="Include"),VLOOKUP(input_wld_srm_vm_size,table_srm_cpu,2,FALSE),0)," CPUs :",IF(AND(sizing_w14_chosen="Included",sizing_w14_spr_chosen="Include"),VLOOKUP(input_wld_srm_vm_size,table_srm_ram,2,FALSE),0)," GB : ",IF(AND(sizing_w14_chosen="Included",sizing_w14_spr_chosen="Include"),VLOOKUP(input_wld_srm_vm_size,table_srm_disk,2,FALSE),0)," GB"))</f>
        <v>0 CPUs :0 GB : 0 GB</v>
      </c>
      <c r="R49" s="14"/>
      <c r="S49" s="31" t="s">
        <v>215</v>
      </c>
      <c r="T49" s="22"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U49" s="14"/>
      <c r="V49" s="18" t="s">
        <v>215</v>
      </c>
      <c r="W49" s="18" t="str">
        <f>CONCATENATE(IF(sizing_w14_ssp_chosen&lt;&gt;"Excluded",VLOOKUP(sizing_w14_ssp_chosen,table_ssp_cpu,2,FALSE),0)," CPUs : ",IF(sizing_w14_ssp_chosen&lt;&gt;"Excluded",VLOOKUP(sizing_w14_ssp_chosen,table_ssp_ram,2,FALSE),0), " GB : ",IF(sizing_w14_ssp_chosen&lt;&gt;"Excluded",VLOOKUP(sizing_w14_ssp_chosen,table_ssp_disk,2,FALSE),0)," GB")</f>
        <v>0 CPUs : 0 GB : 0 GB</v>
      </c>
      <c r="X49" s="32" t="str">
        <f>IF(sizing_w14_chosen="Included",CONCATENATE("vCenter:",VLOOKUP(sizing_w14_vcenter_appliance_size,vcenter_sizing_limits,2,FALSE)," | NSX LM ",VLOOKUP(sizing_w14_nsxt_appliance_size,nsx_sizing_limits,2,FALSE)),"")</f>
        <v/>
      </c>
      <c r="Y49" s="13"/>
      <c r="Z49" s="13"/>
      <c r="AA49" s="13"/>
      <c r="AB49" s="14"/>
      <c r="AC49" s="1"/>
      <c r="AD49" s="1"/>
      <c r="AE49" s="1"/>
      <c r="AF49" s="1"/>
      <c r="AG49" s="1"/>
    </row>
    <row r="50" ht="19.5" customHeight="1">
      <c r="A50" s="1"/>
      <c r="B50" s="31" t="s">
        <v>240</v>
      </c>
      <c r="C50" s="96" t="s">
        <v>215</v>
      </c>
      <c r="D50" s="95" t="s">
        <v>212</v>
      </c>
      <c r="E50" s="95" t="str">
        <f>CONCATENATE(IF(sizing_w15_chosen="Included",VLOOKUP(sizing_w15_vcenter_appliance_size,table_vcenter_appliance_cpu,2,FALSE),0)," CPUs ",": ",IF(sizing_w15_chosen="Included",VLOOKUP(sizing_w15_vcenter_appliance_size,table_vcenter_appliance_ram,2,FALSE),0)," GB")</f>
        <v>0 CPUs : 0 GB</v>
      </c>
      <c r="F50" s="95" t="s">
        <v>213</v>
      </c>
      <c r="G50" s="95" t="str">
        <f>CONCATENATE(IF(sizing_w15_chosen="Included",VLOOKUP(CONCATENATE(sizing_w15_vcenter_appliance_size,sizing_w15_vcenter_storage_size),table_vcenter_disk_gb,2,FALSE),0)," GB")</f>
        <v>0 GB</v>
      </c>
      <c r="H50" s="95" t="s">
        <v>227</v>
      </c>
      <c r="I50" s="95" t="s">
        <v>225</v>
      </c>
      <c r="J50" s="97"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0" s="14"/>
      <c r="L50" s="31" t="s">
        <v>215</v>
      </c>
      <c r="M50" s="18" t="s">
        <v>225</v>
      </c>
      <c r="N50" s="93"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0" s="14"/>
      <c r="P50" s="31" t="s">
        <v>184</v>
      </c>
      <c r="Q50" s="22" t="str">
        <f>(CONCATENATE(IF(AND(sizing_w15_chosen="Included",sizing_w15_spr_chosen="Include"),VLOOKUP(input_wld_srm_vm_size,table_srm_cpu,2,FALSE),0)," CPUs :",IF(AND(sizing_w15_chosen="Included",sizing_w15_spr_chosen="Include"),VLOOKUP(input_wld_srm_vm_size,table_srm_ram,2,FALSE),0)," GB : ",IF(AND(sizing_w15_chosen="Included",sizing_w15_spr_chosen="Include"),VLOOKUP(input_wld_srm_vm_size,table_srm_disk,2,FALSE),0)," GB"))</f>
        <v>0 CPUs :0 GB : 0 GB</v>
      </c>
      <c r="R50" s="14"/>
      <c r="S50" s="31" t="s">
        <v>215</v>
      </c>
      <c r="T50" s="22"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U50" s="14"/>
      <c r="V50" s="18" t="s">
        <v>215</v>
      </c>
      <c r="W50" s="18" t="str">
        <f>CONCATENATE(IF(sizing_w15_ssp_chosen&lt;&gt;"Excluded",VLOOKUP(sizing_w15_ssp_chosen,table_ssp_cpu,2,FALSE),0)," CPUs : ",IF(sizing_w15_ssp_chosen&lt;&gt;"Excluded",VLOOKUP(sizing_w15_ssp_chosen,table_ssp_ram,2,FALSE),0), " GB : ",IF(sizing_w15_ssp_chosen&lt;&gt;"Excluded",VLOOKUP(sizing_w15_ssp_chosen,table_ssp_disk,2,FALSE),0)," GB")</f>
        <v>0 CPUs : 0 GB : 0 GB</v>
      </c>
      <c r="X50" s="32" t="str">
        <f>IF(sizing_w15_chosen="Included",CONCATENATE("vCenter:",VLOOKUP(sizing_w15_vcenter_appliance_size,vcenter_sizing_limits,2,FALSE)," | NSX LM ",VLOOKUP(sizing_w15_nsxt_appliance_size,nsx_sizing_limits,2,FALSE)),"")</f>
        <v/>
      </c>
      <c r="Y50" s="13"/>
      <c r="Z50" s="13"/>
      <c r="AA50" s="13"/>
      <c r="AB50" s="14"/>
      <c r="AC50" s="1"/>
      <c r="AD50" s="1"/>
      <c r="AE50" s="1"/>
      <c r="AF50" s="1"/>
      <c r="AG50" s="1"/>
    </row>
    <row r="51" ht="19.5" customHeight="1">
      <c r="A51" s="1"/>
      <c r="B51" s="31" t="s">
        <v>241</v>
      </c>
      <c r="C51" s="96" t="s">
        <v>215</v>
      </c>
      <c r="D51" s="95" t="s">
        <v>212</v>
      </c>
      <c r="E51" s="95" t="str">
        <f>CONCATENATE(IF(sizing_w16_chosen="Included",VLOOKUP(sizing_w16_vcenter_appliance_size,table_vcenter_appliance_cpu,2,FALSE),0)," CPUs ",": ",IF(sizing_w16_chosen="Included",VLOOKUP(sizing_w16_vcenter_appliance_size,table_vcenter_appliance_ram,2,FALSE),0)," GB")</f>
        <v>0 CPUs : 0 GB</v>
      </c>
      <c r="F51" s="95" t="s">
        <v>213</v>
      </c>
      <c r="G51" s="95" t="str">
        <f>CONCATENATE(IF(sizing_w16_chosen="Included",VLOOKUP(CONCATENATE(sizing_w16_vcenter_appliance_size,sizing_w16_vcenter_storage_size),table_vcenter_disk_gb,2,FALSE),0)," GB")</f>
        <v>0 GB</v>
      </c>
      <c r="H51" s="95" t="s">
        <v>227</v>
      </c>
      <c r="I51" s="95" t="s">
        <v>225</v>
      </c>
      <c r="J51" s="97"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1" s="14"/>
      <c r="L51" s="31" t="s">
        <v>215</v>
      </c>
      <c r="M51" s="18" t="s">
        <v>225</v>
      </c>
      <c r="N51" s="93"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1" s="14"/>
      <c r="P51" s="31" t="s">
        <v>184</v>
      </c>
      <c r="Q51" s="22" t="str">
        <f>(CONCATENATE(IF(AND(sizing_w16_chosen="Included",sizing_w16_spr_chosen="Include"),VLOOKUP(input_wld_srm_vm_size,table_srm_cpu,2,FALSE),0)," CPUs :",IF(AND(sizing_w16_chosen="Included",sizing_w16_spr_chosen="Include"),VLOOKUP(input_wld_srm_vm_size,table_srm_ram,2,FALSE),0)," GB : ",IF(AND(sizing_w16_chosen="Included",sizing_w16_spr_chosen="Include"),VLOOKUP(input_wld_srm_vm_size,table_srm_disk,2,FALSE),0)," GB"))</f>
        <v>0 CPUs :0 GB : 0 GB</v>
      </c>
      <c r="R51" s="14"/>
      <c r="S51" s="31" t="s">
        <v>215</v>
      </c>
      <c r="T51" s="22"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U51" s="14"/>
      <c r="V51" s="18" t="s">
        <v>215</v>
      </c>
      <c r="W51" s="18" t="str">
        <f>CONCATENATE(IF(sizing_w16_ssp_chosen&lt;&gt;"Excluded",VLOOKUP(sizing_w16_ssp_chosen,table_ssp_cpu,2,FALSE),0)," CPUs : ",IF(sizing_w16_ssp_chosen&lt;&gt;"Excluded",VLOOKUP(sizing_w16_ssp_chosen,table_ssp_ram,2,FALSE),0), " GB : ",IF(sizing_w16_ssp_chosen&lt;&gt;"Excluded",VLOOKUP(sizing_w16_ssp_chosen,table_ssp_disk,2,FALSE),0)," GB")</f>
        <v>0 CPUs : 0 GB : 0 GB</v>
      </c>
      <c r="X51" s="32" t="str">
        <f>IF(sizing_w16_chosen="Included",CONCATENATE("vCenter:",VLOOKUP(sizing_w16_vcenter_appliance_size,vcenter_sizing_limits,2,FALSE)," | NSX LM ",VLOOKUP(sizing_w16_nsxt_appliance_size,nsx_sizing_limits,2,FALSE)),"")</f>
        <v/>
      </c>
      <c r="Y51" s="13"/>
      <c r="Z51" s="13"/>
      <c r="AA51" s="13"/>
      <c r="AB51" s="14"/>
      <c r="AC51" s="1"/>
      <c r="AD51" s="1"/>
      <c r="AE51" s="1"/>
      <c r="AF51" s="1"/>
      <c r="AG51" s="1"/>
    </row>
    <row r="52" ht="19.5" customHeight="1">
      <c r="A52" s="1"/>
      <c r="B52" s="31" t="s">
        <v>242</v>
      </c>
      <c r="C52" s="96" t="s">
        <v>215</v>
      </c>
      <c r="D52" s="95" t="s">
        <v>212</v>
      </c>
      <c r="E52" s="95" t="str">
        <f>CONCATENATE(IF(sizing_w17_chosen="Included",VLOOKUP(sizing_w17_vcenter_appliance_size,table_vcenter_appliance_cpu,2,FALSE),0)," CPUs ",": ",IF(sizing_w17_chosen="Included",VLOOKUP(sizing_w17_vcenter_appliance_size,table_vcenter_appliance_ram,2,FALSE),0)," GB")</f>
        <v>0 CPUs : 0 GB</v>
      </c>
      <c r="F52" s="95" t="s">
        <v>213</v>
      </c>
      <c r="G52" s="95" t="str">
        <f>CONCATENATE(IF(sizing_w17_chosen="Included",VLOOKUP(CONCATENATE(sizing_w17_vcenter_appliance_size,sizing_w17_vcenter_storage_size),table_vcenter_disk_gb,2,FALSE),0)," GB")</f>
        <v>0 GB</v>
      </c>
      <c r="H52" s="95" t="s">
        <v>227</v>
      </c>
      <c r="I52" s="95" t="s">
        <v>225</v>
      </c>
      <c r="J52" s="97"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52" s="14"/>
      <c r="L52" s="31" t="s">
        <v>215</v>
      </c>
      <c r="M52" s="18" t="s">
        <v>225</v>
      </c>
      <c r="N52" s="93"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52" s="14"/>
      <c r="P52" s="31" t="s">
        <v>184</v>
      </c>
      <c r="Q52" s="22" t="str">
        <f>(CONCATENATE(IF(AND(sizing_w17_chosen="Included",sizing_w17_spr_chosen="Include"),VLOOKUP(input_wld_srm_vm_size,table_srm_cpu,2,FALSE),0)," CPUs :",IF(AND(sizing_w17_chosen="Included",sizing_w17_spr_chosen="Include"),VLOOKUP(input_wld_srm_vm_size,table_srm_ram,2,FALSE),0)," GB : ",IF(AND(sizing_w17_chosen="Included",sizing_w17_spr_chosen="Include"),VLOOKUP(input_wld_srm_vm_size,table_srm_disk,2,FALSE),0)," GB"))</f>
        <v>0 CPUs :0 GB : 0 GB</v>
      </c>
      <c r="R52" s="14"/>
      <c r="S52" s="31" t="s">
        <v>215</v>
      </c>
      <c r="T52" s="22"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U52" s="14"/>
      <c r="V52" s="18" t="s">
        <v>215</v>
      </c>
      <c r="W52" s="18" t="str">
        <f>CONCATENATE(IF(sizing_w17_ssp_chosen&lt;&gt;"Excluded",VLOOKUP(sizing_w17_ssp_chosen,table_ssp_cpu,2,FALSE),0)," CPUs : ",IF(sizing_w17_ssp_chosen&lt;&gt;"Excluded",VLOOKUP(sizing_w17_ssp_chosen,table_ssp_ram,2,FALSE),0), " GB : ",IF(sizing_w17_ssp_chosen&lt;&gt;"Excluded",VLOOKUP(sizing_w17_ssp_chosen,table_ssp_disk,2,FALSE),0)," GB")</f>
        <v>0 CPUs : 0 GB : 0 GB</v>
      </c>
      <c r="X52" s="32" t="str">
        <f>IF(sizing_w17_chosen="Included",CONCATENATE("vCenter:",VLOOKUP(sizing_w17_vcenter_appliance_size,vcenter_sizing_limits,2,FALSE)," | NSX LM ",VLOOKUP(sizing_w17_nsxt_appliance_size,nsx_sizing_limits,2,FALSE)),"")</f>
        <v/>
      </c>
      <c r="Y52" s="13"/>
      <c r="Z52" s="13"/>
      <c r="AA52" s="13"/>
      <c r="AB52" s="14"/>
      <c r="AC52" s="1"/>
      <c r="AD52" s="1"/>
      <c r="AE52" s="1"/>
      <c r="AF52" s="1"/>
      <c r="AG52" s="1"/>
    </row>
    <row r="53" ht="19.5" customHeight="1">
      <c r="A53" s="1"/>
      <c r="B53" s="31" t="s">
        <v>243</v>
      </c>
      <c r="C53" s="96" t="s">
        <v>215</v>
      </c>
      <c r="D53" s="95" t="s">
        <v>212</v>
      </c>
      <c r="E53" s="95" t="str">
        <f>CONCATENATE(IF(sizing_w18_chosen="Included",VLOOKUP(sizing_w18_vcenter_appliance_size,table_vcenter_appliance_cpu,2,FALSE),0)," CPUs ",": ",IF(sizing_w18_chosen="Included",VLOOKUP(sizing_w18_vcenter_appliance_size,table_vcenter_appliance_ram,2,FALSE),0)," GB")</f>
        <v>0 CPUs : 0 GB</v>
      </c>
      <c r="F53" s="95" t="s">
        <v>213</v>
      </c>
      <c r="G53" s="95" t="str">
        <f>CONCATENATE(IF(sizing_w18_chosen="Included",VLOOKUP(CONCATENATE(sizing_w18_vcenter_appliance_size,sizing_w18_vcenter_storage_size),table_vcenter_disk_gb,2,FALSE),0)," GB")</f>
        <v>0 GB</v>
      </c>
      <c r="H53" s="95" t="s">
        <v>227</v>
      </c>
      <c r="I53" s="95" t="s">
        <v>225</v>
      </c>
      <c r="J53" s="97"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53" s="14"/>
      <c r="L53" s="31" t="s">
        <v>215</v>
      </c>
      <c r="M53" s="18" t="s">
        <v>225</v>
      </c>
      <c r="N53" s="93"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53" s="14"/>
      <c r="P53" s="31" t="s">
        <v>184</v>
      </c>
      <c r="Q53" s="22" t="str">
        <f>(CONCATENATE(IF(AND(sizing_w18_chosen="Included",sizing_w18_spr_chosen="Include"),VLOOKUP(input_wld_srm_vm_size,table_srm_cpu,2,FALSE),0)," CPUs :",IF(AND(sizing_w18_chosen="Included",sizing_w18_spr_chosen="Include"),VLOOKUP(input_wld_srm_vm_size,table_srm_ram,2,FALSE),0)," GB : ",IF(AND(sizing_w18_chosen="Included",sizing_w18_spr_chosen="Include"),VLOOKUP(input_wld_srm_vm_size,table_srm_disk,2,FALSE),0)," GB"))</f>
        <v>0 CPUs :0 GB : 0 GB</v>
      </c>
      <c r="R53" s="14"/>
      <c r="S53" s="31" t="s">
        <v>215</v>
      </c>
      <c r="T53" s="22"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U53" s="14"/>
      <c r="V53" s="18" t="s">
        <v>215</v>
      </c>
      <c r="W53" s="18" t="str">
        <f>CONCATENATE(IF(sizing_w18_ssp_chosen&lt;&gt;"Excluded",VLOOKUP(sizing_w18_ssp_chosen,table_ssp_cpu,2,FALSE),0)," CPUs : ",IF(sizing_w18_ssp_chosen&lt;&gt;"Excluded",VLOOKUP(sizing_w18_ssp_chosen,table_ssp_ram,2,FALSE),0), " GB : ",IF(sizing_w18_ssp_chosen&lt;&gt;"Excluded",VLOOKUP(sizing_w18_ssp_chosen,table_ssp_disk,2,FALSE),0)," GB")</f>
        <v>0 CPUs : 0 GB : 0 GB</v>
      </c>
      <c r="X53" s="32" t="str">
        <f>IF(sizing_w18_chosen="Included",CONCATENATE("vCenter:",VLOOKUP(sizing_w18_vcenter_appliance_size,vcenter_sizing_limits,2,FALSE)," | NSX LM ",VLOOKUP(sizing_w18_nsxt_appliance_size,nsx_sizing_limits,2,FALSE)),"")</f>
        <v/>
      </c>
      <c r="Y53" s="13"/>
      <c r="Z53" s="13"/>
      <c r="AA53" s="13"/>
      <c r="AB53" s="14"/>
      <c r="AC53" s="1"/>
      <c r="AD53" s="1"/>
      <c r="AE53" s="1"/>
      <c r="AF53" s="1"/>
      <c r="AG53" s="1"/>
    </row>
    <row r="54" ht="19.5" customHeight="1">
      <c r="A54" s="1"/>
      <c r="B54" s="31" t="s">
        <v>244</v>
      </c>
      <c r="C54" s="96" t="s">
        <v>215</v>
      </c>
      <c r="D54" s="95" t="s">
        <v>212</v>
      </c>
      <c r="E54" s="95" t="str">
        <f>CONCATENATE(IF(sizing_w19_chosen="Included",VLOOKUP(sizing_w19_vcenter_appliance_size,table_vcenter_appliance_cpu,2,FALSE),0)," CPUs ",": ",IF(sizing_w19_chosen="Included",VLOOKUP(sizing_w19_vcenter_appliance_size,table_vcenter_appliance_ram,2,FALSE),0)," GB")</f>
        <v>0 CPUs : 0 GB</v>
      </c>
      <c r="F54" s="95" t="s">
        <v>213</v>
      </c>
      <c r="G54" s="95" t="str">
        <f>CONCATENATE(IF(sizing_w19_chosen="Included",VLOOKUP(CONCATENATE(sizing_w19_vcenter_appliance_size,sizing_w19_vcenter_storage_size),table_vcenter_disk_gb,2,FALSE),0)," GB")</f>
        <v>0 GB</v>
      </c>
      <c r="H54" s="95" t="s">
        <v>227</v>
      </c>
      <c r="I54" s="95" t="s">
        <v>225</v>
      </c>
      <c r="J54" s="97"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54" s="14"/>
      <c r="L54" s="31" t="s">
        <v>215</v>
      </c>
      <c r="M54" s="18" t="s">
        <v>225</v>
      </c>
      <c r="N54" s="93"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54" s="14"/>
      <c r="P54" s="31" t="s">
        <v>184</v>
      </c>
      <c r="Q54" s="22" t="str">
        <f>(CONCATENATE(IF(AND(sizing_w19_chosen="Included",sizing_w19_spr_chosen="Include"),VLOOKUP(input_wld_srm_vm_size,table_srm_cpu,2,FALSE),0)," CPUs :",IF(AND(sizing_w19_chosen="Included",sizing_w19_spr_chosen="Include"),VLOOKUP(input_wld_srm_vm_size,table_srm_ram,2,FALSE),0)," GB : ",IF(AND(sizing_w19_chosen="Included",sizing_w19_spr_chosen="Include"),VLOOKUP(input_wld_srm_vm_size,table_srm_disk,2,FALSE),0)," GB"))</f>
        <v>0 CPUs :0 GB : 0 GB</v>
      </c>
      <c r="R54" s="14"/>
      <c r="S54" s="31" t="s">
        <v>215</v>
      </c>
      <c r="T54" s="22"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U54" s="14"/>
      <c r="V54" s="18" t="s">
        <v>215</v>
      </c>
      <c r="W54" s="18" t="str">
        <f>CONCATENATE(IF(sizing_w19_ssp_chosen&lt;&gt;"Excluded",VLOOKUP(sizing_w19_ssp_chosen,table_ssp_cpu,2,FALSE),0)," CPUs : ",IF(sizing_w19_ssp_chosen&lt;&gt;"Excluded",VLOOKUP(sizing_w19_ssp_chosen,table_ssp_ram,2,FALSE),0), " GB : ",IF(sizing_w19_ssp_chosen&lt;&gt;"Excluded",VLOOKUP(sizing_w19_ssp_chosen,table_ssp_disk,2,FALSE),0)," GB")</f>
        <v>0 CPUs : 0 GB : 0 GB</v>
      </c>
      <c r="X54" s="32" t="str">
        <f>IF(sizing_w19_chosen="Included",CONCATENATE("vCenter:",VLOOKUP(sizing_w19_vcenter_appliance_size,vcenter_sizing_limits,2,FALSE)," | NSX LM ",VLOOKUP(sizing_w19_nsxt_appliance_size,nsx_sizing_limits,2,FALSE)),"")</f>
        <v/>
      </c>
      <c r="Y54" s="13"/>
      <c r="Z54" s="13"/>
      <c r="AA54" s="13"/>
      <c r="AB54" s="14"/>
      <c r="AC54" s="1"/>
      <c r="AD54" s="1"/>
      <c r="AE54" s="1"/>
      <c r="AF54" s="1"/>
      <c r="AG54" s="1"/>
    </row>
    <row r="55" ht="19.5" customHeight="1">
      <c r="A55" s="1"/>
      <c r="B55" s="31" t="s">
        <v>245</v>
      </c>
      <c r="C55" s="96" t="s">
        <v>215</v>
      </c>
      <c r="D55" s="95" t="s">
        <v>212</v>
      </c>
      <c r="E55" s="95" t="str">
        <f>CONCATENATE(IF(sizing_w20_chosen="Included",VLOOKUP(sizing_w20_vcenter_appliance_size,table_vcenter_appliance_cpu,2,FALSE),0)," CPUs ",": ",IF(sizing_w20_chosen="Included",VLOOKUP(sizing_w20_vcenter_appliance_size,table_vcenter_appliance_ram,2,FALSE),0)," GB")</f>
        <v>0 CPUs : 0 GB</v>
      </c>
      <c r="F55" s="95" t="s">
        <v>213</v>
      </c>
      <c r="G55" s="95" t="str">
        <f>CONCATENATE(IF(sizing_w20_chosen="Included",VLOOKUP(CONCATENATE(sizing_w20_vcenter_appliance_size,sizing_w20_vcenter_storage_size),table_vcenter_disk_gb,2,FALSE),0)," GB")</f>
        <v>0 GB</v>
      </c>
      <c r="H55" s="95" t="s">
        <v>227</v>
      </c>
      <c r="I55" s="95" t="s">
        <v>225</v>
      </c>
      <c r="J55" s="97"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55" s="14"/>
      <c r="L55" s="31" t="s">
        <v>215</v>
      </c>
      <c r="M55" s="18" t="s">
        <v>225</v>
      </c>
      <c r="N55" s="93"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55" s="14"/>
      <c r="P55" s="31" t="s">
        <v>184</v>
      </c>
      <c r="Q55" s="22" t="str">
        <f>(CONCATENATE(IF(AND(sizing_w20_chosen="Included",sizing_w20_spr_chosen="Include"),VLOOKUP(input_wld_srm_vm_size,table_srm_cpu,2,FALSE),0)," CPUs :",IF(AND(sizing_w20_chosen="Included",sizing_w20_spr_chosen="Include"),VLOOKUP(input_wld_srm_vm_size,table_srm_ram,2,FALSE),0)," GB : ",IF(AND(sizing_w20_chosen="Included",sizing_w20_spr_chosen="Include"),VLOOKUP(input_wld_srm_vm_size,table_srm_disk,2,FALSE),0)," GB"))</f>
        <v>0 CPUs :0 GB : 0 GB</v>
      </c>
      <c r="R55" s="14"/>
      <c r="S55" s="31" t="s">
        <v>215</v>
      </c>
      <c r="T55" s="22"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U55" s="14"/>
      <c r="V55" s="18" t="s">
        <v>215</v>
      </c>
      <c r="W55" s="18" t="str">
        <f>CONCATENATE(IF(sizing_w20_ssp_chosen&lt;&gt;"Excluded",VLOOKUP(sizing_w20_ssp_chosen,table_ssp_cpu,2,FALSE),0)," CPUs : ",IF(sizing_w20_ssp_chosen&lt;&gt;"Excluded",VLOOKUP(sizing_w20_ssp_chosen,table_ssp_ram,2,FALSE),0), " GB : ",IF(sizing_w20_ssp_chosen&lt;&gt;"Excluded",VLOOKUP(sizing_w20_ssp_chosen,table_ssp_disk,2,FALSE),0)," GB")</f>
        <v>0 CPUs : 0 GB : 0 GB</v>
      </c>
      <c r="X55" s="32" t="str">
        <f>IF(sizing_w20_chosen="Included",CONCATENATE("vCenter:",VLOOKUP(sizing_w20_vcenter_appliance_size,vcenter_sizing_limits,2,FALSE)," | NSX LM ",VLOOKUP(sizing_w20_nsxt_appliance_size,nsx_sizing_limits,2,FALSE)),"")</f>
        <v/>
      </c>
      <c r="Y55" s="13"/>
      <c r="Z55" s="13"/>
      <c r="AA55" s="13"/>
      <c r="AB55" s="14"/>
      <c r="AC55" s="1"/>
      <c r="AD55" s="1"/>
      <c r="AE55" s="1"/>
      <c r="AF55" s="1"/>
      <c r="AG55" s="1"/>
    </row>
    <row r="56" ht="19.5" customHeight="1">
      <c r="A56" s="1"/>
      <c r="B56" s="31" t="s">
        <v>246</v>
      </c>
      <c r="C56" s="96" t="s">
        <v>215</v>
      </c>
      <c r="D56" s="95" t="s">
        <v>212</v>
      </c>
      <c r="E56" s="95" t="str">
        <f>CONCATENATE(IF(sizing_w21_chosen="Included",VLOOKUP(sizing_w21_vcenter_appliance_size,table_vcenter_appliance_cpu,2,FALSE),0)," CPUs ",": ",IF(sizing_w21_chosen="Included",VLOOKUP(sizing_w21_vcenter_appliance_size,table_vcenter_appliance_ram,2,FALSE),0)," GB")</f>
        <v>0 CPUs : 0 GB</v>
      </c>
      <c r="F56" s="95" t="s">
        <v>213</v>
      </c>
      <c r="G56" s="95" t="str">
        <f>CONCATENATE(IF(sizing_w21_chosen="Included",VLOOKUP(CONCATENATE(sizing_w21_vcenter_appliance_size,sizing_w21_vcenter_storage_size),table_vcenter_disk_gb,2,FALSE),0)," GB")</f>
        <v>0 GB</v>
      </c>
      <c r="H56" s="95" t="s">
        <v>227</v>
      </c>
      <c r="I56" s="95" t="s">
        <v>225</v>
      </c>
      <c r="J56" s="97"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56" s="14"/>
      <c r="L56" s="31" t="s">
        <v>215</v>
      </c>
      <c r="M56" s="18" t="s">
        <v>225</v>
      </c>
      <c r="N56" s="93"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56" s="14"/>
      <c r="P56" s="31" t="s">
        <v>184</v>
      </c>
      <c r="Q56" s="22" t="str">
        <f>(CONCATENATE(IF(AND(sizing_w21_chosen="Included",sizing_w21_spr_chosen="Include"),VLOOKUP(input_wld_srm_vm_size,table_srm_cpu,2,FALSE),0)," CPUs :",IF(AND(sizing_w21_chosen="Included",sizing_w21_spr_chosen="Include"),VLOOKUP(input_wld_srm_vm_size,table_srm_ram,2,FALSE),0)," GB : ",IF(AND(sizing_w21_chosen="Included",sizing_w21_spr_chosen="Include"),VLOOKUP(input_wld_srm_vm_size,table_srm_disk,2,FALSE),0)," GB"))</f>
        <v>0 CPUs :0 GB : 0 GB</v>
      </c>
      <c r="R56" s="14"/>
      <c r="S56" s="31" t="s">
        <v>215</v>
      </c>
      <c r="T56" s="22"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U56" s="14"/>
      <c r="V56" s="18" t="s">
        <v>215</v>
      </c>
      <c r="W56" s="18" t="str">
        <f>CONCATENATE(IF(sizing_w21_ssp_chosen&lt;&gt;"Excluded",VLOOKUP(sizing_w21_ssp_chosen,table_ssp_cpu,2,FALSE),0)," CPUs : ",IF(sizing_w21_ssp_chosen&lt;&gt;"Excluded",VLOOKUP(sizing_w21_ssp_chosen,table_ssp_ram,2,FALSE),0), " GB : ",IF(sizing_w21_ssp_chosen&lt;&gt;"Excluded",VLOOKUP(sizing_w21_ssp_chosen,table_ssp_disk,2,FALSE),0)," GB")</f>
        <v>0 CPUs : 0 GB : 0 GB</v>
      </c>
      <c r="X56" s="32" t="str">
        <f>IF(sizing_w21_chosen="Included",CONCATENATE("vCenter:",VLOOKUP(sizing_w21_vcenter_appliance_size,vcenter_sizing_limits,2,FALSE)," | NSX LM ",VLOOKUP(sizing_w21_nsxt_appliance_size,nsx_sizing_limits,2,FALSE)),"")</f>
        <v/>
      </c>
      <c r="Y56" s="13"/>
      <c r="Z56" s="13"/>
      <c r="AA56" s="13"/>
      <c r="AB56" s="14"/>
      <c r="AC56" s="1"/>
      <c r="AD56" s="1"/>
      <c r="AE56" s="1"/>
      <c r="AF56" s="1"/>
      <c r="AG56" s="1"/>
    </row>
    <row r="57" ht="19.5" customHeight="1">
      <c r="A57" s="1"/>
      <c r="B57" s="31" t="s">
        <v>247</v>
      </c>
      <c r="C57" s="96" t="s">
        <v>215</v>
      </c>
      <c r="D57" s="95" t="s">
        <v>212</v>
      </c>
      <c r="E57" s="95" t="str">
        <f>CONCATENATE(IF(sizing_w22_chosen="Included",VLOOKUP(sizing_w22_vcenter_appliance_size,table_vcenter_appliance_cpu,2,FALSE),0)," CPUs ",": ",IF(sizing_w22_chosen="Included",VLOOKUP(sizing_w22_vcenter_appliance_size,table_vcenter_appliance_ram,2,FALSE),0)," GB")</f>
        <v>0 CPUs : 0 GB</v>
      </c>
      <c r="F57" s="95" t="s">
        <v>213</v>
      </c>
      <c r="G57" s="95" t="str">
        <f>CONCATENATE(IF(sizing_w22_chosen="Included",VLOOKUP(CONCATENATE(sizing_w22_vcenter_appliance_size,sizing_w22_vcenter_storage_size),table_vcenter_disk_gb,2,FALSE),0)," GB")</f>
        <v>0 GB</v>
      </c>
      <c r="H57" s="95" t="s">
        <v>227</v>
      </c>
      <c r="I57" s="95" t="s">
        <v>225</v>
      </c>
      <c r="J57" s="97"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57" s="14"/>
      <c r="L57" s="31" t="s">
        <v>215</v>
      </c>
      <c r="M57" s="18" t="s">
        <v>225</v>
      </c>
      <c r="N57" s="93"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57" s="14"/>
      <c r="P57" s="31" t="s">
        <v>184</v>
      </c>
      <c r="Q57" s="22" t="str">
        <f>(CONCATENATE(IF(AND(sizing_w22_chosen="Included",sizing_w22_spr_chosen="Include"),VLOOKUP(input_wld_srm_vm_size,table_srm_cpu,2,FALSE),0)," CPUs :",IF(AND(sizing_w22_chosen="Included",sizing_w22_spr_chosen="Include"),VLOOKUP(input_wld_srm_vm_size,table_srm_ram,2,FALSE),0)," GB : ",IF(AND(sizing_w22_chosen="Included",sizing_w22_spr_chosen="Include"),VLOOKUP(input_wld_srm_vm_size,table_srm_disk,2,FALSE),0)," GB"))</f>
        <v>0 CPUs :0 GB : 0 GB</v>
      </c>
      <c r="R57" s="14"/>
      <c r="S57" s="31" t="s">
        <v>215</v>
      </c>
      <c r="T57" s="22"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U57" s="14"/>
      <c r="V57" s="18" t="s">
        <v>215</v>
      </c>
      <c r="W57" s="18" t="str">
        <f>CONCATENATE(IF(sizing_w22_ssp_chosen&lt;&gt;"Excluded",VLOOKUP(sizing_w22_ssp_chosen,table_ssp_cpu,2,FALSE),0)," CPUs : ",IF(sizing_w22_ssp_chosen&lt;&gt;"Excluded",VLOOKUP(sizing_w22_ssp_chosen,table_ssp_ram,2,FALSE),0), " GB : ",IF(sizing_w22_ssp_chosen&lt;&gt;"Excluded",VLOOKUP(sizing_w22_ssp_chosen,table_ssp_disk,2,FALSE),0)," GB")</f>
        <v>0 CPUs : 0 GB : 0 GB</v>
      </c>
      <c r="X57" s="32" t="str">
        <f>IF(sizing_w22_chosen="Included",CONCATENATE("vCenter:",VLOOKUP(sizing_w22_vcenter_appliance_size,vcenter_sizing_limits,2,FALSE)," | NSX LM ",VLOOKUP(sizing_w22_nsxt_appliance_size,nsx_sizing_limits,2,FALSE)),"")</f>
        <v/>
      </c>
      <c r="Y57" s="13"/>
      <c r="Z57" s="13"/>
      <c r="AA57" s="13"/>
      <c r="AB57" s="14"/>
      <c r="AC57" s="1"/>
      <c r="AD57" s="1"/>
      <c r="AE57" s="1"/>
      <c r="AF57" s="1"/>
      <c r="AG57" s="1"/>
    </row>
    <row r="58" ht="19.5" customHeight="1">
      <c r="A58" s="1"/>
      <c r="B58" s="31" t="s">
        <v>248</v>
      </c>
      <c r="C58" s="96" t="s">
        <v>215</v>
      </c>
      <c r="D58" s="95" t="s">
        <v>212</v>
      </c>
      <c r="E58" s="95" t="str">
        <f>CONCATENATE(IF(sizing_w23_chosen="Included",VLOOKUP(sizing_w23_vcenter_appliance_size,table_vcenter_appliance_cpu,2,FALSE),0)," CPUs ",": ",IF(sizing_w23_chosen="Included",VLOOKUP(sizing_w23_vcenter_appliance_size,table_vcenter_appliance_ram,2,FALSE),0)," GB")</f>
        <v>0 CPUs : 0 GB</v>
      </c>
      <c r="F58" s="95" t="s">
        <v>213</v>
      </c>
      <c r="G58" s="95" t="str">
        <f>CONCATENATE(IF(sizing_w23_chosen="Included",VLOOKUP(CONCATENATE(sizing_w23_vcenter_appliance_size,sizing_w23_vcenter_storage_size),table_vcenter_disk_gb,2,FALSE),0)," GB")</f>
        <v>0 GB</v>
      </c>
      <c r="H58" s="95" t="s">
        <v>227</v>
      </c>
      <c r="I58" s="95" t="s">
        <v>225</v>
      </c>
      <c r="J58" s="97"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58" s="14"/>
      <c r="L58" s="31" t="s">
        <v>215</v>
      </c>
      <c r="M58" s="18" t="s">
        <v>225</v>
      </c>
      <c r="N58" s="93"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58" s="14"/>
      <c r="P58" s="31" t="s">
        <v>184</v>
      </c>
      <c r="Q58" s="22" t="str">
        <f>(CONCATENATE(IF(AND(sizing_w23_chosen="Included",sizing_w23_spr_chosen="Include"),VLOOKUP(input_wld_srm_vm_size,table_srm_cpu,2,FALSE),0)," CPUs :",IF(AND(sizing_w23_chosen="Included",sizing_w23_spr_chosen="Include"),VLOOKUP(input_wld_srm_vm_size,table_srm_ram,2,FALSE),0)," GB : ",IF(AND(sizing_w23_chosen="Included",sizing_w23_spr_chosen="Include"),VLOOKUP(input_wld_srm_vm_size,table_srm_disk,2,FALSE),0)," GB"))</f>
        <v>0 CPUs :0 GB : 0 GB</v>
      </c>
      <c r="R58" s="14"/>
      <c r="S58" s="31" t="s">
        <v>215</v>
      </c>
      <c r="T58" s="22"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U58" s="14"/>
      <c r="V58" s="18" t="s">
        <v>215</v>
      </c>
      <c r="W58" s="18" t="str">
        <f>CONCATENATE(IF(sizing_w23_ssp_chosen&lt;&gt;"Excluded",VLOOKUP(sizing_w23_ssp_chosen,table_ssp_cpu,2,FALSE),0)," CPUs : ",IF(sizing_w23_ssp_chosen&lt;&gt;"Excluded",VLOOKUP(sizing_w23_ssp_chosen,table_ssp_ram,2,FALSE),0), " GB : ",IF(sizing_w23_ssp_chosen&lt;&gt;"Excluded",VLOOKUP(sizing_w23_ssp_chosen,table_ssp_disk,2,FALSE),0)," GB")</f>
        <v>0 CPUs : 0 GB : 0 GB</v>
      </c>
      <c r="X58" s="32" t="str">
        <f>IF(sizing_w23_chosen="Included",CONCATENATE("vCenter:",VLOOKUP(sizing_w23_vcenter_appliance_size,vcenter_sizing_limits,2,FALSE)," | NSX LM ",VLOOKUP(sizing_w23_nsxt_appliance_size,nsx_sizing_limits,2,FALSE)),"")</f>
        <v/>
      </c>
      <c r="Y58" s="13"/>
      <c r="Z58" s="13"/>
      <c r="AA58" s="13"/>
      <c r="AB58" s="14"/>
      <c r="AC58" s="1"/>
      <c r="AD58" s="1"/>
      <c r="AE58" s="1"/>
      <c r="AF58" s="1"/>
      <c r="AG58" s="1"/>
    </row>
    <row r="59" ht="19.5" customHeight="1">
      <c r="A59" s="1"/>
      <c r="B59" s="31" t="s">
        <v>249</v>
      </c>
      <c r="C59" s="96" t="s">
        <v>215</v>
      </c>
      <c r="D59" s="95" t="s">
        <v>212</v>
      </c>
      <c r="E59" s="95" t="str">
        <f>CONCATENATE(IF(sizing_w24_chosen="Included",VLOOKUP(sizing_w24_vcenter_appliance_size,table_vcenter_appliance_cpu,2,FALSE),0)," CPUs ",": ",IF(sizing_w24_chosen="Included",VLOOKUP(sizing_w24_vcenter_appliance_size,table_vcenter_appliance_ram,2,FALSE),0)," GB")</f>
        <v>0 CPUs : 0 GB</v>
      </c>
      <c r="F59" s="95" t="s">
        <v>213</v>
      </c>
      <c r="G59" s="95" t="str">
        <f>CONCATENATE(IF(sizing_w24_chosen="Included",VLOOKUP(CONCATENATE(sizing_w24_vcenter_appliance_size,sizing_w24_vcenter_storage_size),table_vcenter_disk_gb,2,FALSE),0)," GB")</f>
        <v>0 GB</v>
      </c>
      <c r="H59" s="95" t="s">
        <v>227</v>
      </c>
      <c r="I59" s="95" t="s">
        <v>225</v>
      </c>
      <c r="J59" s="97"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59" s="14"/>
      <c r="L59" s="31" t="s">
        <v>215</v>
      </c>
      <c r="M59" s="18" t="s">
        <v>225</v>
      </c>
      <c r="N59" s="93"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59" s="14"/>
      <c r="P59" s="31" t="s">
        <v>184</v>
      </c>
      <c r="Q59" s="22" t="str">
        <f>(CONCATENATE(IF(AND(sizing_w24_chosen="Included",sizing_w24_spr_chosen="Include"),VLOOKUP(input_wld_srm_vm_size,table_srm_cpu,2,FALSE),0)," CPUs :",IF(AND(sizing_w24_chosen="Included",sizing_w24_spr_chosen="Include"),VLOOKUP(input_wld_srm_vm_size,table_srm_ram,2,FALSE),0)," GB : ",IF(AND(sizing_w24_chosen="Included",sizing_w24_spr_chosen="Include"),VLOOKUP(input_wld_srm_vm_size,table_srm_disk,2,FALSE),0)," GB"))</f>
        <v>0 CPUs :0 GB : 0 GB</v>
      </c>
      <c r="R59" s="14"/>
      <c r="S59" s="31" t="s">
        <v>215</v>
      </c>
      <c r="T59" s="22"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U59" s="14"/>
      <c r="V59" s="18" t="s">
        <v>215</v>
      </c>
      <c r="W59" s="18" t="str">
        <f>CONCATENATE(IF(sizing_w24_ssp_chosen&lt;&gt;"Excluded",VLOOKUP(sizing_w24_ssp_chosen,table_ssp_cpu,2,FALSE),0)," CPUs : ",IF(sizing_w24_ssp_chosen&lt;&gt;"Excluded",VLOOKUP(sizing_w24_ssp_chosen,table_ssp_ram,2,FALSE),0), " GB : ",IF(sizing_w24_ssp_chosen&lt;&gt;"Excluded",VLOOKUP(sizing_w24_ssp_chosen,table_ssp_disk,2,FALSE),0)," GB")</f>
        <v>0 CPUs : 0 GB : 0 GB</v>
      </c>
      <c r="X59" s="32" t="str">
        <f>IF(sizing_w24_chosen="Included",CONCATENATE("vCenter:",VLOOKUP(sizing_w24_vcenter_appliance_size,vcenter_sizing_limits,2,FALSE)," | NSX LM ",VLOOKUP(sizing_w24_nsxt_appliance_size,nsx_sizing_limits,2,FALSE)),"")</f>
        <v/>
      </c>
      <c r="Y59" s="13"/>
      <c r="Z59" s="13"/>
      <c r="AA59" s="13"/>
      <c r="AB59" s="14"/>
      <c r="AC59" s="1"/>
      <c r="AD59" s="1"/>
      <c r="AE59" s="1"/>
      <c r="AF59" s="1"/>
      <c r="AG59" s="1"/>
    </row>
    <row r="60" ht="19.5" customHeight="1">
      <c r="A60" s="1"/>
      <c r="B60" s="1"/>
      <c r="C60" s="1"/>
      <c r="D60" s="1"/>
      <c r="E60" s="1"/>
      <c r="F60" s="1"/>
      <c r="G60" s="1"/>
      <c r="H60" s="10"/>
      <c r="I60" s="10"/>
      <c r="J60" s="1"/>
      <c r="K60" s="1"/>
      <c r="L60" s="1"/>
      <c r="M60" s="1"/>
      <c r="N60" s="1"/>
      <c r="O60" s="1"/>
      <c r="P60" s="1"/>
      <c r="Q60" s="1"/>
      <c r="R60" s="1"/>
      <c r="S60" s="1"/>
      <c r="T60" s="1"/>
      <c r="U60" s="1"/>
      <c r="V60" s="1"/>
      <c r="W60" s="1"/>
      <c r="X60" s="1"/>
      <c r="Y60" s="1"/>
      <c r="Z60" s="1"/>
      <c r="AA60" s="1"/>
      <c r="AB60" s="1"/>
      <c r="AC60" s="1"/>
      <c r="AD60" s="1"/>
      <c r="AE60" s="1"/>
      <c r="AF60" s="1"/>
      <c r="AG60" s="1"/>
    </row>
    <row r="61" ht="33.75" customHeight="1">
      <c r="A61" s="35"/>
      <c r="B61" s="57" t="s">
        <v>250</v>
      </c>
      <c r="C61" s="58"/>
      <c r="D61" s="58"/>
      <c r="E61" s="58"/>
      <c r="F61" s="58"/>
      <c r="G61" s="58"/>
      <c r="H61" s="58"/>
      <c r="I61" s="58"/>
      <c r="J61" s="58"/>
      <c r="K61" s="58"/>
      <c r="L61" s="58"/>
      <c r="M61" s="58"/>
      <c r="N61" s="58"/>
      <c r="O61" s="58"/>
      <c r="P61" s="58"/>
      <c r="Q61" s="58"/>
      <c r="R61" s="98"/>
      <c r="S61" s="35"/>
      <c r="T61" s="35"/>
      <c r="U61" s="35"/>
      <c r="V61" s="35"/>
      <c r="W61" s="35"/>
      <c r="X61" s="35"/>
      <c r="Y61" s="35"/>
      <c r="Z61" s="35"/>
      <c r="AA61" s="35"/>
      <c r="AB61" s="1"/>
      <c r="AC61" s="1"/>
      <c r="AD61" s="1"/>
      <c r="AE61" s="1"/>
      <c r="AF61" s="1"/>
      <c r="AG61" s="1"/>
    </row>
    <row r="62" ht="19.5" customHeight="1">
      <c r="A62" s="35"/>
      <c r="B62" s="43" t="s">
        <v>123</v>
      </c>
      <c r="C62" s="13"/>
      <c r="D62" s="14"/>
      <c r="E62" s="43" t="s">
        <v>38</v>
      </c>
      <c r="F62" s="13"/>
      <c r="G62" s="13"/>
      <c r="H62" s="14"/>
      <c r="I62" s="49" t="s">
        <v>124</v>
      </c>
      <c r="J62" s="43" t="s">
        <v>125</v>
      </c>
      <c r="K62" s="13"/>
      <c r="L62" s="13"/>
      <c r="M62" s="13"/>
      <c r="N62" s="13"/>
      <c r="O62" s="13"/>
      <c r="P62" s="13"/>
      <c r="Q62" s="13"/>
      <c r="R62" s="14"/>
      <c r="S62" s="35"/>
      <c r="T62" s="35"/>
      <c r="U62" s="35"/>
      <c r="V62" s="1"/>
      <c r="W62" s="35"/>
      <c r="X62" s="35"/>
      <c r="Y62" s="35"/>
      <c r="Z62" s="35"/>
      <c r="AA62" s="35"/>
      <c r="AB62" s="1"/>
      <c r="AC62" s="1"/>
      <c r="AD62" s="1"/>
      <c r="AE62" s="1"/>
      <c r="AF62" s="1"/>
      <c r="AG62" s="1"/>
    </row>
    <row r="63" ht="19.5" customHeight="1">
      <c r="A63" s="35"/>
      <c r="B63" s="32" t="s">
        <v>184</v>
      </c>
      <c r="C63" s="13"/>
      <c r="D63" s="14"/>
      <c r="E63" s="99" t="s">
        <v>251</v>
      </c>
      <c r="F63" s="45"/>
      <c r="G63" s="45"/>
      <c r="H63" s="26"/>
      <c r="I63" s="18" t="str">
        <f>IF(spr_chosen="Management &amp; VI Workload","Included",IF(spr_chosen="Management Only","Included",IF(spr_chosen="VI Workload Only","Included","Excluded")))</f>
        <v>Excluded</v>
      </c>
      <c r="J63" s="22" t="str">
        <f>IF(spr_result="Excluded","Cause: Not Selected. Site Protection and Disaster Recovery will not be deployed",IF(spr_chosen="Management Only","Site Protection and Disaster Recovery will be deployed in the Management Workload Domain",IF(spr_chosen="Management &amp; VI Workload","Site Protection and Disaster Recovery will be deployed in the Management Workload Domain and selected VI Workload Domains",IF(spr_chosen="VI Workload Only","Site Protection and Disaster Recovery will be in selected VI Workload Domains",""))))</f>
        <v>Cause: Not Selected. Site Protection and Disaster Recovery will not be deployed</v>
      </c>
      <c r="K63" s="13"/>
      <c r="L63" s="13"/>
      <c r="M63" s="13"/>
      <c r="N63" s="13"/>
      <c r="O63" s="13"/>
      <c r="P63" s="13"/>
      <c r="Q63" s="13"/>
      <c r="R63" s="14"/>
      <c r="S63" s="35"/>
      <c r="T63" s="35"/>
      <c r="U63" s="35"/>
      <c r="V63" s="35"/>
      <c r="W63" s="35"/>
      <c r="X63" s="35"/>
      <c r="Y63" s="35"/>
      <c r="Z63" s="1"/>
      <c r="AA63" s="1"/>
      <c r="AB63" s="1"/>
      <c r="AC63" s="1"/>
      <c r="AD63" s="1"/>
      <c r="AE63" s="1"/>
      <c r="AF63" s="1"/>
      <c r="AG63" s="1"/>
    </row>
    <row r="64" ht="19.5" customHeight="1">
      <c r="A64" s="35"/>
      <c r="B64" s="32" t="s">
        <v>184</v>
      </c>
      <c r="C64" s="13"/>
      <c r="D64" s="14"/>
      <c r="E64" s="100" t="s">
        <v>252</v>
      </c>
      <c r="F64" s="47"/>
      <c r="G64" s="47"/>
      <c r="H64" s="48"/>
      <c r="I64" s="18" t="str">
        <f>IF(rwr_chosen="Exclude","Excluded","Included")</f>
        <v>Excluded</v>
      </c>
      <c r="J64" s="22" t="str">
        <f>IF(rwr_chosen="Exclude","Cause: Not Selected. On Premise Ransomware Recovery will not be deployed","On Premise Ransomware Recovery will be deployed")</f>
        <v>Cause: Not Selected. On Premise Ransomware Recovery will not be deployed</v>
      </c>
      <c r="K64" s="13"/>
      <c r="L64" s="13"/>
      <c r="M64" s="13"/>
      <c r="N64" s="13"/>
      <c r="O64" s="13"/>
      <c r="P64" s="13"/>
      <c r="Q64" s="13"/>
      <c r="R64" s="14"/>
      <c r="S64" s="35"/>
      <c r="T64" s="35"/>
      <c r="U64" s="35"/>
      <c r="V64" s="35"/>
      <c r="W64" s="35"/>
      <c r="X64" s="35"/>
      <c r="Y64" s="35"/>
      <c r="Z64" s="1"/>
      <c r="AA64" s="1"/>
      <c r="AB64" s="1"/>
      <c r="AC64" s="1"/>
      <c r="AD64" s="1"/>
      <c r="AE64" s="1"/>
      <c r="AF64" s="1"/>
      <c r="AG64" s="1"/>
    </row>
    <row r="65" ht="19.5" customHeight="1">
      <c r="A65" s="35"/>
      <c r="B65" s="32" t="s">
        <v>184</v>
      </c>
      <c r="C65" s="13"/>
      <c r="D65" s="14"/>
      <c r="E65" s="101" t="s">
        <v>253</v>
      </c>
      <c r="F65" s="13"/>
      <c r="G65" s="13"/>
      <c r="H65" s="14"/>
      <c r="I65" s="18" t="str">
        <f>IF(cbr_chosen="Exclude","Excluded","Included")</f>
        <v>Excluded</v>
      </c>
      <c r="J65" s="32" t="str">
        <f>IF(cbr_chosen="Exclude","Cause: Not Selected. Cloud-Based Ransomware Recovery will not be deployed","Cloud-Based Ransomware Recovery will be deployed")</f>
        <v>Cause: Not Selected. Cloud-Based Ransomware Recovery will not be deployed</v>
      </c>
      <c r="K65" s="13"/>
      <c r="L65" s="13"/>
      <c r="M65" s="13"/>
      <c r="N65" s="13"/>
      <c r="O65" s="13"/>
      <c r="P65" s="13"/>
      <c r="Q65" s="13"/>
      <c r="R65" s="14"/>
      <c r="S65" s="35"/>
      <c r="T65" s="35"/>
      <c r="U65" s="35"/>
      <c r="V65" s="35"/>
      <c r="W65" s="35"/>
      <c r="X65" s="35"/>
      <c r="Y65" s="35"/>
      <c r="Z65" s="1"/>
      <c r="AA65" s="1"/>
      <c r="AB65" s="1"/>
      <c r="AC65" s="1"/>
      <c r="AD65" s="1"/>
      <c r="AE65" s="1"/>
      <c r="AF65" s="1"/>
      <c r="AG65" s="1"/>
    </row>
    <row r="66" ht="19.5" customHeight="1">
      <c r="A66" s="35"/>
      <c r="B66" s="32" t="s">
        <v>184</v>
      </c>
      <c r="C66" s="13"/>
      <c r="D66" s="14"/>
      <c r="E66" s="101" t="s">
        <v>254</v>
      </c>
      <c r="F66" s="13"/>
      <c r="G66" s="13"/>
      <c r="H66" s="14"/>
      <c r="I66" s="18" t="str">
        <f>IF(ccm_chosen="Exclude","Excluded","Included")</f>
        <v>Excluded</v>
      </c>
      <c r="J66" s="32" t="str">
        <f>IF(ccm_chosen="Exclude","Cause: Not Selected. Cross-Cloud Mobility will not be deployed","Cross-Cloud Mobility will be deployed")</f>
        <v>Cause: Not Selected. Cross-Cloud Mobility will not be deployed</v>
      </c>
      <c r="K66" s="13"/>
      <c r="L66" s="13"/>
      <c r="M66" s="13"/>
      <c r="N66" s="13"/>
      <c r="O66" s="13"/>
      <c r="P66" s="13"/>
      <c r="Q66" s="13"/>
      <c r="R66" s="14"/>
      <c r="S66" s="35"/>
      <c r="T66" s="35"/>
      <c r="U66" s="35"/>
      <c r="V66" s="35"/>
      <c r="W66" s="35"/>
      <c r="X66" s="35"/>
      <c r="Y66" s="35"/>
      <c r="Z66" s="1"/>
      <c r="AA66" s="1"/>
      <c r="AB66" s="1"/>
      <c r="AC66" s="1"/>
      <c r="AD66" s="1"/>
      <c r="AE66" s="1"/>
      <c r="AF66" s="1"/>
      <c r="AG66" s="1"/>
    </row>
    <row r="67" ht="19.5" customHeight="1">
      <c r="A67" s="1"/>
      <c r="B67" s="1"/>
      <c r="C67" s="1"/>
      <c r="D67" s="1"/>
      <c r="E67" s="1"/>
      <c r="F67" s="1"/>
      <c r="G67" s="1"/>
      <c r="H67" s="10"/>
      <c r="I67" s="10"/>
      <c r="J67" s="1"/>
      <c r="K67" s="1"/>
      <c r="L67" s="1"/>
      <c r="M67" s="1"/>
      <c r="N67" s="1"/>
      <c r="O67" s="1"/>
      <c r="P67" s="1"/>
      <c r="Q67" s="1"/>
      <c r="R67" s="1"/>
      <c r="S67" s="1"/>
      <c r="T67" s="1"/>
      <c r="U67" s="1"/>
      <c r="V67" s="1"/>
      <c r="W67" s="1"/>
      <c r="X67" s="1"/>
      <c r="Y67" s="1"/>
      <c r="Z67" s="1"/>
      <c r="AA67" s="1"/>
      <c r="AB67" s="1"/>
      <c r="AC67" s="1"/>
      <c r="AD67" s="1"/>
      <c r="AE67" s="1"/>
      <c r="AF67" s="1"/>
      <c r="AG67" s="1"/>
    </row>
    <row r="68" ht="33.75" customHeight="1">
      <c r="A68" s="1"/>
      <c r="B68" s="72" t="s">
        <v>255</v>
      </c>
      <c r="C68" s="72"/>
      <c r="D68" s="72"/>
      <c r="E68" s="72"/>
      <c r="F68" s="72"/>
      <c r="G68" s="72"/>
      <c r="H68" s="72"/>
      <c r="I68" s="72"/>
      <c r="J68" s="72"/>
      <c r="K68" s="72"/>
      <c r="L68" s="72"/>
      <c r="M68" s="72"/>
      <c r="N68" s="72"/>
      <c r="O68" s="72"/>
      <c r="P68" s="72"/>
      <c r="Q68" s="72"/>
      <c r="R68" s="72"/>
      <c r="S68" s="1"/>
      <c r="T68" s="1"/>
      <c r="U68" s="1"/>
      <c r="V68" s="1"/>
      <c r="W68" s="1"/>
      <c r="X68" s="1"/>
      <c r="Y68" s="1"/>
      <c r="Z68" s="1"/>
      <c r="AA68" s="1"/>
      <c r="AB68" s="1"/>
      <c r="AC68" s="1"/>
      <c r="AD68" s="1"/>
      <c r="AE68" s="1"/>
      <c r="AF68" s="1"/>
      <c r="AG68" s="1"/>
    </row>
    <row r="69" ht="19.5" customHeight="1">
      <c r="A69" s="1"/>
      <c r="B69" s="43" t="s">
        <v>256</v>
      </c>
      <c r="C69" s="13"/>
      <c r="D69" s="13"/>
      <c r="E69" s="14"/>
      <c r="F69" s="49" t="s">
        <v>137</v>
      </c>
      <c r="G69" s="49" t="s">
        <v>138</v>
      </c>
      <c r="H69" s="49" t="s">
        <v>139</v>
      </c>
      <c r="I69" s="49" t="s">
        <v>257</v>
      </c>
      <c r="J69" s="49" t="s">
        <v>258</v>
      </c>
      <c r="K69" s="43" t="s">
        <v>5</v>
      </c>
      <c r="L69" s="13"/>
      <c r="M69" s="13"/>
      <c r="N69" s="13"/>
      <c r="O69" s="13"/>
      <c r="P69" s="13"/>
      <c r="Q69" s="13"/>
      <c r="R69" s="14"/>
      <c r="S69" s="1"/>
      <c r="T69" s="1"/>
      <c r="U69" s="1"/>
      <c r="V69" s="1"/>
      <c r="W69" s="1"/>
      <c r="X69" s="1"/>
      <c r="Y69" s="1"/>
      <c r="Z69" s="1"/>
      <c r="AA69" s="1"/>
      <c r="AB69" s="1"/>
      <c r="AC69" s="1"/>
      <c r="AD69" s="1"/>
      <c r="AE69" s="1"/>
      <c r="AF69" s="1"/>
      <c r="AG69" s="1"/>
    </row>
    <row r="70" ht="19.5" customHeight="1">
      <c r="A70" s="1"/>
      <c r="B70" s="102" t="s">
        <v>251</v>
      </c>
      <c r="C70" s="13"/>
      <c r="D70" s="13"/>
      <c r="E70" s="13"/>
      <c r="F70" s="13"/>
      <c r="G70" s="13"/>
      <c r="H70" s="13"/>
      <c r="I70" s="13"/>
      <c r="J70" s="13"/>
      <c r="K70" s="13"/>
      <c r="L70" s="13"/>
      <c r="M70" s="13"/>
      <c r="N70" s="13"/>
      <c r="O70" s="13"/>
      <c r="P70" s="13"/>
      <c r="Q70" s="13"/>
      <c r="R70" s="14"/>
      <c r="S70" s="1"/>
      <c r="T70" s="1"/>
      <c r="U70" s="1"/>
      <c r="V70" s="1"/>
      <c r="W70" s="1"/>
      <c r="X70" s="1"/>
      <c r="Y70" s="1"/>
      <c r="Z70" s="1"/>
      <c r="AA70" s="1"/>
      <c r="AB70" s="1"/>
      <c r="AC70" s="1"/>
      <c r="AD70" s="1"/>
      <c r="AE70" s="1"/>
      <c r="AF70" s="1"/>
      <c r="AG70" s="1"/>
    </row>
    <row r="71" ht="19.5" customHeight="1">
      <c r="A71" s="1"/>
      <c r="B71" s="32" t="s">
        <v>259</v>
      </c>
      <c r="C71" s="13"/>
      <c r="D71" s="13"/>
      <c r="E71" s="14"/>
      <c r="F71" s="18"/>
      <c r="G71" s="31">
        <f>IF(OR(spr_mo_result="True",spr_mw_result="True"),1,0)</f>
        <v>0</v>
      </c>
      <c r="H71" s="31">
        <f>IF(OR(spr_mo_result="True",spr_mw_result="True"),VLOOKUP(input_mgmt_srm_vm_size,table_srm_cpu,2,FALSE),0)</f>
        <v>0</v>
      </c>
      <c r="I71" s="31">
        <f>IF(OR(spr_mo_result="True",spr_mw_result="True"),VLOOKUP(input_mgmt_srm_vm_size,table_srm_ram,2,FALSE),0)</f>
        <v>0</v>
      </c>
      <c r="J71" s="31">
        <f>IF(OR(spr_mo_result="True",spr_mw_result="True"),VLOOKUP(input_mgmt_srm_vm_size,table_srm_disk,2,FALSE),0)</f>
        <v>0</v>
      </c>
      <c r="K71" s="22" t="s">
        <v>260</v>
      </c>
      <c r="L71" s="13"/>
      <c r="M71" s="13"/>
      <c r="N71" s="13"/>
      <c r="O71" s="13"/>
      <c r="P71" s="13"/>
      <c r="Q71" s="13"/>
      <c r="R71" s="14"/>
      <c r="S71" s="1"/>
      <c r="T71" s="1"/>
      <c r="U71" s="1"/>
      <c r="V71" s="1"/>
      <c r="W71" s="1"/>
      <c r="X71" s="1"/>
      <c r="Y71" s="1"/>
      <c r="Z71" s="1"/>
      <c r="AA71" s="1"/>
      <c r="AB71" s="1"/>
      <c r="AC71" s="1"/>
      <c r="AD71" s="1"/>
      <c r="AE71" s="1"/>
      <c r="AF71" s="1"/>
      <c r="AG71" s="1"/>
    </row>
    <row r="72" ht="19.5" customHeight="1">
      <c r="A72" s="1"/>
      <c r="B72" s="32" t="s">
        <v>261</v>
      </c>
      <c r="C72" s="13"/>
      <c r="D72" s="13"/>
      <c r="E72" s="14"/>
      <c r="F72" s="18"/>
      <c r="G72" s="31">
        <f>COUNTIF(P36:P59,"Include")</f>
        <v>0</v>
      </c>
      <c r="H72" s="31">
        <f>IF(OR(spr_wo_result="True",spr_mw_result="True"),VLOOKUP(input_wld_srm_vm_size,table_srm_cpu,2,FALSE),0)</f>
        <v>0</v>
      </c>
      <c r="I72" s="31">
        <f>IF(OR(spr_wo_result="True",spr_mw_result="True"),VLOOKUP(input_wld_srm_vm_size,table_srm_ram,2,FALSE),0)</f>
        <v>0</v>
      </c>
      <c r="J72" s="31">
        <f>IF(OR(spr_wo_result="True",spr_mw_result="True"),VLOOKUP(input_wld_srm_vm_size,table_srm_disk,2,FALSE),0)</f>
        <v>0</v>
      </c>
      <c r="K72" s="22" t="str">
        <f>IF(OR(spr_chosen="Management &amp; VI Workload",spr_chosen="VI Workload Only"),"Include Or Exclude Site Protection Disaster Recovery on each Workload Domain where required - Starting at Row 35  Column P","No sizing optionality for the appliance")</f>
        <v>No sizing optionality for the appliance</v>
      </c>
      <c r="L72" s="13"/>
      <c r="M72" s="13"/>
      <c r="N72" s="13"/>
      <c r="O72" s="13"/>
      <c r="P72" s="13"/>
      <c r="Q72" s="13"/>
      <c r="R72" s="14"/>
      <c r="S72" s="1"/>
      <c r="T72" s="1"/>
      <c r="U72" s="1"/>
      <c r="V72" s="1"/>
      <c r="W72" s="1"/>
      <c r="X72" s="1"/>
      <c r="Y72" s="1"/>
      <c r="Z72" s="1"/>
      <c r="AA72" s="1"/>
      <c r="AB72" s="1"/>
      <c r="AC72" s="1"/>
      <c r="AD72" s="1"/>
      <c r="AE72" s="1"/>
      <c r="AF72" s="1"/>
      <c r="AG72" s="1"/>
    </row>
    <row r="73" ht="19.5" customHeight="1">
      <c r="A73" s="1"/>
      <c r="B73" s="103" t="s">
        <v>262</v>
      </c>
      <c r="C73" s="13"/>
      <c r="D73" s="13"/>
      <c r="E73" s="13"/>
      <c r="F73" s="13"/>
      <c r="G73" s="13"/>
      <c r="H73" s="13"/>
      <c r="I73" s="13"/>
      <c r="J73" s="13"/>
      <c r="K73" s="13"/>
      <c r="L73" s="13"/>
      <c r="M73" s="13"/>
      <c r="N73" s="13"/>
      <c r="O73" s="13"/>
      <c r="P73" s="13"/>
      <c r="Q73" s="13"/>
      <c r="R73" s="14"/>
      <c r="S73" s="1"/>
      <c r="T73" s="1"/>
      <c r="U73" s="1"/>
      <c r="V73" s="1"/>
      <c r="W73" s="1"/>
      <c r="X73" s="1"/>
      <c r="Y73" s="1"/>
      <c r="Z73" s="1"/>
      <c r="AA73" s="1"/>
      <c r="AB73" s="1"/>
      <c r="AC73" s="1"/>
      <c r="AD73" s="1"/>
      <c r="AE73" s="1"/>
      <c r="AF73" s="1"/>
      <c r="AG73" s="1"/>
    </row>
    <row r="74" ht="19.5" customHeight="1">
      <c r="A74" s="1"/>
      <c r="B74" s="32" t="s">
        <v>263</v>
      </c>
      <c r="C74" s="13"/>
      <c r="D74" s="13"/>
      <c r="E74" s="13"/>
      <c r="F74" s="18" t="s">
        <v>264</v>
      </c>
      <c r="G74" s="31">
        <f>IF(rwr_result="Excluded",0,1)</f>
        <v>0</v>
      </c>
      <c r="H74" s="31">
        <f>IF(rwr_result="Excluded",0,8)</f>
        <v>0</v>
      </c>
      <c r="I74" s="31">
        <f>IF(rwr_result="Excluded",0,24)</f>
        <v>0</v>
      </c>
      <c r="J74" s="31">
        <f>IF(rwr_result="Excluded",0,800)</f>
        <v>0</v>
      </c>
      <c r="K74" s="22" t="s">
        <v>260</v>
      </c>
      <c r="L74" s="13"/>
      <c r="M74" s="13"/>
      <c r="N74" s="13"/>
      <c r="O74" s="13"/>
      <c r="P74" s="13"/>
      <c r="Q74" s="13"/>
      <c r="R74" s="14"/>
      <c r="S74" s="1"/>
      <c r="T74" s="1"/>
      <c r="U74" s="1"/>
      <c r="V74" s="1"/>
      <c r="W74" s="1"/>
      <c r="X74" s="1"/>
      <c r="Y74" s="1"/>
      <c r="Z74" s="1"/>
      <c r="AA74" s="1"/>
      <c r="AB74" s="1"/>
      <c r="AC74" s="1"/>
      <c r="AD74" s="1"/>
      <c r="AE74" s="1"/>
      <c r="AF74" s="1"/>
      <c r="AG74" s="1"/>
    </row>
    <row r="75" ht="19.5" customHeight="1">
      <c r="A75" s="1"/>
      <c r="B75" s="103" t="s">
        <v>265</v>
      </c>
      <c r="C75" s="13"/>
      <c r="D75" s="13"/>
      <c r="E75" s="13"/>
      <c r="F75" s="13"/>
      <c r="G75" s="13"/>
      <c r="H75" s="13"/>
      <c r="I75" s="13"/>
      <c r="J75" s="13"/>
      <c r="K75" s="13"/>
      <c r="L75" s="13"/>
      <c r="M75" s="13"/>
      <c r="N75" s="13"/>
      <c r="O75" s="13"/>
      <c r="P75" s="13"/>
      <c r="Q75" s="13"/>
      <c r="R75" s="14"/>
      <c r="S75" s="1"/>
      <c r="T75" s="1"/>
      <c r="U75" s="1"/>
      <c r="V75" s="1"/>
      <c r="W75" s="1"/>
      <c r="X75" s="1"/>
      <c r="Y75" s="1"/>
      <c r="Z75" s="1"/>
      <c r="AA75" s="1"/>
      <c r="AB75" s="1"/>
      <c r="AC75" s="1"/>
      <c r="AD75" s="1"/>
      <c r="AE75" s="1"/>
      <c r="AF75" s="1"/>
      <c r="AG75" s="1"/>
    </row>
    <row r="76" ht="19.5" customHeight="1">
      <c r="A76" s="1"/>
      <c r="B76" s="32" t="s">
        <v>266</v>
      </c>
      <c r="C76" s="13"/>
      <c r="D76" s="13"/>
      <c r="E76" s="14"/>
      <c r="F76" s="21" t="s">
        <v>264</v>
      </c>
      <c r="G76" s="18">
        <f>IF(cbr_result="Excluded",0,2)</f>
        <v>0</v>
      </c>
      <c r="H76" s="18">
        <f>IF(cbr_result="Excluded",0,sizing_cbr_cpu)</f>
        <v>0</v>
      </c>
      <c r="I76" s="31">
        <f>IF(cbr_result="Excluded",0,sizing_cbr_ram)</f>
        <v>0</v>
      </c>
      <c r="J76" s="31">
        <f>IF(cbr_result="Excluded",0,sizing_cbr_disk)</f>
        <v>0</v>
      </c>
      <c r="K76" s="104" t="s">
        <v>260</v>
      </c>
      <c r="L76" s="13"/>
      <c r="M76" s="13"/>
      <c r="N76" s="13"/>
      <c r="O76" s="13"/>
      <c r="P76" s="13"/>
      <c r="Q76" s="13"/>
      <c r="R76" s="14"/>
      <c r="S76" s="1"/>
      <c r="T76" s="1"/>
      <c r="U76" s="1"/>
      <c r="V76" s="1"/>
      <c r="W76" s="1"/>
      <c r="X76" s="1"/>
      <c r="Y76" s="1"/>
      <c r="Z76" s="1"/>
      <c r="AA76" s="1"/>
      <c r="AB76" s="1"/>
      <c r="AC76" s="1"/>
      <c r="AD76" s="1"/>
      <c r="AE76" s="1"/>
      <c r="AF76" s="1"/>
      <c r="AG76" s="1"/>
    </row>
    <row r="77" ht="19.5" customHeight="1">
      <c r="A77" s="1"/>
      <c r="B77" s="103" t="s">
        <v>267</v>
      </c>
      <c r="C77" s="13"/>
      <c r="D77" s="13"/>
      <c r="E77" s="13"/>
      <c r="F77" s="13"/>
      <c r="G77" s="13"/>
      <c r="H77" s="13"/>
      <c r="I77" s="13"/>
      <c r="J77" s="13"/>
      <c r="K77" s="13"/>
      <c r="L77" s="13"/>
      <c r="M77" s="13"/>
      <c r="N77" s="13"/>
      <c r="O77" s="13"/>
      <c r="P77" s="13"/>
      <c r="Q77" s="13"/>
      <c r="R77" s="14"/>
      <c r="S77" s="1"/>
      <c r="T77" s="1"/>
      <c r="U77" s="1"/>
      <c r="V77" s="1"/>
      <c r="W77" s="1"/>
      <c r="X77" s="1"/>
      <c r="Y77" s="1"/>
      <c r="Z77" s="1"/>
      <c r="AA77" s="1"/>
      <c r="AB77" s="1"/>
      <c r="AC77" s="1"/>
      <c r="AD77" s="1"/>
      <c r="AE77" s="1"/>
      <c r="AF77" s="1"/>
      <c r="AG77" s="1"/>
    </row>
    <row r="78" ht="19.5" customHeight="1">
      <c r="A78" s="1"/>
      <c r="B78" s="32" t="s">
        <v>268</v>
      </c>
      <c r="C78" s="13"/>
      <c r="D78" s="13"/>
      <c r="E78" s="14"/>
      <c r="F78" s="21" t="s">
        <v>264</v>
      </c>
      <c r="G78" s="18">
        <f>IF(ccm_result="Excluded",0,1)</f>
        <v>0</v>
      </c>
      <c r="H78" s="18">
        <f>IF(ccm_result="Excluded",0,sizing_ccm_hcx_cpu)</f>
        <v>0</v>
      </c>
      <c r="I78" s="31">
        <f>IF(ccm_result="Excluded",0,sizing_ccm_hcx_ram)</f>
        <v>0</v>
      </c>
      <c r="J78" s="31">
        <f>IF(ccm_result="Excluded",0,sizing_ccm_hcx_disk)</f>
        <v>0</v>
      </c>
      <c r="K78" s="104" t="s">
        <v>260</v>
      </c>
      <c r="L78" s="13"/>
      <c r="M78" s="13"/>
      <c r="N78" s="13"/>
      <c r="O78" s="13"/>
      <c r="P78" s="13"/>
      <c r="Q78" s="13"/>
      <c r="R78" s="14"/>
      <c r="S78" s="1"/>
      <c r="T78" s="1"/>
      <c r="U78" s="1"/>
      <c r="V78" s="1"/>
      <c r="W78" s="1"/>
      <c r="X78" s="1"/>
      <c r="Y78" s="1"/>
      <c r="Z78" s="1"/>
      <c r="AA78" s="1"/>
      <c r="AB78" s="1"/>
      <c r="AC78" s="1"/>
      <c r="AD78" s="1"/>
      <c r="AE78" s="1"/>
      <c r="AF78" s="1"/>
      <c r="AG78" s="1"/>
    </row>
    <row r="79" ht="19.5" customHeight="1">
      <c r="A79" s="1"/>
      <c r="B79" s="1"/>
      <c r="C79" s="1"/>
      <c r="D79" s="1"/>
      <c r="E79" s="71" t="s">
        <v>198</v>
      </c>
      <c r="F79" s="14"/>
      <c r="G79" s="84">
        <f>SUM(G71:G72,G76,G78,G74)</f>
        <v>0</v>
      </c>
      <c r="H79" s="84" t="str">
        <f>CONCATENATE(SUMPRODUCT('Management Domain Sizing'!$G$71:$G$78,'Management Domain Sizing'!H71:H78)," CPUs")</f>
        <v>0 CPUs</v>
      </c>
      <c r="I79" s="84" t="str">
        <f>CONCATENATE(SUMPRODUCT('Management Domain Sizing'!$G$71:$G$78,'Management Domain Sizing'!I71:I78)," GB")</f>
        <v>0 GB</v>
      </c>
      <c r="J79" s="84" t="str">
        <f>CONCATENATE(SUMPRODUCT('Management Domain Sizing'!$G$71:$G$78,'Management Domain Sizing'!J71:J78)," GB")</f>
        <v>0 GB</v>
      </c>
      <c r="K79" s="1"/>
      <c r="L79" s="1"/>
      <c r="M79" s="1"/>
      <c r="N79" s="1"/>
      <c r="O79" s="1"/>
      <c r="P79" s="1"/>
      <c r="Q79" s="1"/>
      <c r="R79" s="1"/>
      <c r="S79" s="1"/>
      <c r="T79" s="1"/>
      <c r="U79" s="1"/>
      <c r="V79" s="1"/>
      <c r="W79" s="1"/>
      <c r="X79" s="1"/>
      <c r="Y79" s="1"/>
      <c r="Z79" s="1"/>
      <c r="AA79" s="1"/>
      <c r="AB79" s="1"/>
      <c r="AC79" s="1"/>
      <c r="AD79" s="1"/>
      <c r="AE79" s="1"/>
      <c r="AF79" s="1"/>
      <c r="AG79" s="1"/>
    </row>
    <row r="80" ht="19.5" customHeight="1">
      <c r="A80" s="1"/>
      <c r="B80" s="1"/>
      <c r="C80" s="1"/>
      <c r="D80" s="1"/>
      <c r="E80" s="1"/>
      <c r="F80" s="1"/>
      <c r="G80" s="1"/>
      <c r="H80" s="10"/>
      <c r="I80" s="10"/>
      <c r="J80" s="1"/>
      <c r="K80" s="1"/>
      <c r="L80" s="1"/>
      <c r="M80" s="1"/>
      <c r="N80" s="1"/>
      <c r="O80" s="1"/>
      <c r="P80" s="1"/>
      <c r="Q80" s="1"/>
      <c r="R80" s="1"/>
      <c r="S80" s="1"/>
      <c r="T80" s="1"/>
      <c r="U80" s="1"/>
      <c r="V80" s="1"/>
      <c r="W80" s="1"/>
      <c r="X80" s="1"/>
      <c r="Y80" s="1"/>
      <c r="Z80" s="1"/>
      <c r="AA80" s="1"/>
      <c r="AB80" s="1"/>
      <c r="AC80" s="1"/>
      <c r="AD80" s="1"/>
      <c r="AE80" s="1"/>
      <c r="AF80" s="1"/>
      <c r="AG80" s="1"/>
    </row>
    <row r="81" ht="19.5" customHeight="1">
      <c r="A81" s="1"/>
      <c r="B81" s="1"/>
      <c r="C81" s="1"/>
      <c r="D81" s="1"/>
      <c r="E81" s="1"/>
      <c r="F81" s="1"/>
      <c r="G81" s="1"/>
      <c r="H81" s="10"/>
      <c r="I81" s="10"/>
      <c r="J81" s="1"/>
      <c r="K81" s="1"/>
      <c r="L81" s="1"/>
      <c r="M81" s="1"/>
      <c r="N81" s="1"/>
      <c r="O81" s="1"/>
      <c r="P81" s="1"/>
      <c r="Q81" s="1"/>
      <c r="R81" s="1"/>
      <c r="S81" s="1"/>
      <c r="T81" s="1"/>
      <c r="U81" s="1"/>
      <c r="V81" s="1"/>
      <c r="W81" s="1"/>
      <c r="X81" s="1"/>
      <c r="Y81" s="1"/>
      <c r="Z81" s="1"/>
      <c r="AA81" s="1"/>
      <c r="AB81" s="1"/>
      <c r="AC81" s="1"/>
      <c r="AD81" s="1"/>
      <c r="AE81" s="1"/>
      <c r="AF81" s="1"/>
      <c r="AG81" s="1"/>
    </row>
    <row r="82" ht="19.5" customHeight="1">
      <c r="A82" s="1"/>
      <c r="B82" s="1"/>
      <c r="C82" s="1"/>
      <c r="D82" s="1"/>
      <c r="E82" s="1"/>
      <c r="F82" s="1"/>
      <c r="G82" s="1"/>
      <c r="H82" s="1"/>
      <c r="I82" s="10"/>
      <c r="J82" s="10"/>
      <c r="K82" s="10"/>
      <c r="L82" s="1"/>
      <c r="M82" s="1"/>
      <c r="N82" s="1"/>
      <c r="O82" s="1"/>
      <c r="P82" s="1"/>
      <c r="Q82" s="1"/>
      <c r="R82" s="1"/>
      <c r="S82" s="1"/>
      <c r="T82" s="1"/>
      <c r="U82" s="1"/>
      <c r="V82" s="1"/>
      <c r="W82" s="1"/>
      <c r="X82" s="1"/>
      <c r="Y82" s="1"/>
      <c r="Z82" s="1"/>
      <c r="AA82" s="1"/>
      <c r="AB82" s="1"/>
      <c r="AC82" s="1"/>
      <c r="AD82" s="1"/>
      <c r="AE82" s="1"/>
      <c r="AF82" s="1"/>
      <c r="AG82" s="1"/>
    </row>
    <row r="83" ht="19.5" customHeight="1">
      <c r="A83" s="1"/>
      <c r="B83" s="1"/>
      <c r="C83" s="1"/>
      <c r="D83" s="1"/>
      <c r="E83" s="1"/>
      <c r="F83" s="1"/>
      <c r="G83" s="1"/>
      <c r="H83" s="1"/>
      <c r="I83" s="10"/>
      <c r="J83" s="10"/>
      <c r="K83" s="10"/>
      <c r="L83" s="1"/>
      <c r="M83" s="1"/>
      <c r="N83" s="1"/>
      <c r="O83" s="1"/>
      <c r="P83" s="1"/>
      <c r="Q83" s="1"/>
      <c r="R83" s="1"/>
      <c r="S83" s="1"/>
      <c r="T83" s="1"/>
      <c r="U83" s="1"/>
      <c r="V83" s="1"/>
      <c r="W83" s="1"/>
      <c r="X83" s="1"/>
      <c r="Y83" s="1"/>
      <c r="Z83" s="1"/>
      <c r="AA83" s="1"/>
      <c r="AB83" s="1"/>
      <c r="AC83" s="1"/>
      <c r="AD83" s="1"/>
      <c r="AE83" s="1"/>
      <c r="AF83" s="1"/>
      <c r="AG83" s="1"/>
    </row>
    <row r="84" ht="19.5" customHeight="1">
      <c r="A84" s="1"/>
      <c r="B84" s="1"/>
      <c r="C84" s="1"/>
      <c r="D84" s="1"/>
      <c r="E84" s="1"/>
      <c r="F84" s="1"/>
      <c r="G84" s="1"/>
      <c r="H84" s="1"/>
      <c r="I84" s="10"/>
      <c r="J84" s="10"/>
      <c r="K84" s="10"/>
      <c r="L84" s="1"/>
      <c r="M84" s="1"/>
      <c r="N84" s="1"/>
      <c r="O84" s="1"/>
      <c r="P84" s="1"/>
      <c r="Q84" s="1"/>
      <c r="R84" s="1"/>
      <c r="S84" s="1"/>
      <c r="T84" s="1"/>
      <c r="U84" s="1"/>
      <c r="V84" s="1"/>
      <c r="W84" s="1"/>
      <c r="X84" s="1"/>
      <c r="Y84" s="1"/>
      <c r="Z84" s="1"/>
      <c r="AA84" s="1"/>
      <c r="AB84" s="1"/>
      <c r="AC84" s="1"/>
      <c r="AD84" s="1"/>
      <c r="AE84" s="1"/>
      <c r="AF84" s="1"/>
      <c r="AG84" s="1"/>
    </row>
    <row r="85" ht="15.75" customHeight="1">
      <c r="A85" s="1"/>
      <c r="B85" s="1"/>
      <c r="C85" s="1"/>
      <c r="D85" s="1"/>
      <c r="E85" s="1"/>
      <c r="F85" s="1"/>
      <c r="G85" s="1"/>
      <c r="H85" s="1"/>
      <c r="I85" s="10"/>
      <c r="J85" s="10"/>
      <c r="K85" s="10"/>
      <c r="L85" s="1"/>
      <c r="M85" s="1"/>
      <c r="N85" s="1"/>
      <c r="O85" s="1"/>
      <c r="P85" s="1"/>
      <c r="Q85" s="1"/>
      <c r="R85" s="1"/>
      <c r="S85" s="1"/>
      <c r="T85" s="1"/>
      <c r="U85" s="1"/>
      <c r="V85" s="1"/>
      <c r="W85" s="1"/>
      <c r="X85" s="1"/>
      <c r="Y85" s="1"/>
      <c r="Z85" s="1"/>
      <c r="AA85" s="1"/>
      <c r="AB85" s="1"/>
      <c r="AC85" s="1"/>
      <c r="AD85" s="1"/>
      <c r="AE85" s="1"/>
      <c r="AF85" s="1"/>
      <c r="AG85" s="1"/>
    </row>
    <row r="86" ht="15.75" customHeight="1">
      <c r="A86" s="1"/>
      <c r="B86" s="1"/>
      <c r="C86" s="1"/>
      <c r="D86" s="1"/>
      <c r="E86" s="1"/>
      <c r="F86" s="1"/>
      <c r="G86" s="1"/>
      <c r="H86" s="1"/>
      <c r="I86" s="10"/>
      <c r="J86" s="10"/>
      <c r="K86" s="10"/>
      <c r="L86" s="1"/>
      <c r="M86" s="1"/>
      <c r="N86" s="1"/>
      <c r="O86" s="1"/>
      <c r="P86" s="1"/>
      <c r="Q86" s="1"/>
      <c r="R86" s="1"/>
      <c r="S86" s="1"/>
      <c r="T86" s="1"/>
      <c r="U86" s="1"/>
      <c r="V86" s="1"/>
      <c r="W86" s="1"/>
      <c r="X86" s="1"/>
      <c r="Y86" s="1"/>
      <c r="Z86" s="1"/>
      <c r="AA86" s="1"/>
      <c r="AB86" s="1"/>
      <c r="AC86" s="1"/>
      <c r="AD86" s="1"/>
      <c r="AE86" s="1"/>
      <c r="AF86" s="1"/>
      <c r="AG86" s="1"/>
    </row>
    <row r="87" ht="15.75" customHeight="1">
      <c r="A87" s="1"/>
      <c r="B87" s="1"/>
      <c r="C87" s="1"/>
      <c r="D87" s="1"/>
      <c r="E87" s="1"/>
      <c r="F87" s="1"/>
      <c r="G87" s="1"/>
      <c r="H87" s="10"/>
      <c r="I87" s="10"/>
      <c r="J87" s="1"/>
      <c r="K87" s="1"/>
      <c r="L87" s="1"/>
      <c r="M87" s="1"/>
      <c r="N87" s="1"/>
      <c r="O87" s="1"/>
      <c r="P87" s="1"/>
      <c r="Q87" s="1"/>
      <c r="R87" s="1"/>
      <c r="S87" s="1"/>
      <c r="T87" s="1"/>
      <c r="U87" s="1"/>
      <c r="V87" s="1"/>
      <c r="W87" s="1"/>
      <c r="X87" s="1"/>
      <c r="Y87" s="1"/>
      <c r="Z87" s="1"/>
      <c r="AA87" s="1"/>
      <c r="AB87" s="1"/>
      <c r="AC87" s="1"/>
      <c r="AD87" s="1"/>
      <c r="AE87" s="1"/>
      <c r="AF87" s="1"/>
      <c r="AG87" s="1"/>
    </row>
    <row r="88" ht="15.75" customHeight="1">
      <c r="A88" s="1"/>
      <c r="B88" s="1"/>
      <c r="C88" s="1"/>
      <c r="D88" s="1"/>
      <c r="E88" s="1"/>
      <c r="F88" s="1"/>
      <c r="G88" s="1"/>
      <c r="H88" s="10"/>
      <c r="I88" s="10"/>
      <c r="J88" s="1"/>
      <c r="K88" s="1"/>
      <c r="L88" s="1"/>
      <c r="M88" s="1"/>
      <c r="N88" s="1"/>
      <c r="O88" s="1"/>
      <c r="P88" s="1"/>
      <c r="Q88" s="1"/>
      <c r="R88" s="1"/>
      <c r="S88" s="1"/>
      <c r="T88" s="1"/>
      <c r="U88" s="1"/>
      <c r="V88" s="1"/>
      <c r="W88" s="1"/>
      <c r="X88" s="1"/>
      <c r="Y88" s="1"/>
      <c r="Z88" s="1"/>
      <c r="AA88" s="1"/>
      <c r="AB88" s="1"/>
      <c r="AC88" s="1"/>
      <c r="AD88" s="1"/>
      <c r="AE88" s="1"/>
      <c r="AF88" s="1"/>
      <c r="AG88" s="1"/>
    </row>
    <row r="89" ht="15.75" customHeight="1">
      <c r="A89" s="1"/>
      <c r="B89" s="1"/>
      <c r="C89" s="1"/>
      <c r="D89" s="1"/>
      <c r="E89" s="1"/>
      <c r="F89" s="1"/>
      <c r="G89" s="1"/>
      <c r="H89" s="10"/>
      <c r="I89" s="10"/>
      <c r="J89" s="1"/>
      <c r="K89" s="1"/>
      <c r="L89" s="1"/>
      <c r="M89" s="1"/>
      <c r="N89" s="1"/>
      <c r="O89" s="1"/>
      <c r="P89" s="1"/>
      <c r="Q89" s="1"/>
      <c r="R89" s="1"/>
      <c r="S89" s="1"/>
      <c r="T89" s="1"/>
      <c r="U89" s="1"/>
      <c r="V89" s="1"/>
      <c r="W89" s="1"/>
      <c r="X89" s="1"/>
      <c r="Y89" s="1"/>
      <c r="Z89" s="1"/>
      <c r="AA89" s="1"/>
      <c r="AB89" s="1"/>
      <c r="AC89" s="1"/>
      <c r="AD89" s="1"/>
      <c r="AE89" s="1"/>
      <c r="AF89" s="1"/>
      <c r="AG89" s="1"/>
    </row>
    <row r="90" ht="15.75" customHeight="1">
      <c r="A90" s="1"/>
      <c r="B90" s="1"/>
      <c r="C90" s="1"/>
      <c r="D90" s="1"/>
      <c r="E90" s="1"/>
      <c r="F90" s="1"/>
      <c r="G90" s="1"/>
      <c r="H90" s="10"/>
      <c r="I90" s="10"/>
      <c r="J90" s="1"/>
      <c r="K90" s="1"/>
      <c r="L90" s="1"/>
      <c r="M90" s="1"/>
      <c r="N90" s="1"/>
      <c r="O90" s="1"/>
      <c r="P90" s="1"/>
      <c r="Q90" s="1"/>
      <c r="R90" s="1"/>
      <c r="S90" s="1"/>
      <c r="T90" s="1"/>
      <c r="U90" s="1"/>
      <c r="V90" s="1"/>
      <c r="W90" s="1"/>
      <c r="X90" s="1"/>
      <c r="Y90" s="1"/>
      <c r="Z90" s="1"/>
      <c r="AA90" s="1"/>
      <c r="AB90" s="1"/>
      <c r="AC90" s="1"/>
      <c r="AD90" s="1"/>
      <c r="AE90" s="1"/>
      <c r="AF90" s="1"/>
      <c r="AG90" s="1"/>
    </row>
    <row r="91" ht="15.75" customHeight="1">
      <c r="A91" s="1"/>
      <c r="B91" s="1"/>
      <c r="C91" s="1"/>
      <c r="D91" s="1"/>
      <c r="E91" s="1"/>
      <c r="F91" s="1"/>
      <c r="G91" s="1"/>
      <c r="H91" s="10"/>
      <c r="I91" s="10"/>
      <c r="J91" s="1"/>
      <c r="K91" s="1"/>
      <c r="L91" s="1"/>
      <c r="M91" s="1"/>
      <c r="N91" s="1"/>
      <c r="O91" s="1"/>
      <c r="P91" s="1"/>
      <c r="Q91" s="1"/>
      <c r="R91" s="1"/>
      <c r="S91" s="1"/>
      <c r="T91" s="1"/>
      <c r="U91" s="1"/>
      <c r="V91" s="1"/>
      <c r="W91" s="1"/>
      <c r="X91" s="1"/>
      <c r="Y91" s="1"/>
      <c r="Z91" s="1"/>
      <c r="AA91" s="1"/>
      <c r="AB91" s="1"/>
      <c r="AC91" s="1"/>
      <c r="AD91" s="1"/>
      <c r="AE91" s="1"/>
      <c r="AF91" s="1"/>
      <c r="AG91" s="1"/>
    </row>
    <row r="92" ht="15.75" customHeight="1">
      <c r="A92" s="1"/>
      <c r="B92" s="1"/>
      <c r="C92" s="1"/>
      <c r="D92" s="1"/>
      <c r="E92" s="1"/>
      <c r="F92" s="1"/>
      <c r="G92" s="1"/>
      <c r="H92" s="10"/>
      <c r="I92" s="10"/>
      <c r="J92" s="1"/>
      <c r="K92" s="1"/>
      <c r="L92" s="1"/>
      <c r="M92" s="1"/>
      <c r="N92" s="1"/>
      <c r="O92" s="1"/>
      <c r="P92" s="1"/>
      <c r="Q92" s="1"/>
      <c r="R92" s="1"/>
      <c r="S92" s="1"/>
      <c r="T92" s="1"/>
      <c r="U92" s="1"/>
      <c r="V92" s="1"/>
      <c r="W92" s="1"/>
      <c r="X92" s="1"/>
      <c r="Y92" s="1"/>
      <c r="Z92" s="1"/>
      <c r="AA92" s="1"/>
      <c r="AB92" s="1"/>
      <c r="AC92" s="1"/>
      <c r="AD92" s="1"/>
      <c r="AE92" s="1"/>
      <c r="AF92" s="1"/>
      <c r="AG92" s="1"/>
    </row>
    <row r="93" ht="15.75" customHeight="1">
      <c r="A93" s="1"/>
      <c r="B93" s="1"/>
      <c r="C93" s="1"/>
      <c r="D93" s="1"/>
      <c r="E93" s="1"/>
      <c r="F93" s="1"/>
      <c r="G93" s="1"/>
      <c r="H93" s="10"/>
      <c r="I93" s="10"/>
      <c r="J93" s="1"/>
      <c r="K93" s="1"/>
      <c r="L93" s="1"/>
      <c r="M93" s="1"/>
      <c r="N93" s="1"/>
      <c r="O93" s="1"/>
      <c r="P93" s="1"/>
      <c r="Q93" s="1"/>
      <c r="R93" s="1"/>
      <c r="S93" s="1"/>
      <c r="T93" s="1"/>
      <c r="U93" s="1"/>
      <c r="V93" s="1"/>
      <c r="W93" s="1"/>
      <c r="X93" s="1"/>
      <c r="Y93" s="1"/>
      <c r="Z93" s="1"/>
      <c r="AA93" s="1"/>
      <c r="AB93" s="1"/>
      <c r="AC93" s="1"/>
      <c r="AD93" s="1"/>
      <c r="AE93" s="1"/>
      <c r="AF93" s="1"/>
      <c r="AG93" s="1"/>
    </row>
    <row r="94" ht="15.75" customHeight="1">
      <c r="A94" s="1"/>
      <c r="B94" s="1"/>
      <c r="C94" s="1"/>
      <c r="D94" s="1"/>
      <c r="E94" s="1"/>
      <c r="F94" s="1"/>
      <c r="G94" s="1"/>
      <c r="H94" s="10"/>
      <c r="I94" s="10"/>
      <c r="J94" s="1"/>
      <c r="K94" s="1"/>
      <c r="L94" s="1"/>
      <c r="M94" s="1"/>
      <c r="N94" s="1"/>
      <c r="O94" s="1"/>
      <c r="P94" s="1"/>
      <c r="Q94" s="1"/>
      <c r="R94" s="1"/>
      <c r="S94" s="1"/>
      <c r="T94" s="1"/>
      <c r="U94" s="1"/>
      <c r="V94" s="1"/>
      <c r="W94" s="1"/>
      <c r="X94" s="1"/>
      <c r="Y94" s="1"/>
      <c r="Z94" s="1"/>
      <c r="AA94" s="1"/>
      <c r="AB94" s="1"/>
      <c r="AC94" s="1"/>
      <c r="AD94" s="1"/>
      <c r="AE94" s="1"/>
      <c r="AF94" s="1"/>
      <c r="AG94" s="1"/>
    </row>
    <row r="95" ht="15.75" customHeight="1">
      <c r="A95" s="1"/>
      <c r="B95" s="1"/>
      <c r="C95" s="1"/>
      <c r="D95" s="1"/>
      <c r="E95" s="1"/>
      <c r="F95" s="1"/>
      <c r="G95" s="1"/>
      <c r="H95" s="10"/>
      <c r="I95" s="10"/>
      <c r="J95" s="1"/>
      <c r="K95" s="1"/>
      <c r="L95" s="1"/>
      <c r="M95" s="1"/>
      <c r="N95" s="1"/>
      <c r="O95" s="1"/>
      <c r="P95" s="1"/>
      <c r="Q95" s="1"/>
      <c r="R95" s="1"/>
      <c r="S95" s="1"/>
      <c r="T95" s="1"/>
      <c r="U95" s="1"/>
      <c r="V95" s="1"/>
      <c r="W95" s="1"/>
      <c r="X95" s="1"/>
      <c r="Y95" s="1"/>
      <c r="Z95" s="1"/>
      <c r="AA95" s="1"/>
      <c r="AB95" s="1"/>
      <c r="AC95" s="1"/>
      <c r="AD95" s="1"/>
      <c r="AE95" s="1"/>
      <c r="AF95" s="1"/>
      <c r="AG95" s="1"/>
    </row>
    <row r="96" ht="15.75" customHeight="1">
      <c r="A96" s="1"/>
      <c r="B96" s="1"/>
      <c r="C96" s="1"/>
      <c r="D96" s="1"/>
      <c r="E96" s="1"/>
      <c r="F96" s="1"/>
      <c r="G96" s="1"/>
      <c r="H96" s="10"/>
      <c r="I96" s="10"/>
      <c r="J96" s="1"/>
      <c r="K96" s="1"/>
      <c r="L96" s="1"/>
      <c r="M96" s="1"/>
      <c r="N96" s="1"/>
      <c r="O96" s="1"/>
      <c r="P96" s="1"/>
      <c r="Q96" s="1"/>
      <c r="R96" s="1"/>
      <c r="S96" s="1"/>
      <c r="T96" s="1"/>
      <c r="U96" s="1"/>
      <c r="V96" s="1"/>
      <c r="W96" s="1"/>
      <c r="X96" s="1"/>
      <c r="Y96" s="1"/>
      <c r="Z96" s="1"/>
      <c r="AA96" s="1"/>
      <c r="AB96" s="1"/>
      <c r="AC96" s="1"/>
      <c r="AD96" s="1"/>
      <c r="AE96" s="1"/>
      <c r="AF96" s="1"/>
      <c r="AG96" s="1"/>
    </row>
    <row r="97" ht="15.75" customHeight="1">
      <c r="A97" s="1"/>
      <c r="B97" s="1"/>
      <c r="C97" s="1"/>
      <c r="D97" s="1"/>
      <c r="E97" s="1"/>
      <c r="F97" s="1"/>
      <c r="G97" s="1"/>
      <c r="H97" s="10"/>
      <c r="I97" s="10"/>
      <c r="J97" s="1"/>
      <c r="K97" s="1"/>
      <c r="L97" s="1"/>
      <c r="M97" s="1"/>
      <c r="N97" s="1"/>
      <c r="O97" s="1"/>
      <c r="P97" s="1"/>
      <c r="Q97" s="1"/>
      <c r="R97" s="1"/>
      <c r="S97" s="1"/>
      <c r="T97" s="1"/>
      <c r="U97" s="1"/>
      <c r="V97" s="70"/>
      <c r="W97" s="1"/>
      <c r="X97" s="1"/>
      <c r="Y97" s="1"/>
      <c r="Z97" s="1"/>
      <c r="AA97" s="1"/>
      <c r="AB97" s="1"/>
      <c r="AC97" s="1"/>
      <c r="AD97" s="1"/>
      <c r="AE97" s="1"/>
      <c r="AF97" s="1"/>
      <c r="AG97" s="1"/>
    </row>
    <row r="98" ht="15.75" customHeight="1">
      <c r="A98" s="1"/>
      <c r="B98" s="1"/>
      <c r="C98" s="1"/>
      <c r="D98" s="1"/>
      <c r="E98" s="1"/>
      <c r="F98" s="1"/>
      <c r="G98" s="1"/>
      <c r="H98" s="10"/>
      <c r="I98" s="10"/>
      <c r="J98" s="1"/>
      <c r="K98" s="1"/>
      <c r="L98" s="1"/>
      <c r="M98" s="1"/>
      <c r="N98" s="1"/>
      <c r="O98" s="1"/>
      <c r="P98" s="1"/>
      <c r="Q98" s="1"/>
      <c r="R98" s="1"/>
      <c r="S98" s="1"/>
      <c r="T98" s="1"/>
      <c r="U98" s="1"/>
      <c r="V98" s="70"/>
      <c r="W98" s="1"/>
      <c r="X98" s="1"/>
      <c r="Y98" s="1"/>
      <c r="Z98" s="1"/>
      <c r="AA98" s="1"/>
      <c r="AB98" s="1"/>
      <c r="AC98" s="1"/>
      <c r="AD98" s="1"/>
      <c r="AE98" s="1"/>
      <c r="AF98" s="1"/>
      <c r="AG98" s="1"/>
    </row>
    <row r="99" ht="15.75" customHeight="1">
      <c r="A99" s="1"/>
      <c r="B99" s="1"/>
      <c r="C99" s="1"/>
      <c r="D99" s="1"/>
      <c r="E99" s="1"/>
      <c r="F99" s="1"/>
      <c r="G99" s="1"/>
      <c r="H99" s="10"/>
      <c r="I99" s="10"/>
      <c r="J99" s="1"/>
      <c r="K99" s="1"/>
      <c r="L99" s="1"/>
      <c r="M99" s="1"/>
      <c r="N99" s="1"/>
      <c r="O99" s="1"/>
      <c r="P99" s="1"/>
      <c r="Q99" s="1"/>
      <c r="R99" s="1"/>
      <c r="S99" s="1"/>
      <c r="T99" s="1"/>
      <c r="U99" s="1"/>
      <c r="V99" s="70"/>
      <c r="W99" s="1"/>
      <c r="X99" s="1"/>
      <c r="Y99" s="1"/>
      <c r="Z99" s="1"/>
      <c r="AA99" s="1"/>
      <c r="AB99" s="1"/>
      <c r="AC99" s="1"/>
      <c r="AD99" s="1"/>
      <c r="AE99" s="1"/>
      <c r="AF99" s="1"/>
      <c r="AG99" s="1"/>
    </row>
    <row r="100" ht="15.75" customHeight="1">
      <c r="A100" s="1"/>
      <c r="B100" s="1"/>
      <c r="C100" s="1"/>
      <c r="D100" s="1"/>
      <c r="E100" s="1"/>
      <c r="F100" s="1"/>
      <c r="G100" s="1"/>
      <c r="H100" s="10"/>
      <c r="I100" s="10"/>
      <c r="J100" s="1"/>
      <c r="K100" s="1"/>
      <c r="L100" s="1"/>
      <c r="M100" s="1"/>
      <c r="N100" s="1"/>
      <c r="O100" s="1"/>
      <c r="P100" s="1"/>
      <c r="Q100" s="1"/>
      <c r="R100" s="1"/>
      <c r="S100" s="1"/>
      <c r="T100" s="1"/>
      <c r="U100" s="1"/>
      <c r="V100" s="70"/>
      <c r="W100" s="1"/>
      <c r="X100" s="1"/>
      <c r="Y100" s="1"/>
      <c r="Z100" s="1"/>
      <c r="AA100" s="1"/>
      <c r="AB100" s="1"/>
      <c r="AC100" s="1"/>
      <c r="AD100" s="1"/>
      <c r="AE100" s="1"/>
      <c r="AF100" s="1"/>
      <c r="AG100" s="1"/>
    </row>
    <row r="101" ht="15.75" customHeight="1">
      <c r="A101" s="1"/>
      <c r="B101" s="1"/>
      <c r="C101" s="1"/>
      <c r="D101" s="1"/>
      <c r="E101" s="1"/>
      <c r="F101" s="1"/>
      <c r="G101" s="1"/>
      <c r="H101" s="10"/>
      <c r="I101" s="10"/>
      <c r="J101" s="1"/>
      <c r="K101" s="1"/>
      <c r="L101" s="1"/>
      <c r="M101" s="1"/>
      <c r="N101" s="1"/>
      <c r="O101" s="1"/>
      <c r="P101" s="1"/>
      <c r="Q101" s="1"/>
      <c r="R101" s="1"/>
      <c r="S101" s="1"/>
      <c r="T101" s="1"/>
      <c r="U101" s="1"/>
      <c r="V101" s="70"/>
      <c r="W101" s="1"/>
      <c r="X101" s="1"/>
      <c r="Y101" s="1"/>
      <c r="Z101" s="1"/>
      <c r="AA101" s="1"/>
      <c r="AB101" s="1"/>
      <c r="AC101" s="1"/>
      <c r="AD101" s="1"/>
      <c r="AE101" s="1"/>
      <c r="AF101" s="1"/>
      <c r="AG101" s="1"/>
    </row>
    <row r="102" ht="15.75" customHeight="1">
      <c r="A102" s="1"/>
      <c r="B102" s="1"/>
      <c r="C102" s="1"/>
      <c r="D102" s="1"/>
      <c r="E102" s="1"/>
      <c r="F102" s="1"/>
      <c r="G102" s="1"/>
      <c r="H102" s="10"/>
      <c r="I102" s="10"/>
      <c r="J102" s="1"/>
      <c r="K102" s="1"/>
      <c r="L102" s="1"/>
      <c r="M102" s="1"/>
      <c r="N102" s="1"/>
      <c r="O102" s="1"/>
      <c r="P102" s="1"/>
      <c r="Q102" s="1"/>
      <c r="R102" s="1"/>
      <c r="S102" s="1"/>
      <c r="T102" s="1"/>
      <c r="U102" s="1"/>
      <c r="V102" s="70"/>
      <c r="W102" s="1"/>
      <c r="X102" s="1"/>
      <c r="Y102" s="1"/>
      <c r="Z102" s="1"/>
      <c r="AA102" s="1"/>
      <c r="AB102" s="1"/>
      <c r="AC102" s="1"/>
      <c r="AD102" s="1"/>
      <c r="AE102" s="1"/>
      <c r="AF102" s="1"/>
      <c r="AG102" s="1"/>
    </row>
    <row r="103" ht="15.75" customHeight="1">
      <c r="A103" s="1"/>
      <c r="B103" s="1"/>
      <c r="C103" s="1"/>
      <c r="D103" s="1"/>
      <c r="E103" s="1"/>
      <c r="F103" s="1"/>
      <c r="G103" s="1"/>
      <c r="H103" s="10"/>
      <c r="I103" s="10"/>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ht="15.75" customHeight="1">
      <c r="A104" s="1"/>
      <c r="B104" s="1"/>
      <c r="C104" s="1"/>
      <c r="D104" s="1"/>
      <c r="E104" s="1"/>
      <c r="F104" s="1"/>
      <c r="G104" s="1"/>
      <c r="H104" s="10"/>
      <c r="I104" s="10"/>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ht="15.75" customHeight="1">
      <c r="A105" s="1"/>
      <c r="B105" s="1"/>
      <c r="C105" s="1"/>
      <c r="D105" s="1"/>
      <c r="E105" s="1"/>
      <c r="F105" s="1"/>
      <c r="G105" s="1"/>
      <c r="H105" s="10"/>
      <c r="I105" s="10"/>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ht="15.75" customHeight="1">
      <c r="A106" s="1"/>
      <c r="B106" s="1"/>
      <c r="C106" s="1"/>
      <c r="D106" s="1"/>
      <c r="E106" s="1"/>
      <c r="F106" s="1"/>
      <c r="G106" s="1"/>
      <c r="H106" s="10"/>
      <c r="I106" s="10"/>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ht="15.75" customHeight="1">
      <c r="A107" s="1"/>
      <c r="B107" s="1"/>
      <c r="C107" s="1"/>
      <c r="D107" s="1"/>
      <c r="E107" s="1"/>
      <c r="F107" s="1"/>
      <c r="G107" s="1"/>
      <c r="H107" s="10"/>
      <c r="I107" s="10"/>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ht="15.75" customHeight="1">
      <c r="A108" s="1"/>
      <c r="B108" s="1"/>
      <c r="C108" s="1"/>
      <c r="D108" s="1"/>
      <c r="E108" s="1"/>
      <c r="F108" s="1"/>
      <c r="G108" s="1"/>
      <c r="H108" s="10"/>
      <c r="I108" s="10"/>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ht="15.75" customHeight="1">
      <c r="A109" s="1"/>
      <c r="B109" s="1"/>
      <c r="C109" s="1"/>
      <c r="D109" s="1"/>
      <c r="E109" s="1"/>
      <c r="F109" s="1"/>
      <c r="G109" s="1"/>
      <c r="H109" s="10"/>
      <c r="I109" s="10"/>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ht="15.75" customHeight="1">
      <c r="A110" s="1"/>
      <c r="B110" s="1"/>
      <c r="C110" s="1"/>
      <c r="D110" s="1"/>
      <c r="E110" s="1"/>
      <c r="F110" s="1"/>
      <c r="G110" s="1"/>
      <c r="H110" s="10"/>
      <c r="I110" s="10"/>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ht="15.75" customHeight="1">
      <c r="A111" s="1"/>
      <c r="B111" s="1"/>
      <c r="C111" s="1"/>
      <c r="D111" s="1"/>
      <c r="E111" s="1"/>
      <c r="F111" s="1"/>
      <c r="G111" s="1"/>
      <c r="H111" s="10"/>
      <c r="I111" s="10"/>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ht="15.75" customHeight="1">
      <c r="A112" s="1"/>
      <c r="B112" s="1"/>
      <c r="C112" s="1"/>
      <c r="D112" s="1"/>
      <c r="E112" s="1"/>
      <c r="F112" s="1"/>
      <c r="G112" s="1"/>
      <c r="H112" s="10"/>
      <c r="I112" s="10"/>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ht="15.75" customHeight="1">
      <c r="A113" s="1"/>
      <c r="B113" s="1"/>
      <c r="C113" s="1"/>
      <c r="D113" s="1"/>
      <c r="E113" s="1"/>
      <c r="F113" s="1"/>
      <c r="G113" s="1"/>
      <c r="H113" s="10"/>
      <c r="I113" s="10"/>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ht="15.75" customHeight="1">
      <c r="A114" s="1"/>
      <c r="B114" s="1"/>
      <c r="C114" s="1"/>
      <c r="D114" s="1"/>
      <c r="E114" s="1"/>
      <c r="F114" s="1"/>
      <c r="G114" s="1"/>
      <c r="H114" s="10"/>
      <c r="I114" s="10"/>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ht="15.75" customHeight="1">
      <c r="A115" s="1"/>
      <c r="B115" s="1"/>
      <c r="C115" s="1"/>
      <c r="D115" s="1"/>
      <c r="E115" s="1"/>
      <c r="F115" s="1"/>
      <c r="G115" s="1"/>
      <c r="H115" s="10"/>
      <c r="I115" s="10"/>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ht="15.75" customHeight="1">
      <c r="A116" s="1"/>
      <c r="B116" s="1"/>
      <c r="C116" s="1"/>
      <c r="D116" s="1"/>
      <c r="E116" s="1"/>
      <c r="F116" s="1"/>
      <c r="G116" s="1"/>
      <c r="H116" s="10"/>
      <c r="I116" s="10"/>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ht="15.75" customHeight="1">
      <c r="A117" s="1"/>
      <c r="B117" s="1"/>
      <c r="C117" s="1"/>
      <c r="D117" s="1"/>
      <c r="E117" s="1"/>
      <c r="F117" s="1"/>
      <c r="G117" s="1"/>
      <c r="H117" s="10"/>
      <c r="I117" s="10"/>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ht="15.75" customHeight="1">
      <c r="A118" s="1"/>
      <c r="B118" s="1"/>
      <c r="C118" s="1"/>
      <c r="D118" s="1"/>
      <c r="E118" s="1"/>
      <c r="F118" s="1"/>
      <c r="G118" s="1"/>
      <c r="H118" s="10"/>
      <c r="I118" s="10"/>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ht="15.75" customHeight="1">
      <c r="A119" s="1"/>
      <c r="B119" s="1"/>
      <c r="C119" s="1"/>
      <c r="D119" s="1"/>
      <c r="E119" s="1"/>
      <c r="F119" s="1"/>
      <c r="G119" s="1"/>
      <c r="H119" s="10"/>
      <c r="I119" s="10"/>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ht="15.75" customHeight="1">
      <c r="A120" s="1"/>
      <c r="B120" s="1"/>
      <c r="C120" s="1"/>
      <c r="D120" s="1"/>
      <c r="E120" s="1"/>
      <c r="F120" s="1"/>
      <c r="G120" s="1"/>
      <c r="H120" s="10"/>
      <c r="I120" s="10"/>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ht="15.75" customHeight="1">
      <c r="A121" s="1"/>
      <c r="B121" s="1"/>
      <c r="C121" s="1"/>
      <c r="D121" s="1"/>
      <c r="E121" s="1"/>
      <c r="F121" s="1"/>
      <c r="G121" s="1"/>
      <c r="H121" s="10"/>
      <c r="I121" s="10"/>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ht="15.75" customHeight="1">
      <c r="A122" s="1"/>
      <c r="B122" s="1"/>
      <c r="C122" s="1"/>
      <c r="D122" s="1"/>
      <c r="E122" s="1"/>
      <c r="F122" s="1"/>
      <c r="G122" s="1"/>
      <c r="H122" s="10"/>
      <c r="I122" s="10"/>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ht="15.75" customHeight="1">
      <c r="A123" s="1"/>
      <c r="B123" s="1"/>
      <c r="C123" s="1"/>
      <c r="D123" s="1"/>
      <c r="E123" s="1"/>
      <c r="F123" s="1"/>
      <c r="G123" s="1"/>
      <c r="H123" s="10"/>
      <c r="I123" s="10"/>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ht="15.75" customHeight="1">
      <c r="A124" s="1"/>
      <c r="B124" s="1"/>
      <c r="C124" s="1"/>
      <c r="D124" s="1"/>
      <c r="E124" s="1"/>
      <c r="F124" s="1"/>
      <c r="G124" s="1"/>
      <c r="H124" s="10"/>
      <c r="I124" s="10"/>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ht="15.75" customHeight="1">
      <c r="A125" s="1"/>
      <c r="B125" s="1"/>
      <c r="C125" s="1"/>
      <c r="D125" s="1"/>
      <c r="E125" s="1"/>
      <c r="F125" s="1"/>
      <c r="G125" s="1"/>
      <c r="H125" s="10"/>
      <c r="I125" s="10"/>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ht="15.75" customHeight="1">
      <c r="A126" s="1"/>
      <c r="B126" s="1"/>
      <c r="C126" s="1"/>
      <c r="D126" s="1"/>
      <c r="E126" s="1"/>
      <c r="F126" s="1"/>
      <c r="G126" s="1"/>
      <c r="H126" s="10"/>
      <c r="I126" s="10"/>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ht="15.75" customHeight="1">
      <c r="A127" s="1"/>
      <c r="B127" s="1"/>
      <c r="C127" s="1"/>
      <c r="D127" s="1"/>
      <c r="E127" s="1"/>
      <c r="F127" s="1"/>
      <c r="G127" s="1"/>
      <c r="H127" s="10"/>
      <c r="I127" s="10"/>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ht="15.75" customHeight="1">
      <c r="A128" s="1"/>
      <c r="B128" s="1"/>
      <c r="C128" s="1"/>
      <c r="D128" s="1"/>
      <c r="E128" s="1"/>
      <c r="F128" s="1"/>
      <c r="G128" s="1"/>
      <c r="H128" s="10"/>
      <c r="I128" s="10"/>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ht="15.75" customHeight="1">
      <c r="A129" s="1"/>
      <c r="B129" s="1"/>
      <c r="C129" s="1"/>
      <c r="D129" s="1"/>
      <c r="E129" s="1"/>
      <c r="F129" s="1"/>
      <c r="G129" s="1"/>
      <c r="H129" s="10"/>
      <c r="I129" s="10"/>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ht="15.75" customHeight="1">
      <c r="A130" s="1"/>
      <c r="B130" s="1"/>
      <c r="C130" s="1"/>
      <c r="D130" s="1"/>
      <c r="E130" s="1"/>
      <c r="F130" s="1"/>
      <c r="G130" s="1"/>
      <c r="H130" s="10"/>
      <c r="I130" s="10"/>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ht="15.75" customHeight="1">
      <c r="A131" s="1"/>
      <c r="B131" s="1"/>
      <c r="C131" s="1"/>
      <c r="D131" s="1"/>
      <c r="E131" s="1"/>
      <c r="F131" s="1"/>
      <c r="G131" s="1"/>
      <c r="H131" s="10"/>
      <c r="I131" s="10"/>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ht="15.75" customHeight="1">
      <c r="A132" s="1"/>
      <c r="B132" s="1"/>
      <c r="C132" s="1"/>
      <c r="D132" s="1"/>
      <c r="E132" s="1"/>
      <c r="F132" s="1"/>
      <c r="G132" s="1"/>
      <c r="H132" s="10"/>
      <c r="I132" s="10"/>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ht="15.75" customHeight="1">
      <c r="A133" s="1"/>
      <c r="B133" s="1"/>
      <c r="C133" s="1"/>
      <c r="D133" s="1"/>
      <c r="E133" s="1"/>
      <c r="F133" s="1"/>
      <c r="G133" s="1"/>
      <c r="H133" s="10"/>
      <c r="I133" s="10"/>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ht="15.75" customHeight="1">
      <c r="A134" s="1"/>
      <c r="B134" s="1"/>
      <c r="C134" s="1"/>
      <c r="D134" s="1"/>
      <c r="E134" s="1"/>
      <c r="F134" s="1"/>
      <c r="G134" s="1"/>
      <c r="H134" s="10"/>
      <c r="I134" s="10"/>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ht="15.75" customHeight="1">
      <c r="A135" s="1"/>
      <c r="B135" s="1"/>
      <c r="C135" s="1"/>
      <c r="D135" s="1"/>
      <c r="E135" s="1"/>
      <c r="F135" s="1"/>
      <c r="G135" s="1"/>
      <c r="H135" s="10"/>
      <c r="I135" s="10"/>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ht="15.75" customHeight="1">
      <c r="A136" s="1"/>
      <c r="B136" s="1"/>
      <c r="C136" s="1"/>
      <c r="D136" s="1"/>
      <c r="E136" s="1"/>
      <c r="F136" s="1"/>
      <c r="G136" s="1"/>
      <c r="H136" s="10"/>
      <c r="I136" s="10"/>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ht="15.75" customHeight="1">
      <c r="A137" s="1"/>
      <c r="B137" s="1"/>
      <c r="C137" s="1"/>
      <c r="D137" s="1"/>
      <c r="E137" s="1"/>
      <c r="F137" s="1"/>
      <c r="G137" s="1"/>
      <c r="H137" s="10"/>
      <c r="I137" s="10"/>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ht="15.75" customHeight="1">
      <c r="A138" s="1"/>
      <c r="B138" s="1"/>
      <c r="C138" s="1"/>
      <c r="D138" s="1"/>
      <c r="E138" s="1"/>
      <c r="F138" s="1"/>
      <c r="G138" s="1"/>
      <c r="H138" s="10"/>
      <c r="I138" s="10"/>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ht="15.75" customHeight="1">
      <c r="A139" s="1"/>
      <c r="B139" s="1"/>
      <c r="C139" s="1"/>
      <c r="D139" s="1"/>
      <c r="E139" s="1"/>
      <c r="F139" s="1"/>
      <c r="G139" s="1"/>
      <c r="H139" s="10"/>
      <c r="I139" s="10"/>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ht="15.75" customHeight="1">
      <c r="A140" s="1"/>
      <c r="B140" s="1"/>
      <c r="C140" s="1"/>
      <c r="D140" s="1"/>
      <c r="E140" s="1"/>
      <c r="F140" s="1"/>
      <c r="G140" s="1"/>
      <c r="H140" s="10"/>
      <c r="I140" s="10"/>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ht="15.75" customHeight="1">
      <c r="A141" s="1"/>
      <c r="B141" s="1"/>
      <c r="C141" s="1"/>
      <c r="D141" s="1"/>
      <c r="E141" s="1"/>
      <c r="F141" s="1"/>
      <c r="G141" s="1"/>
      <c r="H141" s="10"/>
      <c r="I141" s="10"/>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ht="15.75" customHeight="1">
      <c r="A142" s="1"/>
      <c r="B142" s="1"/>
      <c r="C142" s="1"/>
      <c r="D142" s="1"/>
      <c r="E142" s="1"/>
      <c r="F142" s="1"/>
      <c r="G142" s="1"/>
      <c r="H142" s="10"/>
      <c r="I142" s="10"/>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ht="15.75" customHeight="1">
      <c r="A143" s="1"/>
      <c r="B143" s="1"/>
      <c r="C143" s="1"/>
      <c r="D143" s="1"/>
      <c r="E143" s="1"/>
      <c r="F143" s="1"/>
      <c r="G143" s="1"/>
      <c r="H143" s="10"/>
      <c r="I143" s="10"/>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ht="15.75" customHeight="1">
      <c r="A144" s="1"/>
      <c r="B144" s="1"/>
      <c r="C144" s="1"/>
      <c r="D144" s="1"/>
      <c r="E144" s="1"/>
      <c r="F144" s="1"/>
      <c r="G144" s="1"/>
      <c r="H144" s="10"/>
      <c r="I144" s="10"/>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ht="15.75" customHeight="1">
      <c r="A145" s="1"/>
      <c r="B145" s="1"/>
      <c r="C145" s="1"/>
      <c r="D145" s="1"/>
      <c r="E145" s="1"/>
      <c r="F145" s="1"/>
      <c r="G145" s="1"/>
      <c r="H145" s="10"/>
      <c r="I145" s="10"/>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ht="15.75" customHeight="1">
      <c r="A146" s="1"/>
      <c r="B146" s="1"/>
      <c r="C146" s="1"/>
      <c r="D146" s="1"/>
      <c r="E146" s="1"/>
      <c r="F146" s="1"/>
      <c r="G146" s="1"/>
      <c r="H146" s="10"/>
      <c r="I146" s="10"/>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ht="15.75" customHeight="1">
      <c r="A147" s="1"/>
      <c r="B147" s="1"/>
      <c r="C147" s="1"/>
      <c r="D147" s="1"/>
      <c r="E147" s="1"/>
      <c r="F147" s="1"/>
      <c r="G147" s="1"/>
      <c r="H147" s="10"/>
      <c r="I147" s="10"/>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ht="15.75" customHeight="1">
      <c r="A148" s="1"/>
      <c r="B148" s="1"/>
      <c r="C148" s="1"/>
      <c r="D148" s="1"/>
      <c r="E148" s="1"/>
      <c r="F148" s="1"/>
      <c r="G148" s="1"/>
      <c r="H148" s="10"/>
      <c r="I148" s="10"/>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ht="15.75" customHeight="1">
      <c r="A149" s="1"/>
      <c r="B149" s="1"/>
      <c r="C149" s="1"/>
      <c r="D149" s="1"/>
      <c r="E149" s="1"/>
      <c r="F149" s="1"/>
      <c r="G149" s="1"/>
      <c r="H149" s="10"/>
      <c r="I149" s="10"/>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ht="15.75" customHeight="1">
      <c r="A150" s="1"/>
      <c r="B150" s="1"/>
      <c r="C150" s="1"/>
      <c r="D150" s="1"/>
      <c r="E150" s="1"/>
      <c r="F150" s="1"/>
      <c r="G150" s="1"/>
      <c r="H150" s="10"/>
      <c r="I150" s="10"/>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ht="15.75" customHeight="1">
      <c r="A151" s="1"/>
      <c r="B151" s="1"/>
      <c r="C151" s="1"/>
      <c r="D151" s="1"/>
      <c r="E151" s="1"/>
      <c r="F151" s="1"/>
      <c r="G151" s="1"/>
      <c r="H151" s="10"/>
      <c r="I151" s="10"/>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ht="15.75" customHeight="1">
      <c r="A152" s="1"/>
      <c r="B152" s="1"/>
      <c r="C152" s="1"/>
      <c r="D152" s="1"/>
      <c r="E152" s="1"/>
      <c r="F152" s="1"/>
      <c r="G152" s="1"/>
      <c r="H152" s="10"/>
      <c r="I152" s="10"/>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ht="15.75" customHeight="1">
      <c r="A153" s="1"/>
      <c r="B153" s="1"/>
      <c r="C153" s="1"/>
      <c r="D153" s="1"/>
      <c r="E153" s="1"/>
      <c r="F153" s="1"/>
      <c r="G153" s="1"/>
      <c r="H153" s="10"/>
      <c r="I153" s="10"/>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ht="15.75" customHeight="1">
      <c r="A154" s="1"/>
      <c r="B154" s="1"/>
      <c r="C154" s="1"/>
      <c r="D154" s="1"/>
      <c r="E154" s="1"/>
      <c r="F154" s="1"/>
      <c r="G154" s="1"/>
      <c r="H154" s="10"/>
      <c r="I154" s="10"/>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ht="15.75" customHeight="1">
      <c r="A155" s="1"/>
      <c r="B155" s="1"/>
      <c r="C155" s="1"/>
      <c r="D155" s="1"/>
      <c r="E155" s="1"/>
      <c r="F155" s="1"/>
      <c r="G155" s="1"/>
      <c r="H155" s="10"/>
      <c r="I155" s="10"/>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ht="15.75" customHeight="1">
      <c r="A156" s="1"/>
      <c r="B156" s="1"/>
      <c r="C156" s="1"/>
      <c r="D156" s="1"/>
      <c r="E156" s="1"/>
      <c r="F156" s="1"/>
      <c r="G156" s="1"/>
      <c r="H156" s="10"/>
      <c r="I156" s="10"/>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ht="15.75" customHeight="1">
      <c r="A157" s="1"/>
      <c r="B157" s="1"/>
      <c r="C157" s="1"/>
      <c r="D157" s="1"/>
      <c r="E157" s="1"/>
      <c r="F157" s="1"/>
      <c r="G157" s="1"/>
      <c r="H157" s="10"/>
      <c r="I157" s="10"/>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ht="15.75" customHeight="1">
      <c r="A158" s="1"/>
      <c r="B158" s="1"/>
      <c r="C158" s="1"/>
      <c r="D158" s="1"/>
      <c r="E158" s="1"/>
      <c r="F158" s="1"/>
      <c r="G158" s="1"/>
      <c r="H158" s="10"/>
      <c r="I158" s="10"/>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ht="15.75" customHeight="1">
      <c r="A159" s="1"/>
      <c r="B159" s="1"/>
      <c r="C159" s="1"/>
      <c r="D159" s="1"/>
      <c r="E159" s="1"/>
      <c r="F159" s="1"/>
      <c r="G159" s="1"/>
      <c r="H159" s="10"/>
      <c r="I159" s="10"/>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ht="15.75" customHeight="1">
      <c r="A160" s="1"/>
      <c r="B160" s="1"/>
      <c r="C160" s="1"/>
      <c r="D160" s="1"/>
      <c r="E160" s="1"/>
      <c r="F160" s="1"/>
      <c r="G160" s="1"/>
      <c r="H160" s="10"/>
      <c r="I160" s="10"/>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ht="15.75" customHeight="1">
      <c r="A161" s="1"/>
      <c r="B161" s="1"/>
      <c r="C161" s="1"/>
      <c r="D161" s="1"/>
      <c r="E161" s="1"/>
      <c r="F161" s="1"/>
      <c r="G161" s="1"/>
      <c r="H161" s="10"/>
      <c r="I161" s="10"/>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ht="15.75" customHeight="1">
      <c r="A162" s="1"/>
      <c r="B162" s="1"/>
      <c r="C162" s="1"/>
      <c r="D162" s="1"/>
      <c r="E162" s="1"/>
      <c r="F162" s="1"/>
      <c r="G162" s="1"/>
      <c r="H162" s="10"/>
      <c r="I162" s="10"/>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ht="15.75" customHeight="1">
      <c r="A163" s="1"/>
      <c r="B163" s="1"/>
      <c r="C163" s="1"/>
      <c r="D163" s="1"/>
      <c r="E163" s="1"/>
      <c r="F163" s="1"/>
      <c r="G163" s="1"/>
      <c r="H163" s="10"/>
      <c r="I163" s="10"/>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ht="15.75" customHeight="1">
      <c r="A164" s="1"/>
      <c r="B164" s="1"/>
      <c r="C164" s="1"/>
      <c r="D164" s="1"/>
      <c r="E164" s="1"/>
      <c r="F164" s="1"/>
      <c r="G164" s="1"/>
      <c r="H164" s="10"/>
      <c r="I164" s="10"/>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ht="15.75" customHeight="1">
      <c r="A165" s="1"/>
      <c r="B165" s="1"/>
      <c r="C165" s="1"/>
      <c r="D165" s="1"/>
      <c r="E165" s="1"/>
      <c r="F165" s="1"/>
      <c r="G165" s="1"/>
      <c r="H165" s="10"/>
      <c r="I165" s="10"/>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ht="15.75" customHeight="1">
      <c r="A166" s="1"/>
      <c r="B166" s="1"/>
      <c r="C166" s="1"/>
      <c r="D166" s="1"/>
      <c r="E166" s="1"/>
      <c r="F166" s="1"/>
      <c r="G166" s="1"/>
      <c r="H166" s="10"/>
      <c r="I166" s="10"/>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ht="15.75" customHeight="1">
      <c r="A167" s="1"/>
      <c r="B167" s="1"/>
      <c r="C167" s="1"/>
      <c r="D167" s="1"/>
      <c r="E167" s="1"/>
      <c r="F167" s="1"/>
      <c r="G167" s="1"/>
      <c r="H167" s="10"/>
      <c r="I167" s="10"/>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ht="15.75" customHeight="1">
      <c r="A168" s="1"/>
      <c r="B168" s="1"/>
      <c r="C168" s="1"/>
      <c r="D168" s="1"/>
      <c r="E168" s="1"/>
      <c r="F168" s="1"/>
      <c r="G168" s="1"/>
      <c r="H168" s="10"/>
      <c r="I168" s="10"/>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ht="15.75" customHeight="1">
      <c r="A169" s="1"/>
      <c r="B169" s="1"/>
      <c r="C169" s="1"/>
      <c r="D169" s="1"/>
      <c r="E169" s="1"/>
      <c r="F169" s="1"/>
      <c r="G169" s="1"/>
      <c r="H169" s="10"/>
      <c r="I169" s="10"/>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ht="15.75" customHeight="1">
      <c r="A170" s="1"/>
      <c r="B170" s="1"/>
      <c r="C170" s="1"/>
      <c r="D170" s="1"/>
      <c r="E170" s="1"/>
      <c r="F170" s="1"/>
      <c r="G170" s="1"/>
      <c r="H170" s="10"/>
      <c r="I170" s="10"/>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ht="15.75" customHeight="1">
      <c r="A171" s="1"/>
      <c r="B171" s="1"/>
      <c r="C171" s="1"/>
      <c r="D171" s="1"/>
      <c r="E171" s="1"/>
      <c r="F171" s="1"/>
      <c r="G171" s="1"/>
      <c r="H171" s="10"/>
      <c r="I171" s="10"/>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ht="15.75" customHeight="1">
      <c r="A172" s="1"/>
      <c r="B172" s="1"/>
      <c r="C172" s="1"/>
      <c r="D172" s="1"/>
      <c r="E172" s="1"/>
      <c r="F172" s="1"/>
      <c r="G172" s="1"/>
      <c r="H172" s="10"/>
      <c r="I172" s="10"/>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ht="15.75" customHeight="1">
      <c r="A173" s="1"/>
      <c r="B173" s="1"/>
      <c r="C173" s="1"/>
      <c r="D173" s="1"/>
      <c r="E173" s="1"/>
      <c r="F173" s="1"/>
      <c r="G173" s="1"/>
      <c r="H173" s="10"/>
      <c r="I173" s="10"/>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ht="15.75" customHeight="1">
      <c r="A174" s="1"/>
      <c r="B174" s="1"/>
      <c r="C174" s="1"/>
      <c r="D174" s="1"/>
      <c r="E174" s="1"/>
      <c r="F174" s="1"/>
      <c r="G174" s="1"/>
      <c r="H174" s="10"/>
      <c r="I174" s="10"/>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ht="15.75" customHeight="1">
      <c r="A175" s="1"/>
      <c r="B175" s="1"/>
      <c r="C175" s="1"/>
      <c r="D175" s="1"/>
      <c r="E175" s="1"/>
      <c r="F175" s="1"/>
      <c r="G175" s="1"/>
      <c r="H175" s="10"/>
      <c r="I175" s="10"/>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ht="15.75" customHeight="1">
      <c r="A176" s="1"/>
      <c r="B176" s="1"/>
      <c r="C176" s="1"/>
      <c r="D176" s="1"/>
      <c r="E176" s="1"/>
      <c r="F176" s="1"/>
      <c r="G176" s="1"/>
      <c r="H176" s="10"/>
      <c r="I176" s="10"/>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ht="15.75" customHeight="1">
      <c r="A177" s="1"/>
      <c r="B177" s="1"/>
      <c r="C177" s="1"/>
      <c r="D177" s="1"/>
      <c r="E177" s="1"/>
      <c r="F177" s="1"/>
      <c r="G177" s="1"/>
      <c r="H177" s="10"/>
      <c r="I177" s="10"/>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ht="15.75" customHeight="1">
      <c r="A178" s="1"/>
      <c r="B178" s="1"/>
      <c r="C178" s="1"/>
      <c r="D178" s="1"/>
      <c r="E178" s="1"/>
      <c r="F178" s="1"/>
      <c r="G178" s="1"/>
      <c r="H178" s="10"/>
      <c r="I178" s="10"/>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ht="15.75" customHeight="1">
      <c r="A179" s="1"/>
      <c r="B179" s="1"/>
      <c r="C179" s="1"/>
      <c r="D179" s="1"/>
      <c r="E179" s="1"/>
      <c r="F179" s="1"/>
      <c r="G179" s="1"/>
      <c r="H179" s="10"/>
      <c r="I179" s="10"/>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ht="15.75" customHeight="1">
      <c r="A180" s="1"/>
      <c r="B180" s="1"/>
      <c r="C180" s="1"/>
      <c r="D180" s="1"/>
      <c r="E180" s="1"/>
      <c r="F180" s="1"/>
      <c r="G180" s="1"/>
      <c r="H180" s="10"/>
      <c r="I180" s="10"/>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ht="15.75" customHeight="1">
      <c r="A181" s="1"/>
      <c r="B181" s="1"/>
      <c r="C181" s="1"/>
      <c r="D181" s="1"/>
      <c r="E181" s="1"/>
      <c r="F181" s="1"/>
      <c r="G181" s="1"/>
      <c r="H181" s="10"/>
      <c r="I181" s="10"/>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ht="15.75" customHeight="1">
      <c r="A182" s="1"/>
      <c r="B182" s="1"/>
      <c r="C182" s="1"/>
      <c r="D182" s="1"/>
      <c r="E182" s="1"/>
      <c r="F182" s="1"/>
      <c r="G182" s="1"/>
      <c r="H182" s="10"/>
      <c r="I182" s="10"/>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ht="15.75" customHeight="1">
      <c r="A183" s="1"/>
      <c r="B183" s="1"/>
      <c r="C183" s="1"/>
      <c r="D183" s="1"/>
      <c r="E183" s="1"/>
      <c r="F183" s="1"/>
      <c r="G183" s="1"/>
      <c r="H183" s="10"/>
      <c r="I183" s="10"/>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ht="15.75" customHeight="1">
      <c r="A184" s="1"/>
      <c r="B184" s="1"/>
      <c r="C184" s="1"/>
      <c r="D184" s="1"/>
      <c r="E184" s="1"/>
      <c r="F184" s="1"/>
      <c r="G184" s="1"/>
      <c r="H184" s="10"/>
      <c r="I184" s="10"/>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ht="15.75" customHeight="1">
      <c r="A185" s="1"/>
      <c r="B185" s="1"/>
      <c r="C185" s="1"/>
      <c r="D185" s="1"/>
      <c r="E185" s="1"/>
      <c r="F185" s="1"/>
      <c r="G185" s="1"/>
      <c r="H185" s="10"/>
      <c r="I185" s="10"/>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ht="15.75" customHeight="1">
      <c r="A186" s="1"/>
      <c r="B186" s="1"/>
      <c r="C186" s="1"/>
      <c r="D186" s="1"/>
      <c r="E186" s="1"/>
      <c r="F186" s="1"/>
      <c r="G186" s="1"/>
      <c r="H186" s="10"/>
      <c r="I186" s="10"/>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ht="15.75" customHeight="1">
      <c r="A187" s="1"/>
      <c r="B187" s="1"/>
      <c r="C187" s="1"/>
      <c r="D187" s="1"/>
      <c r="E187" s="1"/>
      <c r="F187" s="1"/>
      <c r="G187" s="1"/>
      <c r="H187" s="10"/>
      <c r="I187" s="10"/>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ht="15.75" customHeight="1">
      <c r="A188" s="1"/>
      <c r="B188" s="1"/>
      <c r="C188" s="1"/>
      <c r="D188" s="1"/>
      <c r="E188" s="1"/>
      <c r="F188" s="1"/>
      <c r="G188" s="1"/>
      <c r="H188" s="10"/>
      <c r="I188" s="10"/>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ht="15.75" customHeight="1">
      <c r="A189" s="1"/>
      <c r="B189" s="1"/>
      <c r="C189" s="1"/>
      <c r="D189" s="1"/>
      <c r="E189" s="1"/>
      <c r="F189" s="1"/>
      <c r="G189" s="1"/>
      <c r="H189" s="10"/>
      <c r="I189" s="10"/>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ht="15.75" customHeight="1">
      <c r="A190" s="1"/>
      <c r="B190" s="1"/>
      <c r="C190" s="1"/>
      <c r="D190" s="1"/>
      <c r="E190" s="1"/>
      <c r="F190" s="1"/>
      <c r="G190" s="1"/>
      <c r="H190" s="10"/>
      <c r="I190" s="10"/>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ht="15.75" customHeight="1">
      <c r="A191" s="1"/>
      <c r="B191" s="1"/>
      <c r="C191" s="1"/>
      <c r="D191" s="1"/>
      <c r="E191" s="1"/>
      <c r="F191" s="1"/>
      <c r="G191" s="1"/>
      <c r="H191" s="10"/>
      <c r="I191" s="10"/>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ht="15.75" customHeight="1">
      <c r="A192" s="1"/>
      <c r="B192" s="1"/>
      <c r="C192" s="1"/>
      <c r="D192" s="1"/>
      <c r="E192" s="1"/>
      <c r="F192" s="1"/>
      <c r="G192" s="1"/>
      <c r="H192" s="10"/>
      <c r="I192" s="10"/>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ht="15.75" customHeight="1">
      <c r="A193" s="1"/>
      <c r="B193" s="1"/>
      <c r="C193" s="1"/>
      <c r="D193" s="1"/>
      <c r="E193" s="1"/>
      <c r="F193" s="1"/>
      <c r="G193" s="1"/>
      <c r="H193" s="10"/>
      <c r="I193" s="10"/>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ht="15.75" customHeight="1">
      <c r="A194" s="1"/>
      <c r="B194" s="1"/>
      <c r="C194" s="1"/>
      <c r="D194" s="1"/>
      <c r="E194" s="1"/>
      <c r="F194" s="1"/>
      <c r="G194" s="1"/>
      <c r="H194" s="10"/>
      <c r="I194" s="10"/>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ht="15.75" customHeight="1">
      <c r="A195" s="1"/>
      <c r="B195" s="1"/>
      <c r="C195" s="1"/>
      <c r="D195" s="1"/>
      <c r="E195" s="1"/>
      <c r="F195" s="1"/>
      <c r="G195" s="1"/>
      <c r="H195" s="10"/>
      <c r="I195" s="10"/>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ht="15.75" customHeight="1">
      <c r="A196" s="1"/>
      <c r="B196" s="1"/>
      <c r="C196" s="1"/>
      <c r="D196" s="1"/>
      <c r="E196" s="1"/>
      <c r="F196" s="1"/>
      <c r="G196" s="1"/>
      <c r="H196" s="10"/>
      <c r="I196" s="10"/>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ht="15.75" customHeight="1">
      <c r="A197" s="1"/>
      <c r="B197" s="1"/>
      <c r="C197" s="1"/>
      <c r="D197" s="1"/>
      <c r="E197" s="1"/>
      <c r="F197" s="1"/>
      <c r="G197" s="1"/>
      <c r="H197" s="10"/>
      <c r="I197" s="10"/>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ht="15.75" customHeight="1">
      <c r="A198" s="1"/>
      <c r="B198" s="1"/>
      <c r="C198" s="1"/>
      <c r="D198" s="1"/>
      <c r="E198" s="1"/>
      <c r="F198" s="1"/>
      <c r="G198" s="1"/>
      <c r="H198" s="10"/>
      <c r="I198" s="10"/>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ht="15.75" customHeight="1">
      <c r="A199" s="1"/>
      <c r="B199" s="1"/>
      <c r="C199" s="1"/>
      <c r="D199" s="1"/>
      <c r="E199" s="1"/>
      <c r="F199" s="1"/>
      <c r="G199" s="1"/>
      <c r="H199" s="10"/>
      <c r="I199" s="10"/>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ht="15.75" customHeight="1">
      <c r="A200" s="1"/>
      <c r="B200" s="1"/>
      <c r="C200" s="1"/>
      <c r="D200" s="1"/>
      <c r="E200" s="1"/>
      <c r="F200" s="1"/>
      <c r="G200" s="1"/>
      <c r="H200" s="10"/>
      <c r="I200" s="10"/>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ht="15.75" customHeight="1">
      <c r="A201" s="1"/>
      <c r="B201" s="1"/>
      <c r="C201" s="1"/>
      <c r="D201" s="1"/>
      <c r="E201" s="1"/>
      <c r="F201" s="1"/>
      <c r="G201" s="1"/>
      <c r="H201" s="10"/>
      <c r="I201" s="10"/>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ht="15.75" customHeight="1">
      <c r="A202" s="1"/>
      <c r="B202" s="1"/>
      <c r="C202" s="1"/>
      <c r="D202" s="1"/>
      <c r="E202" s="1"/>
      <c r="F202" s="1"/>
      <c r="G202" s="1"/>
      <c r="H202" s="10"/>
      <c r="I202" s="10"/>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ht="15.75" customHeight="1">
      <c r="A203" s="1"/>
      <c r="B203" s="1"/>
      <c r="C203" s="1"/>
      <c r="D203" s="1"/>
      <c r="E203" s="1"/>
      <c r="F203" s="1"/>
      <c r="G203" s="1"/>
      <c r="H203" s="10"/>
      <c r="I203" s="10"/>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ht="15.75" customHeight="1">
      <c r="A204" s="1"/>
      <c r="B204" s="1"/>
      <c r="C204" s="1"/>
      <c r="D204" s="1"/>
      <c r="E204" s="1"/>
      <c r="F204" s="1"/>
      <c r="G204" s="1"/>
      <c r="H204" s="10"/>
      <c r="I204" s="10"/>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ht="15.75" customHeight="1">
      <c r="A205" s="1"/>
      <c r="B205" s="1"/>
      <c r="C205" s="1"/>
      <c r="D205" s="1"/>
      <c r="E205" s="1"/>
      <c r="F205" s="1"/>
      <c r="G205" s="1"/>
      <c r="H205" s="10"/>
      <c r="I205" s="10"/>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ht="15.75" customHeight="1">
      <c r="A206" s="1"/>
      <c r="B206" s="1"/>
      <c r="C206" s="1"/>
      <c r="D206" s="1"/>
      <c r="E206" s="1"/>
      <c r="F206" s="1"/>
      <c r="G206" s="1"/>
      <c r="H206" s="10"/>
      <c r="I206" s="10"/>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ht="15.75" customHeight="1">
      <c r="A207" s="1"/>
      <c r="B207" s="1"/>
      <c r="C207" s="1"/>
      <c r="D207" s="1"/>
      <c r="E207" s="1"/>
      <c r="F207" s="1"/>
      <c r="G207" s="1"/>
      <c r="H207" s="10"/>
      <c r="I207" s="10"/>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ht="15.75" customHeight="1">
      <c r="A208" s="1"/>
      <c r="B208" s="1"/>
      <c r="C208" s="1"/>
      <c r="D208" s="1"/>
      <c r="E208" s="1"/>
      <c r="F208" s="1"/>
      <c r="G208" s="1"/>
      <c r="H208" s="10"/>
      <c r="I208" s="10"/>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ht="15.75" customHeight="1">
      <c r="A209" s="1"/>
      <c r="B209" s="1"/>
      <c r="C209" s="1"/>
      <c r="D209" s="1"/>
      <c r="E209" s="1"/>
      <c r="F209" s="1"/>
      <c r="G209" s="1"/>
      <c r="H209" s="10"/>
      <c r="I209" s="10"/>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ht="15.75" customHeight="1">
      <c r="A210" s="1"/>
      <c r="B210" s="1"/>
      <c r="C210" s="1"/>
      <c r="D210" s="1"/>
      <c r="E210" s="1"/>
      <c r="F210" s="1"/>
      <c r="G210" s="1"/>
      <c r="H210" s="10"/>
      <c r="I210" s="10"/>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ht="15.75" customHeight="1">
      <c r="A211" s="1"/>
      <c r="B211" s="1"/>
      <c r="C211" s="1"/>
      <c r="D211" s="1"/>
      <c r="E211" s="1"/>
      <c r="F211" s="1"/>
      <c r="G211" s="1"/>
      <c r="H211" s="10"/>
      <c r="I211" s="10"/>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ht="15.75" customHeight="1">
      <c r="A212" s="1"/>
      <c r="B212" s="1"/>
      <c r="C212" s="1"/>
      <c r="D212" s="1"/>
      <c r="E212" s="1"/>
      <c r="F212" s="1"/>
      <c r="G212" s="1"/>
      <c r="H212" s="10"/>
      <c r="I212" s="10"/>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ht="15.75" customHeight="1">
      <c r="A213" s="1"/>
      <c r="B213" s="1"/>
      <c r="C213" s="1"/>
      <c r="D213" s="1"/>
      <c r="E213" s="1"/>
      <c r="F213" s="1"/>
      <c r="G213" s="1"/>
      <c r="H213" s="10"/>
      <c r="I213" s="10"/>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ht="15.75" customHeight="1">
      <c r="A214" s="1"/>
      <c r="B214" s="1"/>
      <c r="C214" s="1"/>
      <c r="D214" s="1"/>
      <c r="E214" s="1"/>
      <c r="F214" s="1"/>
      <c r="G214" s="1"/>
      <c r="H214" s="10"/>
      <c r="I214" s="10"/>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ht="15.75" customHeight="1">
      <c r="A215" s="1"/>
      <c r="B215" s="1"/>
      <c r="C215" s="1"/>
      <c r="D215" s="1"/>
      <c r="E215" s="1"/>
      <c r="F215" s="1"/>
      <c r="G215" s="1"/>
      <c r="H215" s="10"/>
      <c r="I215" s="10"/>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ht="15.75" customHeight="1">
      <c r="A216" s="1"/>
      <c r="B216" s="1"/>
      <c r="C216" s="1"/>
      <c r="D216" s="1"/>
      <c r="E216" s="1"/>
      <c r="F216" s="1"/>
      <c r="G216" s="1"/>
      <c r="H216" s="10"/>
      <c r="I216" s="10"/>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ht="15.75" customHeight="1">
      <c r="A217" s="1"/>
      <c r="B217" s="1"/>
      <c r="C217" s="1"/>
      <c r="D217" s="1"/>
      <c r="E217" s="1"/>
      <c r="F217" s="1"/>
      <c r="G217" s="1"/>
      <c r="H217" s="10"/>
      <c r="I217" s="10"/>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ht="15.75" customHeight="1">
      <c r="A218" s="1"/>
      <c r="B218" s="1"/>
      <c r="C218" s="1"/>
      <c r="D218" s="1"/>
      <c r="E218" s="1"/>
      <c r="F218" s="1"/>
      <c r="G218" s="1"/>
      <c r="H218" s="10"/>
      <c r="I218" s="10"/>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ht="15.75" customHeight="1">
      <c r="A219" s="1"/>
      <c r="B219" s="1"/>
      <c r="C219" s="1"/>
      <c r="D219" s="1"/>
      <c r="E219" s="1"/>
      <c r="F219" s="1"/>
      <c r="G219" s="1"/>
      <c r="H219" s="10"/>
      <c r="I219" s="10"/>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ht="15.75" customHeight="1">
      <c r="A220" s="1"/>
      <c r="B220" s="1"/>
      <c r="C220" s="1"/>
      <c r="D220" s="1"/>
      <c r="E220" s="1"/>
      <c r="F220" s="1"/>
      <c r="G220" s="1"/>
      <c r="H220" s="10"/>
      <c r="I220" s="10"/>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ht="15.75" customHeight="1">
      <c r="A221" s="1"/>
      <c r="B221" s="1"/>
      <c r="C221" s="1"/>
      <c r="D221" s="1"/>
      <c r="E221" s="1"/>
      <c r="F221" s="1"/>
      <c r="G221" s="1"/>
      <c r="H221" s="10"/>
      <c r="I221" s="10"/>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ht="15.75" customHeight="1">
      <c r="A222" s="1"/>
      <c r="B222" s="1"/>
      <c r="C222" s="1"/>
      <c r="D222" s="1"/>
      <c r="E222" s="1"/>
      <c r="F222" s="1"/>
      <c r="G222" s="1"/>
      <c r="H222" s="10"/>
      <c r="I222" s="10"/>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ht="15.75" customHeight="1">
      <c r="A223" s="1"/>
      <c r="B223" s="1"/>
      <c r="C223" s="1"/>
      <c r="D223" s="1"/>
      <c r="E223" s="1"/>
      <c r="F223" s="1"/>
      <c r="G223" s="1"/>
      <c r="H223" s="10"/>
      <c r="I223" s="10"/>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ht="15.75" customHeight="1">
      <c r="A224" s="1"/>
      <c r="B224" s="1"/>
      <c r="C224" s="1"/>
      <c r="D224" s="1"/>
      <c r="E224" s="1"/>
      <c r="F224" s="1"/>
      <c r="G224" s="1"/>
      <c r="H224" s="10"/>
      <c r="I224" s="10"/>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ht="15.75" customHeight="1">
      <c r="A225" s="1"/>
      <c r="B225" s="1"/>
      <c r="C225" s="1"/>
      <c r="D225" s="1"/>
      <c r="E225" s="1"/>
      <c r="F225" s="1"/>
      <c r="G225" s="1"/>
      <c r="H225" s="10"/>
      <c r="I225" s="10"/>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ht="15.75" customHeight="1">
      <c r="A226" s="1"/>
      <c r="B226" s="1"/>
      <c r="C226" s="1"/>
      <c r="D226" s="1"/>
      <c r="E226" s="1"/>
      <c r="F226" s="1"/>
      <c r="G226" s="1"/>
      <c r="H226" s="10"/>
      <c r="I226" s="10"/>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ht="15.75" customHeight="1">
      <c r="A227" s="1"/>
      <c r="B227" s="1"/>
      <c r="C227" s="1"/>
      <c r="D227" s="1"/>
      <c r="E227" s="1"/>
      <c r="F227" s="1"/>
      <c r="G227" s="1"/>
      <c r="H227" s="10"/>
      <c r="I227" s="10"/>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ht="15.75" customHeight="1">
      <c r="A228" s="1"/>
      <c r="B228" s="1"/>
      <c r="C228" s="1"/>
      <c r="D228" s="1"/>
      <c r="E228" s="1"/>
      <c r="F228" s="1"/>
      <c r="G228" s="1"/>
      <c r="H228" s="10"/>
      <c r="I228" s="10"/>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ht="15.75" customHeight="1">
      <c r="A229" s="1"/>
      <c r="B229" s="1"/>
      <c r="C229" s="1"/>
      <c r="D229" s="1"/>
      <c r="E229" s="1"/>
      <c r="F229" s="1"/>
      <c r="G229" s="1"/>
      <c r="H229" s="10"/>
      <c r="I229" s="10"/>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ht="15.75" customHeight="1">
      <c r="A230" s="1"/>
      <c r="B230" s="1"/>
      <c r="C230" s="1"/>
      <c r="D230" s="1"/>
      <c r="E230" s="1"/>
      <c r="F230" s="1"/>
      <c r="G230" s="1"/>
      <c r="H230" s="10"/>
      <c r="I230" s="10"/>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ht="15.75" customHeight="1">
      <c r="A231" s="1"/>
      <c r="B231" s="1"/>
      <c r="C231" s="1"/>
      <c r="D231" s="1"/>
      <c r="E231" s="1"/>
      <c r="F231" s="1"/>
      <c r="G231" s="1"/>
      <c r="H231" s="10"/>
      <c r="I231" s="10"/>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ht="15.75" customHeight="1">
      <c r="A232" s="1"/>
      <c r="B232" s="1"/>
      <c r="C232" s="1"/>
      <c r="D232" s="1"/>
      <c r="E232" s="1"/>
      <c r="F232" s="1"/>
      <c r="G232" s="1"/>
      <c r="H232" s="10"/>
      <c r="I232" s="10"/>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ht="15.75" customHeight="1">
      <c r="A233" s="1"/>
      <c r="B233" s="1"/>
      <c r="C233" s="1"/>
      <c r="D233" s="1"/>
      <c r="E233" s="1"/>
      <c r="F233" s="1"/>
      <c r="G233" s="1"/>
      <c r="H233" s="10"/>
      <c r="I233" s="10"/>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ht="15.75" customHeight="1">
      <c r="A234" s="1"/>
      <c r="B234" s="1"/>
      <c r="C234" s="1"/>
      <c r="D234" s="1"/>
      <c r="E234" s="1"/>
      <c r="F234" s="1"/>
      <c r="G234" s="1"/>
      <c r="H234" s="10"/>
      <c r="I234" s="10"/>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ht="15.75" customHeight="1">
      <c r="A235" s="1"/>
      <c r="B235" s="1"/>
      <c r="C235" s="1"/>
      <c r="D235" s="1"/>
      <c r="E235" s="1"/>
      <c r="F235" s="1"/>
      <c r="G235" s="1"/>
      <c r="H235" s="10"/>
      <c r="I235" s="10"/>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ht="15.75" customHeight="1">
      <c r="A236" s="1"/>
      <c r="B236" s="1"/>
      <c r="C236" s="1"/>
      <c r="D236" s="1"/>
      <c r="E236" s="1"/>
      <c r="F236" s="1"/>
      <c r="G236" s="1"/>
      <c r="H236" s="10"/>
      <c r="I236" s="10"/>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ht="15.75" customHeight="1">
      <c r="A237" s="1"/>
      <c r="B237" s="1"/>
      <c r="C237" s="1"/>
      <c r="D237" s="1"/>
      <c r="E237" s="1"/>
      <c r="F237" s="1"/>
      <c r="G237" s="1"/>
      <c r="H237" s="10"/>
      <c r="I237" s="10"/>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ht="15.75" customHeight="1">
      <c r="A238" s="1"/>
      <c r="B238" s="1"/>
      <c r="C238" s="1"/>
      <c r="D238" s="1"/>
      <c r="E238" s="1"/>
      <c r="F238" s="1"/>
      <c r="G238" s="1"/>
      <c r="H238" s="10"/>
      <c r="I238" s="10"/>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ht="15.75" customHeight="1">
      <c r="A239" s="1"/>
      <c r="B239" s="1"/>
      <c r="C239" s="1"/>
      <c r="D239" s="1"/>
      <c r="E239" s="1"/>
      <c r="F239" s="1"/>
      <c r="G239" s="1"/>
      <c r="H239" s="10"/>
      <c r="I239" s="10"/>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ht="15.75" customHeight="1">
      <c r="A240" s="1"/>
      <c r="B240" s="1"/>
      <c r="C240" s="1"/>
      <c r="D240" s="1"/>
      <c r="E240" s="1"/>
      <c r="F240" s="1"/>
      <c r="G240" s="1"/>
      <c r="H240" s="10"/>
      <c r="I240" s="10"/>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ht="15.75" customHeight="1">
      <c r="A241" s="1"/>
      <c r="B241" s="1"/>
      <c r="C241" s="1"/>
      <c r="D241" s="1"/>
      <c r="E241" s="1"/>
      <c r="F241" s="1"/>
      <c r="G241" s="1"/>
      <c r="H241" s="10"/>
      <c r="I241" s="10"/>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ht="15.75" customHeight="1">
      <c r="A242" s="1"/>
      <c r="B242" s="1"/>
      <c r="C242" s="1"/>
      <c r="D242" s="1"/>
      <c r="E242" s="1"/>
      <c r="F242" s="1"/>
      <c r="G242" s="1"/>
      <c r="H242" s="10"/>
      <c r="I242" s="10"/>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ht="15.75" customHeight="1">
      <c r="A243" s="1"/>
      <c r="B243" s="1"/>
      <c r="C243" s="1"/>
      <c r="D243" s="1"/>
      <c r="E243" s="1"/>
      <c r="F243" s="1"/>
      <c r="G243" s="1"/>
      <c r="H243" s="10"/>
      <c r="I243" s="10"/>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ht="15.75" customHeight="1">
      <c r="A244" s="1"/>
      <c r="B244" s="1"/>
      <c r="C244" s="1"/>
      <c r="D244" s="1"/>
      <c r="E244" s="1"/>
      <c r="F244" s="1"/>
      <c r="G244" s="1"/>
      <c r="H244" s="10"/>
      <c r="I244" s="10"/>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ht="15.75" customHeight="1">
      <c r="A245" s="1"/>
      <c r="B245" s="1"/>
      <c r="C245" s="1"/>
      <c r="D245" s="1"/>
      <c r="E245" s="1"/>
      <c r="F245" s="1"/>
      <c r="G245" s="1"/>
      <c r="H245" s="10"/>
      <c r="I245" s="10"/>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ht="15.75" customHeight="1">
      <c r="A246" s="1"/>
      <c r="B246" s="1"/>
      <c r="C246" s="1"/>
      <c r="D246" s="1"/>
      <c r="E246" s="1"/>
      <c r="F246" s="1"/>
      <c r="G246" s="1"/>
      <c r="H246" s="10"/>
      <c r="I246" s="10"/>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ht="15.75" customHeight="1">
      <c r="A247" s="1"/>
      <c r="B247" s="1"/>
      <c r="C247" s="1"/>
      <c r="D247" s="1"/>
      <c r="E247" s="1"/>
      <c r="F247" s="1"/>
      <c r="G247" s="1"/>
      <c r="H247" s="10"/>
      <c r="I247" s="10"/>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ht="15.75" customHeight="1">
      <c r="A248" s="1"/>
      <c r="B248" s="1"/>
      <c r="C248" s="1"/>
      <c r="D248" s="1"/>
      <c r="E248" s="1"/>
      <c r="F248" s="1"/>
      <c r="G248" s="1"/>
      <c r="H248" s="10"/>
      <c r="I248" s="10"/>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ht="15.75" customHeight="1">
      <c r="A249" s="1"/>
      <c r="B249" s="1"/>
      <c r="C249" s="1"/>
      <c r="D249" s="1"/>
      <c r="E249" s="1"/>
      <c r="F249" s="1"/>
      <c r="G249" s="1"/>
      <c r="H249" s="10"/>
      <c r="I249" s="10"/>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ht="15.75" customHeight="1">
      <c r="A250" s="1"/>
      <c r="B250" s="1"/>
      <c r="C250" s="1"/>
      <c r="D250" s="1"/>
      <c r="E250" s="1"/>
      <c r="F250" s="1"/>
      <c r="G250" s="1"/>
      <c r="H250" s="10"/>
      <c r="I250" s="10"/>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ht="15.75" customHeight="1">
      <c r="A251" s="1"/>
      <c r="B251" s="1"/>
      <c r="C251" s="1"/>
      <c r="D251" s="1"/>
      <c r="E251" s="1"/>
      <c r="F251" s="1"/>
      <c r="G251" s="1"/>
      <c r="H251" s="10"/>
      <c r="I251" s="10"/>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ht="15.75" customHeight="1">
      <c r="A252" s="1"/>
      <c r="B252" s="1"/>
      <c r="C252" s="1"/>
      <c r="D252" s="1"/>
      <c r="E252" s="1"/>
      <c r="F252" s="1"/>
      <c r="G252" s="1"/>
      <c r="H252" s="10"/>
      <c r="I252" s="10"/>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ht="15.75" customHeight="1">
      <c r="A253" s="1"/>
      <c r="B253" s="1"/>
      <c r="C253" s="1"/>
      <c r="D253" s="1"/>
      <c r="E253" s="1"/>
      <c r="F253" s="1"/>
      <c r="G253" s="1"/>
      <c r="H253" s="10"/>
      <c r="I253" s="10"/>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ht="15.75" customHeight="1">
      <c r="A254" s="1"/>
      <c r="B254" s="1"/>
      <c r="C254" s="1"/>
      <c r="D254" s="1"/>
      <c r="E254" s="1"/>
      <c r="F254" s="1"/>
      <c r="G254" s="1"/>
      <c r="H254" s="10"/>
      <c r="I254" s="10"/>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ht="15.75" customHeight="1">
      <c r="A255" s="1"/>
      <c r="B255" s="1"/>
      <c r="C255" s="1"/>
      <c r="D255" s="1"/>
      <c r="E255" s="1"/>
      <c r="F255" s="1"/>
      <c r="G255" s="1"/>
      <c r="H255" s="10"/>
      <c r="I255" s="10"/>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ht="15.75" customHeight="1">
      <c r="A256" s="1"/>
      <c r="B256" s="1"/>
      <c r="C256" s="1"/>
      <c r="D256" s="1"/>
      <c r="E256" s="1"/>
      <c r="F256" s="1"/>
      <c r="G256" s="1"/>
      <c r="H256" s="10"/>
      <c r="I256" s="10"/>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ht="15.75" customHeight="1">
      <c r="A257" s="1"/>
      <c r="B257" s="1"/>
      <c r="C257" s="1"/>
      <c r="D257" s="1"/>
      <c r="E257" s="1"/>
      <c r="F257" s="1"/>
      <c r="G257" s="1"/>
      <c r="H257" s="10"/>
      <c r="I257" s="10"/>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ht="15.75" customHeight="1">
      <c r="A258" s="1"/>
      <c r="B258" s="1"/>
      <c r="C258" s="1"/>
      <c r="D258" s="1"/>
      <c r="E258" s="1"/>
      <c r="F258" s="1"/>
      <c r="G258" s="1"/>
      <c r="H258" s="10"/>
      <c r="I258" s="10"/>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ht="15.75" customHeight="1">
      <c r="A259" s="1"/>
      <c r="B259" s="1"/>
      <c r="C259" s="1"/>
      <c r="D259" s="1"/>
      <c r="E259" s="1"/>
      <c r="F259" s="1"/>
      <c r="G259" s="1"/>
      <c r="H259" s="10"/>
      <c r="I259" s="10"/>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ht="15.75" customHeight="1">
      <c r="A260" s="1"/>
      <c r="B260" s="1"/>
      <c r="C260" s="1"/>
      <c r="D260" s="1"/>
      <c r="E260" s="1"/>
      <c r="F260" s="1"/>
      <c r="G260" s="1"/>
      <c r="H260" s="10"/>
      <c r="I260" s="10"/>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ht="15.75" customHeight="1">
      <c r="A261" s="1"/>
      <c r="B261" s="1"/>
      <c r="C261" s="1"/>
      <c r="D261" s="1"/>
      <c r="E261" s="1"/>
      <c r="F261" s="1"/>
      <c r="G261" s="1"/>
      <c r="H261" s="10"/>
      <c r="I261" s="10"/>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ht="15.75" customHeight="1">
      <c r="A262" s="1"/>
      <c r="B262" s="1"/>
      <c r="C262" s="1"/>
      <c r="D262" s="1"/>
      <c r="E262" s="1"/>
      <c r="F262" s="1"/>
      <c r="G262" s="1"/>
      <c r="H262" s="10"/>
      <c r="I262" s="10"/>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ht="15.75" customHeight="1">
      <c r="A263" s="1"/>
      <c r="B263" s="1"/>
      <c r="C263" s="1"/>
      <c r="D263" s="1"/>
      <c r="E263" s="1"/>
      <c r="F263" s="1"/>
      <c r="G263" s="1"/>
      <c r="H263" s="10"/>
      <c r="I263" s="10"/>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ht="15.75" customHeight="1">
      <c r="A264" s="1"/>
      <c r="B264" s="1"/>
      <c r="C264" s="1"/>
      <c r="D264" s="1"/>
      <c r="E264" s="1"/>
      <c r="F264" s="1"/>
      <c r="G264" s="1"/>
      <c r="H264" s="10"/>
      <c r="I264" s="10"/>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ht="15.75" customHeight="1">
      <c r="A265" s="1"/>
      <c r="B265" s="1"/>
      <c r="C265" s="1"/>
      <c r="D265" s="1"/>
      <c r="E265" s="1"/>
      <c r="F265" s="1"/>
      <c r="G265" s="1"/>
      <c r="H265" s="10"/>
      <c r="I265" s="10"/>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ht="15.75" customHeight="1">
      <c r="A266" s="1"/>
      <c r="B266" s="1"/>
      <c r="C266" s="1"/>
      <c r="D266" s="1"/>
      <c r="E266" s="1"/>
      <c r="F266" s="1"/>
      <c r="G266" s="1"/>
      <c r="H266" s="10"/>
      <c r="I266" s="10"/>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ht="15.75" customHeight="1">
      <c r="A267" s="1"/>
      <c r="B267" s="1"/>
      <c r="C267" s="1"/>
      <c r="D267" s="1"/>
      <c r="E267" s="1"/>
      <c r="F267" s="1"/>
      <c r="G267" s="1"/>
      <c r="H267" s="10"/>
      <c r="I267" s="10"/>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ht="15.75" customHeight="1">
      <c r="A268" s="1"/>
      <c r="B268" s="1"/>
      <c r="C268" s="1"/>
      <c r="D268" s="1"/>
      <c r="E268" s="1"/>
      <c r="F268" s="1"/>
      <c r="G268" s="1"/>
      <c r="H268" s="10"/>
      <c r="I268" s="10"/>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ht="15.75" customHeight="1">
      <c r="A269" s="1"/>
      <c r="B269" s="1"/>
      <c r="C269" s="1"/>
      <c r="D269" s="1"/>
      <c r="E269" s="1"/>
      <c r="F269" s="1"/>
      <c r="G269" s="1"/>
      <c r="H269" s="10"/>
      <c r="I269" s="10"/>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ht="15.75" customHeight="1">
      <c r="A270" s="1"/>
      <c r="B270" s="1"/>
      <c r="C270" s="1"/>
      <c r="D270" s="1"/>
      <c r="E270" s="1"/>
      <c r="F270" s="1"/>
      <c r="G270" s="1"/>
      <c r="H270" s="10"/>
      <c r="I270" s="10"/>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ht="15.75" customHeight="1">
      <c r="A271" s="1"/>
      <c r="B271" s="1"/>
      <c r="C271" s="1"/>
      <c r="D271" s="1"/>
      <c r="E271" s="1"/>
      <c r="F271" s="1"/>
      <c r="G271" s="1"/>
      <c r="H271" s="10"/>
      <c r="I271" s="10"/>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ht="15.75" customHeight="1">
      <c r="A272" s="1"/>
      <c r="B272" s="1"/>
      <c r="C272" s="1"/>
      <c r="D272" s="1"/>
      <c r="E272" s="1"/>
      <c r="F272" s="1"/>
      <c r="G272" s="1"/>
      <c r="H272" s="10"/>
      <c r="I272" s="10"/>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ht="15.75" customHeight="1">
      <c r="A273" s="1"/>
      <c r="B273" s="1"/>
      <c r="C273" s="1"/>
      <c r="D273" s="1"/>
      <c r="E273" s="1"/>
      <c r="F273" s="1"/>
      <c r="G273" s="1"/>
      <c r="H273" s="10"/>
      <c r="I273" s="10"/>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ht="15.75" customHeight="1">
      <c r="A274" s="1"/>
      <c r="B274" s="1"/>
      <c r="C274" s="1"/>
      <c r="D274" s="1"/>
      <c r="E274" s="1"/>
      <c r="F274" s="1"/>
      <c r="G274" s="1"/>
      <c r="H274" s="10"/>
      <c r="I274" s="10"/>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ht="15.75" customHeight="1">
      <c r="A275" s="1"/>
      <c r="B275" s="1"/>
      <c r="C275" s="1"/>
      <c r="D275" s="1"/>
      <c r="E275" s="1"/>
      <c r="F275" s="1"/>
      <c r="G275" s="1"/>
      <c r="H275" s="10"/>
      <c r="I275" s="10"/>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ht="15.75" customHeight="1">
      <c r="A276" s="1"/>
      <c r="B276" s="1"/>
      <c r="C276" s="1"/>
      <c r="D276" s="1"/>
      <c r="E276" s="1"/>
      <c r="F276" s="1"/>
      <c r="G276" s="1"/>
      <c r="H276" s="10"/>
      <c r="I276" s="10"/>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ht="15.75" customHeight="1">
      <c r="A277" s="1"/>
      <c r="B277" s="1"/>
      <c r="C277" s="1"/>
      <c r="D277" s="1"/>
      <c r="E277" s="1"/>
      <c r="F277" s="1"/>
      <c r="G277" s="1"/>
      <c r="H277" s="10"/>
      <c r="I277" s="10"/>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ht="15.75" customHeight="1">
      <c r="A278" s="1"/>
      <c r="B278" s="1"/>
      <c r="C278" s="1"/>
      <c r="D278" s="1"/>
      <c r="E278" s="1"/>
      <c r="F278" s="1"/>
      <c r="G278" s="1"/>
      <c r="H278" s="10"/>
      <c r="I278" s="10"/>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ht="15.75" customHeight="1">
      <c r="A279" s="1"/>
      <c r="B279" s="1"/>
      <c r="C279" s="1"/>
      <c r="D279" s="1"/>
      <c r="E279" s="1"/>
      <c r="F279" s="1"/>
      <c r="G279" s="1"/>
      <c r="H279" s="10"/>
      <c r="I279" s="10"/>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ht="15.75" customHeight="1">
      <c r="A280" s="1"/>
      <c r="B280" s="1"/>
      <c r="C280" s="1"/>
      <c r="D280" s="1"/>
      <c r="E280" s="1"/>
      <c r="F280" s="1"/>
      <c r="G280" s="1"/>
      <c r="H280" s="10"/>
      <c r="I280" s="10"/>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ht="15.75" customHeight="1">
      <c r="A281" s="1"/>
      <c r="B281" s="1"/>
      <c r="C281" s="1"/>
      <c r="D281" s="1"/>
      <c r="E281" s="1"/>
      <c r="F281" s="1"/>
      <c r="G281" s="1"/>
      <c r="H281" s="10"/>
      <c r="I281" s="10"/>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ht="15.75" customHeight="1">
      <c r="A282" s="1"/>
      <c r="B282" s="1"/>
      <c r="C282" s="1"/>
      <c r="D282" s="1"/>
      <c r="E282" s="1"/>
      <c r="F282" s="1"/>
      <c r="G282" s="1"/>
      <c r="H282" s="10"/>
      <c r="I282" s="10"/>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ht="15.75" customHeight="1">
      <c r="A283" s="1"/>
      <c r="B283" s="1"/>
      <c r="C283" s="1"/>
      <c r="D283" s="1"/>
      <c r="E283" s="1"/>
      <c r="F283" s="1"/>
      <c r="G283" s="1"/>
      <c r="H283" s="10"/>
      <c r="I283" s="10"/>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ht="15.75" customHeight="1">
      <c r="A284" s="1"/>
      <c r="B284" s="1"/>
      <c r="C284" s="1"/>
      <c r="D284" s="1"/>
      <c r="E284" s="1"/>
      <c r="F284" s="1"/>
      <c r="G284" s="1"/>
      <c r="H284" s="10"/>
      <c r="I284" s="10"/>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ht="15.75" customHeight="1">
      <c r="A285" s="1"/>
      <c r="B285" s="1"/>
      <c r="C285" s="1"/>
      <c r="D285" s="1"/>
      <c r="E285" s="1"/>
      <c r="F285" s="1"/>
      <c r="G285" s="1"/>
      <c r="H285" s="10"/>
      <c r="I285" s="10"/>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ht="15.75" customHeight="1">
      <c r="A286" s="1"/>
      <c r="B286" s="1"/>
      <c r="C286" s="1"/>
      <c r="D286" s="1"/>
      <c r="E286" s="1"/>
      <c r="F286" s="1"/>
      <c r="G286" s="1"/>
      <c r="H286" s="10"/>
      <c r="I286" s="10"/>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ht="15.75" customHeight="1">
      <c r="A287" s="1"/>
      <c r="B287" s="1"/>
      <c r="C287" s="1"/>
      <c r="D287" s="1"/>
      <c r="E287" s="1"/>
      <c r="F287" s="1"/>
      <c r="G287" s="1"/>
      <c r="H287" s="10"/>
      <c r="I287" s="10"/>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ht="15.75" customHeight="1">
      <c r="A288" s="1"/>
      <c r="B288" s="1"/>
      <c r="C288" s="1"/>
      <c r="D288" s="1"/>
      <c r="E288" s="1"/>
      <c r="F288" s="1"/>
      <c r="G288" s="1"/>
      <c r="H288" s="10"/>
      <c r="I288" s="10"/>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ht="15.75" customHeight="1">
      <c r="A289" s="1"/>
      <c r="B289" s="1"/>
      <c r="C289" s="1"/>
      <c r="D289" s="1"/>
      <c r="E289" s="1"/>
      <c r="F289" s="1"/>
      <c r="G289" s="1"/>
      <c r="H289" s="10"/>
      <c r="I289" s="10"/>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ht="15.75" customHeight="1">
      <c r="A290" s="1"/>
      <c r="B290" s="1"/>
      <c r="C290" s="1"/>
      <c r="D290" s="1"/>
      <c r="E290" s="1"/>
      <c r="F290" s="1"/>
      <c r="G290" s="1"/>
      <c r="H290" s="10"/>
      <c r="I290" s="10"/>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ht="15.75" customHeight="1">
      <c r="A291" s="1"/>
      <c r="B291" s="1"/>
      <c r="C291" s="1"/>
      <c r="D291" s="1"/>
      <c r="E291" s="1"/>
      <c r="F291" s="1"/>
      <c r="G291" s="1"/>
      <c r="H291" s="10"/>
      <c r="I291" s="10"/>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ht="15.75" customHeight="1">
      <c r="A292" s="1"/>
      <c r="B292" s="1"/>
      <c r="C292" s="1"/>
      <c r="D292" s="1"/>
      <c r="E292" s="1"/>
      <c r="F292" s="1"/>
      <c r="G292" s="1"/>
      <c r="H292" s="10"/>
      <c r="I292" s="10"/>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ht="15.75" customHeight="1">
      <c r="A293" s="1"/>
      <c r="B293" s="1"/>
      <c r="C293" s="1"/>
      <c r="D293" s="1"/>
      <c r="E293" s="1"/>
      <c r="F293" s="1"/>
      <c r="G293" s="1"/>
      <c r="H293" s="10"/>
      <c r="I293" s="10"/>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ht="15.75" customHeight="1">
      <c r="A294" s="1"/>
      <c r="B294" s="1"/>
      <c r="C294" s="1"/>
      <c r="D294" s="1"/>
      <c r="E294" s="1"/>
      <c r="F294" s="1"/>
      <c r="G294" s="1"/>
      <c r="H294" s="10"/>
      <c r="I294" s="10"/>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ht="15.75" customHeight="1">
      <c r="A295" s="1"/>
      <c r="B295" s="1"/>
      <c r="C295" s="1"/>
      <c r="D295" s="1"/>
      <c r="E295" s="1"/>
      <c r="F295" s="1"/>
      <c r="G295" s="1"/>
      <c r="H295" s="10"/>
      <c r="I295" s="10"/>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ht="15.75" customHeight="1">
      <c r="A296" s="1"/>
      <c r="B296" s="1"/>
      <c r="C296" s="1"/>
      <c r="D296" s="1"/>
      <c r="E296" s="1"/>
      <c r="F296" s="1"/>
      <c r="G296" s="1"/>
      <c r="H296" s="10"/>
      <c r="I296" s="10"/>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ht="15.75" customHeight="1">
      <c r="A297" s="1"/>
      <c r="B297" s="1"/>
      <c r="C297" s="1"/>
      <c r="D297" s="1"/>
      <c r="E297" s="1"/>
      <c r="F297" s="1"/>
      <c r="G297" s="1"/>
      <c r="H297" s="10"/>
      <c r="I297" s="10"/>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ht="15.75" customHeight="1">
      <c r="A298" s="1"/>
      <c r="B298" s="1"/>
      <c r="C298" s="1"/>
      <c r="D298" s="1"/>
      <c r="E298" s="1"/>
      <c r="F298" s="1"/>
      <c r="G298" s="1"/>
      <c r="H298" s="10"/>
      <c r="I298" s="10"/>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ht="15.75" customHeight="1">
      <c r="A299" s="1"/>
      <c r="B299" s="1"/>
      <c r="C299" s="1"/>
      <c r="D299" s="1"/>
      <c r="E299" s="1"/>
      <c r="F299" s="1"/>
      <c r="G299" s="1"/>
      <c r="H299" s="10"/>
      <c r="I299" s="10"/>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ht="15.75" customHeight="1">
      <c r="A300" s="1"/>
      <c r="B300" s="1"/>
      <c r="C300" s="1"/>
      <c r="D300" s="1"/>
      <c r="E300" s="1"/>
      <c r="F300" s="1"/>
      <c r="G300" s="1"/>
      <c r="H300" s="10"/>
      <c r="I300" s="10"/>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ht="15.75" customHeight="1">
      <c r="A301" s="1"/>
      <c r="B301" s="1"/>
      <c r="C301" s="1"/>
      <c r="D301" s="1"/>
      <c r="E301" s="1"/>
      <c r="F301" s="1"/>
      <c r="G301" s="1"/>
      <c r="H301" s="10"/>
      <c r="I301" s="10"/>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ht="15.75" customHeight="1">
      <c r="A302" s="1"/>
      <c r="B302" s="1"/>
      <c r="C302" s="1"/>
      <c r="D302" s="1"/>
      <c r="E302" s="1"/>
      <c r="F302" s="1"/>
      <c r="G302" s="1"/>
      <c r="H302" s="10"/>
      <c r="I302" s="10"/>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ht="15.75" customHeight="1">
      <c r="A303" s="1"/>
      <c r="B303" s="1"/>
      <c r="C303" s="1"/>
      <c r="D303" s="1"/>
      <c r="E303" s="1"/>
      <c r="F303" s="1"/>
      <c r="G303" s="1"/>
      <c r="H303" s="10"/>
      <c r="I303" s="10"/>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ht="15.75" customHeight="1">
      <c r="A304" s="1"/>
      <c r="B304" s="1"/>
      <c r="C304" s="1"/>
      <c r="D304" s="1"/>
      <c r="E304" s="1"/>
      <c r="F304" s="1"/>
      <c r="G304" s="1"/>
      <c r="H304" s="10"/>
      <c r="I304" s="10"/>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ht="15.75" customHeight="1">
      <c r="A305" s="1"/>
      <c r="B305" s="1"/>
      <c r="C305" s="1"/>
      <c r="D305" s="1"/>
      <c r="E305" s="1"/>
      <c r="F305" s="1"/>
      <c r="G305" s="1"/>
      <c r="H305" s="10"/>
      <c r="I305" s="10"/>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ht="15.75" customHeight="1">
      <c r="A306" s="1"/>
      <c r="B306" s="1"/>
      <c r="C306" s="1"/>
      <c r="D306" s="1"/>
      <c r="E306" s="1"/>
      <c r="F306" s="1"/>
      <c r="G306" s="1"/>
      <c r="H306" s="10"/>
      <c r="I306" s="10"/>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ht="15.75" customHeight="1">
      <c r="A307" s="1"/>
      <c r="B307" s="1"/>
      <c r="C307" s="1"/>
      <c r="D307" s="1"/>
      <c r="E307" s="1"/>
      <c r="F307" s="1"/>
      <c r="G307" s="1"/>
      <c r="H307" s="10"/>
      <c r="I307" s="10"/>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ht="15.75" customHeight="1">
      <c r="A308" s="1"/>
      <c r="B308" s="1"/>
      <c r="C308" s="1"/>
      <c r="D308" s="1"/>
      <c r="E308" s="1"/>
      <c r="F308" s="1"/>
      <c r="G308" s="1"/>
      <c r="H308" s="10"/>
      <c r="I308" s="10"/>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ht="15.75" customHeight="1">
      <c r="A309" s="1"/>
      <c r="B309" s="1"/>
      <c r="C309" s="1"/>
      <c r="D309" s="1"/>
      <c r="E309" s="1"/>
      <c r="F309" s="1"/>
      <c r="G309" s="1"/>
      <c r="H309" s="10"/>
      <c r="I309" s="10"/>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ht="15.75" customHeight="1">
      <c r="A310" s="1"/>
      <c r="B310" s="1"/>
      <c r="C310" s="1"/>
      <c r="D310" s="1"/>
      <c r="E310" s="1"/>
      <c r="F310" s="1"/>
      <c r="G310" s="1"/>
      <c r="H310" s="10"/>
      <c r="I310" s="10"/>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ht="15.75" customHeight="1">
      <c r="A311" s="1"/>
      <c r="B311" s="1"/>
      <c r="C311" s="1"/>
      <c r="D311" s="1"/>
      <c r="E311" s="1"/>
      <c r="F311" s="1"/>
      <c r="G311" s="1"/>
      <c r="H311" s="10"/>
      <c r="I311" s="10"/>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ht="15.75" customHeight="1">
      <c r="A312" s="1"/>
      <c r="B312" s="1"/>
      <c r="C312" s="1"/>
      <c r="D312" s="1"/>
      <c r="E312" s="1"/>
      <c r="F312" s="1"/>
      <c r="G312" s="1"/>
      <c r="H312" s="10"/>
      <c r="I312" s="10"/>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ht="15.75" customHeight="1">
      <c r="A313" s="1"/>
      <c r="B313" s="1"/>
      <c r="C313" s="1"/>
      <c r="D313" s="1"/>
      <c r="E313" s="1"/>
      <c r="F313" s="1"/>
      <c r="G313" s="1"/>
      <c r="H313" s="10"/>
      <c r="I313" s="10"/>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ht="15.75" customHeight="1">
      <c r="A314" s="1"/>
      <c r="B314" s="1"/>
      <c r="C314" s="1"/>
      <c r="D314" s="1"/>
      <c r="E314" s="1"/>
      <c r="F314" s="1"/>
      <c r="G314" s="1"/>
      <c r="H314" s="10"/>
      <c r="I314" s="10"/>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ht="15.75" customHeight="1">
      <c r="A315" s="1"/>
      <c r="B315" s="1"/>
      <c r="C315" s="1"/>
      <c r="D315" s="1"/>
      <c r="E315" s="1"/>
      <c r="F315" s="1"/>
      <c r="G315" s="1"/>
      <c r="H315" s="10"/>
      <c r="I315" s="10"/>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ht="15.75" customHeight="1">
      <c r="A316" s="1"/>
      <c r="B316" s="1"/>
      <c r="C316" s="1"/>
      <c r="D316" s="1"/>
      <c r="E316" s="1"/>
      <c r="F316" s="1"/>
      <c r="G316" s="1"/>
      <c r="H316" s="10"/>
      <c r="I316" s="10"/>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ht="15.75" customHeight="1">
      <c r="A317" s="1"/>
      <c r="B317" s="1"/>
      <c r="C317" s="1"/>
      <c r="D317" s="1"/>
      <c r="E317" s="1"/>
      <c r="F317" s="1"/>
      <c r="G317" s="1"/>
      <c r="H317" s="10"/>
      <c r="I317" s="10"/>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ht="15.75" customHeight="1">
      <c r="A318" s="1"/>
      <c r="B318" s="1"/>
      <c r="C318" s="1"/>
      <c r="D318" s="1"/>
      <c r="E318" s="1"/>
      <c r="F318" s="1"/>
      <c r="G318" s="1"/>
      <c r="H318" s="10"/>
      <c r="I318" s="10"/>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ht="15.75" customHeight="1">
      <c r="A319" s="1"/>
      <c r="B319" s="1"/>
      <c r="C319" s="1"/>
      <c r="D319" s="1"/>
      <c r="E319" s="1"/>
      <c r="F319" s="1"/>
      <c r="G319" s="1"/>
      <c r="H319" s="10"/>
      <c r="I319" s="10"/>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ht="15.75" customHeight="1">
      <c r="A320" s="1"/>
      <c r="B320" s="1"/>
      <c r="C320" s="1"/>
      <c r="D320" s="1"/>
      <c r="E320" s="1"/>
      <c r="F320" s="1"/>
      <c r="G320" s="1"/>
      <c r="H320" s="10"/>
      <c r="I320" s="10"/>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ht="15.75" customHeight="1">
      <c r="A321" s="1"/>
      <c r="B321" s="1"/>
      <c r="C321" s="1"/>
      <c r="D321" s="1"/>
      <c r="E321" s="1"/>
      <c r="F321" s="1"/>
      <c r="G321" s="1"/>
      <c r="H321" s="10"/>
      <c r="I321" s="10"/>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ht="15.75" customHeight="1">
      <c r="A322" s="1"/>
      <c r="B322" s="1"/>
      <c r="C322" s="1"/>
      <c r="D322" s="1"/>
      <c r="E322" s="1"/>
      <c r="F322" s="1"/>
      <c r="G322" s="1"/>
      <c r="H322" s="10"/>
      <c r="I322" s="10"/>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ht="15.75" customHeight="1">
      <c r="A323" s="1"/>
      <c r="B323" s="1"/>
      <c r="C323" s="1"/>
      <c r="D323" s="1"/>
      <c r="E323" s="1"/>
      <c r="F323" s="1"/>
      <c r="G323" s="1"/>
      <c r="H323" s="10"/>
      <c r="I323" s="10"/>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ht="15.75" customHeight="1">
      <c r="A324" s="1"/>
      <c r="B324" s="1"/>
      <c r="C324" s="1"/>
      <c r="D324" s="1"/>
      <c r="E324" s="1"/>
      <c r="F324" s="1"/>
      <c r="G324" s="1"/>
      <c r="H324" s="10"/>
      <c r="I324" s="10"/>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ht="15.75" customHeight="1">
      <c r="A325" s="1"/>
      <c r="B325" s="1"/>
      <c r="C325" s="1"/>
      <c r="D325" s="1"/>
      <c r="E325" s="1"/>
      <c r="F325" s="1"/>
      <c r="G325" s="1"/>
      <c r="H325" s="10"/>
      <c r="I325" s="10"/>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ht="15.75" customHeight="1">
      <c r="A326" s="1"/>
      <c r="B326" s="1"/>
      <c r="C326" s="1"/>
      <c r="D326" s="1"/>
      <c r="E326" s="1"/>
      <c r="F326" s="1"/>
      <c r="G326" s="1"/>
      <c r="H326" s="10"/>
      <c r="I326" s="10"/>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ht="15.75" customHeight="1">
      <c r="A327" s="1"/>
      <c r="B327" s="1"/>
      <c r="C327" s="1"/>
      <c r="D327" s="1"/>
      <c r="E327" s="1"/>
      <c r="F327" s="1"/>
      <c r="G327" s="1"/>
      <c r="H327" s="10"/>
      <c r="I327" s="10"/>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ht="15.75" customHeight="1">
      <c r="A328" s="1"/>
      <c r="B328" s="1"/>
      <c r="C328" s="1"/>
      <c r="D328" s="1"/>
      <c r="E328" s="1"/>
      <c r="F328" s="1"/>
      <c r="G328" s="1"/>
      <c r="H328" s="10"/>
      <c r="I328" s="10"/>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ht="15.75" customHeight="1">
      <c r="A329" s="1"/>
      <c r="B329" s="1"/>
      <c r="C329" s="1"/>
      <c r="D329" s="1"/>
      <c r="E329" s="1"/>
      <c r="F329" s="1"/>
      <c r="G329" s="1"/>
      <c r="H329" s="10"/>
      <c r="I329" s="10"/>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ht="15.75" customHeight="1">
      <c r="A330" s="1"/>
      <c r="B330" s="1"/>
      <c r="C330" s="1"/>
      <c r="D330" s="1"/>
      <c r="E330" s="1"/>
      <c r="F330" s="1"/>
      <c r="G330" s="1"/>
      <c r="H330" s="10"/>
      <c r="I330" s="10"/>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ht="15.75" customHeight="1">
      <c r="A331" s="1"/>
      <c r="B331" s="1"/>
      <c r="C331" s="1"/>
      <c r="D331" s="1"/>
      <c r="E331" s="1"/>
      <c r="F331" s="1"/>
      <c r="G331" s="1"/>
      <c r="H331" s="10"/>
      <c r="I331" s="10"/>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ht="15.75" customHeight="1">
      <c r="A332" s="1"/>
      <c r="B332" s="1"/>
      <c r="C332" s="1"/>
      <c r="D332" s="1"/>
      <c r="E332" s="1"/>
      <c r="F332" s="1"/>
      <c r="G332" s="1"/>
      <c r="H332" s="10"/>
      <c r="I332" s="10"/>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ht="15.75" customHeight="1">
      <c r="A333" s="1"/>
      <c r="B333" s="1"/>
      <c r="C333" s="1"/>
      <c r="D333" s="1"/>
      <c r="E333" s="1"/>
      <c r="F333" s="1"/>
      <c r="G333" s="1"/>
      <c r="H333" s="10"/>
      <c r="I333" s="10"/>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ht="15.75" customHeight="1">
      <c r="A334" s="1"/>
      <c r="B334" s="1"/>
      <c r="C334" s="1"/>
      <c r="D334" s="1"/>
      <c r="E334" s="1"/>
      <c r="F334" s="1"/>
      <c r="G334" s="1"/>
      <c r="H334" s="10"/>
      <c r="I334" s="10"/>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ht="15.75" customHeight="1">
      <c r="A335" s="1"/>
      <c r="B335" s="1"/>
      <c r="C335" s="1"/>
      <c r="D335" s="1"/>
      <c r="E335" s="1"/>
      <c r="F335" s="1"/>
      <c r="G335" s="1"/>
      <c r="H335" s="10"/>
      <c r="I335" s="10"/>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ht="15.75" customHeight="1">
      <c r="A336" s="1"/>
      <c r="B336" s="1"/>
      <c r="C336" s="1"/>
      <c r="D336" s="1"/>
      <c r="E336" s="1"/>
      <c r="F336" s="1"/>
      <c r="G336" s="1"/>
      <c r="H336" s="10"/>
      <c r="I336" s="10"/>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ht="15.75" customHeight="1">
      <c r="A337" s="1"/>
      <c r="B337" s="1"/>
      <c r="C337" s="1"/>
      <c r="D337" s="1"/>
      <c r="E337" s="1"/>
      <c r="F337" s="1"/>
      <c r="G337" s="1"/>
      <c r="H337" s="10"/>
      <c r="I337" s="10"/>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ht="15.75" customHeight="1">
      <c r="A338" s="1"/>
      <c r="B338" s="1"/>
      <c r="C338" s="1"/>
      <c r="D338" s="1"/>
      <c r="E338" s="1"/>
      <c r="F338" s="1"/>
      <c r="G338" s="1"/>
      <c r="H338" s="10"/>
      <c r="I338" s="10"/>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ht="15.75" customHeight="1">
      <c r="A339" s="1"/>
      <c r="B339" s="1"/>
      <c r="C339" s="1"/>
      <c r="D339" s="1"/>
      <c r="E339" s="1"/>
      <c r="F339" s="1"/>
      <c r="G339" s="1"/>
      <c r="H339" s="10"/>
      <c r="I339" s="10"/>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ht="15.75" customHeight="1">
      <c r="A340" s="1"/>
      <c r="B340" s="1"/>
      <c r="C340" s="1"/>
      <c r="D340" s="1"/>
      <c r="E340" s="1"/>
      <c r="F340" s="1"/>
      <c r="G340" s="1"/>
      <c r="H340" s="10"/>
      <c r="I340" s="10"/>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ht="15.75" customHeight="1">
      <c r="A341" s="1"/>
      <c r="B341" s="1"/>
      <c r="C341" s="1"/>
      <c r="D341" s="1"/>
      <c r="E341" s="1"/>
      <c r="F341" s="1"/>
      <c r="G341" s="1"/>
      <c r="H341" s="10"/>
      <c r="I341" s="10"/>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ht="15.75" customHeight="1">
      <c r="A342" s="1"/>
      <c r="B342" s="1"/>
      <c r="C342" s="1"/>
      <c r="D342" s="1"/>
      <c r="E342" s="1"/>
      <c r="F342" s="1"/>
      <c r="G342" s="1"/>
      <c r="H342" s="10"/>
      <c r="I342" s="10"/>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ht="15.75" customHeight="1">
      <c r="A343" s="1"/>
      <c r="B343" s="1"/>
      <c r="C343" s="1"/>
      <c r="D343" s="1"/>
      <c r="E343" s="1"/>
      <c r="F343" s="1"/>
      <c r="G343" s="1"/>
      <c r="H343" s="10"/>
      <c r="I343" s="10"/>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ht="15.75" customHeight="1">
      <c r="A344" s="1"/>
      <c r="B344" s="1"/>
      <c r="C344" s="1"/>
      <c r="D344" s="1"/>
      <c r="E344" s="1"/>
      <c r="F344" s="1"/>
      <c r="G344" s="1"/>
      <c r="H344" s="10"/>
      <c r="I344" s="10"/>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ht="15.75" customHeight="1">
      <c r="A345" s="1"/>
      <c r="B345" s="1"/>
      <c r="C345" s="1"/>
      <c r="D345" s="1"/>
      <c r="E345" s="1"/>
      <c r="F345" s="1"/>
      <c r="G345" s="1"/>
      <c r="H345" s="10"/>
      <c r="I345" s="10"/>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ht="15.75" customHeight="1">
      <c r="A346" s="1"/>
      <c r="B346" s="1"/>
      <c r="C346" s="1"/>
      <c r="D346" s="1"/>
      <c r="E346" s="1"/>
      <c r="F346" s="1"/>
      <c r="G346" s="1"/>
      <c r="H346" s="10"/>
      <c r="I346" s="10"/>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ht="15.75" customHeight="1">
      <c r="A347" s="1"/>
      <c r="B347" s="1"/>
      <c r="C347" s="1"/>
      <c r="D347" s="1"/>
      <c r="E347" s="1"/>
      <c r="F347" s="1"/>
      <c r="G347" s="1"/>
      <c r="H347" s="10"/>
      <c r="I347" s="10"/>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ht="15.75" customHeight="1">
      <c r="A348" s="1"/>
      <c r="B348" s="1"/>
      <c r="C348" s="1"/>
      <c r="D348" s="1"/>
      <c r="E348" s="1"/>
      <c r="F348" s="1"/>
      <c r="G348" s="1"/>
      <c r="H348" s="10"/>
      <c r="I348" s="10"/>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ht="15.75" customHeight="1">
      <c r="A349" s="1"/>
      <c r="B349" s="1"/>
      <c r="C349" s="1"/>
      <c r="D349" s="1"/>
      <c r="E349" s="1"/>
      <c r="F349" s="1"/>
      <c r="G349" s="1"/>
      <c r="H349" s="10"/>
      <c r="I349" s="10"/>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ht="15.75" customHeight="1">
      <c r="A350" s="1"/>
      <c r="B350" s="1"/>
      <c r="C350" s="1"/>
      <c r="D350" s="1"/>
      <c r="E350" s="1"/>
      <c r="F350" s="1"/>
      <c r="G350" s="1"/>
      <c r="H350" s="10"/>
      <c r="I350" s="10"/>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ht="15.75" customHeight="1">
      <c r="A351" s="1"/>
      <c r="B351" s="1"/>
      <c r="C351" s="1"/>
      <c r="D351" s="1"/>
      <c r="E351" s="1"/>
      <c r="F351" s="1"/>
      <c r="G351" s="1"/>
      <c r="H351" s="10"/>
      <c r="I351" s="10"/>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ht="15.75" customHeight="1">
      <c r="A352" s="1"/>
      <c r="B352" s="1"/>
      <c r="C352" s="1"/>
      <c r="D352" s="1"/>
      <c r="E352" s="1"/>
      <c r="F352" s="1"/>
      <c r="G352" s="1"/>
      <c r="H352" s="10"/>
      <c r="I352" s="10"/>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ht="15.75" customHeight="1">
      <c r="A353" s="1"/>
      <c r="B353" s="1"/>
      <c r="C353" s="1"/>
      <c r="D353" s="1"/>
      <c r="E353" s="1"/>
      <c r="F353" s="1"/>
      <c r="G353" s="1"/>
      <c r="H353" s="10"/>
      <c r="I353" s="10"/>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ht="15.75" customHeight="1">
      <c r="A354" s="1"/>
      <c r="B354" s="1"/>
      <c r="C354" s="1"/>
      <c r="D354" s="1"/>
      <c r="E354" s="1"/>
      <c r="F354" s="1"/>
      <c r="G354" s="1"/>
      <c r="H354" s="10"/>
      <c r="I354" s="10"/>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ht="15.75" customHeight="1">
      <c r="A355" s="1"/>
      <c r="B355" s="1"/>
      <c r="C355" s="1"/>
      <c r="D355" s="1"/>
      <c r="E355" s="1"/>
      <c r="F355" s="1"/>
      <c r="G355" s="1"/>
      <c r="H355" s="10"/>
      <c r="I355" s="10"/>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ht="15.75" customHeight="1">
      <c r="A356" s="1"/>
      <c r="B356" s="1"/>
      <c r="C356" s="1"/>
      <c r="D356" s="1"/>
      <c r="E356" s="1"/>
      <c r="F356" s="1"/>
      <c r="G356" s="1"/>
      <c r="H356" s="10"/>
      <c r="I356" s="10"/>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ht="15.75" customHeight="1">
      <c r="A357" s="1"/>
      <c r="B357" s="1"/>
      <c r="C357" s="1"/>
      <c r="D357" s="1"/>
      <c r="E357" s="1"/>
      <c r="F357" s="1"/>
      <c r="G357" s="1"/>
      <c r="H357" s="10"/>
      <c r="I357" s="10"/>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ht="15.75" customHeight="1">
      <c r="A358" s="1"/>
      <c r="B358" s="1"/>
      <c r="C358" s="1"/>
      <c r="D358" s="1"/>
      <c r="E358" s="1"/>
      <c r="F358" s="1"/>
      <c r="G358" s="1"/>
      <c r="H358" s="10"/>
      <c r="I358" s="10"/>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ht="15.75" customHeight="1">
      <c r="A359" s="1"/>
      <c r="B359" s="1"/>
      <c r="C359" s="1"/>
      <c r="D359" s="1"/>
      <c r="E359" s="1"/>
      <c r="F359" s="1"/>
      <c r="G359" s="1"/>
      <c r="H359" s="10"/>
      <c r="I359" s="10"/>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ht="15.75" customHeight="1">
      <c r="A360" s="1"/>
      <c r="B360" s="1"/>
      <c r="C360" s="1"/>
      <c r="D360" s="1"/>
      <c r="E360" s="1"/>
      <c r="F360" s="1"/>
      <c r="G360" s="1"/>
      <c r="H360" s="10"/>
      <c r="I360" s="10"/>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ht="15.75" customHeight="1">
      <c r="A361" s="1"/>
      <c r="B361" s="1"/>
      <c r="C361" s="1"/>
      <c r="D361" s="1"/>
      <c r="E361" s="1"/>
      <c r="F361" s="1"/>
      <c r="G361" s="1"/>
      <c r="H361" s="10"/>
      <c r="I361" s="10"/>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ht="15.75" customHeight="1">
      <c r="A362" s="1"/>
      <c r="B362" s="1"/>
      <c r="C362" s="1"/>
      <c r="D362" s="1"/>
      <c r="E362" s="1"/>
      <c r="F362" s="1"/>
      <c r="G362" s="1"/>
      <c r="H362" s="10"/>
      <c r="I362" s="10"/>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ht="15.75" customHeight="1">
      <c r="A363" s="1"/>
      <c r="B363" s="1"/>
      <c r="C363" s="1"/>
      <c r="D363" s="1"/>
      <c r="E363" s="1"/>
      <c r="F363" s="1"/>
      <c r="G363" s="1"/>
      <c r="H363" s="10"/>
      <c r="I363" s="10"/>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ht="15.75" customHeight="1">
      <c r="A364" s="1"/>
      <c r="B364" s="1"/>
      <c r="C364" s="1"/>
      <c r="D364" s="1"/>
      <c r="E364" s="1"/>
      <c r="F364" s="1"/>
      <c r="G364" s="1"/>
      <c r="H364" s="10"/>
      <c r="I364" s="10"/>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ht="15.75" customHeight="1">
      <c r="A365" s="1"/>
      <c r="B365" s="1"/>
      <c r="C365" s="1"/>
      <c r="D365" s="1"/>
      <c r="E365" s="1"/>
      <c r="F365" s="1"/>
      <c r="G365" s="1"/>
      <c r="H365" s="10"/>
      <c r="I365" s="10"/>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ht="15.75" customHeight="1">
      <c r="A366" s="1"/>
      <c r="B366" s="1"/>
      <c r="C366" s="1"/>
      <c r="D366" s="1"/>
      <c r="E366" s="1"/>
      <c r="F366" s="1"/>
      <c r="G366" s="1"/>
      <c r="H366" s="10"/>
      <c r="I366" s="10"/>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ht="15.75" customHeight="1">
      <c r="A367" s="1"/>
      <c r="B367" s="1"/>
      <c r="C367" s="1"/>
      <c r="D367" s="1"/>
      <c r="E367" s="1"/>
      <c r="F367" s="1"/>
      <c r="G367" s="1"/>
      <c r="H367" s="10"/>
      <c r="I367" s="10"/>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ht="15.75" customHeight="1">
      <c r="A368" s="1"/>
      <c r="B368" s="1"/>
      <c r="C368" s="1"/>
      <c r="D368" s="1"/>
      <c r="E368" s="1"/>
      <c r="F368" s="1"/>
      <c r="G368" s="1"/>
      <c r="H368" s="10"/>
      <c r="I368" s="10"/>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ht="15.75" customHeight="1">
      <c r="A369" s="1"/>
      <c r="B369" s="1"/>
      <c r="C369" s="1"/>
      <c r="D369" s="1"/>
      <c r="E369" s="1"/>
      <c r="F369" s="1"/>
      <c r="G369" s="1"/>
      <c r="H369" s="10"/>
      <c r="I369" s="10"/>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ht="15.75" customHeight="1">
      <c r="A370" s="1"/>
      <c r="B370" s="1"/>
      <c r="C370" s="1"/>
      <c r="D370" s="1"/>
      <c r="E370" s="1"/>
      <c r="F370" s="1"/>
      <c r="G370" s="1"/>
      <c r="H370" s="10"/>
      <c r="I370" s="10"/>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ht="15.75" customHeight="1">
      <c r="A371" s="1"/>
      <c r="B371" s="1"/>
      <c r="C371" s="1"/>
      <c r="D371" s="1"/>
      <c r="E371" s="1"/>
      <c r="F371" s="1"/>
      <c r="G371" s="1"/>
      <c r="H371" s="10"/>
      <c r="I371" s="10"/>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ht="15.75" customHeight="1">
      <c r="A372" s="1"/>
      <c r="B372" s="1"/>
      <c r="C372" s="1"/>
      <c r="D372" s="1"/>
      <c r="E372" s="1"/>
      <c r="F372" s="1"/>
      <c r="G372" s="1"/>
      <c r="H372" s="10"/>
      <c r="I372" s="10"/>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ht="15.75" customHeight="1">
      <c r="A373" s="1"/>
      <c r="B373" s="1"/>
      <c r="C373" s="1"/>
      <c r="D373" s="1"/>
      <c r="E373" s="1"/>
      <c r="F373" s="1"/>
      <c r="G373" s="1"/>
      <c r="H373" s="10"/>
      <c r="I373" s="10"/>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ht="15.75" customHeight="1">
      <c r="A374" s="1"/>
      <c r="B374" s="1"/>
      <c r="C374" s="1"/>
      <c r="D374" s="1"/>
      <c r="E374" s="1"/>
      <c r="F374" s="1"/>
      <c r="G374" s="1"/>
      <c r="H374" s="10"/>
      <c r="I374" s="10"/>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ht="15.75" customHeight="1">
      <c r="A375" s="1"/>
      <c r="B375" s="1"/>
      <c r="C375" s="1"/>
      <c r="D375" s="1"/>
      <c r="E375" s="1"/>
      <c r="F375" s="1"/>
      <c r="G375" s="1"/>
      <c r="H375" s="10"/>
      <c r="I375" s="10"/>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ht="15.75" customHeight="1">
      <c r="A376" s="1"/>
      <c r="B376" s="1"/>
      <c r="C376" s="1"/>
      <c r="D376" s="1"/>
      <c r="E376" s="1"/>
      <c r="F376" s="1"/>
      <c r="G376" s="1"/>
      <c r="H376" s="10"/>
      <c r="I376" s="10"/>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ht="15.75" customHeight="1">
      <c r="A377" s="1"/>
      <c r="B377" s="1"/>
      <c r="C377" s="1"/>
      <c r="D377" s="1"/>
      <c r="E377" s="1"/>
      <c r="F377" s="1"/>
      <c r="G377" s="1"/>
      <c r="H377" s="10"/>
      <c r="I377" s="10"/>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ht="15.75" customHeight="1">
      <c r="A378" s="1"/>
      <c r="B378" s="1"/>
      <c r="C378" s="1"/>
      <c r="D378" s="1"/>
      <c r="E378" s="1"/>
      <c r="F378" s="1"/>
      <c r="G378" s="1"/>
      <c r="H378" s="10"/>
      <c r="I378" s="10"/>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ht="15.75" customHeight="1">
      <c r="A379" s="1"/>
      <c r="B379" s="1"/>
      <c r="C379" s="1"/>
      <c r="D379" s="1"/>
      <c r="E379" s="1"/>
      <c r="F379" s="1"/>
      <c r="G379" s="1"/>
      <c r="H379" s="10"/>
      <c r="I379" s="10"/>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ht="15.75" customHeight="1">
      <c r="A380" s="1"/>
      <c r="B380" s="1"/>
      <c r="C380" s="1"/>
      <c r="D380" s="1"/>
      <c r="E380" s="1"/>
      <c r="F380" s="1"/>
      <c r="G380" s="1"/>
      <c r="H380" s="10"/>
      <c r="I380" s="10"/>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ht="15.75" customHeight="1">
      <c r="A381" s="1"/>
      <c r="B381" s="1"/>
      <c r="C381" s="1"/>
      <c r="D381" s="1"/>
      <c r="E381" s="1"/>
      <c r="F381" s="1"/>
      <c r="G381" s="1"/>
      <c r="H381" s="10"/>
      <c r="I381" s="10"/>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ht="15.75" customHeight="1">
      <c r="A382" s="1"/>
      <c r="B382" s="1"/>
      <c r="C382" s="1"/>
      <c r="D382" s="1"/>
      <c r="E382" s="1"/>
      <c r="F382" s="1"/>
      <c r="G382" s="1"/>
      <c r="H382" s="10"/>
      <c r="I382" s="10"/>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ht="15.75" customHeight="1">
      <c r="A383" s="1"/>
      <c r="B383" s="1"/>
      <c r="C383" s="1"/>
      <c r="D383" s="1"/>
      <c r="E383" s="1"/>
      <c r="F383" s="1"/>
      <c r="G383" s="1"/>
      <c r="H383" s="10"/>
      <c r="I383" s="10"/>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ht="15.75" customHeight="1">
      <c r="A384" s="1"/>
      <c r="B384" s="1"/>
      <c r="C384" s="1"/>
      <c r="D384" s="1"/>
      <c r="E384" s="1"/>
      <c r="F384" s="1"/>
      <c r="G384" s="1"/>
      <c r="H384" s="10"/>
      <c r="I384" s="10"/>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ht="15.75" customHeight="1">
      <c r="A385" s="1"/>
      <c r="B385" s="1"/>
      <c r="C385" s="1"/>
      <c r="D385" s="1"/>
      <c r="E385" s="1"/>
      <c r="F385" s="1"/>
      <c r="G385" s="1"/>
      <c r="H385" s="10"/>
      <c r="I385" s="10"/>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ht="15.75" customHeight="1">
      <c r="A386" s="1"/>
      <c r="B386" s="1"/>
      <c r="C386" s="1"/>
      <c r="D386" s="1"/>
      <c r="E386" s="1"/>
      <c r="F386" s="1"/>
      <c r="G386" s="1"/>
      <c r="H386" s="10"/>
      <c r="I386" s="10"/>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ht="15.75" customHeight="1">
      <c r="A387" s="1"/>
      <c r="B387" s="1"/>
      <c r="C387" s="1"/>
      <c r="D387" s="1"/>
      <c r="E387" s="1"/>
      <c r="F387" s="1"/>
      <c r="G387" s="1"/>
      <c r="H387" s="10"/>
      <c r="I387" s="10"/>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ht="15.75" customHeight="1">
      <c r="A388" s="1"/>
      <c r="B388" s="1"/>
      <c r="C388" s="1"/>
      <c r="D388" s="1"/>
      <c r="E388" s="1"/>
      <c r="F388" s="1"/>
      <c r="G388" s="1"/>
      <c r="H388" s="10"/>
      <c r="I388" s="10"/>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ht="15.75" customHeight="1">
      <c r="A389" s="1"/>
      <c r="B389" s="1"/>
      <c r="C389" s="1"/>
      <c r="D389" s="1"/>
      <c r="E389" s="1"/>
      <c r="F389" s="1"/>
      <c r="G389" s="1"/>
      <c r="H389" s="10"/>
      <c r="I389" s="10"/>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ht="15.75" customHeight="1">
      <c r="A390" s="1"/>
      <c r="B390" s="1"/>
      <c r="C390" s="1"/>
      <c r="D390" s="1"/>
      <c r="E390" s="1"/>
      <c r="F390" s="1"/>
      <c r="G390" s="1"/>
      <c r="H390" s="10"/>
      <c r="I390" s="10"/>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ht="15.75" customHeight="1">
      <c r="A391" s="1"/>
      <c r="B391" s="1"/>
      <c r="C391" s="1"/>
      <c r="D391" s="1"/>
      <c r="E391" s="1"/>
      <c r="F391" s="1"/>
      <c r="G391" s="1"/>
      <c r="H391" s="10"/>
      <c r="I391" s="10"/>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ht="15.75" customHeight="1">
      <c r="A392" s="1"/>
      <c r="B392" s="1"/>
      <c r="C392" s="1"/>
      <c r="D392" s="1"/>
      <c r="E392" s="1"/>
      <c r="F392" s="1"/>
      <c r="G392" s="1"/>
      <c r="H392" s="10"/>
      <c r="I392" s="10"/>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ht="15.75" customHeight="1">
      <c r="A393" s="1"/>
      <c r="B393" s="1"/>
      <c r="C393" s="1"/>
      <c r="D393" s="1"/>
      <c r="E393" s="1"/>
      <c r="F393" s="1"/>
      <c r="G393" s="1"/>
      <c r="H393" s="10"/>
      <c r="I393" s="10"/>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ht="15.75" customHeight="1">
      <c r="A394" s="1"/>
      <c r="B394" s="1"/>
      <c r="C394" s="1"/>
      <c r="D394" s="1"/>
      <c r="E394" s="1"/>
      <c r="F394" s="1"/>
      <c r="G394" s="1"/>
      <c r="H394" s="10"/>
      <c r="I394" s="10"/>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ht="15.75" customHeight="1">
      <c r="A395" s="1"/>
      <c r="B395" s="1"/>
      <c r="C395" s="1"/>
      <c r="D395" s="1"/>
      <c r="E395" s="1"/>
      <c r="F395" s="1"/>
      <c r="G395" s="1"/>
      <c r="H395" s="10"/>
      <c r="I395" s="10"/>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ht="15.75" customHeight="1">
      <c r="A396" s="1"/>
      <c r="B396" s="1"/>
      <c r="C396" s="1"/>
      <c r="D396" s="1"/>
      <c r="E396" s="1"/>
      <c r="F396" s="1"/>
      <c r="G396" s="1"/>
      <c r="H396" s="10"/>
      <c r="I396" s="10"/>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ht="15.75" customHeight="1">
      <c r="A397" s="1"/>
      <c r="B397" s="1"/>
      <c r="C397" s="1"/>
      <c r="D397" s="1"/>
      <c r="E397" s="1"/>
      <c r="F397" s="1"/>
      <c r="G397" s="1"/>
      <c r="H397" s="10"/>
      <c r="I397" s="10"/>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ht="15.75" customHeight="1">
      <c r="A398" s="1"/>
      <c r="B398" s="1"/>
      <c r="C398" s="1"/>
      <c r="D398" s="1"/>
      <c r="E398" s="1"/>
      <c r="F398" s="1"/>
      <c r="G398" s="1"/>
      <c r="H398" s="10"/>
      <c r="I398" s="10"/>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ht="15.75" customHeight="1">
      <c r="A399" s="1"/>
      <c r="B399" s="1"/>
      <c r="C399" s="1"/>
      <c r="D399" s="1"/>
      <c r="E399" s="1"/>
      <c r="F399" s="1"/>
      <c r="G399" s="1"/>
      <c r="H399" s="10"/>
      <c r="I399" s="10"/>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ht="15.75" customHeight="1">
      <c r="A400" s="1"/>
      <c r="B400" s="1"/>
      <c r="C400" s="1"/>
      <c r="D400" s="1"/>
      <c r="E400" s="1"/>
      <c r="F400" s="1"/>
      <c r="G400" s="1"/>
      <c r="H400" s="10"/>
      <c r="I400" s="10"/>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ht="15.75" customHeight="1">
      <c r="A401" s="1"/>
      <c r="B401" s="1"/>
      <c r="C401" s="1"/>
      <c r="D401" s="1"/>
      <c r="E401" s="1"/>
      <c r="F401" s="1"/>
      <c r="G401" s="1"/>
      <c r="H401" s="10"/>
      <c r="I401" s="10"/>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ht="15.75" customHeight="1">
      <c r="A402" s="1"/>
      <c r="B402" s="1"/>
      <c r="C402" s="1"/>
      <c r="D402" s="1"/>
      <c r="E402" s="1"/>
      <c r="F402" s="1"/>
      <c r="G402" s="1"/>
      <c r="H402" s="10"/>
      <c r="I402" s="10"/>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ht="15.75" customHeight="1">
      <c r="A403" s="1"/>
      <c r="B403" s="1"/>
      <c r="C403" s="1"/>
      <c r="D403" s="1"/>
      <c r="E403" s="1"/>
      <c r="F403" s="1"/>
      <c r="G403" s="1"/>
      <c r="H403" s="10"/>
      <c r="I403" s="10"/>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ht="15.75" customHeight="1">
      <c r="A404" s="1"/>
      <c r="B404" s="1"/>
      <c r="C404" s="1"/>
      <c r="D404" s="1"/>
      <c r="E404" s="1"/>
      <c r="F404" s="1"/>
      <c r="G404" s="1"/>
      <c r="H404" s="10"/>
      <c r="I404" s="10"/>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ht="15.75" customHeight="1">
      <c r="A405" s="1"/>
      <c r="B405" s="1"/>
      <c r="C405" s="1"/>
      <c r="D405" s="1"/>
      <c r="E405" s="1"/>
      <c r="F405" s="1"/>
      <c r="G405" s="1"/>
      <c r="H405" s="10"/>
      <c r="I405" s="10"/>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ht="15.75" customHeight="1">
      <c r="A406" s="1"/>
      <c r="B406" s="1"/>
      <c r="C406" s="1"/>
      <c r="D406" s="1"/>
      <c r="E406" s="1"/>
      <c r="F406" s="1"/>
      <c r="G406" s="1"/>
      <c r="H406" s="10"/>
      <c r="I406" s="10"/>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ht="15.75" customHeight="1">
      <c r="A407" s="1"/>
      <c r="B407" s="1"/>
      <c r="C407" s="1"/>
      <c r="D407" s="1"/>
      <c r="E407" s="1"/>
      <c r="F407" s="1"/>
      <c r="G407" s="1"/>
      <c r="H407" s="10"/>
      <c r="I407" s="10"/>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ht="15.75" customHeight="1">
      <c r="A408" s="1"/>
      <c r="B408" s="1"/>
      <c r="C408" s="1"/>
      <c r="D408" s="1"/>
      <c r="E408" s="1"/>
      <c r="F408" s="1"/>
      <c r="G408" s="1"/>
      <c r="H408" s="10"/>
      <c r="I408" s="10"/>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ht="15.75" customHeight="1">
      <c r="A409" s="1"/>
      <c r="B409" s="1"/>
      <c r="C409" s="1"/>
      <c r="D409" s="1"/>
      <c r="E409" s="1"/>
      <c r="F409" s="1"/>
      <c r="G409" s="1"/>
      <c r="H409" s="10"/>
      <c r="I409" s="10"/>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ht="15.75" customHeight="1">
      <c r="A410" s="1"/>
      <c r="B410" s="1"/>
      <c r="C410" s="1"/>
      <c r="D410" s="1"/>
      <c r="E410" s="1"/>
      <c r="F410" s="1"/>
      <c r="G410" s="1"/>
      <c r="H410" s="10"/>
      <c r="I410" s="10"/>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ht="15.75" customHeight="1">
      <c r="A411" s="1"/>
      <c r="B411" s="1"/>
      <c r="C411" s="1"/>
      <c r="D411" s="1"/>
      <c r="E411" s="1"/>
      <c r="F411" s="1"/>
      <c r="G411" s="1"/>
      <c r="H411" s="10"/>
      <c r="I411" s="10"/>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ht="15.75" customHeight="1">
      <c r="A412" s="1"/>
      <c r="B412" s="1"/>
      <c r="C412" s="1"/>
      <c r="D412" s="1"/>
      <c r="E412" s="1"/>
      <c r="F412" s="1"/>
      <c r="G412" s="1"/>
      <c r="H412" s="10"/>
      <c r="I412" s="10"/>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ht="15.75" customHeight="1">
      <c r="A413" s="1"/>
      <c r="B413" s="1"/>
      <c r="C413" s="1"/>
      <c r="D413" s="1"/>
      <c r="E413" s="1"/>
      <c r="F413" s="1"/>
      <c r="G413" s="1"/>
      <c r="H413" s="10"/>
      <c r="I413" s="10"/>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ht="15.75" customHeight="1">
      <c r="A414" s="1"/>
      <c r="B414" s="1"/>
      <c r="C414" s="1"/>
      <c r="D414" s="1"/>
      <c r="E414" s="1"/>
      <c r="F414" s="1"/>
      <c r="G414" s="1"/>
      <c r="H414" s="10"/>
      <c r="I414" s="10"/>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ht="15.75" customHeight="1">
      <c r="A415" s="1"/>
      <c r="B415" s="1"/>
      <c r="C415" s="1"/>
      <c r="D415" s="1"/>
      <c r="E415" s="1"/>
      <c r="F415" s="1"/>
      <c r="G415" s="1"/>
      <c r="H415" s="10"/>
      <c r="I415" s="10"/>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ht="15.75" customHeight="1">
      <c r="A416" s="1"/>
      <c r="B416" s="1"/>
      <c r="C416" s="1"/>
      <c r="D416" s="1"/>
      <c r="E416" s="1"/>
      <c r="F416" s="1"/>
      <c r="G416" s="1"/>
      <c r="H416" s="10"/>
      <c r="I416" s="10"/>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ht="15.75" customHeight="1">
      <c r="A417" s="1"/>
      <c r="B417" s="1"/>
      <c r="C417" s="1"/>
      <c r="D417" s="1"/>
      <c r="E417" s="1"/>
      <c r="F417" s="1"/>
      <c r="G417" s="1"/>
      <c r="H417" s="10"/>
      <c r="I417" s="10"/>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ht="15.75" customHeight="1">
      <c r="A418" s="1"/>
      <c r="B418" s="1"/>
      <c r="C418" s="1"/>
      <c r="D418" s="1"/>
      <c r="E418" s="1"/>
      <c r="F418" s="1"/>
      <c r="G418" s="1"/>
      <c r="H418" s="10"/>
      <c r="I418" s="10"/>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ht="15.75" customHeight="1">
      <c r="A419" s="1"/>
      <c r="B419" s="1"/>
      <c r="C419" s="1"/>
      <c r="D419" s="1"/>
      <c r="E419" s="1"/>
      <c r="F419" s="1"/>
      <c r="G419" s="1"/>
      <c r="H419" s="10"/>
      <c r="I419" s="10"/>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ht="15.75" customHeight="1">
      <c r="A420" s="1"/>
      <c r="B420" s="1"/>
      <c r="C420" s="1"/>
      <c r="D420" s="1"/>
      <c r="E420" s="1"/>
      <c r="F420" s="1"/>
      <c r="G420" s="1"/>
      <c r="H420" s="10"/>
      <c r="I420" s="10"/>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ht="15.75" customHeight="1">
      <c r="A421" s="1"/>
      <c r="B421" s="1"/>
      <c r="C421" s="1"/>
      <c r="D421" s="1"/>
      <c r="E421" s="1"/>
      <c r="F421" s="1"/>
      <c r="G421" s="1"/>
      <c r="H421" s="10"/>
      <c r="I421" s="10"/>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ht="15.75" customHeight="1">
      <c r="A422" s="1"/>
      <c r="B422" s="1"/>
      <c r="C422" s="1"/>
      <c r="D422" s="1"/>
      <c r="E422" s="1"/>
      <c r="F422" s="1"/>
      <c r="G422" s="1"/>
      <c r="H422" s="10"/>
      <c r="I422" s="10"/>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ht="15.75" customHeight="1">
      <c r="A423" s="1"/>
      <c r="B423" s="1"/>
      <c r="C423" s="1"/>
      <c r="D423" s="1"/>
      <c r="E423" s="1"/>
      <c r="F423" s="1"/>
      <c r="G423" s="1"/>
      <c r="H423" s="10"/>
      <c r="I423" s="10"/>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ht="15.75" customHeight="1">
      <c r="A424" s="1"/>
      <c r="B424" s="1"/>
      <c r="C424" s="1"/>
      <c r="D424" s="1"/>
      <c r="E424" s="1"/>
      <c r="F424" s="1"/>
      <c r="G424" s="1"/>
      <c r="H424" s="10"/>
      <c r="I424" s="10"/>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ht="15.75" customHeight="1">
      <c r="A425" s="1"/>
      <c r="B425" s="1"/>
      <c r="C425" s="1"/>
      <c r="D425" s="1"/>
      <c r="E425" s="1"/>
      <c r="F425" s="1"/>
      <c r="G425" s="1"/>
      <c r="H425" s="10"/>
      <c r="I425" s="10"/>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ht="15.75" customHeight="1">
      <c r="A426" s="1"/>
      <c r="B426" s="1"/>
      <c r="C426" s="1"/>
      <c r="D426" s="1"/>
      <c r="E426" s="1"/>
      <c r="F426" s="1"/>
      <c r="G426" s="1"/>
      <c r="H426" s="10"/>
      <c r="I426" s="10"/>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ht="15.75" customHeight="1">
      <c r="A427" s="1"/>
      <c r="B427" s="1"/>
      <c r="C427" s="1"/>
      <c r="D427" s="1"/>
      <c r="E427" s="1"/>
      <c r="F427" s="1"/>
      <c r="G427" s="1"/>
      <c r="H427" s="10"/>
      <c r="I427" s="10"/>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ht="15.75" customHeight="1">
      <c r="A428" s="1"/>
      <c r="B428" s="1"/>
      <c r="C428" s="1"/>
      <c r="D428" s="1"/>
      <c r="E428" s="1"/>
      <c r="F428" s="1"/>
      <c r="G428" s="1"/>
      <c r="H428" s="10"/>
      <c r="I428" s="10"/>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ht="15.75" customHeight="1">
      <c r="A429" s="1"/>
      <c r="B429" s="1"/>
      <c r="C429" s="1"/>
      <c r="D429" s="1"/>
      <c r="E429" s="1"/>
      <c r="F429" s="1"/>
      <c r="G429" s="1"/>
      <c r="H429" s="10"/>
      <c r="I429" s="10"/>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ht="15.75" customHeight="1">
      <c r="A430" s="1"/>
      <c r="B430" s="1"/>
      <c r="C430" s="1"/>
      <c r="D430" s="1"/>
      <c r="E430" s="1"/>
      <c r="F430" s="1"/>
      <c r="G430" s="1"/>
      <c r="H430" s="10"/>
      <c r="I430" s="10"/>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ht="15.75" customHeight="1">
      <c r="A431" s="1"/>
      <c r="B431" s="1"/>
      <c r="C431" s="1"/>
      <c r="D431" s="1"/>
      <c r="E431" s="1"/>
      <c r="F431" s="1"/>
      <c r="G431" s="1"/>
      <c r="H431" s="10"/>
      <c r="I431" s="10"/>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ht="15.75" customHeight="1">
      <c r="A432" s="1"/>
      <c r="B432" s="1"/>
      <c r="C432" s="1"/>
      <c r="D432" s="1"/>
      <c r="E432" s="1"/>
      <c r="F432" s="1"/>
      <c r="G432" s="1"/>
      <c r="H432" s="10"/>
      <c r="I432" s="10"/>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ht="15.75" customHeight="1">
      <c r="A433" s="1"/>
      <c r="B433" s="1"/>
      <c r="C433" s="1"/>
      <c r="D433" s="1"/>
      <c r="E433" s="1"/>
      <c r="F433" s="1"/>
      <c r="G433" s="1"/>
      <c r="H433" s="10"/>
      <c r="I433" s="10"/>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ht="15.75" customHeight="1">
      <c r="A434" s="1"/>
      <c r="B434" s="1"/>
      <c r="C434" s="1"/>
      <c r="D434" s="1"/>
      <c r="E434" s="1"/>
      <c r="F434" s="1"/>
      <c r="G434" s="1"/>
      <c r="H434" s="10"/>
      <c r="I434" s="10"/>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ht="15.75" customHeight="1">
      <c r="A435" s="1"/>
      <c r="B435" s="1"/>
      <c r="C435" s="1"/>
      <c r="D435" s="1"/>
      <c r="E435" s="1"/>
      <c r="F435" s="1"/>
      <c r="G435" s="1"/>
      <c r="H435" s="10"/>
      <c r="I435" s="10"/>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ht="15.75" customHeight="1">
      <c r="A436" s="1"/>
      <c r="B436" s="1"/>
      <c r="C436" s="1"/>
      <c r="D436" s="1"/>
      <c r="E436" s="1"/>
      <c r="F436" s="1"/>
      <c r="G436" s="1"/>
      <c r="H436" s="10"/>
      <c r="I436" s="10"/>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ht="15.75" customHeight="1">
      <c r="A437" s="1"/>
      <c r="B437" s="1"/>
      <c r="C437" s="1"/>
      <c r="D437" s="1"/>
      <c r="E437" s="1"/>
      <c r="F437" s="1"/>
      <c r="G437" s="1"/>
      <c r="H437" s="10"/>
      <c r="I437" s="10"/>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ht="15.75" customHeight="1">
      <c r="A438" s="1"/>
      <c r="B438" s="1"/>
      <c r="C438" s="1"/>
      <c r="D438" s="1"/>
      <c r="E438" s="1"/>
      <c r="F438" s="1"/>
      <c r="G438" s="1"/>
      <c r="H438" s="10"/>
      <c r="I438" s="10"/>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ht="15.75" customHeight="1">
      <c r="A439" s="1"/>
      <c r="B439" s="1"/>
      <c r="C439" s="1"/>
      <c r="D439" s="1"/>
      <c r="E439" s="1"/>
      <c r="F439" s="1"/>
      <c r="G439" s="1"/>
      <c r="H439" s="10"/>
      <c r="I439" s="10"/>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ht="15.75" customHeight="1">
      <c r="A440" s="1"/>
      <c r="B440" s="1"/>
      <c r="C440" s="1"/>
      <c r="D440" s="1"/>
      <c r="E440" s="1"/>
      <c r="F440" s="1"/>
      <c r="G440" s="1"/>
      <c r="H440" s="10"/>
      <c r="I440" s="10"/>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ht="15.75" customHeight="1">
      <c r="A441" s="1"/>
      <c r="B441" s="1"/>
      <c r="C441" s="1"/>
      <c r="D441" s="1"/>
      <c r="E441" s="1"/>
      <c r="F441" s="1"/>
      <c r="G441" s="1"/>
      <c r="H441" s="10"/>
      <c r="I441" s="10"/>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ht="15.75" customHeight="1">
      <c r="A442" s="1"/>
      <c r="B442" s="1"/>
      <c r="C442" s="1"/>
      <c r="D442" s="1"/>
      <c r="E442" s="1"/>
      <c r="F442" s="1"/>
      <c r="G442" s="1"/>
      <c r="H442" s="10"/>
      <c r="I442" s="10"/>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ht="15.75" customHeight="1">
      <c r="A443" s="1"/>
      <c r="B443" s="1"/>
      <c r="C443" s="1"/>
      <c r="D443" s="1"/>
      <c r="E443" s="1"/>
      <c r="F443" s="1"/>
      <c r="G443" s="1"/>
      <c r="H443" s="10"/>
      <c r="I443" s="10"/>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ht="15.75" customHeight="1">
      <c r="A444" s="1"/>
      <c r="B444" s="1"/>
      <c r="C444" s="1"/>
      <c r="D444" s="1"/>
      <c r="E444" s="1"/>
      <c r="F444" s="1"/>
      <c r="G444" s="1"/>
      <c r="H444" s="10"/>
      <c r="I444" s="10"/>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ht="15.75" customHeight="1">
      <c r="A445" s="1"/>
      <c r="B445" s="1"/>
      <c r="C445" s="1"/>
      <c r="D445" s="1"/>
      <c r="E445" s="1"/>
      <c r="F445" s="1"/>
      <c r="G445" s="1"/>
      <c r="H445" s="10"/>
      <c r="I445" s="10"/>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ht="15.75" customHeight="1">
      <c r="A446" s="1"/>
      <c r="B446" s="1"/>
      <c r="C446" s="1"/>
      <c r="D446" s="1"/>
      <c r="E446" s="1"/>
      <c r="F446" s="1"/>
      <c r="G446" s="1"/>
      <c r="H446" s="10"/>
      <c r="I446" s="10"/>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ht="15.75" customHeight="1">
      <c r="A447" s="1"/>
      <c r="B447" s="1"/>
      <c r="C447" s="1"/>
      <c r="D447" s="1"/>
      <c r="E447" s="1"/>
      <c r="F447" s="1"/>
      <c r="G447" s="1"/>
      <c r="H447" s="10"/>
      <c r="I447" s="10"/>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ht="15.75" customHeight="1">
      <c r="A448" s="1"/>
      <c r="B448" s="1"/>
      <c r="C448" s="1"/>
      <c r="D448" s="1"/>
      <c r="E448" s="1"/>
      <c r="F448" s="1"/>
      <c r="G448" s="1"/>
      <c r="H448" s="10"/>
      <c r="I448" s="10"/>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ht="15.75" customHeight="1">
      <c r="A449" s="1"/>
      <c r="B449" s="1"/>
      <c r="C449" s="1"/>
      <c r="D449" s="1"/>
      <c r="E449" s="1"/>
      <c r="F449" s="1"/>
      <c r="G449" s="1"/>
      <c r="H449" s="10"/>
      <c r="I449" s="10"/>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ht="15.75" customHeight="1">
      <c r="A450" s="1"/>
      <c r="B450" s="1"/>
      <c r="C450" s="1"/>
      <c r="D450" s="1"/>
      <c r="E450" s="1"/>
      <c r="F450" s="1"/>
      <c r="G450" s="1"/>
      <c r="H450" s="10"/>
      <c r="I450" s="10"/>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ht="15.75" customHeight="1">
      <c r="A451" s="1"/>
      <c r="B451" s="1"/>
      <c r="C451" s="1"/>
      <c r="D451" s="1"/>
      <c r="E451" s="1"/>
      <c r="F451" s="1"/>
      <c r="G451" s="1"/>
      <c r="H451" s="10"/>
      <c r="I451" s="10"/>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ht="15.75" customHeight="1">
      <c r="A452" s="1"/>
      <c r="B452" s="1"/>
      <c r="C452" s="1"/>
      <c r="D452" s="1"/>
      <c r="E452" s="1"/>
      <c r="F452" s="1"/>
      <c r="G452" s="1"/>
      <c r="H452" s="10"/>
      <c r="I452" s="10"/>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ht="15.75" customHeight="1">
      <c r="A453" s="1"/>
      <c r="B453" s="1"/>
      <c r="C453" s="1"/>
      <c r="D453" s="1"/>
      <c r="E453" s="1"/>
      <c r="F453" s="1"/>
      <c r="G453" s="1"/>
      <c r="H453" s="10"/>
      <c r="I453" s="10"/>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ht="15.75" customHeight="1">
      <c r="A454" s="1"/>
      <c r="B454" s="1"/>
      <c r="C454" s="1"/>
      <c r="D454" s="1"/>
      <c r="E454" s="1"/>
      <c r="F454" s="1"/>
      <c r="G454" s="1"/>
      <c r="H454" s="10"/>
      <c r="I454" s="10"/>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ht="15.75" customHeight="1">
      <c r="A455" s="1"/>
      <c r="B455" s="1"/>
      <c r="C455" s="1"/>
      <c r="D455" s="1"/>
      <c r="E455" s="1"/>
      <c r="F455" s="1"/>
      <c r="G455" s="1"/>
      <c r="H455" s="10"/>
      <c r="I455" s="10"/>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ht="15.75" customHeight="1">
      <c r="A456" s="1"/>
      <c r="B456" s="1"/>
      <c r="C456" s="1"/>
      <c r="D456" s="1"/>
      <c r="E456" s="1"/>
      <c r="F456" s="1"/>
      <c r="G456" s="1"/>
      <c r="H456" s="10"/>
      <c r="I456" s="10"/>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ht="15.75" customHeight="1">
      <c r="A457" s="1"/>
      <c r="B457" s="1"/>
      <c r="C457" s="1"/>
      <c r="D457" s="1"/>
      <c r="E457" s="1"/>
      <c r="F457" s="1"/>
      <c r="G457" s="1"/>
      <c r="H457" s="10"/>
      <c r="I457" s="10"/>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ht="15.75" customHeight="1">
      <c r="A458" s="1"/>
      <c r="B458" s="1"/>
      <c r="C458" s="1"/>
      <c r="D458" s="1"/>
      <c r="E458" s="1"/>
      <c r="F458" s="1"/>
      <c r="G458" s="1"/>
      <c r="H458" s="10"/>
      <c r="I458" s="10"/>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ht="15.75" customHeight="1">
      <c r="A459" s="1"/>
      <c r="B459" s="1"/>
      <c r="C459" s="1"/>
      <c r="D459" s="1"/>
      <c r="E459" s="1"/>
      <c r="F459" s="1"/>
      <c r="G459" s="1"/>
      <c r="H459" s="10"/>
      <c r="I459" s="10"/>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ht="15.75" customHeight="1">
      <c r="A460" s="1"/>
      <c r="B460" s="1"/>
      <c r="C460" s="1"/>
      <c r="D460" s="1"/>
      <c r="E460" s="1"/>
      <c r="F460" s="1"/>
      <c r="G460" s="1"/>
      <c r="H460" s="10"/>
      <c r="I460" s="10"/>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ht="15.75" customHeight="1">
      <c r="A461" s="1"/>
      <c r="B461" s="1"/>
      <c r="C461" s="1"/>
      <c r="D461" s="1"/>
      <c r="E461" s="1"/>
      <c r="F461" s="1"/>
      <c r="G461" s="1"/>
      <c r="H461" s="10"/>
      <c r="I461" s="10"/>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ht="15.75" customHeight="1">
      <c r="A462" s="1"/>
      <c r="B462" s="1"/>
      <c r="C462" s="1"/>
      <c r="D462" s="1"/>
      <c r="E462" s="1"/>
      <c r="F462" s="1"/>
      <c r="G462" s="1"/>
      <c r="H462" s="10"/>
      <c r="I462" s="10"/>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ht="15.75" customHeight="1">
      <c r="A463" s="1"/>
      <c r="B463" s="1"/>
      <c r="C463" s="1"/>
      <c r="D463" s="1"/>
      <c r="E463" s="1"/>
      <c r="F463" s="1"/>
      <c r="G463" s="1"/>
      <c r="H463" s="10"/>
      <c r="I463" s="10"/>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ht="15.75" customHeight="1">
      <c r="A464" s="1"/>
      <c r="B464" s="1"/>
      <c r="C464" s="1"/>
      <c r="D464" s="1"/>
      <c r="E464" s="1"/>
      <c r="F464" s="1"/>
      <c r="G464" s="1"/>
      <c r="H464" s="10"/>
      <c r="I464" s="10"/>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ht="15.75" customHeight="1">
      <c r="A465" s="1"/>
      <c r="B465" s="1"/>
      <c r="C465" s="1"/>
      <c r="D465" s="1"/>
      <c r="E465" s="1"/>
      <c r="F465" s="1"/>
      <c r="G465" s="1"/>
      <c r="H465" s="10"/>
      <c r="I465" s="10"/>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ht="15.75" customHeight="1">
      <c r="A466" s="1"/>
      <c r="B466" s="1"/>
      <c r="C466" s="1"/>
      <c r="D466" s="1"/>
      <c r="E466" s="1"/>
      <c r="F466" s="1"/>
      <c r="G466" s="1"/>
      <c r="H466" s="10"/>
      <c r="I466" s="10"/>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ht="15.75" customHeight="1">
      <c r="A467" s="1"/>
      <c r="B467" s="1"/>
      <c r="C467" s="1"/>
      <c r="D467" s="1"/>
      <c r="E467" s="1"/>
      <c r="F467" s="1"/>
      <c r="G467" s="1"/>
      <c r="H467" s="10"/>
      <c r="I467" s="10"/>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ht="15.75" customHeight="1">
      <c r="A468" s="1"/>
      <c r="B468" s="1"/>
      <c r="C468" s="1"/>
      <c r="D468" s="1"/>
      <c r="E468" s="1"/>
      <c r="F468" s="1"/>
      <c r="G468" s="1"/>
      <c r="H468" s="10"/>
      <c r="I468" s="10"/>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ht="15.75" customHeight="1">
      <c r="A469" s="1"/>
      <c r="B469" s="1"/>
      <c r="C469" s="1"/>
      <c r="D469" s="1"/>
      <c r="E469" s="1"/>
      <c r="F469" s="1"/>
      <c r="G469" s="1"/>
      <c r="H469" s="10"/>
      <c r="I469" s="10"/>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ht="15.75" customHeight="1">
      <c r="A470" s="1"/>
      <c r="B470" s="1"/>
      <c r="C470" s="1"/>
      <c r="D470" s="1"/>
      <c r="E470" s="1"/>
      <c r="F470" s="1"/>
      <c r="G470" s="1"/>
      <c r="H470" s="10"/>
      <c r="I470" s="10"/>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ht="15.75" customHeight="1">
      <c r="A471" s="1"/>
      <c r="B471" s="1"/>
      <c r="C471" s="1"/>
      <c r="D471" s="1"/>
      <c r="E471" s="1"/>
      <c r="F471" s="1"/>
      <c r="G471" s="1"/>
      <c r="H471" s="10"/>
      <c r="I471" s="10"/>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ht="15.75" customHeight="1">
      <c r="A472" s="1"/>
      <c r="B472" s="1"/>
      <c r="C472" s="1"/>
      <c r="D472" s="1"/>
      <c r="E472" s="1"/>
      <c r="F472" s="1"/>
      <c r="G472" s="1"/>
      <c r="H472" s="10"/>
      <c r="I472" s="10"/>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ht="15.75" customHeight="1">
      <c r="A473" s="1"/>
      <c r="B473" s="1"/>
      <c r="C473" s="1"/>
      <c r="D473" s="1"/>
      <c r="E473" s="1"/>
      <c r="F473" s="1"/>
      <c r="G473" s="1"/>
      <c r="H473" s="10"/>
      <c r="I473" s="10"/>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ht="15.75" customHeight="1">
      <c r="A474" s="1"/>
      <c r="B474" s="1"/>
      <c r="C474" s="1"/>
      <c r="D474" s="1"/>
      <c r="E474" s="1"/>
      <c r="F474" s="1"/>
      <c r="G474" s="1"/>
      <c r="H474" s="10"/>
      <c r="I474" s="10"/>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ht="15.75" customHeight="1">
      <c r="A475" s="1"/>
      <c r="B475" s="1"/>
      <c r="C475" s="1"/>
      <c r="D475" s="1"/>
      <c r="E475" s="1"/>
      <c r="F475" s="1"/>
      <c r="G475" s="1"/>
      <c r="H475" s="10"/>
      <c r="I475" s="10"/>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ht="15.75" customHeight="1">
      <c r="A476" s="1"/>
      <c r="B476" s="1"/>
      <c r="C476" s="1"/>
      <c r="D476" s="1"/>
      <c r="E476" s="1"/>
      <c r="F476" s="1"/>
      <c r="G476" s="1"/>
      <c r="H476" s="10"/>
      <c r="I476" s="10"/>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ht="15.75" customHeight="1">
      <c r="A477" s="1"/>
      <c r="B477" s="1"/>
      <c r="C477" s="1"/>
      <c r="D477" s="1"/>
      <c r="E477" s="1"/>
      <c r="F477" s="1"/>
      <c r="G477" s="1"/>
      <c r="H477" s="10"/>
      <c r="I477" s="10"/>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ht="15.75" customHeight="1">
      <c r="A478" s="1"/>
      <c r="B478" s="1"/>
      <c r="C478" s="1"/>
      <c r="D478" s="1"/>
      <c r="E478" s="1"/>
      <c r="F478" s="1"/>
      <c r="G478" s="1"/>
      <c r="H478" s="10"/>
      <c r="I478" s="10"/>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ht="15.75" customHeight="1">
      <c r="A479" s="1"/>
      <c r="B479" s="1"/>
      <c r="C479" s="1"/>
      <c r="D479" s="1"/>
      <c r="E479" s="1"/>
      <c r="F479" s="1"/>
      <c r="G479" s="1"/>
      <c r="H479" s="10"/>
      <c r="I479" s="10"/>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ht="15.75" customHeight="1">
      <c r="A480" s="1"/>
      <c r="B480" s="1"/>
      <c r="C480" s="1"/>
      <c r="D480" s="1"/>
      <c r="E480" s="1"/>
      <c r="F480" s="1"/>
      <c r="G480" s="1"/>
      <c r="H480" s="10"/>
      <c r="I480" s="10"/>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ht="15.75" customHeight="1">
      <c r="A481" s="1"/>
      <c r="B481" s="1"/>
      <c r="C481" s="1"/>
      <c r="D481" s="1"/>
      <c r="E481" s="1"/>
      <c r="F481" s="1"/>
      <c r="G481" s="1"/>
      <c r="H481" s="10"/>
      <c r="I481" s="10"/>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ht="15.75" customHeight="1">
      <c r="A482" s="1"/>
      <c r="B482" s="1"/>
      <c r="C482" s="1"/>
      <c r="D482" s="1"/>
      <c r="E482" s="1"/>
      <c r="F482" s="1"/>
      <c r="G482" s="1"/>
      <c r="H482" s="10"/>
      <c r="I482" s="10"/>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ht="15.75" customHeight="1">
      <c r="A483" s="1"/>
      <c r="B483" s="1"/>
      <c r="C483" s="1"/>
      <c r="D483" s="1"/>
      <c r="E483" s="1"/>
      <c r="F483" s="1"/>
      <c r="G483" s="1"/>
      <c r="H483" s="10"/>
      <c r="I483" s="10"/>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ht="15.75" customHeight="1">
      <c r="A484" s="1"/>
      <c r="B484" s="1"/>
      <c r="C484" s="1"/>
      <c r="D484" s="1"/>
      <c r="E484" s="1"/>
      <c r="F484" s="1"/>
      <c r="G484" s="1"/>
      <c r="H484" s="10"/>
      <c r="I484" s="10"/>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ht="15.75" customHeight="1">
      <c r="A485" s="1"/>
      <c r="B485" s="1"/>
      <c r="C485" s="1"/>
      <c r="D485" s="1"/>
      <c r="E485" s="1"/>
      <c r="F485" s="1"/>
      <c r="G485" s="1"/>
      <c r="H485" s="10"/>
      <c r="I485" s="10"/>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ht="15.75" customHeight="1">
      <c r="A486" s="1"/>
      <c r="B486" s="1"/>
      <c r="C486" s="1"/>
      <c r="D486" s="1"/>
      <c r="E486" s="1"/>
      <c r="F486" s="1"/>
      <c r="G486" s="1"/>
      <c r="H486" s="10"/>
      <c r="I486" s="10"/>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ht="15.75" customHeight="1">
      <c r="A487" s="1"/>
      <c r="B487" s="1"/>
      <c r="C487" s="1"/>
      <c r="D487" s="1"/>
      <c r="E487" s="1"/>
      <c r="F487" s="1"/>
      <c r="G487" s="1"/>
      <c r="H487" s="10"/>
      <c r="I487" s="10"/>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ht="15.75" customHeight="1">
      <c r="A488" s="1"/>
      <c r="B488" s="1"/>
      <c r="C488" s="1"/>
      <c r="D488" s="1"/>
      <c r="E488" s="1"/>
      <c r="F488" s="1"/>
      <c r="G488" s="1"/>
      <c r="H488" s="10"/>
      <c r="I488" s="10"/>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ht="15.75" customHeight="1">
      <c r="A489" s="1"/>
      <c r="B489" s="1"/>
      <c r="C489" s="1"/>
      <c r="D489" s="1"/>
      <c r="E489" s="1"/>
      <c r="F489" s="1"/>
      <c r="G489" s="1"/>
      <c r="H489" s="10"/>
      <c r="I489" s="10"/>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ht="15.75" customHeight="1">
      <c r="A490" s="1"/>
      <c r="B490" s="1"/>
      <c r="C490" s="1"/>
      <c r="D490" s="1"/>
      <c r="E490" s="1"/>
      <c r="F490" s="1"/>
      <c r="G490" s="1"/>
      <c r="H490" s="10"/>
      <c r="I490" s="10"/>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ht="15.75" customHeight="1">
      <c r="A491" s="1"/>
      <c r="B491" s="1"/>
      <c r="C491" s="1"/>
      <c r="D491" s="1"/>
      <c r="E491" s="1"/>
      <c r="F491" s="1"/>
      <c r="G491" s="1"/>
      <c r="H491" s="10"/>
      <c r="I491" s="10"/>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ht="15.75" customHeight="1">
      <c r="A492" s="1"/>
      <c r="B492" s="1"/>
      <c r="C492" s="1"/>
      <c r="D492" s="1"/>
      <c r="E492" s="1"/>
      <c r="F492" s="1"/>
      <c r="G492" s="1"/>
      <c r="H492" s="10"/>
      <c r="I492" s="10"/>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ht="15.75" customHeight="1">
      <c r="A493" s="1"/>
      <c r="B493" s="1"/>
      <c r="C493" s="1"/>
      <c r="D493" s="1"/>
      <c r="E493" s="1"/>
      <c r="F493" s="1"/>
      <c r="G493" s="1"/>
      <c r="H493" s="10"/>
      <c r="I493" s="10"/>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ht="15.75" customHeight="1">
      <c r="A494" s="1"/>
      <c r="B494" s="1"/>
      <c r="C494" s="1"/>
      <c r="D494" s="1"/>
      <c r="E494" s="1"/>
      <c r="F494" s="1"/>
      <c r="G494" s="1"/>
      <c r="H494" s="10"/>
      <c r="I494" s="10"/>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ht="15.75" customHeight="1">
      <c r="A495" s="1"/>
      <c r="B495" s="1"/>
      <c r="C495" s="1"/>
      <c r="D495" s="1"/>
      <c r="E495" s="1"/>
      <c r="F495" s="1"/>
      <c r="G495" s="1"/>
      <c r="H495" s="10"/>
      <c r="I495" s="10"/>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ht="15.75" customHeight="1">
      <c r="A496" s="1"/>
      <c r="B496" s="1"/>
      <c r="C496" s="1"/>
      <c r="D496" s="1"/>
      <c r="E496" s="1"/>
      <c r="F496" s="1"/>
      <c r="G496" s="1"/>
      <c r="H496" s="10"/>
      <c r="I496" s="10"/>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ht="15.75" customHeight="1">
      <c r="A497" s="1"/>
      <c r="B497" s="1"/>
      <c r="C497" s="1"/>
      <c r="D497" s="1"/>
      <c r="E497" s="1"/>
      <c r="F497" s="1"/>
      <c r="G497" s="1"/>
      <c r="H497" s="10"/>
      <c r="I497" s="10"/>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ht="15.75" customHeight="1">
      <c r="A498" s="1"/>
      <c r="B498" s="1"/>
      <c r="C498" s="1"/>
      <c r="D498" s="1"/>
      <c r="E498" s="1"/>
      <c r="F498" s="1"/>
      <c r="G498" s="1"/>
      <c r="H498" s="10"/>
      <c r="I498" s="10"/>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ht="15.75" customHeight="1">
      <c r="A499" s="1"/>
      <c r="B499" s="1"/>
      <c r="C499" s="1"/>
      <c r="D499" s="1"/>
      <c r="E499" s="1"/>
      <c r="F499" s="1"/>
      <c r="G499" s="1"/>
      <c r="H499" s="10"/>
      <c r="I499" s="10"/>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ht="15.75" customHeight="1">
      <c r="A500" s="1"/>
      <c r="B500" s="1"/>
      <c r="C500" s="1"/>
      <c r="D500" s="1"/>
      <c r="E500" s="1"/>
      <c r="F500" s="1"/>
      <c r="G500" s="1"/>
      <c r="H500" s="10"/>
      <c r="I500" s="10"/>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ht="15.75" customHeight="1">
      <c r="A501" s="1"/>
      <c r="B501" s="1"/>
      <c r="C501" s="1"/>
      <c r="D501" s="1"/>
      <c r="E501" s="1"/>
      <c r="F501" s="1"/>
      <c r="G501" s="1"/>
      <c r="H501" s="10"/>
      <c r="I501" s="10"/>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ht="15.75" customHeight="1">
      <c r="A502" s="1"/>
      <c r="B502" s="1"/>
      <c r="C502" s="1"/>
      <c r="D502" s="1"/>
      <c r="E502" s="1"/>
      <c r="F502" s="1"/>
      <c r="G502" s="1"/>
      <c r="H502" s="10"/>
      <c r="I502" s="10"/>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ht="15.75" customHeight="1">
      <c r="A503" s="1"/>
      <c r="B503" s="1"/>
      <c r="C503" s="1"/>
      <c r="D503" s="1"/>
      <c r="E503" s="1"/>
      <c r="F503" s="1"/>
      <c r="G503" s="1"/>
      <c r="H503" s="10"/>
      <c r="I503" s="10"/>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ht="15.75" customHeight="1">
      <c r="A504" s="1"/>
      <c r="B504" s="1"/>
      <c r="C504" s="1"/>
      <c r="D504" s="1"/>
      <c r="E504" s="1"/>
      <c r="F504" s="1"/>
      <c r="G504" s="1"/>
      <c r="H504" s="10"/>
      <c r="I504" s="10"/>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ht="15.75" customHeight="1">
      <c r="A505" s="1"/>
      <c r="B505" s="1"/>
      <c r="C505" s="1"/>
      <c r="D505" s="1"/>
      <c r="E505" s="1"/>
      <c r="F505" s="1"/>
      <c r="G505" s="1"/>
      <c r="H505" s="10"/>
      <c r="I505" s="10"/>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ht="15.75" customHeight="1">
      <c r="A506" s="1"/>
      <c r="B506" s="1"/>
      <c r="C506" s="1"/>
      <c r="D506" s="1"/>
      <c r="E506" s="1"/>
      <c r="F506" s="1"/>
      <c r="G506" s="1"/>
      <c r="H506" s="10"/>
      <c r="I506" s="10"/>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ht="15.75" customHeight="1">
      <c r="A507" s="1"/>
      <c r="B507" s="1"/>
      <c r="C507" s="1"/>
      <c r="D507" s="1"/>
      <c r="E507" s="1"/>
      <c r="F507" s="1"/>
      <c r="G507" s="1"/>
      <c r="H507" s="10"/>
      <c r="I507" s="10"/>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ht="15.75" customHeight="1">
      <c r="A508" s="1"/>
      <c r="B508" s="1"/>
      <c r="C508" s="1"/>
      <c r="D508" s="1"/>
      <c r="E508" s="1"/>
      <c r="F508" s="1"/>
      <c r="G508" s="1"/>
      <c r="H508" s="10"/>
      <c r="I508" s="10"/>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ht="15.75" customHeight="1">
      <c r="A509" s="1"/>
      <c r="B509" s="1"/>
      <c r="C509" s="1"/>
      <c r="D509" s="1"/>
      <c r="E509" s="1"/>
      <c r="F509" s="1"/>
      <c r="G509" s="1"/>
      <c r="H509" s="10"/>
      <c r="I509" s="10"/>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ht="15.75" customHeight="1">
      <c r="A510" s="1"/>
      <c r="B510" s="1"/>
      <c r="C510" s="1"/>
      <c r="D510" s="1"/>
      <c r="E510" s="1"/>
      <c r="F510" s="1"/>
      <c r="G510" s="1"/>
      <c r="H510" s="10"/>
      <c r="I510" s="10"/>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ht="15.75" customHeight="1">
      <c r="A511" s="1"/>
      <c r="B511" s="1"/>
      <c r="C511" s="1"/>
      <c r="D511" s="1"/>
      <c r="E511" s="1"/>
      <c r="F511" s="1"/>
      <c r="G511" s="1"/>
      <c r="H511" s="10"/>
      <c r="I511" s="10"/>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ht="15.75" customHeight="1">
      <c r="A512" s="1"/>
      <c r="B512" s="1"/>
      <c r="C512" s="1"/>
      <c r="D512" s="1"/>
      <c r="E512" s="1"/>
      <c r="F512" s="1"/>
      <c r="G512" s="1"/>
      <c r="H512" s="10"/>
      <c r="I512" s="10"/>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ht="15.75" customHeight="1">
      <c r="A513" s="1"/>
      <c r="B513" s="1"/>
      <c r="C513" s="1"/>
      <c r="D513" s="1"/>
      <c r="E513" s="1"/>
      <c r="F513" s="1"/>
      <c r="G513" s="1"/>
      <c r="H513" s="10"/>
      <c r="I513" s="10"/>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ht="15.75" customHeight="1">
      <c r="A514" s="1"/>
      <c r="B514" s="1"/>
      <c r="C514" s="1"/>
      <c r="D514" s="1"/>
      <c r="E514" s="1"/>
      <c r="F514" s="1"/>
      <c r="G514" s="1"/>
      <c r="H514" s="10"/>
      <c r="I514" s="10"/>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ht="15.75" customHeight="1">
      <c r="A515" s="1"/>
      <c r="B515" s="1"/>
      <c r="C515" s="1"/>
      <c r="D515" s="1"/>
      <c r="E515" s="1"/>
      <c r="F515" s="1"/>
      <c r="G515" s="1"/>
      <c r="H515" s="10"/>
      <c r="I515" s="10"/>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ht="15.75" customHeight="1">
      <c r="A516" s="1"/>
      <c r="B516" s="1"/>
      <c r="C516" s="1"/>
      <c r="D516" s="1"/>
      <c r="E516" s="1"/>
      <c r="F516" s="1"/>
      <c r="G516" s="1"/>
      <c r="H516" s="10"/>
      <c r="I516" s="10"/>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ht="15.75" customHeight="1">
      <c r="A517" s="1"/>
      <c r="B517" s="1"/>
      <c r="C517" s="1"/>
      <c r="D517" s="1"/>
      <c r="E517" s="1"/>
      <c r="F517" s="1"/>
      <c r="G517" s="1"/>
      <c r="H517" s="10"/>
      <c r="I517" s="10"/>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ht="15.75" customHeight="1">
      <c r="A518" s="1"/>
      <c r="B518" s="1"/>
      <c r="C518" s="1"/>
      <c r="D518" s="1"/>
      <c r="E518" s="1"/>
      <c r="F518" s="1"/>
      <c r="G518" s="1"/>
      <c r="H518" s="10"/>
      <c r="I518" s="10"/>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ht="15.75" customHeight="1">
      <c r="A519" s="1"/>
      <c r="B519" s="1"/>
      <c r="C519" s="1"/>
      <c r="D519" s="1"/>
      <c r="E519" s="1"/>
      <c r="F519" s="1"/>
      <c r="G519" s="1"/>
      <c r="H519" s="10"/>
      <c r="I519" s="10"/>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ht="15.75" customHeight="1">
      <c r="A520" s="1"/>
      <c r="B520" s="1"/>
      <c r="C520" s="1"/>
      <c r="D520" s="1"/>
      <c r="E520" s="1"/>
      <c r="F520" s="1"/>
      <c r="G520" s="1"/>
      <c r="H520" s="10"/>
      <c r="I520" s="10"/>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ht="15.75" customHeight="1">
      <c r="A521" s="1"/>
      <c r="B521" s="1"/>
      <c r="C521" s="1"/>
      <c r="D521" s="1"/>
      <c r="E521" s="1"/>
      <c r="F521" s="1"/>
      <c r="G521" s="1"/>
      <c r="H521" s="10"/>
      <c r="I521" s="10"/>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ht="15.75" customHeight="1">
      <c r="A522" s="1"/>
      <c r="B522" s="1"/>
      <c r="C522" s="1"/>
      <c r="D522" s="1"/>
      <c r="E522" s="1"/>
      <c r="F522" s="1"/>
      <c r="G522" s="1"/>
      <c r="H522" s="10"/>
      <c r="I522" s="10"/>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ht="15.75" customHeight="1">
      <c r="A523" s="1"/>
      <c r="B523" s="1"/>
      <c r="C523" s="1"/>
      <c r="D523" s="1"/>
      <c r="E523" s="1"/>
      <c r="F523" s="1"/>
      <c r="G523" s="1"/>
      <c r="H523" s="10"/>
      <c r="I523" s="10"/>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ht="15.75" customHeight="1">
      <c r="A524" s="1"/>
      <c r="B524" s="1"/>
      <c r="C524" s="1"/>
      <c r="D524" s="1"/>
      <c r="E524" s="1"/>
      <c r="F524" s="1"/>
      <c r="G524" s="1"/>
      <c r="H524" s="10"/>
      <c r="I524" s="10"/>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ht="15.75" customHeight="1">
      <c r="A525" s="1"/>
      <c r="B525" s="1"/>
      <c r="C525" s="1"/>
      <c r="D525" s="1"/>
      <c r="E525" s="1"/>
      <c r="F525" s="1"/>
      <c r="G525" s="1"/>
      <c r="H525" s="10"/>
      <c r="I525" s="10"/>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ht="15.75" customHeight="1">
      <c r="A526" s="1"/>
      <c r="B526" s="1"/>
      <c r="C526" s="1"/>
      <c r="D526" s="1"/>
      <c r="E526" s="1"/>
      <c r="F526" s="1"/>
      <c r="G526" s="1"/>
      <c r="H526" s="10"/>
      <c r="I526" s="10"/>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ht="15.75" customHeight="1">
      <c r="A527" s="1"/>
      <c r="B527" s="1"/>
      <c r="C527" s="1"/>
      <c r="D527" s="1"/>
      <c r="E527" s="1"/>
      <c r="F527" s="1"/>
      <c r="G527" s="1"/>
      <c r="H527" s="10"/>
      <c r="I527" s="10"/>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ht="15.75" customHeight="1">
      <c r="A528" s="1"/>
      <c r="B528" s="1"/>
      <c r="C528" s="1"/>
      <c r="D528" s="1"/>
      <c r="E528" s="1"/>
      <c r="F528" s="1"/>
      <c r="G528" s="1"/>
      <c r="H528" s="10"/>
      <c r="I528" s="10"/>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ht="15.75" customHeight="1">
      <c r="A529" s="1"/>
      <c r="B529" s="1"/>
      <c r="C529" s="1"/>
      <c r="D529" s="1"/>
      <c r="E529" s="1"/>
      <c r="F529" s="1"/>
      <c r="G529" s="1"/>
      <c r="H529" s="10"/>
      <c r="I529" s="10"/>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ht="15.75" customHeight="1">
      <c r="A530" s="1"/>
      <c r="B530" s="1"/>
      <c r="C530" s="1"/>
      <c r="D530" s="1"/>
      <c r="E530" s="1"/>
      <c r="F530" s="1"/>
      <c r="G530" s="1"/>
      <c r="H530" s="10"/>
      <c r="I530" s="10"/>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ht="15.75" customHeight="1">
      <c r="A531" s="1"/>
      <c r="B531" s="1"/>
      <c r="C531" s="1"/>
      <c r="D531" s="1"/>
      <c r="E531" s="1"/>
      <c r="F531" s="1"/>
      <c r="G531" s="1"/>
      <c r="H531" s="10"/>
      <c r="I531" s="10"/>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ht="15.75" customHeight="1">
      <c r="A532" s="1"/>
      <c r="B532" s="1"/>
      <c r="C532" s="1"/>
      <c r="D532" s="1"/>
      <c r="E532" s="1"/>
      <c r="F532" s="1"/>
      <c r="G532" s="1"/>
      <c r="H532" s="10"/>
      <c r="I532" s="10"/>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ht="15.75" customHeight="1">
      <c r="A533" s="1"/>
      <c r="B533" s="1"/>
      <c r="C533" s="1"/>
      <c r="D533" s="1"/>
      <c r="E533" s="1"/>
      <c r="F533" s="1"/>
      <c r="G533" s="1"/>
      <c r="H533" s="10"/>
      <c r="I533" s="10"/>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ht="15.75" customHeight="1">
      <c r="A534" s="1"/>
      <c r="B534" s="1"/>
      <c r="C534" s="1"/>
      <c r="D534" s="1"/>
      <c r="E534" s="1"/>
      <c r="F534" s="1"/>
      <c r="G534" s="1"/>
      <c r="H534" s="10"/>
      <c r="I534" s="10"/>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ht="15.75" customHeight="1">
      <c r="A535" s="1"/>
      <c r="B535" s="1"/>
      <c r="C535" s="1"/>
      <c r="D535" s="1"/>
      <c r="E535" s="1"/>
      <c r="F535" s="1"/>
      <c r="G535" s="1"/>
      <c r="H535" s="10"/>
      <c r="I535" s="10"/>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ht="15.75" customHeight="1">
      <c r="A536" s="1"/>
      <c r="B536" s="1"/>
      <c r="C536" s="1"/>
      <c r="D536" s="1"/>
      <c r="E536" s="1"/>
      <c r="F536" s="1"/>
      <c r="G536" s="1"/>
      <c r="H536" s="10"/>
      <c r="I536" s="10"/>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ht="15.75" customHeight="1">
      <c r="A537" s="1"/>
      <c r="B537" s="1"/>
      <c r="C537" s="1"/>
      <c r="D537" s="1"/>
      <c r="E537" s="1"/>
      <c r="F537" s="1"/>
      <c r="G537" s="1"/>
      <c r="H537" s="10"/>
      <c r="I537" s="10"/>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ht="15.75" customHeight="1">
      <c r="A538" s="1"/>
      <c r="B538" s="1"/>
      <c r="C538" s="1"/>
      <c r="D538" s="1"/>
      <c r="E538" s="1"/>
      <c r="F538" s="1"/>
      <c r="G538" s="1"/>
      <c r="H538" s="10"/>
      <c r="I538" s="10"/>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ht="15.75" customHeight="1">
      <c r="A539" s="1"/>
      <c r="B539" s="1"/>
      <c r="C539" s="1"/>
      <c r="D539" s="1"/>
      <c r="E539" s="1"/>
      <c r="F539" s="1"/>
      <c r="G539" s="1"/>
      <c r="H539" s="10"/>
      <c r="I539" s="10"/>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ht="15.75" customHeight="1">
      <c r="A540" s="1"/>
      <c r="B540" s="1"/>
      <c r="C540" s="1"/>
      <c r="D540" s="1"/>
      <c r="E540" s="1"/>
      <c r="F540" s="1"/>
      <c r="G540" s="1"/>
      <c r="H540" s="10"/>
      <c r="I540" s="10"/>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ht="15.75" customHeight="1">
      <c r="A541" s="1"/>
      <c r="B541" s="1"/>
      <c r="C541" s="1"/>
      <c r="D541" s="1"/>
      <c r="E541" s="1"/>
      <c r="F541" s="1"/>
      <c r="G541" s="1"/>
      <c r="H541" s="10"/>
      <c r="I541" s="10"/>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ht="15.75" customHeight="1">
      <c r="A542" s="1"/>
      <c r="B542" s="1"/>
      <c r="C542" s="1"/>
      <c r="D542" s="1"/>
      <c r="E542" s="1"/>
      <c r="F542" s="1"/>
      <c r="G542" s="1"/>
      <c r="H542" s="10"/>
      <c r="I542" s="10"/>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ht="15.75" customHeight="1">
      <c r="A543" s="1"/>
      <c r="B543" s="1"/>
      <c r="C543" s="1"/>
      <c r="D543" s="1"/>
      <c r="E543" s="1"/>
      <c r="F543" s="1"/>
      <c r="G543" s="1"/>
      <c r="H543" s="10"/>
      <c r="I543" s="10"/>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ht="15.75" customHeight="1">
      <c r="A544" s="1"/>
      <c r="B544" s="1"/>
      <c r="C544" s="1"/>
      <c r="D544" s="1"/>
      <c r="E544" s="1"/>
      <c r="F544" s="1"/>
      <c r="G544" s="1"/>
      <c r="H544" s="10"/>
      <c r="I544" s="10"/>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ht="15.75" customHeight="1">
      <c r="A545" s="1"/>
      <c r="B545" s="1"/>
      <c r="C545" s="1"/>
      <c r="D545" s="1"/>
      <c r="E545" s="1"/>
      <c r="F545" s="1"/>
      <c r="G545" s="1"/>
      <c r="H545" s="10"/>
      <c r="I545" s="10"/>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ht="15.75" customHeight="1">
      <c r="A546" s="1"/>
      <c r="B546" s="1"/>
      <c r="C546" s="1"/>
      <c r="D546" s="1"/>
      <c r="E546" s="1"/>
      <c r="F546" s="1"/>
      <c r="G546" s="1"/>
      <c r="H546" s="10"/>
      <c r="I546" s="10"/>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ht="15.75" customHeight="1">
      <c r="A547" s="1"/>
      <c r="B547" s="1"/>
      <c r="C547" s="1"/>
      <c r="D547" s="1"/>
      <c r="E547" s="1"/>
      <c r="F547" s="1"/>
      <c r="G547" s="1"/>
      <c r="H547" s="10"/>
      <c r="I547" s="10"/>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ht="15.75" customHeight="1">
      <c r="A548" s="1"/>
      <c r="B548" s="1"/>
      <c r="C548" s="1"/>
      <c r="D548" s="1"/>
      <c r="E548" s="1"/>
      <c r="F548" s="1"/>
      <c r="G548" s="1"/>
      <c r="H548" s="10"/>
      <c r="I548" s="10"/>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ht="15.75" customHeight="1">
      <c r="A549" s="1"/>
      <c r="B549" s="1"/>
      <c r="C549" s="1"/>
      <c r="D549" s="1"/>
      <c r="E549" s="1"/>
      <c r="F549" s="1"/>
      <c r="G549" s="1"/>
      <c r="H549" s="10"/>
      <c r="I549" s="10"/>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ht="15.75" customHeight="1">
      <c r="A550" s="1"/>
      <c r="B550" s="1"/>
      <c r="C550" s="1"/>
      <c r="D550" s="1"/>
      <c r="E550" s="1"/>
      <c r="F550" s="1"/>
      <c r="G550" s="1"/>
      <c r="H550" s="10"/>
      <c r="I550" s="10"/>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ht="15.75" customHeight="1">
      <c r="A551" s="1"/>
      <c r="B551" s="1"/>
      <c r="C551" s="1"/>
      <c r="D551" s="1"/>
      <c r="E551" s="1"/>
      <c r="F551" s="1"/>
      <c r="G551" s="1"/>
      <c r="H551" s="10"/>
      <c r="I551" s="10"/>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ht="15.75" customHeight="1">
      <c r="A552" s="1"/>
      <c r="B552" s="1"/>
      <c r="C552" s="1"/>
      <c r="D552" s="1"/>
      <c r="E552" s="1"/>
      <c r="F552" s="1"/>
      <c r="G552" s="1"/>
      <c r="H552" s="10"/>
      <c r="I552" s="10"/>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ht="15.75" customHeight="1">
      <c r="A553" s="1"/>
      <c r="B553" s="1"/>
      <c r="C553" s="1"/>
      <c r="D553" s="1"/>
      <c r="E553" s="1"/>
      <c r="F553" s="1"/>
      <c r="G553" s="1"/>
      <c r="H553" s="10"/>
      <c r="I553" s="10"/>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ht="15.75" customHeight="1">
      <c r="A554" s="1"/>
      <c r="B554" s="1"/>
      <c r="C554" s="1"/>
      <c r="D554" s="1"/>
      <c r="E554" s="1"/>
      <c r="F554" s="1"/>
      <c r="G554" s="1"/>
      <c r="H554" s="10"/>
      <c r="I554" s="10"/>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ht="15.75" customHeight="1">
      <c r="A555" s="1"/>
      <c r="B555" s="1"/>
      <c r="C555" s="1"/>
      <c r="D555" s="1"/>
      <c r="E555" s="1"/>
      <c r="F555" s="1"/>
      <c r="G555" s="1"/>
      <c r="H555" s="10"/>
      <c r="I555" s="10"/>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ht="15.75" customHeight="1">
      <c r="A556" s="1"/>
      <c r="B556" s="1"/>
      <c r="C556" s="1"/>
      <c r="D556" s="1"/>
      <c r="E556" s="1"/>
      <c r="F556" s="1"/>
      <c r="G556" s="1"/>
      <c r="H556" s="10"/>
      <c r="I556" s="10"/>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ht="15.75" customHeight="1">
      <c r="A557" s="1"/>
      <c r="B557" s="1"/>
      <c r="C557" s="1"/>
      <c r="D557" s="1"/>
      <c r="E557" s="1"/>
      <c r="F557" s="1"/>
      <c r="G557" s="1"/>
      <c r="H557" s="10"/>
      <c r="I557" s="10"/>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ht="15.75" customHeight="1">
      <c r="A558" s="1"/>
      <c r="B558" s="1"/>
      <c r="C558" s="1"/>
      <c r="D558" s="1"/>
      <c r="E558" s="1"/>
      <c r="F558" s="1"/>
      <c r="G558" s="1"/>
      <c r="H558" s="10"/>
      <c r="I558" s="10"/>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ht="15.75" customHeight="1">
      <c r="A559" s="1"/>
      <c r="B559" s="1"/>
      <c r="C559" s="1"/>
      <c r="D559" s="1"/>
      <c r="E559" s="1"/>
      <c r="F559" s="1"/>
      <c r="G559" s="1"/>
      <c r="H559" s="10"/>
      <c r="I559" s="10"/>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ht="15.75" customHeight="1">
      <c r="A560" s="1"/>
      <c r="B560" s="1"/>
      <c r="C560" s="1"/>
      <c r="D560" s="1"/>
      <c r="E560" s="1"/>
      <c r="F560" s="1"/>
      <c r="G560" s="1"/>
      <c r="H560" s="10"/>
      <c r="I560" s="10"/>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ht="15.75" customHeight="1">
      <c r="A561" s="1"/>
      <c r="B561" s="1"/>
      <c r="C561" s="1"/>
      <c r="D561" s="1"/>
      <c r="E561" s="1"/>
      <c r="F561" s="1"/>
      <c r="G561" s="1"/>
      <c r="H561" s="10"/>
      <c r="I561" s="10"/>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ht="15.75" customHeight="1">
      <c r="A562" s="1"/>
      <c r="B562" s="1"/>
      <c r="C562" s="1"/>
      <c r="D562" s="1"/>
      <c r="E562" s="1"/>
      <c r="F562" s="1"/>
      <c r="G562" s="1"/>
      <c r="H562" s="10"/>
      <c r="I562" s="10"/>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ht="15.75" customHeight="1">
      <c r="A563" s="1"/>
      <c r="B563" s="1"/>
      <c r="C563" s="1"/>
      <c r="D563" s="1"/>
      <c r="E563" s="1"/>
      <c r="F563" s="1"/>
      <c r="G563" s="1"/>
      <c r="H563" s="10"/>
      <c r="I563" s="10"/>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ht="15.75" customHeight="1">
      <c r="A564" s="1"/>
      <c r="B564" s="1"/>
      <c r="C564" s="1"/>
      <c r="D564" s="1"/>
      <c r="E564" s="1"/>
      <c r="F564" s="1"/>
      <c r="G564" s="1"/>
      <c r="H564" s="10"/>
      <c r="I564" s="10"/>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ht="15.75" customHeight="1">
      <c r="A565" s="1"/>
      <c r="B565" s="1"/>
      <c r="C565" s="1"/>
      <c r="D565" s="1"/>
      <c r="E565" s="1"/>
      <c r="F565" s="1"/>
      <c r="G565" s="1"/>
      <c r="H565" s="10"/>
      <c r="I565" s="10"/>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ht="15.75" customHeight="1">
      <c r="A566" s="1"/>
      <c r="B566" s="1"/>
      <c r="C566" s="1"/>
      <c r="D566" s="1"/>
      <c r="E566" s="1"/>
      <c r="F566" s="1"/>
      <c r="G566" s="1"/>
      <c r="H566" s="10"/>
      <c r="I566" s="10"/>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ht="15.75" customHeight="1">
      <c r="A567" s="1"/>
      <c r="B567" s="1"/>
      <c r="C567" s="1"/>
      <c r="D567" s="1"/>
      <c r="E567" s="1"/>
      <c r="F567" s="1"/>
      <c r="G567" s="1"/>
      <c r="H567" s="10"/>
      <c r="I567" s="10"/>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ht="15.75" customHeight="1">
      <c r="A568" s="1"/>
      <c r="B568" s="1"/>
      <c r="C568" s="1"/>
      <c r="D568" s="1"/>
      <c r="E568" s="1"/>
      <c r="F568" s="1"/>
      <c r="G568" s="1"/>
      <c r="H568" s="10"/>
      <c r="I568" s="10"/>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ht="15.75" customHeight="1">
      <c r="A569" s="1"/>
      <c r="B569" s="1"/>
      <c r="C569" s="1"/>
      <c r="D569" s="1"/>
      <c r="E569" s="1"/>
      <c r="F569" s="1"/>
      <c r="G569" s="1"/>
      <c r="H569" s="10"/>
      <c r="I569" s="10"/>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ht="15.75" customHeight="1">
      <c r="A570" s="1"/>
      <c r="B570" s="1"/>
      <c r="C570" s="1"/>
      <c r="D570" s="1"/>
      <c r="E570" s="1"/>
      <c r="F570" s="1"/>
      <c r="G570" s="1"/>
      <c r="H570" s="10"/>
      <c r="I570" s="10"/>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ht="15.75" customHeight="1">
      <c r="A571" s="1"/>
      <c r="B571" s="1"/>
      <c r="C571" s="1"/>
      <c r="D571" s="1"/>
      <c r="E571" s="1"/>
      <c r="F571" s="1"/>
      <c r="G571" s="1"/>
      <c r="H571" s="10"/>
      <c r="I571" s="10"/>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ht="15.75" customHeight="1">
      <c r="A572" s="1"/>
      <c r="B572" s="1"/>
      <c r="C572" s="1"/>
      <c r="D572" s="1"/>
      <c r="E572" s="1"/>
      <c r="F572" s="1"/>
      <c r="G572" s="1"/>
      <c r="H572" s="10"/>
      <c r="I572" s="10"/>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ht="15.75" customHeight="1">
      <c r="A573" s="1"/>
      <c r="B573" s="1"/>
      <c r="C573" s="1"/>
      <c r="D573" s="1"/>
      <c r="E573" s="1"/>
      <c r="F573" s="1"/>
      <c r="G573" s="1"/>
      <c r="H573" s="10"/>
      <c r="I573" s="10"/>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ht="15.75" customHeight="1">
      <c r="A574" s="1"/>
      <c r="B574" s="1"/>
      <c r="C574" s="1"/>
      <c r="D574" s="1"/>
      <c r="E574" s="1"/>
      <c r="F574" s="1"/>
      <c r="G574" s="1"/>
      <c r="H574" s="10"/>
      <c r="I574" s="10"/>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ht="15.75" customHeight="1">
      <c r="A575" s="1"/>
      <c r="B575" s="1"/>
      <c r="C575" s="1"/>
      <c r="D575" s="1"/>
      <c r="E575" s="1"/>
      <c r="F575" s="1"/>
      <c r="G575" s="1"/>
      <c r="H575" s="10"/>
      <c r="I575" s="10"/>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ht="15.75" customHeight="1">
      <c r="A576" s="1"/>
      <c r="B576" s="1"/>
      <c r="C576" s="1"/>
      <c r="D576" s="1"/>
      <c r="E576" s="1"/>
      <c r="F576" s="1"/>
      <c r="G576" s="1"/>
      <c r="H576" s="10"/>
      <c r="I576" s="10"/>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ht="15.75" customHeight="1">
      <c r="A577" s="1"/>
      <c r="B577" s="1"/>
      <c r="C577" s="1"/>
      <c r="D577" s="1"/>
      <c r="E577" s="1"/>
      <c r="F577" s="1"/>
      <c r="G577" s="1"/>
      <c r="H577" s="10"/>
      <c r="I577" s="10"/>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ht="15.75" customHeight="1">
      <c r="A578" s="1"/>
      <c r="B578" s="1"/>
      <c r="C578" s="1"/>
      <c r="D578" s="1"/>
      <c r="E578" s="1"/>
      <c r="F578" s="1"/>
      <c r="G578" s="1"/>
      <c r="H578" s="10"/>
      <c r="I578" s="10"/>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ht="15.75" customHeight="1">
      <c r="A579" s="1"/>
      <c r="B579" s="1"/>
      <c r="C579" s="1"/>
      <c r="D579" s="1"/>
      <c r="E579" s="1"/>
      <c r="F579" s="1"/>
      <c r="G579" s="1"/>
      <c r="H579" s="10"/>
      <c r="I579" s="10"/>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ht="15.75" customHeight="1">
      <c r="A580" s="1"/>
      <c r="B580" s="1"/>
      <c r="C580" s="1"/>
      <c r="D580" s="1"/>
      <c r="E580" s="1"/>
      <c r="F580" s="1"/>
      <c r="G580" s="1"/>
      <c r="H580" s="10"/>
      <c r="I580" s="10"/>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ht="15.75" customHeight="1">
      <c r="A581" s="1"/>
      <c r="B581" s="1"/>
      <c r="C581" s="1"/>
      <c r="D581" s="1"/>
      <c r="E581" s="1"/>
      <c r="F581" s="1"/>
      <c r="G581" s="1"/>
      <c r="H581" s="10"/>
      <c r="I581" s="10"/>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ht="15.75" customHeight="1">
      <c r="A582" s="1"/>
      <c r="B582" s="1"/>
      <c r="C582" s="1"/>
      <c r="D582" s="1"/>
      <c r="E582" s="1"/>
      <c r="F582" s="1"/>
      <c r="G582" s="1"/>
      <c r="H582" s="10"/>
      <c r="I582" s="10"/>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ht="15.75" customHeight="1">
      <c r="A583" s="1"/>
      <c r="B583" s="1"/>
      <c r="C583" s="1"/>
      <c r="D583" s="1"/>
      <c r="E583" s="1"/>
      <c r="F583" s="1"/>
      <c r="G583" s="1"/>
      <c r="H583" s="10"/>
      <c r="I583" s="10"/>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ht="15.75" customHeight="1">
      <c r="A584" s="1"/>
      <c r="B584" s="1"/>
      <c r="C584" s="1"/>
      <c r="D584" s="1"/>
      <c r="E584" s="1"/>
      <c r="F584" s="1"/>
      <c r="G584" s="1"/>
      <c r="H584" s="10"/>
      <c r="I584" s="10"/>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ht="15.75" customHeight="1">
      <c r="A585" s="1"/>
      <c r="B585" s="1"/>
      <c r="C585" s="1"/>
      <c r="D585" s="1"/>
      <c r="E585" s="1"/>
      <c r="F585" s="1"/>
      <c r="G585" s="1"/>
      <c r="H585" s="10"/>
      <c r="I585" s="10"/>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ht="15.75" customHeight="1">
      <c r="A586" s="1"/>
      <c r="B586" s="1"/>
      <c r="C586" s="1"/>
      <c r="D586" s="1"/>
      <c r="E586" s="1"/>
      <c r="F586" s="1"/>
      <c r="G586" s="1"/>
      <c r="H586" s="10"/>
      <c r="I586" s="10"/>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ht="15.75" customHeight="1">
      <c r="A587" s="1"/>
      <c r="B587" s="1"/>
      <c r="C587" s="1"/>
      <c r="D587" s="1"/>
      <c r="E587" s="1"/>
      <c r="F587" s="1"/>
      <c r="G587" s="1"/>
      <c r="H587" s="10"/>
      <c r="I587" s="10"/>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ht="15.75" customHeight="1">
      <c r="A588" s="1"/>
      <c r="B588" s="1"/>
      <c r="C588" s="1"/>
      <c r="D588" s="1"/>
      <c r="E588" s="1"/>
      <c r="F588" s="1"/>
      <c r="G588" s="1"/>
      <c r="H588" s="10"/>
      <c r="I588" s="10"/>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ht="15.75" customHeight="1">
      <c r="A589" s="1"/>
      <c r="B589" s="1"/>
      <c r="C589" s="1"/>
      <c r="D589" s="1"/>
      <c r="E589" s="1"/>
      <c r="F589" s="1"/>
      <c r="G589" s="1"/>
      <c r="H589" s="10"/>
      <c r="I589" s="10"/>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ht="15.75" customHeight="1">
      <c r="A590" s="1"/>
      <c r="B590" s="1"/>
      <c r="C590" s="1"/>
      <c r="D590" s="1"/>
      <c r="E590" s="1"/>
      <c r="F590" s="1"/>
      <c r="G590" s="1"/>
      <c r="H590" s="10"/>
      <c r="I590" s="10"/>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ht="15.75" customHeight="1">
      <c r="A591" s="1"/>
      <c r="B591" s="1"/>
      <c r="C591" s="1"/>
      <c r="D591" s="1"/>
      <c r="E591" s="1"/>
      <c r="F591" s="1"/>
      <c r="G591" s="1"/>
      <c r="H591" s="10"/>
      <c r="I591" s="10"/>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ht="15.75" customHeight="1">
      <c r="A592" s="1"/>
      <c r="B592" s="1"/>
      <c r="C592" s="1"/>
      <c r="D592" s="1"/>
      <c r="E592" s="1"/>
      <c r="F592" s="1"/>
      <c r="G592" s="1"/>
      <c r="H592" s="10"/>
      <c r="I592" s="10"/>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ht="15.75" customHeight="1">
      <c r="A593" s="1"/>
      <c r="B593" s="1"/>
      <c r="C593" s="1"/>
      <c r="D593" s="1"/>
      <c r="E593" s="1"/>
      <c r="F593" s="1"/>
      <c r="G593" s="1"/>
      <c r="H593" s="10"/>
      <c r="I593" s="10"/>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ht="15.75" customHeight="1">
      <c r="A594" s="1"/>
      <c r="B594" s="1"/>
      <c r="C594" s="1"/>
      <c r="D594" s="1"/>
      <c r="E594" s="1"/>
      <c r="F594" s="1"/>
      <c r="G594" s="1"/>
      <c r="H594" s="10"/>
      <c r="I594" s="10"/>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ht="15.75" customHeight="1">
      <c r="A595" s="1"/>
      <c r="B595" s="1"/>
      <c r="C595" s="1"/>
      <c r="D595" s="1"/>
      <c r="E595" s="1"/>
      <c r="F595" s="1"/>
      <c r="G595" s="1"/>
      <c r="H595" s="10"/>
      <c r="I595" s="10"/>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ht="15.75" customHeight="1">
      <c r="A596" s="1"/>
      <c r="B596" s="1"/>
      <c r="C596" s="1"/>
      <c r="D596" s="1"/>
      <c r="E596" s="1"/>
      <c r="F596" s="1"/>
      <c r="G596" s="1"/>
      <c r="H596" s="10"/>
      <c r="I596" s="10"/>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ht="15.75" customHeight="1">
      <c r="A597" s="1"/>
      <c r="B597" s="1"/>
      <c r="C597" s="1"/>
      <c r="D597" s="1"/>
      <c r="E597" s="1"/>
      <c r="F597" s="1"/>
      <c r="G597" s="1"/>
      <c r="H597" s="10"/>
      <c r="I597" s="10"/>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ht="15.75" customHeight="1">
      <c r="A598" s="1"/>
      <c r="B598" s="1"/>
      <c r="C598" s="1"/>
      <c r="D598" s="1"/>
      <c r="E598" s="1"/>
      <c r="F598" s="1"/>
      <c r="G598" s="1"/>
      <c r="H598" s="10"/>
      <c r="I598" s="10"/>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ht="15.75" customHeight="1">
      <c r="A599" s="1"/>
      <c r="B599" s="1"/>
      <c r="C599" s="1"/>
      <c r="D599" s="1"/>
      <c r="E599" s="1"/>
      <c r="F599" s="1"/>
      <c r="G599" s="1"/>
      <c r="H599" s="10"/>
      <c r="I599" s="10"/>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ht="15.75" customHeight="1">
      <c r="A600" s="1"/>
      <c r="B600" s="1"/>
      <c r="C600" s="1"/>
      <c r="D600" s="1"/>
      <c r="E600" s="1"/>
      <c r="F600" s="1"/>
      <c r="G600" s="1"/>
      <c r="H600" s="10"/>
      <c r="I600" s="10"/>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ht="15.75" customHeight="1">
      <c r="A601" s="1"/>
      <c r="B601" s="1"/>
      <c r="C601" s="1"/>
      <c r="D601" s="1"/>
      <c r="E601" s="1"/>
      <c r="F601" s="1"/>
      <c r="G601" s="1"/>
      <c r="H601" s="10"/>
      <c r="I601" s="10"/>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ht="15.75" customHeight="1">
      <c r="A602" s="1"/>
      <c r="B602" s="1"/>
      <c r="C602" s="1"/>
      <c r="D602" s="1"/>
      <c r="E602" s="1"/>
      <c r="F602" s="1"/>
      <c r="G602" s="1"/>
      <c r="H602" s="10"/>
      <c r="I602" s="10"/>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ht="15.75" customHeight="1">
      <c r="A603" s="1"/>
      <c r="B603" s="1"/>
      <c r="C603" s="1"/>
      <c r="D603" s="1"/>
      <c r="E603" s="1"/>
      <c r="F603" s="1"/>
      <c r="G603" s="1"/>
      <c r="H603" s="10"/>
      <c r="I603" s="10"/>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ht="15.75" customHeight="1">
      <c r="A604" s="1"/>
      <c r="B604" s="1"/>
      <c r="C604" s="1"/>
      <c r="D604" s="1"/>
      <c r="E604" s="1"/>
      <c r="F604" s="1"/>
      <c r="G604" s="1"/>
      <c r="H604" s="10"/>
      <c r="I604" s="10"/>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ht="15.75" customHeight="1">
      <c r="A605" s="1"/>
      <c r="B605" s="1"/>
      <c r="C605" s="1"/>
      <c r="D605" s="1"/>
      <c r="E605" s="1"/>
      <c r="F605" s="1"/>
      <c r="G605" s="1"/>
      <c r="H605" s="10"/>
      <c r="I605" s="10"/>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ht="15.75" customHeight="1">
      <c r="A606" s="1"/>
      <c r="B606" s="1"/>
      <c r="C606" s="1"/>
      <c r="D606" s="1"/>
      <c r="E606" s="1"/>
      <c r="F606" s="1"/>
      <c r="G606" s="1"/>
      <c r="H606" s="10"/>
      <c r="I606" s="10"/>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ht="15.75" customHeight="1">
      <c r="A607" s="1"/>
      <c r="B607" s="1"/>
      <c r="C607" s="1"/>
      <c r="D607" s="1"/>
      <c r="E607" s="1"/>
      <c r="F607" s="1"/>
      <c r="G607" s="1"/>
      <c r="H607" s="10"/>
      <c r="I607" s="10"/>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ht="15.75" customHeight="1">
      <c r="A608" s="1"/>
      <c r="B608" s="1"/>
      <c r="C608" s="1"/>
      <c r="D608" s="1"/>
      <c r="E608" s="1"/>
      <c r="F608" s="1"/>
      <c r="G608" s="1"/>
      <c r="H608" s="10"/>
      <c r="I608" s="10"/>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ht="15.75" customHeight="1">
      <c r="A609" s="1"/>
      <c r="B609" s="1"/>
      <c r="C609" s="1"/>
      <c r="D609" s="1"/>
      <c r="E609" s="1"/>
      <c r="F609" s="1"/>
      <c r="G609" s="1"/>
      <c r="H609" s="10"/>
      <c r="I609" s="10"/>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ht="15.75" customHeight="1">
      <c r="A610" s="1"/>
      <c r="B610" s="1"/>
      <c r="C610" s="1"/>
      <c r="D610" s="1"/>
      <c r="E610" s="1"/>
      <c r="F610" s="1"/>
      <c r="G610" s="1"/>
      <c r="H610" s="10"/>
      <c r="I610" s="10"/>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ht="15.75" customHeight="1">
      <c r="A611" s="1"/>
      <c r="B611" s="1"/>
      <c r="C611" s="1"/>
      <c r="D611" s="1"/>
      <c r="E611" s="1"/>
      <c r="F611" s="1"/>
      <c r="G611" s="1"/>
      <c r="H611" s="10"/>
      <c r="I611" s="10"/>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ht="15.75" customHeight="1">
      <c r="A612" s="1"/>
      <c r="B612" s="1"/>
      <c r="C612" s="1"/>
      <c r="D612" s="1"/>
      <c r="E612" s="1"/>
      <c r="F612" s="1"/>
      <c r="G612" s="1"/>
      <c r="H612" s="10"/>
      <c r="I612" s="10"/>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ht="15.75" customHeight="1">
      <c r="A613" s="1"/>
      <c r="B613" s="1"/>
      <c r="C613" s="1"/>
      <c r="D613" s="1"/>
      <c r="E613" s="1"/>
      <c r="F613" s="1"/>
      <c r="G613" s="1"/>
      <c r="H613" s="10"/>
      <c r="I613" s="10"/>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ht="15.75" customHeight="1">
      <c r="A614" s="1"/>
      <c r="B614" s="1"/>
      <c r="C614" s="1"/>
      <c r="D614" s="1"/>
      <c r="E614" s="1"/>
      <c r="F614" s="1"/>
      <c r="G614" s="1"/>
      <c r="H614" s="10"/>
      <c r="I614" s="10"/>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ht="15.75" customHeight="1">
      <c r="A615" s="1"/>
      <c r="B615" s="1"/>
      <c r="C615" s="1"/>
      <c r="D615" s="1"/>
      <c r="E615" s="1"/>
      <c r="F615" s="1"/>
      <c r="G615" s="1"/>
      <c r="H615" s="10"/>
      <c r="I615" s="10"/>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ht="15.75" customHeight="1">
      <c r="A616" s="1"/>
      <c r="B616" s="1"/>
      <c r="C616" s="1"/>
      <c r="D616" s="1"/>
      <c r="E616" s="1"/>
      <c r="F616" s="1"/>
      <c r="G616" s="1"/>
      <c r="H616" s="10"/>
      <c r="I616" s="10"/>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ht="15.75" customHeight="1">
      <c r="A617" s="1"/>
      <c r="B617" s="1"/>
      <c r="C617" s="1"/>
      <c r="D617" s="1"/>
      <c r="E617" s="1"/>
      <c r="F617" s="1"/>
      <c r="G617" s="1"/>
      <c r="H617" s="10"/>
      <c r="I617" s="10"/>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ht="15.75" customHeight="1">
      <c r="A618" s="1"/>
      <c r="B618" s="1"/>
      <c r="C618" s="1"/>
      <c r="D618" s="1"/>
      <c r="E618" s="1"/>
      <c r="F618" s="1"/>
      <c r="G618" s="1"/>
      <c r="H618" s="10"/>
      <c r="I618" s="10"/>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ht="15.75" customHeight="1">
      <c r="A619" s="1"/>
      <c r="B619" s="1"/>
      <c r="C619" s="1"/>
      <c r="D619" s="1"/>
      <c r="E619" s="1"/>
      <c r="F619" s="1"/>
      <c r="G619" s="1"/>
      <c r="H619" s="10"/>
      <c r="I619" s="10"/>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ht="15.75" customHeight="1">
      <c r="A620" s="1"/>
      <c r="B620" s="1"/>
      <c r="C620" s="1"/>
      <c r="D620" s="1"/>
      <c r="E620" s="1"/>
      <c r="F620" s="1"/>
      <c r="G620" s="1"/>
      <c r="H620" s="10"/>
      <c r="I620" s="10"/>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ht="15.75" customHeight="1">
      <c r="A621" s="1"/>
      <c r="B621" s="1"/>
      <c r="C621" s="1"/>
      <c r="D621" s="1"/>
      <c r="E621" s="1"/>
      <c r="F621" s="1"/>
      <c r="G621" s="1"/>
      <c r="H621" s="10"/>
      <c r="I621" s="10"/>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ht="15.75" customHeight="1">
      <c r="A622" s="1"/>
      <c r="B622" s="1"/>
      <c r="C622" s="1"/>
      <c r="D622" s="1"/>
      <c r="E622" s="1"/>
      <c r="F622" s="1"/>
      <c r="G622" s="1"/>
      <c r="H622" s="10"/>
      <c r="I622" s="10"/>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ht="15.75" customHeight="1">
      <c r="A623" s="1"/>
      <c r="B623" s="1"/>
      <c r="C623" s="1"/>
      <c r="D623" s="1"/>
      <c r="E623" s="1"/>
      <c r="F623" s="1"/>
      <c r="G623" s="1"/>
      <c r="H623" s="10"/>
      <c r="I623" s="10"/>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ht="15.75" customHeight="1">
      <c r="A624" s="1"/>
      <c r="B624" s="1"/>
      <c r="C624" s="1"/>
      <c r="D624" s="1"/>
      <c r="E624" s="1"/>
      <c r="F624" s="1"/>
      <c r="G624" s="1"/>
      <c r="H624" s="10"/>
      <c r="I624" s="10"/>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ht="15.75" customHeight="1">
      <c r="A625" s="1"/>
      <c r="B625" s="1"/>
      <c r="C625" s="1"/>
      <c r="D625" s="1"/>
      <c r="E625" s="1"/>
      <c r="F625" s="1"/>
      <c r="G625" s="1"/>
      <c r="H625" s="10"/>
      <c r="I625" s="10"/>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ht="15.75" customHeight="1">
      <c r="A626" s="1"/>
      <c r="B626" s="1"/>
      <c r="C626" s="1"/>
      <c r="D626" s="1"/>
      <c r="E626" s="1"/>
      <c r="F626" s="1"/>
      <c r="G626" s="1"/>
      <c r="H626" s="10"/>
      <c r="I626" s="10"/>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ht="15.75" customHeight="1">
      <c r="A627" s="1"/>
      <c r="B627" s="1"/>
      <c r="C627" s="1"/>
      <c r="D627" s="1"/>
      <c r="E627" s="1"/>
      <c r="F627" s="1"/>
      <c r="G627" s="1"/>
      <c r="H627" s="10"/>
      <c r="I627" s="10"/>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ht="15.75" customHeight="1">
      <c r="A628" s="1"/>
      <c r="B628" s="1"/>
      <c r="C628" s="1"/>
      <c r="D628" s="1"/>
      <c r="E628" s="1"/>
      <c r="F628" s="1"/>
      <c r="G628" s="1"/>
      <c r="H628" s="10"/>
      <c r="I628" s="10"/>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ht="15.75" customHeight="1">
      <c r="A629" s="1"/>
      <c r="B629" s="1"/>
      <c r="C629" s="1"/>
      <c r="D629" s="1"/>
      <c r="E629" s="1"/>
      <c r="F629" s="1"/>
      <c r="G629" s="1"/>
      <c r="H629" s="10"/>
      <c r="I629" s="10"/>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ht="15.75" customHeight="1">
      <c r="A630" s="1"/>
      <c r="B630" s="1"/>
      <c r="C630" s="1"/>
      <c r="D630" s="1"/>
      <c r="E630" s="1"/>
      <c r="F630" s="1"/>
      <c r="G630" s="1"/>
      <c r="H630" s="10"/>
      <c r="I630" s="10"/>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ht="15.75" customHeight="1">
      <c r="A631" s="1"/>
      <c r="B631" s="1"/>
      <c r="C631" s="1"/>
      <c r="D631" s="1"/>
      <c r="E631" s="1"/>
      <c r="F631" s="1"/>
      <c r="G631" s="1"/>
      <c r="H631" s="10"/>
      <c r="I631" s="10"/>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ht="15.75" customHeight="1">
      <c r="A632" s="1"/>
      <c r="B632" s="1"/>
      <c r="C632" s="1"/>
      <c r="D632" s="1"/>
      <c r="E632" s="1"/>
      <c r="F632" s="1"/>
      <c r="G632" s="1"/>
      <c r="H632" s="10"/>
      <c r="I632" s="10"/>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ht="15.75" customHeight="1">
      <c r="A633" s="1"/>
      <c r="B633" s="1"/>
      <c r="C633" s="1"/>
      <c r="D633" s="1"/>
      <c r="E633" s="1"/>
      <c r="F633" s="1"/>
      <c r="G633" s="1"/>
      <c r="H633" s="10"/>
      <c r="I633" s="10"/>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ht="15.75" customHeight="1">
      <c r="A634" s="1"/>
      <c r="B634" s="1"/>
      <c r="C634" s="1"/>
      <c r="D634" s="1"/>
      <c r="E634" s="1"/>
      <c r="F634" s="1"/>
      <c r="G634" s="1"/>
      <c r="H634" s="10"/>
      <c r="I634" s="10"/>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ht="15.75" customHeight="1">
      <c r="A635" s="1"/>
      <c r="B635" s="1"/>
      <c r="C635" s="1"/>
      <c r="D635" s="1"/>
      <c r="E635" s="1"/>
      <c r="F635" s="1"/>
      <c r="G635" s="1"/>
      <c r="H635" s="10"/>
      <c r="I635" s="10"/>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ht="15.75" customHeight="1">
      <c r="A636" s="1"/>
      <c r="B636" s="1"/>
      <c r="C636" s="1"/>
      <c r="D636" s="1"/>
      <c r="E636" s="1"/>
      <c r="F636" s="1"/>
      <c r="G636" s="1"/>
      <c r="H636" s="10"/>
      <c r="I636" s="10"/>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ht="15.75" customHeight="1">
      <c r="A637" s="1"/>
      <c r="B637" s="1"/>
      <c r="C637" s="1"/>
      <c r="D637" s="1"/>
      <c r="E637" s="1"/>
      <c r="F637" s="1"/>
      <c r="G637" s="1"/>
      <c r="H637" s="10"/>
      <c r="I637" s="10"/>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ht="15.75" customHeight="1">
      <c r="A638" s="1"/>
      <c r="B638" s="1"/>
      <c r="C638" s="1"/>
      <c r="D638" s="1"/>
      <c r="E638" s="1"/>
      <c r="F638" s="1"/>
      <c r="G638" s="1"/>
      <c r="H638" s="10"/>
      <c r="I638" s="10"/>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ht="15.75" customHeight="1">
      <c r="A639" s="1"/>
      <c r="B639" s="1"/>
      <c r="C639" s="1"/>
      <c r="D639" s="1"/>
      <c r="E639" s="1"/>
      <c r="F639" s="1"/>
      <c r="G639" s="1"/>
      <c r="H639" s="10"/>
      <c r="I639" s="10"/>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ht="15.75" customHeight="1">
      <c r="A640" s="1"/>
      <c r="B640" s="1"/>
      <c r="C640" s="1"/>
      <c r="D640" s="1"/>
      <c r="E640" s="1"/>
      <c r="F640" s="1"/>
      <c r="G640" s="1"/>
      <c r="H640" s="10"/>
      <c r="I640" s="10"/>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ht="15.75" customHeight="1">
      <c r="A641" s="1"/>
      <c r="B641" s="1"/>
      <c r="C641" s="1"/>
      <c r="D641" s="1"/>
      <c r="E641" s="1"/>
      <c r="F641" s="1"/>
      <c r="G641" s="1"/>
      <c r="H641" s="10"/>
      <c r="I641" s="10"/>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ht="15.75" customHeight="1">
      <c r="A642" s="1"/>
      <c r="B642" s="1"/>
      <c r="C642" s="1"/>
      <c r="D642" s="1"/>
      <c r="E642" s="1"/>
      <c r="F642" s="1"/>
      <c r="G642" s="1"/>
      <c r="H642" s="10"/>
      <c r="I642" s="10"/>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ht="15.75" customHeight="1">
      <c r="A643" s="1"/>
      <c r="B643" s="1"/>
      <c r="C643" s="1"/>
      <c r="D643" s="1"/>
      <c r="E643" s="1"/>
      <c r="F643" s="1"/>
      <c r="G643" s="1"/>
      <c r="H643" s="10"/>
      <c r="I643" s="10"/>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ht="15.75" customHeight="1">
      <c r="A644" s="1"/>
      <c r="B644" s="1"/>
      <c r="C644" s="1"/>
      <c r="D644" s="1"/>
      <c r="E644" s="1"/>
      <c r="F644" s="1"/>
      <c r="G644" s="1"/>
      <c r="H644" s="10"/>
      <c r="I644" s="10"/>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ht="15.75" customHeight="1">
      <c r="A645" s="1"/>
      <c r="B645" s="1"/>
      <c r="C645" s="1"/>
      <c r="D645" s="1"/>
      <c r="E645" s="1"/>
      <c r="F645" s="1"/>
      <c r="G645" s="1"/>
      <c r="H645" s="10"/>
      <c r="I645" s="10"/>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ht="15.75" customHeight="1">
      <c r="A646" s="1"/>
      <c r="B646" s="1"/>
      <c r="C646" s="1"/>
      <c r="D646" s="1"/>
      <c r="E646" s="1"/>
      <c r="F646" s="1"/>
      <c r="G646" s="1"/>
      <c r="H646" s="10"/>
      <c r="I646" s="10"/>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ht="15.75" customHeight="1">
      <c r="A647" s="1"/>
      <c r="B647" s="1"/>
      <c r="C647" s="1"/>
      <c r="D647" s="1"/>
      <c r="E647" s="1"/>
      <c r="F647" s="1"/>
      <c r="G647" s="1"/>
      <c r="H647" s="10"/>
      <c r="I647" s="10"/>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ht="15.75" customHeight="1">
      <c r="A648" s="1"/>
      <c r="B648" s="1"/>
      <c r="C648" s="1"/>
      <c r="D648" s="1"/>
      <c r="E648" s="1"/>
      <c r="F648" s="1"/>
      <c r="G648" s="1"/>
      <c r="H648" s="10"/>
      <c r="I648" s="10"/>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ht="15.75" customHeight="1">
      <c r="A649" s="1"/>
      <c r="B649" s="1"/>
      <c r="C649" s="1"/>
      <c r="D649" s="1"/>
      <c r="E649" s="1"/>
      <c r="F649" s="1"/>
      <c r="G649" s="1"/>
      <c r="H649" s="10"/>
      <c r="I649" s="10"/>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ht="15.75" customHeight="1">
      <c r="A650" s="1"/>
      <c r="B650" s="1"/>
      <c r="C650" s="1"/>
      <c r="D650" s="1"/>
      <c r="E650" s="1"/>
      <c r="F650" s="1"/>
      <c r="G650" s="1"/>
      <c r="H650" s="10"/>
      <c r="I650" s="10"/>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ht="15.75" customHeight="1">
      <c r="A651" s="1"/>
      <c r="B651" s="1"/>
      <c r="C651" s="1"/>
      <c r="D651" s="1"/>
      <c r="E651" s="1"/>
      <c r="F651" s="1"/>
      <c r="G651" s="1"/>
      <c r="H651" s="10"/>
      <c r="I651" s="10"/>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ht="15.75" customHeight="1">
      <c r="A652" s="1"/>
      <c r="B652" s="1"/>
      <c r="C652" s="1"/>
      <c r="D652" s="1"/>
      <c r="E652" s="1"/>
      <c r="F652" s="1"/>
      <c r="G652" s="1"/>
      <c r="H652" s="10"/>
      <c r="I652" s="10"/>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ht="15.75" customHeight="1">
      <c r="A653" s="1"/>
      <c r="B653" s="1"/>
      <c r="C653" s="1"/>
      <c r="D653" s="1"/>
      <c r="E653" s="1"/>
      <c r="F653" s="1"/>
      <c r="G653" s="1"/>
      <c r="H653" s="10"/>
      <c r="I653" s="10"/>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ht="15.75" customHeight="1">
      <c r="A654" s="1"/>
      <c r="B654" s="1"/>
      <c r="C654" s="1"/>
      <c r="D654" s="1"/>
      <c r="E654" s="1"/>
      <c r="F654" s="1"/>
      <c r="G654" s="1"/>
      <c r="H654" s="10"/>
      <c r="I654" s="10"/>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ht="15.75" customHeight="1">
      <c r="A655" s="1"/>
      <c r="B655" s="1"/>
      <c r="C655" s="1"/>
      <c r="D655" s="1"/>
      <c r="E655" s="1"/>
      <c r="F655" s="1"/>
      <c r="G655" s="1"/>
      <c r="H655" s="10"/>
      <c r="I655" s="10"/>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ht="15.75" customHeight="1">
      <c r="A656" s="1"/>
      <c r="B656" s="1"/>
      <c r="C656" s="1"/>
      <c r="D656" s="1"/>
      <c r="E656" s="1"/>
      <c r="F656" s="1"/>
      <c r="G656" s="1"/>
      <c r="H656" s="10"/>
      <c r="I656" s="10"/>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ht="15.75" customHeight="1">
      <c r="A657" s="1"/>
      <c r="B657" s="1"/>
      <c r="C657" s="1"/>
      <c r="D657" s="1"/>
      <c r="E657" s="1"/>
      <c r="F657" s="1"/>
      <c r="G657" s="1"/>
      <c r="H657" s="10"/>
      <c r="I657" s="10"/>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ht="15.75" customHeight="1">
      <c r="A658" s="1"/>
      <c r="B658" s="1"/>
      <c r="C658" s="1"/>
      <c r="D658" s="1"/>
      <c r="E658" s="1"/>
      <c r="F658" s="1"/>
      <c r="G658" s="1"/>
      <c r="H658" s="10"/>
      <c r="I658" s="10"/>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ht="15.75" customHeight="1">
      <c r="A659" s="1"/>
      <c r="B659" s="1"/>
      <c r="C659" s="1"/>
      <c r="D659" s="1"/>
      <c r="E659" s="1"/>
      <c r="F659" s="1"/>
      <c r="G659" s="1"/>
      <c r="H659" s="10"/>
      <c r="I659" s="10"/>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ht="15.75" customHeight="1">
      <c r="A660" s="1"/>
      <c r="B660" s="1"/>
      <c r="C660" s="1"/>
      <c r="D660" s="1"/>
      <c r="E660" s="1"/>
      <c r="F660" s="1"/>
      <c r="G660" s="1"/>
      <c r="H660" s="10"/>
      <c r="I660" s="10"/>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ht="15.75" customHeight="1">
      <c r="A661" s="1"/>
      <c r="B661" s="1"/>
      <c r="C661" s="1"/>
      <c r="D661" s="1"/>
      <c r="E661" s="1"/>
      <c r="F661" s="1"/>
      <c r="G661" s="1"/>
      <c r="H661" s="10"/>
      <c r="I661" s="10"/>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ht="15.75" customHeight="1">
      <c r="A662" s="1"/>
      <c r="B662" s="1"/>
      <c r="C662" s="1"/>
      <c r="D662" s="1"/>
      <c r="E662" s="1"/>
      <c r="F662" s="1"/>
      <c r="G662" s="1"/>
      <c r="H662" s="10"/>
      <c r="I662" s="10"/>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ht="15.75" customHeight="1">
      <c r="A663" s="1"/>
      <c r="B663" s="1"/>
      <c r="C663" s="1"/>
      <c r="D663" s="1"/>
      <c r="E663" s="1"/>
      <c r="F663" s="1"/>
      <c r="G663" s="1"/>
      <c r="H663" s="10"/>
      <c r="I663" s="10"/>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ht="15.75" customHeight="1">
      <c r="A664" s="1"/>
      <c r="B664" s="1"/>
      <c r="C664" s="1"/>
      <c r="D664" s="1"/>
      <c r="E664" s="1"/>
      <c r="F664" s="1"/>
      <c r="G664" s="1"/>
      <c r="H664" s="10"/>
      <c r="I664" s="10"/>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ht="15.75" customHeight="1">
      <c r="A665" s="1"/>
      <c r="B665" s="1"/>
      <c r="C665" s="1"/>
      <c r="D665" s="1"/>
      <c r="E665" s="1"/>
      <c r="F665" s="1"/>
      <c r="G665" s="1"/>
      <c r="H665" s="10"/>
      <c r="I665" s="10"/>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ht="15.75" customHeight="1">
      <c r="A666" s="1"/>
      <c r="B666" s="1"/>
      <c r="C666" s="1"/>
      <c r="D666" s="1"/>
      <c r="E666" s="1"/>
      <c r="F666" s="1"/>
      <c r="G666" s="1"/>
      <c r="H666" s="10"/>
      <c r="I666" s="10"/>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ht="15.75" customHeight="1">
      <c r="A667" s="1"/>
      <c r="B667" s="1"/>
      <c r="C667" s="1"/>
      <c r="D667" s="1"/>
      <c r="E667" s="1"/>
      <c r="F667" s="1"/>
      <c r="G667" s="1"/>
      <c r="H667" s="10"/>
      <c r="I667" s="10"/>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ht="15.75" customHeight="1">
      <c r="A668" s="1"/>
      <c r="B668" s="1"/>
      <c r="C668" s="1"/>
      <c r="D668" s="1"/>
      <c r="E668" s="1"/>
      <c r="F668" s="1"/>
      <c r="G668" s="1"/>
      <c r="H668" s="10"/>
      <c r="I668" s="10"/>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ht="15.75" customHeight="1">
      <c r="A669" s="1"/>
      <c r="B669" s="1"/>
      <c r="C669" s="1"/>
      <c r="D669" s="1"/>
      <c r="E669" s="1"/>
      <c r="F669" s="1"/>
      <c r="G669" s="1"/>
      <c r="H669" s="10"/>
      <c r="I669" s="10"/>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ht="15.75" customHeight="1">
      <c r="A670" s="1"/>
      <c r="B670" s="1"/>
      <c r="C670" s="1"/>
      <c r="D670" s="1"/>
      <c r="E670" s="1"/>
      <c r="F670" s="1"/>
      <c r="G670" s="1"/>
      <c r="H670" s="10"/>
      <c r="I670" s="10"/>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ht="15.75" customHeight="1">
      <c r="A671" s="1"/>
      <c r="B671" s="1"/>
      <c r="C671" s="1"/>
      <c r="D671" s="1"/>
      <c r="E671" s="1"/>
      <c r="F671" s="1"/>
      <c r="G671" s="1"/>
      <c r="H671" s="10"/>
      <c r="I671" s="10"/>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ht="15.75" customHeight="1">
      <c r="A672" s="1"/>
      <c r="B672" s="1"/>
      <c r="C672" s="1"/>
      <c r="D672" s="1"/>
      <c r="E672" s="1"/>
      <c r="F672" s="1"/>
      <c r="G672" s="1"/>
      <c r="H672" s="10"/>
      <c r="I672" s="10"/>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ht="15.75" customHeight="1">
      <c r="A673" s="1"/>
      <c r="B673" s="1"/>
      <c r="C673" s="1"/>
      <c r="D673" s="1"/>
      <c r="E673" s="1"/>
      <c r="F673" s="1"/>
      <c r="G673" s="1"/>
      <c r="H673" s="10"/>
      <c r="I673" s="10"/>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ht="15.75" customHeight="1">
      <c r="A674" s="1"/>
      <c r="B674" s="1"/>
      <c r="C674" s="1"/>
      <c r="D674" s="1"/>
      <c r="E674" s="1"/>
      <c r="F674" s="1"/>
      <c r="G674" s="1"/>
      <c r="H674" s="10"/>
      <c r="I674" s="10"/>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ht="15.75" customHeight="1">
      <c r="A675" s="1"/>
      <c r="B675" s="1"/>
      <c r="C675" s="1"/>
      <c r="D675" s="1"/>
      <c r="E675" s="1"/>
      <c r="F675" s="1"/>
      <c r="G675" s="1"/>
      <c r="H675" s="10"/>
      <c r="I675" s="10"/>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ht="15.75" customHeight="1">
      <c r="A676" s="1"/>
      <c r="B676" s="1"/>
      <c r="C676" s="1"/>
      <c r="D676" s="1"/>
      <c r="E676" s="1"/>
      <c r="F676" s="1"/>
      <c r="G676" s="1"/>
      <c r="H676" s="10"/>
      <c r="I676" s="10"/>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ht="15.75" customHeight="1">
      <c r="A677" s="1"/>
      <c r="B677" s="1"/>
      <c r="C677" s="1"/>
      <c r="D677" s="1"/>
      <c r="E677" s="1"/>
      <c r="F677" s="1"/>
      <c r="G677" s="1"/>
      <c r="H677" s="10"/>
      <c r="I677" s="10"/>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ht="15.75" customHeight="1">
      <c r="A678" s="1"/>
      <c r="B678" s="1"/>
      <c r="C678" s="1"/>
      <c r="D678" s="1"/>
      <c r="E678" s="1"/>
      <c r="F678" s="1"/>
      <c r="G678" s="1"/>
      <c r="H678" s="10"/>
      <c r="I678" s="10"/>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ht="15.75" customHeight="1">
      <c r="A679" s="1"/>
      <c r="B679" s="1"/>
      <c r="C679" s="1"/>
      <c r="D679" s="1"/>
      <c r="E679" s="1"/>
      <c r="F679" s="1"/>
      <c r="G679" s="1"/>
      <c r="H679" s="10"/>
      <c r="I679" s="10"/>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ht="15.75" customHeight="1">
      <c r="A680" s="1"/>
      <c r="B680" s="1"/>
      <c r="C680" s="1"/>
      <c r="D680" s="1"/>
      <c r="E680" s="1"/>
      <c r="F680" s="1"/>
      <c r="G680" s="1"/>
      <c r="H680" s="10"/>
      <c r="I680" s="10"/>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ht="15.75" customHeight="1">
      <c r="A681" s="1"/>
      <c r="B681" s="1"/>
      <c r="C681" s="1"/>
      <c r="D681" s="1"/>
      <c r="E681" s="1"/>
      <c r="F681" s="1"/>
      <c r="G681" s="1"/>
      <c r="H681" s="10"/>
      <c r="I681" s="10"/>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ht="15.75" customHeight="1">
      <c r="A682" s="1"/>
      <c r="B682" s="1"/>
      <c r="C682" s="1"/>
      <c r="D682" s="1"/>
      <c r="E682" s="1"/>
      <c r="F682" s="1"/>
      <c r="G682" s="1"/>
      <c r="H682" s="10"/>
      <c r="I682" s="10"/>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ht="15.75" customHeight="1">
      <c r="A683" s="1"/>
      <c r="B683" s="1"/>
      <c r="C683" s="1"/>
      <c r="D683" s="1"/>
      <c r="E683" s="1"/>
      <c r="F683" s="1"/>
      <c r="G683" s="1"/>
      <c r="H683" s="10"/>
      <c r="I683" s="10"/>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ht="15.75" customHeight="1">
      <c r="A684" s="1"/>
      <c r="B684" s="1"/>
      <c r="C684" s="1"/>
      <c r="D684" s="1"/>
      <c r="E684" s="1"/>
      <c r="F684" s="1"/>
      <c r="G684" s="1"/>
      <c r="H684" s="10"/>
      <c r="I684" s="10"/>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ht="15.75" customHeight="1">
      <c r="A685" s="1"/>
      <c r="B685" s="1"/>
      <c r="C685" s="1"/>
      <c r="D685" s="1"/>
      <c r="E685" s="1"/>
      <c r="F685" s="1"/>
      <c r="G685" s="1"/>
      <c r="H685" s="10"/>
      <c r="I685" s="10"/>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ht="15.75" customHeight="1">
      <c r="A686" s="1"/>
      <c r="B686" s="1"/>
      <c r="C686" s="1"/>
      <c r="D686" s="1"/>
      <c r="E686" s="1"/>
      <c r="F686" s="1"/>
      <c r="G686" s="1"/>
      <c r="H686" s="10"/>
      <c r="I686" s="10"/>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ht="15.75" customHeight="1">
      <c r="A687" s="1"/>
      <c r="B687" s="1"/>
      <c r="C687" s="1"/>
      <c r="D687" s="1"/>
      <c r="E687" s="1"/>
      <c r="F687" s="1"/>
      <c r="G687" s="1"/>
      <c r="H687" s="10"/>
      <c r="I687" s="10"/>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ht="15.75" customHeight="1">
      <c r="A688" s="1"/>
      <c r="B688" s="1"/>
      <c r="C688" s="1"/>
      <c r="D688" s="1"/>
      <c r="E688" s="1"/>
      <c r="F688" s="1"/>
      <c r="G688" s="1"/>
      <c r="H688" s="10"/>
      <c r="I688" s="10"/>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ht="15.75" customHeight="1">
      <c r="A689" s="1"/>
      <c r="B689" s="1"/>
      <c r="C689" s="1"/>
      <c r="D689" s="1"/>
      <c r="E689" s="1"/>
      <c r="F689" s="1"/>
      <c r="G689" s="1"/>
      <c r="H689" s="10"/>
      <c r="I689" s="10"/>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ht="15.75" customHeight="1">
      <c r="A690" s="1"/>
      <c r="B690" s="1"/>
      <c r="C690" s="1"/>
      <c r="D690" s="1"/>
      <c r="E690" s="1"/>
      <c r="F690" s="1"/>
      <c r="G690" s="1"/>
      <c r="H690" s="10"/>
      <c r="I690" s="10"/>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ht="15.75" customHeight="1">
      <c r="A691" s="1"/>
      <c r="B691" s="1"/>
      <c r="C691" s="1"/>
      <c r="D691" s="1"/>
      <c r="E691" s="1"/>
      <c r="F691" s="1"/>
      <c r="G691" s="1"/>
      <c r="H691" s="10"/>
      <c r="I691" s="10"/>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ht="15.75" customHeight="1">
      <c r="A692" s="1"/>
      <c r="B692" s="1"/>
      <c r="C692" s="1"/>
      <c r="D692" s="1"/>
      <c r="E692" s="1"/>
      <c r="F692" s="1"/>
      <c r="G692" s="1"/>
      <c r="H692" s="10"/>
      <c r="I692" s="10"/>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ht="15.75" customHeight="1">
      <c r="A693" s="1"/>
      <c r="B693" s="1"/>
      <c r="C693" s="1"/>
      <c r="D693" s="1"/>
      <c r="E693" s="1"/>
      <c r="F693" s="1"/>
      <c r="G693" s="1"/>
      <c r="H693" s="10"/>
      <c r="I693" s="10"/>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ht="15.75" customHeight="1">
      <c r="A694" s="1"/>
      <c r="B694" s="1"/>
      <c r="C694" s="1"/>
      <c r="D694" s="1"/>
      <c r="E694" s="1"/>
      <c r="F694" s="1"/>
      <c r="G694" s="1"/>
      <c r="H694" s="10"/>
      <c r="I694" s="10"/>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ht="15.75" customHeight="1">
      <c r="A695" s="1"/>
      <c r="B695" s="1"/>
      <c r="C695" s="1"/>
      <c r="D695" s="1"/>
      <c r="E695" s="1"/>
      <c r="F695" s="1"/>
      <c r="G695" s="1"/>
      <c r="H695" s="10"/>
      <c r="I695" s="10"/>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ht="15.75" customHeight="1">
      <c r="A696" s="1"/>
      <c r="B696" s="1"/>
      <c r="C696" s="1"/>
      <c r="D696" s="1"/>
      <c r="E696" s="1"/>
      <c r="F696" s="1"/>
      <c r="G696" s="1"/>
      <c r="H696" s="10"/>
      <c r="I696" s="10"/>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ht="15.75" customHeight="1">
      <c r="A697" s="1"/>
      <c r="B697" s="1"/>
      <c r="C697" s="1"/>
      <c r="D697" s="1"/>
      <c r="E697" s="1"/>
      <c r="F697" s="1"/>
      <c r="G697" s="1"/>
      <c r="H697" s="10"/>
      <c r="I697" s="10"/>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ht="15.75" customHeight="1">
      <c r="A698" s="1"/>
      <c r="B698" s="1"/>
      <c r="C698" s="1"/>
      <c r="D698" s="1"/>
      <c r="E698" s="1"/>
      <c r="F698" s="1"/>
      <c r="G698" s="1"/>
      <c r="H698" s="10"/>
      <c r="I698" s="10"/>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ht="15.75" customHeight="1">
      <c r="A699" s="1"/>
      <c r="B699" s="1"/>
      <c r="C699" s="1"/>
      <c r="D699" s="1"/>
      <c r="E699" s="1"/>
      <c r="F699" s="1"/>
      <c r="G699" s="1"/>
      <c r="H699" s="10"/>
      <c r="I699" s="10"/>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ht="15.75" customHeight="1">
      <c r="A700" s="1"/>
      <c r="B700" s="1"/>
      <c r="C700" s="1"/>
      <c r="D700" s="1"/>
      <c r="E700" s="1"/>
      <c r="F700" s="1"/>
      <c r="G700" s="1"/>
      <c r="H700" s="10"/>
      <c r="I700" s="10"/>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ht="15.75" customHeight="1">
      <c r="A701" s="1"/>
      <c r="B701" s="1"/>
      <c r="C701" s="1"/>
      <c r="D701" s="1"/>
      <c r="E701" s="1"/>
      <c r="F701" s="1"/>
      <c r="G701" s="1"/>
      <c r="H701" s="10"/>
      <c r="I701" s="10"/>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ht="15.75" customHeight="1">
      <c r="A702" s="1"/>
      <c r="B702" s="1"/>
      <c r="C702" s="1"/>
      <c r="D702" s="1"/>
      <c r="E702" s="1"/>
      <c r="F702" s="1"/>
      <c r="G702" s="1"/>
      <c r="H702" s="10"/>
      <c r="I702" s="10"/>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ht="15.75" customHeight="1">
      <c r="A703" s="1"/>
      <c r="B703" s="1"/>
      <c r="C703" s="1"/>
      <c r="D703" s="1"/>
      <c r="E703" s="1"/>
      <c r="F703" s="1"/>
      <c r="G703" s="1"/>
      <c r="H703" s="10"/>
      <c r="I703" s="10"/>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ht="15.75" customHeight="1">
      <c r="A704" s="1"/>
      <c r="B704" s="1"/>
      <c r="C704" s="1"/>
      <c r="D704" s="1"/>
      <c r="E704" s="1"/>
      <c r="F704" s="1"/>
      <c r="G704" s="1"/>
      <c r="H704" s="10"/>
      <c r="I704" s="10"/>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ht="15.75" customHeight="1">
      <c r="A705" s="1"/>
      <c r="B705" s="1"/>
      <c r="C705" s="1"/>
      <c r="D705" s="1"/>
      <c r="E705" s="1"/>
      <c r="F705" s="1"/>
      <c r="G705" s="1"/>
      <c r="H705" s="10"/>
      <c r="I705" s="10"/>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ht="15.75" customHeight="1">
      <c r="A706" s="1"/>
      <c r="B706" s="1"/>
      <c r="C706" s="1"/>
      <c r="D706" s="1"/>
      <c r="E706" s="1"/>
      <c r="F706" s="1"/>
      <c r="G706" s="1"/>
      <c r="H706" s="10"/>
      <c r="I706" s="10"/>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ht="15.75" customHeight="1">
      <c r="A707" s="1"/>
      <c r="B707" s="1"/>
      <c r="C707" s="1"/>
      <c r="D707" s="1"/>
      <c r="E707" s="1"/>
      <c r="F707" s="1"/>
      <c r="G707" s="1"/>
      <c r="H707" s="10"/>
      <c r="I707" s="10"/>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ht="15.75" customHeight="1">
      <c r="A708" s="1"/>
      <c r="B708" s="1"/>
      <c r="C708" s="1"/>
      <c r="D708" s="1"/>
      <c r="E708" s="1"/>
      <c r="F708" s="1"/>
      <c r="G708" s="1"/>
      <c r="H708" s="10"/>
      <c r="I708" s="10"/>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ht="15.75" customHeight="1">
      <c r="A709" s="1"/>
      <c r="B709" s="1"/>
      <c r="C709" s="1"/>
      <c r="D709" s="1"/>
      <c r="E709" s="1"/>
      <c r="F709" s="1"/>
      <c r="G709" s="1"/>
      <c r="H709" s="10"/>
      <c r="I709" s="10"/>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ht="15.75" customHeight="1">
      <c r="A710" s="1"/>
      <c r="B710" s="1"/>
      <c r="C710" s="1"/>
      <c r="D710" s="1"/>
      <c r="E710" s="1"/>
      <c r="F710" s="1"/>
      <c r="G710" s="1"/>
      <c r="H710" s="10"/>
      <c r="I710" s="10"/>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ht="15.75" customHeight="1">
      <c r="A711" s="1"/>
      <c r="B711" s="1"/>
      <c r="C711" s="1"/>
      <c r="D711" s="1"/>
      <c r="E711" s="1"/>
      <c r="F711" s="1"/>
      <c r="G711" s="1"/>
      <c r="H711" s="10"/>
      <c r="I711" s="10"/>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ht="15.75" customHeight="1">
      <c r="A712" s="1"/>
      <c r="B712" s="1"/>
      <c r="C712" s="1"/>
      <c r="D712" s="1"/>
      <c r="E712" s="1"/>
      <c r="F712" s="1"/>
      <c r="G712" s="1"/>
      <c r="H712" s="10"/>
      <c r="I712" s="10"/>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ht="15.75" customHeight="1">
      <c r="A713" s="1"/>
      <c r="B713" s="1"/>
      <c r="C713" s="1"/>
      <c r="D713" s="1"/>
      <c r="E713" s="1"/>
      <c r="F713" s="1"/>
      <c r="G713" s="1"/>
      <c r="H713" s="10"/>
      <c r="I713" s="10"/>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ht="15.75" customHeight="1">
      <c r="A714" s="1"/>
      <c r="B714" s="1"/>
      <c r="C714" s="1"/>
      <c r="D714" s="1"/>
      <c r="E714" s="1"/>
      <c r="F714" s="1"/>
      <c r="G714" s="1"/>
      <c r="H714" s="10"/>
      <c r="I714" s="10"/>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ht="15.75" customHeight="1">
      <c r="A715" s="1"/>
      <c r="B715" s="1"/>
      <c r="C715" s="1"/>
      <c r="D715" s="1"/>
      <c r="E715" s="1"/>
      <c r="F715" s="1"/>
      <c r="G715" s="1"/>
      <c r="H715" s="10"/>
      <c r="I715" s="10"/>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ht="15.75" customHeight="1">
      <c r="A716" s="1"/>
      <c r="B716" s="1"/>
      <c r="C716" s="1"/>
      <c r="D716" s="1"/>
      <c r="E716" s="1"/>
      <c r="F716" s="1"/>
      <c r="G716" s="1"/>
      <c r="H716" s="10"/>
      <c r="I716" s="10"/>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ht="15.75" customHeight="1">
      <c r="A717" s="1"/>
      <c r="B717" s="1"/>
      <c r="C717" s="1"/>
      <c r="D717" s="1"/>
      <c r="E717" s="1"/>
      <c r="F717" s="1"/>
      <c r="G717" s="1"/>
      <c r="H717" s="10"/>
      <c r="I717" s="10"/>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ht="15.75" customHeight="1">
      <c r="A718" s="1"/>
      <c r="B718" s="1"/>
      <c r="C718" s="1"/>
      <c r="D718" s="1"/>
      <c r="E718" s="1"/>
      <c r="F718" s="1"/>
      <c r="G718" s="1"/>
      <c r="H718" s="10"/>
      <c r="I718" s="10"/>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ht="15.75" customHeight="1">
      <c r="A719" s="1"/>
      <c r="B719" s="1"/>
      <c r="C719" s="1"/>
      <c r="D719" s="1"/>
      <c r="E719" s="1"/>
      <c r="F719" s="1"/>
      <c r="G719" s="1"/>
      <c r="H719" s="10"/>
      <c r="I719" s="10"/>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ht="15.75" customHeight="1">
      <c r="A720" s="1"/>
      <c r="B720" s="1"/>
      <c r="C720" s="1"/>
      <c r="D720" s="1"/>
      <c r="E720" s="1"/>
      <c r="F720" s="1"/>
      <c r="G720" s="1"/>
      <c r="H720" s="10"/>
      <c r="I720" s="10"/>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ht="15.75" customHeight="1">
      <c r="A721" s="1"/>
      <c r="B721" s="1"/>
      <c r="C721" s="1"/>
      <c r="D721" s="1"/>
      <c r="E721" s="1"/>
      <c r="F721" s="1"/>
      <c r="G721" s="1"/>
      <c r="H721" s="10"/>
      <c r="I721" s="10"/>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ht="15.75" customHeight="1">
      <c r="A722" s="1"/>
      <c r="B722" s="1"/>
      <c r="C722" s="1"/>
      <c r="D722" s="1"/>
      <c r="E722" s="1"/>
      <c r="F722" s="1"/>
      <c r="G722" s="1"/>
      <c r="H722" s="10"/>
      <c r="I722" s="10"/>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ht="15.75" customHeight="1">
      <c r="A723" s="1"/>
      <c r="B723" s="1"/>
      <c r="C723" s="1"/>
      <c r="D723" s="1"/>
      <c r="E723" s="1"/>
      <c r="F723" s="1"/>
      <c r="G723" s="1"/>
      <c r="H723" s="10"/>
      <c r="I723" s="10"/>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ht="15.75" customHeight="1">
      <c r="A724" s="1"/>
      <c r="B724" s="1"/>
      <c r="C724" s="1"/>
      <c r="D724" s="1"/>
      <c r="E724" s="1"/>
      <c r="F724" s="1"/>
      <c r="G724" s="1"/>
      <c r="H724" s="10"/>
      <c r="I724" s="10"/>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ht="15.75" customHeight="1">
      <c r="A725" s="1"/>
      <c r="B725" s="1"/>
      <c r="C725" s="1"/>
      <c r="D725" s="1"/>
      <c r="E725" s="1"/>
      <c r="F725" s="1"/>
      <c r="G725" s="1"/>
      <c r="H725" s="10"/>
      <c r="I725" s="10"/>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ht="15.75" customHeight="1">
      <c r="A726" s="1"/>
      <c r="B726" s="1"/>
      <c r="C726" s="1"/>
      <c r="D726" s="1"/>
      <c r="E726" s="1"/>
      <c r="F726" s="1"/>
      <c r="G726" s="1"/>
      <c r="H726" s="10"/>
      <c r="I726" s="10"/>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ht="15.75" customHeight="1">
      <c r="A727" s="1"/>
      <c r="B727" s="1"/>
      <c r="C727" s="1"/>
      <c r="D727" s="1"/>
      <c r="E727" s="1"/>
      <c r="F727" s="1"/>
      <c r="G727" s="1"/>
      <c r="H727" s="10"/>
      <c r="I727" s="10"/>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ht="15.75" customHeight="1">
      <c r="A728" s="1"/>
      <c r="B728" s="1"/>
      <c r="C728" s="1"/>
      <c r="D728" s="1"/>
      <c r="E728" s="1"/>
      <c r="F728" s="1"/>
      <c r="G728" s="1"/>
      <c r="H728" s="10"/>
      <c r="I728" s="10"/>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ht="15.75" customHeight="1">
      <c r="A729" s="1"/>
      <c r="B729" s="1"/>
      <c r="C729" s="1"/>
      <c r="D729" s="1"/>
      <c r="E729" s="1"/>
      <c r="F729" s="1"/>
      <c r="G729" s="1"/>
      <c r="H729" s="10"/>
      <c r="I729" s="10"/>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ht="15.75" customHeight="1">
      <c r="A730" s="1"/>
      <c r="B730" s="1"/>
      <c r="C730" s="1"/>
      <c r="D730" s="1"/>
      <c r="E730" s="1"/>
      <c r="F730" s="1"/>
      <c r="G730" s="1"/>
      <c r="H730" s="10"/>
      <c r="I730" s="10"/>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ht="15.75" customHeight="1">
      <c r="A731" s="1"/>
      <c r="B731" s="1"/>
      <c r="C731" s="1"/>
      <c r="D731" s="1"/>
      <c r="E731" s="1"/>
      <c r="F731" s="1"/>
      <c r="G731" s="1"/>
      <c r="H731" s="10"/>
      <c r="I731" s="10"/>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ht="15.75" customHeight="1">
      <c r="A732" s="1"/>
      <c r="B732" s="1"/>
      <c r="C732" s="1"/>
      <c r="D732" s="1"/>
      <c r="E732" s="1"/>
      <c r="F732" s="1"/>
      <c r="G732" s="1"/>
      <c r="H732" s="10"/>
      <c r="I732" s="10"/>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ht="15.75" customHeight="1">
      <c r="A733" s="1"/>
      <c r="B733" s="1"/>
      <c r="C733" s="1"/>
      <c r="D733" s="1"/>
      <c r="E733" s="1"/>
      <c r="F733" s="1"/>
      <c r="G733" s="1"/>
      <c r="H733" s="10"/>
      <c r="I733" s="10"/>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ht="15.75" customHeight="1">
      <c r="A734" s="1"/>
      <c r="B734" s="1"/>
      <c r="C734" s="1"/>
      <c r="D734" s="1"/>
      <c r="E734" s="1"/>
      <c r="F734" s="1"/>
      <c r="G734" s="1"/>
      <c r="H734" s="10"/>
      <c r="I734" s="10"/>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ht="15.75" customHeight="1">
      <c r="A735" s="1"/>
      <c r="B735" s="1"/>
      <c r="C735" s="1"/>
      <c r="D735" s="1"/>
      <c r="E735" s="1"/>
      <c r="F735" s="1"/>
      <c r="G735" s="1"/>
      <c r="H735" s="10"/>
      <c r="I735" s="10"/>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ht="15.75" customHeight="1">
      <c r="A736" s="1"/>
      <c r="B736" s="1"/>
      <c r="C736" s="1"/>
      <c r="D736" s="1"/>
      <c r="E736" s="1"/>
      <c r="F736" s="1"/>
      <c r="G736" s="1"/>
      <c r="H736" s="10"/>
      <c r="I736" s="10"/>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ht="15.75" customHeight="1">
      <c r="A737" s="1"/>
      <c r="B737" s="1"/>
      <c r="C737" s="1"/>
      <c r="D737" s="1"/>
      <c r="E737" s="1"/>
      <c r="F737" s="1"/>
      <c r="G737" s="1"/>
      <c r="H737" s="10"/>
      <c r="I737" s="10"/>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ht="15.75" customHeight="1">
      <c r="A738" s="1"/>
      <c r="B738" s="1"/>
      <c r="C738" s="1"/>
      <c r="D738" s="1"/>
      <c r="E738" s="1"/>
      <c r="F738" s="1"/>
      <c r="G738" s="1"/>
      <c r="H738" s="10"/>
      <c r="I738" s="10"/>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ht="15.75" customHeight="1">
      <c r="A739" s="1"/>
      <c r="B739" s="1"/>
      <c r="C739" s="1"/>
      <c r="D739" s="1"/>
      <c r="E739" s="1"/>
      <c r="F739" s="1"/>
      <c r="G739" s="1"/>
      <c r="H739" s="10"/>
      <c r="I739" s="10"/>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ht="15.75" customHeight="1">
      <c r="A740" s="1"/>
      <c r="B740" s="1"/>
      <c r="C740" s="1"/>
      <c r="D740" s="1"/>
      <c r="E740" s="1"/>
      <c r="F740" s="1"/>
      <c r="G740" s="1"/>
      <c r="H740" s="10"/>
      <c r="I740" s="10"/>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ht="15.75" customHeight="1">
      <c r="A741" s="1"/>
      <c r="B741" s="1"/>
      <c r="C741" s="1"/>
      <c r="D741" s="1"/>
      <c r="E741" s="1"/>
      <c r="F741" s="1"/>
      <c r="G741" s="1"/>
      <c r="H741" s="10"/>
      <c r="I741" s="10"/>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ht="15.75" customHeight="1">
      <c r="A742" s="1"/>
      <c r="B742" s="1"/>
      <c r="C742" s="1"/>
      <c r="D742" s="1"/>
      <c r="E742" s="1"/>
      <c r="F742" s="1"/>
      <c r="G742" s="1"/>
      <c r="H742" s="10"/>
      <c r="I742" s="10"/>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ht="15.75" customHeight="1">
      <c r="A743" s="1"/>
      <c r="B743" s="1"/>
      <c r="C743" s="1"/>
      <c r="D743" s="1"/>
      <c r="E743" s="1"/>
      <c r="F743" s="1"/>
      <c r="G743" s="1"/>
      <c r="H743" s="10"/>
      <c r="I743" s="10"/>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ht="15.75" customHeight="1">
      <c r="A744" s="1"/>
      <c r="B744" s="1"/>
      <c r="C744" s="1"/>
      <c r="D744" s="1"/>
      <c r="E744" s="1"/>
      <c r="F744" s="1"/>
      <c r="G744" s="1"/>
      <c r="H744" s="10"/>
      <c r="I744" s="10"/>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ht="15.75" customHeight="1">
      <c r="A745" s="1"/>
      <c r="B745" s="1"/>
      <c r="C745" s="1"/>
      <c r="D745" s="1"/>
      <c r="E745" s="1"/>
      <c r="F745" s="1"/>
      <c r="G745" s="1"/>
      <c r="H745" s="10"/>
      <c r="I745" s="10"/>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ht="15.75" customHeight="1">
      <c r="A746" s="1"/>
      <c r="B746" s="1"/>
      <c r="C746" s="1"/>
      <c r="D746" s="1"/>
      <c r="E746" s="1"/>
      <c r="F746" s="1"/>
      <c r="G746" s="1"/>
      <c r="H746" s="10"/>
      <c r="I746" s="10"/>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ht="15.75" customHeight="1">
      <c r="A747" s="1"/>
      <c r="B747" s="1"/>
      <c r="C747" s="1"/>
      <c r="D747" s="1"/>
      <c r="E747" s="1"/>
      <c r="F747" s="1"/>
      <c r="G747" s="1"/>
      <c r="H747" s="10"/>
      <c r="I747" s="10"/>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ht="15.75" customHeight="1">
      <c r="A748" s="1"/>
      <c r="B748" s="1"/>
      <c r="C748" s="1"/>
      <c r="D748" s="1"/>
      <c r="E748" s="1"/>
      <c r="F748" s="1"/>
      <c r="G748" s="1"/>
      <c r="H748" s="10"/>
      <c r="I748" s="10"/>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ht="15.75" customHeight="1">
      <c r="A749" s="1"/>
      <c r="B749" s="1"/>
      <c r="C749" s="1"/>
      <c r="D749" s="1"/>
      <c r="E749" s="1"/>
      <c r="F749" s="1"/>
      <c r="G749" s="1"/>
      <c r="H749" s="10"/>
      <c r="I749" s="10"/>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ht="15.75" customHeight="1">
      <c r="A750" s="1"/>
      <c r="B750" s="1"/>
      <c r="C750" s="1"/>
      <c r="D750" s="1"/>
      <c r="E750" s="1"/>
      <c r="F750" s="1"/>
      <c r="G750" s="1"/>
      <c r="H750" s="10"/>
      <c r="I750" s="10"/>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ht="15.75" customHeight="1">
      <c r="A751" s="1"/>
      <c r="B751" s="1"/>
      <c r="C751" s="1"/>
      <c r="D751" s="1"/>
      <c r="E751" s="1"/>
      <c r="F751" s="1"/>
      <c r="G751" s="1"/>
      <c r="H751" s="10"/>
      <c r="I751" s="10"/>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ht="15.75" customHeight="1">
      <c r="A752" s="1"/>
      <c r="B752" s="1"/>
      <c r="C752" s="1"/>
      <c r="D752" s="1"/>
      <c r="E752" s="1"/>
      <c r="F752" s="1"/>
      <c r="G752" s="1"/>
      <c r="H752" s="10"/>
      <c r="I752" s="10"/>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ht="15.75" customHeight="1">
      <c r="A753" s="1"/>
      <c r="B753" s="1"/>
      <c r="C753" s="1"/>
      <c r="D753" s="1"/>
      <c r="E753" s="1"/>
      <c r="F753" s="1"/>
      <c r="G753" s="1"/>
      <c r="H753" s="10"/>
      <c r="I753" s="10"/>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ht="15.75" customHeight="1">
      <c r="A754" s="1"/>
      <c r="B754" s="1"/>
      <c r="C754" s="1"/>
      <c r="D754" s="1"/>
      <c r="E754" s="1"/>
      <c r="F754" s="1"/>
      <c r="G754" s="1"/>
      <c r="H754" s="10"/>
      <c r="I754" s="10"/>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ht="15.75" customHeight="1">
      <c r="A755" s="1"/>
      <c r="B755" s="1"/>
      <c r="C755" s="1"/>
      <c r="D755" s="1"/>
      <c r="E755" s="1"/>
      <c r="F755" s="1"/>
      <c r="G755" s="1"/>
      <c r="H755" s="10"/>
      <c r="I755" s="10"/>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ht="15.75" customHeight="1">
      <c r="A756" s="1"/>
      <c r="B756" s="1"/>
      <c r="C756" s="1"/>
      <c r="D756" s="1"/>
      <c r="E756" s="1"/>
      <c r="F756" s="1"/>
      <c r="G756" s="1"/>
      <c r="H756" s="10"/>
      <c r="I756" s="10"/>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ht="15.75" customHeight="1">
      <c r="A757" s="1"/>
      <c r="B757" s="1"/>
      <c r="C757" s="1"/>
      <c r="D757" s="1"/>
      <c r="E757" s="1"/>
      <c r="F757" s="1"/>
      <c r="G757" s="1"/>
      <c r="H757" s="10"/>
      <c r="I757" s="10"/>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ht="15.75" customHeight="1">
      <c r="A758" s="1"/>
      <c r="B758" s="1"/>
      <c r="C758" s="1"/>
      <c r="D758" s="1"/>
      <c r="E758" s="1"/>
      <c r="F758" s="1"/>
      <c r="G758" s="1"/>
      <c r="H758" s="10"/>
      <c r="I758" s="10"/>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ht="15.75" customHeight="1">
      <c r="A759" s="1"/>
      <c r="B759" s="1"/>
      <c r="C759" s="1"/>
      <c r="D759" s="1"/>
      <c r="E759" s="1"/>
      <c r="F759" s="1"/>
      <c r="G759" s="1"/>
      <c r="H759" s="10"/>
      <c r="I759" s="10"/>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ht="15.75" customHeight="1">
      <c r="A760" s="1"/>
      <c r="B760" s="1"/>
      <c r="C760" s="1"/>
      <c r="D760" s="1"/>
      <c r="E760" s="1"/>
      <c r="F760" s="1"/>
      <c r="G760" s="1"/>
      <c r="H760" s="10"/>
      <c r="I760" s="10"/>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ht="15.75" customHeight="1">
      <c r="A761" s="1"/>
      <c r="B761" s="1"/>
      <c r="C761" s="1"/>
      <c r="D761" s="1"/>
      <c r="E761" s="1"/>
      <c r="F761" s="1"/>
      <c r="G761" s="1"/>
      <c r="H761" s="10"/>
      <c r="I761" s="10"/>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ht="15.75" customHeight="1">
      <c r="A762" s="1"/>
      <c r="B762" s="1"/>
      <c r="C762" s="1"/>
      <c r="D762" s="1"/>
      <c r="E762" s="1"/>
      <c r="F762" s="1"/>
      <c r="G762" s="1"/>
      <c r="H762" s="10"/>
      <c r="I762" s="10"/>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ht="15.75" customHeight="1">
      <c r="A763" s="1"/>
      <c r="B763" s="1"/>
      <c r="C763" s="1"/>
      <c r="D763" s="1"/>
      <c r="E763" s="1"/>
      <c r="F763" s="1"/>
      <c r="G763" s="1"/>
      <c r="H763" s="10"/>
      <c r="I763" s="10"/>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ht="15.75" customHeight="1">
      <c r="A764" s="1"/>
      <c r="B764" s="1"/>
      <c r="C764" s="1"/>
      <c r="D764" s="1"/>
      <c r="E764" s="1"/>
      <c r="F764" s="1"/>
      <c r="G764" s="1"/>
      <c r="H764" s="10"/>
      <c r="I764" s="10"/>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ht="15.75" customHeight="1">
      <c r="A765" s="1"/>
      <c r="B765" s="1"/>
      <c r="C765" s="1"/>
      <c r="D765" s="1"/>
      <c r="E765" s="1"/>
      <c r="F765" s="1"/>
      <c r="G765" s="1"/>
      <c r="H765" s="10"/>
      <c r="I765" s="10"/>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ht="15.75" customHeight="1">
      <c r="A766" s="1"/>
      <c r="B766" s="1"/>
      <c r="C766" s="1"/>
      <c r="D766" s="1"/>
      <c r="E766" s="1"/>
      <c r="F766" s="1"/>
      <c r="G766" s="1"/>
      <c r="H766" s="10"/>
      <c r="I766" s="10"/>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ht="15.75" customHeight="1">
      <c r="A767" s="1"/>
      <c r="B767" s="1"/>
      <c r="C767" s="1"/>
      <c r="D767" s="1"/>
      <c r="E767" s="1"/>
      <c r="F767" s="1"/>
      <c r="G767" s="1"/>
      <c r="H767" s="10"/>
      <c r="I767" s="10"/>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ht="15.75" customHeight="1">
      <c r="A768" s="1"/>
      <c r="B768" s="1"/>
      <c r="C768" s="1"/>
      <c r="D768" s="1"/>
      <c r="E768" s="1"/>
      <c r="F768" s="1"/>
      <c r="G768" s="1"/>
      <c r="H768" s="10"/>
      <c r="I768" s="10"/>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ht="15.75" customHeight="1">
      <c r="A769" s="1"/>
      <c r="B769" s="1"/>
      <c r="C769" s="1"/>
      <c r="D769" s="1"/>
      <c r="E769" s="1"/>
      <c r="F769" s="1"/>
      <c r="G769" s="1"/>
      <c r="H769" s="10"/>
      <c r="I769" s="10"/>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ht="15.75" customHeight="1">
      <c r="A770" s="1"/>
      <c r="B770" s="1"/>
      <c r="C770" s="1"/>
      <c r="D770" s="1"/>
      <c r="E770" s="1"/>
      <c r="F770" s="1"/>
      <c r="G770" s="1"/>
      <c r="H770" s="10"/>
      <c r="I770" s="10"/>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ht="15.75" customHeight="1">
      <c r="A771" s="1"/>
      <c r="B771" s="1"/>
      <c r="C771" s="1"/>
      <c r="D771" s="1"/>
      <c r="E771" s="1"/>
      <c r="F771" s="1"/>
      <c r="G771" s="1"/>
      <c r="H771" s="10"/>
      <c r="I771" s="10"/>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ht="15.75" customHeight="1">
      <c r="A772" s="1"/>
      <c r="B772" s="1"/>
      <c r="C772" s="1"/>
      <c r="D772" s="1"/>
      <c r="E772" s="1"/>
      <c r="F772" s="1"/>
      <c r="G772" s="1"/>
      <c r="H772" s="10"/>
      <c r="I772" s="10"/>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ht="15.75" customHeight="1">
      <c r="A773" s="1"/>
      <c r="B773" s="1"/>
      <c r="C773" s="1"/>
      <c r="D773" s="1"/>
      <c r="E773" s="1"/>
      <c r="F773" s="1"/>
      <c r="G773" s="1"/>
      <c r="H773" s="10"/>
      <c r="I773" s="10"/>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ht="15.75" customHeight="1">
      <c r="A774" s="1"/>
      <c r="B774" s="1"/>
      <c r="C774" s="1"/>
      <c r="D774" s="1"/>
      <c r="E774" s="1"/>
      <c r="F774" s="1"/>
      <c r="G774" s="1"/>
      <c r="H774" s="10"/>
      <c r="I774" s="10"/>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ht="15.75" customHeight="1">
      <c r="A775" s="1"/>
      <c r="B775" s="1"/>
      <c r="C775" s="1"/>
      <c r="D775" s="1"/>
      <c r="E775" s="1"/>
      <c r="F775" s="1"/>
      <c r="G775" s="1"/>
      <c r="H775" s="10"/>
      <c r="I775" s="10"/>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ht="15.75" customHeight="1">
      <c r="A776" s="1"/>
      <c r="B776" s="1"/>
      <c r="C776" s="1"/>
      <c r="D776" s="1"/>
      <c r="E776" s="1"/>
      <c r="F776" s="1"/>
      <c r="G776" s="1"/>
      <c r="H776" s="10"/>
      <c r="I776" s="10"/>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ht="15.75" customHeight="1">
      <c r="A777" s="1"/>
      <c r="B777" s="1"/>
      <c r="C777" s="1"/>
      <c r="D777" s="1"/>
      <c r="E777" s="1"/>
      <c r="F777" s="1"/>
      <c r="G777" s="1"/>
      <c r="H777" s="10"/>
      <c r="I777" s="10"/>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ht="15.75" customHeight="1">
      <c r="A778" s="1"/>
      <c r="B778" s="1"/>
      <c r="C778" s="1"/>
      <c r="D778" s="1"/>
      <c r="E778" s="1"/>
      <c r="F778" s="1"/>
      <c r="G778" s="1"/>
      <c r="H778" s="10"/>
      <c r="I778" s="10"/>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ht="15.75" customHeight="1">
      <c r="A779" s="1"/>
      <c r="B779" s="1"/>
      <c r="C779" s="1"/>
      <c r="D779" s="1"/>
      <c r="E779" s="1"/>
      <c r="F779" s="1"/>
      <c r="G779" s="1"/>
      <c r="H779" s="10"/>
      <c r="I779" s="10"/>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ht="15.75" customHeight="1">
      <c r="A780" s="1"/>
      <c r="B780" s="1"/>
      <c r="C780" s="1"/>
      <c r="D780" s="1"/>
      <c r="E780" s="1"/>
      <c r="F780" s="1"/>
      <c r="G780" s="1"/>
      <c r="H780" s="10"/>
      <c r="I780" s="10"/>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ht="15.75" customHeight="1">
      <c r="A781" s="1"/>
      <c r="B781" s="1"/>
      <c r="C781" s="1"/>
      <c r="D781" s="1"/>
      <c r="E781" s="1"/>
      <c r="F781" s="1"/>
      <c r="G781" s="1"/>
      <c r="H781" s="10"/>
      <c r="I781" s="10"/>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ht="15.75" customHeight="1">
      <c r="A782" s="1"/>
      <c r="B782" s="1"/>
      <c r="C782" s="1"/>
      <c r="D782" s="1"/>
      <c r="E782" s="1"/>
      <c r="F782" s="1"/>
      <c r="G782" s="1"/>
      <c r="H782" s="10"/>
      <c r="I782" s="10"/>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ht="15.75" customHeight="1">
      <c r="A783" s="1"/>
      <c r="B783" s="1"/>
      <c r="C783" s="1"/>
      <c r="D783" s="1"/>
      <c r="E783" s="1"/>
      <c r="F783" s="1"/>
      <c r="G783" s="1"/>
      <c r="H783" s="10"/>
      <c r="I783" s="10"/>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ht="15.75" customHeight="1">
      <c r="A784" s="1"/>
      <c r="B784" s="1"/>
      <c r="C784" s="1"/>
      <c r="D784" s="1"/>
      <c r="E784" s="1"/>
      <c r="F784" s="1"/>
      <c r="G784" s="1"/>
      <c r="H784" s="10"/>
      <c r="I784" s="10"/>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ht="15.75" customHeight="1">
      <c r="A785" s="1"/>
      <c r="B785" s="1"/>
      <c r="C785" s="1"/>
      <c r="D785" s="1"/>
      <c r="E785" s="1"/>
      <c r="F785" s="1"/>
      <c r="G785" s="1"/>
      <c r="H785" s="10"/>
      <c r="I785" s="10"/>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ht="15.75" customHeight="1">
      <c r="A786" s="1"/>
      <c r="B786" s="1"/>
      <c r="C786" s="1"/>
      <c r="D786" s="1"/>
      <c r="E786" s="1"/>
      <c r="F786" s="1"/>
      <c r="G786" s="1"/>
      <c r="H786" s="10"/>
      <c r="I786" s="10"/>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ht="15.75" customHeight="1">
      <c r="A787" s="1"/>
      <c r="B787" s="1"/>
      <c r="C787" s="1"/>
      <c r="D787" s="1"/>
      <c r="E787" s="1"/>
      <c r="F787" s="1"/>
      <c r="G787" s="1"/>
      <c r="H787" s="10"/>
      <c r="I787" s="10"/>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ht="15.75" customHeight="1">
      <c r="A788" s="1"/>
      <c r="B788" s="1"/>
      <c r="C788" s="1"/>
      <c r="D788" s="1"/>
      <c r="E788" s="1"/>
      <c r="F788" s="1"/>
      <c r="G788" s="1"/>
      <c r="H788" s="10"/>
      <c r="I788" s="10"/>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ht="15.75" customHeight="1">
      <c r="A789" s="1"/>
      <c r="B789" s="1"/>
      <c r="C789" s="1"/>
      <c r="D789" s="1"/>
      <c r="E789" s="1"/>
      <c r="F789" s="1"/>
      <c r="G789" s="1"/>
      <c r="H789" s="10"/>
      <c r="I789" s="10"/>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ht="15.75" customHeight="1">
      <c r="A790" s="1"/>
      <c r="B790" s="1"/>
      <c r="C790" s="1"/>
      <c r="D790" s="1"/>
      <c r="E790" s="1"/>
      <c r="F790" s="1"/>
      <c r="G790" s="1"/>
      <c r="H790" s="10"/>
      <c r="I790" s="10"/>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ht="15.75" customHeight="1">
      <c r="A791" s="1"/>
      <c r="B791" s="1"/>
      <c r="C791" s="1"/>
      <c r="D791" s="1"/>
      <c r="E791" s="1"/>
      <c r="F791" s="1"/>
      <c r="G791" s="1"/>
      <c r="H791" s="10"/>
      <c r="I791" s="10"/>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ht="15.75" customHeight="1">
      <c r="A792" s="1"/>
      <c r="B792" s="1"/>
      <c r="C792" s="1"/>
      <c r="D792" s="1"/>
      <c r="E792" s="1"/>
      <c r="F792" s="1"/>
      <c r="G792" s="1"/>
      <c r="H792" s="10"/>
      <c r="I792" s="10"/>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ht="15.75" customHeight="1">
      <c r="A793" s="1"/>
      <c r="B793" s="1"/>
      <c r="C793" s="1"/>
      <c r="D793" s="1"/>
      <c r="E793" s="1"/>
      <c r="F793" s="1"/>
      <c r="G793" s="1"/>
      <c r="H793" s="10"/>
      <c r="I793" s="10"/>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ht="15.75" customHeight="1">
      <c r="A794" s="1"/>
      <c r="B794" s="1"/>
      <c r="C794" s="1"/>
      <c r="D794" s="1"/>
      <c r="E794" s="1"/>
      <c r="F794" s="1"/>
      <c r="G794" s="1"/>
      <c r="H794" s="10"/>
      <c r="I794" s="10"/>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ht="15.75" customHeight="1">
      <c r="A795" s="1"/>
      <c r="B795" s="1"/>
      <c r="C795" s="1"/>
      <c r="D795" s="1"/>
      <c r="E795" s="1"/>
      <c r="F795" s="1"/>
      <c r="G795" s="1"/>
      <c r="H795" s="10"/>
      <c r="I795" s="10"/>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ht="15.75" customHeight="1">
      <c r="A796" s="1"/>
      <c r="B796" s="1"/>
      <c r="C796" s="1"/>
      <c r="D796" s="1"/>
      <c r="E796" s="1"/>
      <c r="F796" s="1"/>
      <c r="G796" s="1"/>
      <c r="H796" s="10"/>
      <c r="I796" s="10"/>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ht="15.75" customHeight="1">
      <c r="A797" s="1"/>
      <c r="B797" s="1"/>
      <c r="C797" s="1"/>
      <c r="D797" s="1"/>
      <c r="E797" s="1"/>
      <c r="F797" s="1"/>
      <c r="G797" s="1"/>
      <c r="H797" s="10"/>
      <c r="I797" s="10"/>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ht="15.75" customHeight="1">
      <c r="A798" s="1"/>
      <c r="B798" s="1"/>
      <c r="C798" s="1"/>
      <c r="D798" s="1"/>
      <c r="E798" s="1"/>
      <c r="F798" s="1"/>
      <c r="G798" s="1"/>
      <c r="H798" s="10"/>
      <c r="I798" s="10"/>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ht="15.75" customHeight="1">
      <c r="A799" s="1"/>
      <c r="B799" s="1"/>
      <c r="C799" s="1"/>
      <c r="D799" s="1"/>
      <c r="E799" s="1"/>
      <c r="F799" s="1"/>
      <c r="G799" s="1"/>
      <c r="H799" s="10"/>
      <c r="I799" s="10"/>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ht="15.75" customHeight="1">
      <c r="A800" s="1"/>
      <c r="B800" s="1"/>
      <c r="C800" s="1"/>
      <c r="D800" s="1"/>
      <c r="E800" s="1"/>
      <c r="F800" s="1"/>
      <c r="G800" s="1"/>
      <c r="H800" s="10"/>
      <c r="I800" s="10"/>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ht="15.75" customHeight="1">
      <c r="A801" s="1"/>
      <c r="B801" s="1"/>
      <c r="C801" s="1"/>
      <c r="D801" s="1"/>
      <c r="E801" s="1"/>
      <c r="F801" s="1"/>
      <c r="G801" s="1"/>
      <c r="H801" s="10"/>
      <c r="I801" s="10"/>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ht="15.75" customHeight="1">
      <c r="A802" s="1"/>
      <c r="B802" s="1"/>
      <c r="C802" s="1"/>
      <c r="D802" s="1"/>
      <c r="E802" s="1"/>
      <c r="F802" s="1"/>
      <c r="G802" s="1"/>
      <c r="H802" s="10"/>
      <c r="I802" s="10"/>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ht="15.75" customHeight="1">
      <c r="A803" s="1"/>
      <c r="B803" s="1"/>
      <c r="C803" s="1"/>
      <c r="D803" s="1"/>
      <c r="E803" s="1"/>
      <c r="F803" s="1"/>
      <c r="G803" s="1"/>
      <c r="H803" s="10"/>
      <c r="I803" s="10"/>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ht="15.75" customHeight="1">
      <c r="A804" s="1"/>
      <c r="B804" s="1"/>
      <c r="C804" s="1"/>
      <c r="D804" s="1"/>
      <c r="E804" s="1"/>
      <c r="F804" s="1"/>
      <c r="G804" s="1"/>
      <c r="H804" s="10"/>
      <c r="I804" s="10"/>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ht="15.75" customHeight="1">
      <c r="A805" s="1"/>
      <c r="B805" s="1"/>
      <c r="C805" s="1"/>
      <c r="D805" s="1"/>
      <c r="E805" s="1"/>
      <c r="F805" s="1"/>
      <c r="G805" s="1"/>
      <c r="H805" s="10"/>
      <c r="I805" s="10"/>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ht="15.75" customHeight="1">
      <c r="A806" s="1"/>
      <c r="B806" s="1"/>
      <c r="C806" s="1"/>
      <c r="D806" s="1"/>
      <c r="E806" s="1"/>
      <c r="F806" s="1"/>
      <c r="G806" s="1"/>
      <c r="H806" s="10"/>
      <c r="I806" s="10"/>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ht="15.75" customHeight="1">
      <c r="A807" s="1"/>
      <c r="B807" s="1"/>
      <c r="C807" s="1"/>
      <c r="D807" s="1"/>
      <c r="E807" s="1"/>
      <c r="F807" s="1"/>
      <c r="G807" s="1"/>
      <c r="H807" s="10"/>
      <c r="I807" s="10"/>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ht="15.75" customHeight="1">
      <c r="A808" s="1"/>
      <c r="B808" s="1"/>
      <c r="C808" s="1"/>
      <c r="D808" s="1"/>
      <c r="E808" s="1"/>
      <c r="F808" s="1"/>
      <c r="G808" s="1"/>
      <c r="H808" s="10"/>
      <c r="I808" s="10"/>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ht="15.75" customHeight="1">
      <c r="A809" s="1"/>
      <c r="B809" s="1"/>
      <c r="C809" s="1"/>
      <c r="D809" s="1"/>
      <c r="E809" s="1"/>
      <c r="F809" s="1"/>
      <c r="G809" s="1"/>
      <c r="H809" s="10"/>
      <c r="I809" s="10"/>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ht="15.75" customHeight="1">
      <c r="A810" s="1"/>
      <c r="B810" s="1"/>
      <c r="C810" s="1"/>
      <c r="D810" s="1"/>
      <c r="E810" s="1"/>
      <c r="F810" s="1"/>
      <c r="G810" s="1"/>
      <c r="H810" s="10"/>
      <c r="I810" s="10"/>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ht="15.75" customHeight="1">
      <c r="A811" s="1"/>
      <c r="B811" s="1"/>
      <c r="C811" s="1"/>
      <c r="D811" s="1"/>
      <c r="E811" s="1"/>
      <c r="F811" s="1"/>
      <c r="G811" s="1"/>
      <c r="H811" s="10"/>
      <c r="I811" s="10"/>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ht="15.75" customHeight="1">
      <c r="A812" s="1"/>
      <c r="B812" s="1"/>
      <c r="C812" s="1"/>
      <c r="D812" s="1"/>
      <c r="E812" s="1"/>
      <c r="F812" s="1"/>
      <c r="G812" s="1"/>
      <c r="H812" s="10"/>
      <c r="I812" s="10"/>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ht="15.75" customHeight="1">
      <c r="A813" s="1"/>
      <c r="B813" s="1"/>
      <c r="C813" s="1"/>
      <c r="D813" s="1"/>
      <c r="E813" s="1"/>
      <c r="F813" s="1"/>
      <c r="G813" s="1"/>
      <c r="H813" s="10"/>
      <c r="I813" s="10"/>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ht="15.75" customHeight="1">
      <c r="A814" s="1"/>
      <c r="B814" s="1"/>
      <c r="C814" s="1"/>
      <c r="D814" s="1"/>
      <c r="E814" s="1"/>
      <c r="F814" s="1"/>
      <c r="G814" s="1"/>
      <c r="H814" s="10"/>
      <c r="I814" s="10"/>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ht="15.75" customHeight="1">
      <c r="A815" s="1"/>
      <c r="B815" s="1"/>
      <c r="C815" s="1"/>
      <c r="D815" s="1"/>
      <c r="E815" s="1"/>
      <c r="F815" s="1"/>
      <c r="G815" s="1"/>
      <c r="H815" s="10"/>
      <c r="I815" s="10"/>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ht="15.75" customHeight="1">
      <c r="A816" s="1"/>
      <c r="B816" s="1"/>
      <c r="C816" s="1"/>
      <c r="D816" s="1"/>
      <c r="E816" s="1"/>
      <c r="F816" s="1"/>
      <c r="G816" s="1"/>
      <c r="H816" s="10"/>
      <c r="I816" s="10"/>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ht="15.75" customHeight="1">
      <c r="A817" s="1"/>
      <c r="B817" s="1"/>
      <c r="C817" s="1"/>
      <c r="D817" s="1"/>
      <c r="E817" s="1"/>
      <c r="F817" s="1"/>
      <c r="G817" s="1"/>
      <c r="H817" s="10"/>
      <c r="I817" s="10"/>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ht="15.75" customHeight="1">
      <c r="A818" s="1"/>
      <c r="B818" s="1"/>
      <c r="C818" s="1"/>
      <c r="D818" s="1"/>
      <c r="E818" s="1"/>
      <c r="F818" s="1"/>
      <c r="G818" s="1"/>
      <c r="H818" s="10"/>
      <c r="I818" s="10"/>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ht="15.75" customHeight="1">
      <c r="A819" s="1"/>
      <c r="B819" s="1"/>
      <c r="C819" s="1"/>
      <c r="D819" s="1"/>
      <c r="E819" s="1"/>
      <c r="F819" s="1"/>
      <c r="G819" s="1"/>
      <c r="H819" s="10"/>
      <c r="I819" s="10"/>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ht="15.75" customHeight="1">
      <c r="A820" s="1"/>
      <c r="B820" s="1"/>
      <c r="C820" s="1"/>
      <c r="D820" s="1"/>
      <c r="E820" s="1"/>
      <c r="F820" s="1"/>
      <c r="G820" s="1"/>
      <c r="H820" s="10"/>
      <c r="I820" s="10"/>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ht="15.75" customHeight="1">
      <c r="A821" s="1"/>
      <c r="B821" s="1"/>
      <c r="C821" s="1"/>
      <c r="D821" s="1"/>
      <c r="E821" s="1"/>
      <c r="F821" s="1"/>
      <c r="G821" s="1"/>
      <c r="H821" s="10"/>
      <c r="I821" s="10"/>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ht="15.75" customHeight="1">
      <c r="A822" s="1"/>
      <c r="B822" s="1"/>
      <c r="C822" s="1"/>
      <c r="D822" s="1"/>
      <c r="E822" s="1"/>
      <c r="F822" s="1"/>
      <c r="G822" s="1"/>
      <c r="H822" s="10"/>
      <c r="I822" s="10"/>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ht="15.75" customHeight="1">
      <c r="A823" s="1"/>
      <c r="B823" s="1"/>
      <c r="C823" s="1"/>
      <c r="D823" s="1"/>
      <c r="E823" s="1"/>
      <c r="F823" s="1"/>
      <c r="G823" s="1"/>
      <c r="H823" s="10"/>
      <c r="I823" s="10"/>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ht="15.75" customHeight="1">
      <c r="A824" s="1"/>
      <c r="B824" s="1"/>
      <c r="C824" s="1"/>
      <c r="D824" s="1"/>
      <c r="E824" s="1"/>
      <c r="F824" s="1"/>
      <c r="G824" s="1"/>
      <c r="H824" s="10"/>
      <c r="I824" s="10"/>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ht="15.75" customHeight="1">
      <c r="A825" s="1"/>
      <c r="B825" s="1"/>
      <c r="C825" s="1"/>
      <c r="D825" s="1"/>
      <c r="E825" s="1"/>
      <c r="F825" s="1"/>
      <c r="G825" s="1"/>
      <c r="H825" s="10"/>
      <c r="I825" s="10"/>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ht="15.75" customHeight="1">
      <c r="A826" s="1"/>
      <c r="B826" s="1"/>
      <c r="C826" s="1"/>
      <c r="D826" s="1"/>
      <c r="E826" s="1"/>
      <c r="F826" s="1"/>
      <c r="G826" s="1"/>
      <c r="H826" s="10"/>
      <c r="I826" s="10"/>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ht="15.75" customHeight="1">
      <c r="A827" s="1"/>
      <c r="B827" s="1"/>
      <c r="C827" s="1"/>
      <c r="D827" s="1"/>
      <c r="E827" s="1"/>
      <c r="F827" s="1"/>
      <c r="G827" s="1"/>
      <c r="H827" s="10"/>
      <c r="I827" s="10"/>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ht="15.75" customHeight="1">
      <c r="A828" s="1"/>
      <c r="B828" s="1"/>
      <c r="C828" s="1"/>
      <c r="D828" s="1"/>
      <c r="E828" s="1"/>
      <c r="F828" s="1"/>
      <c r="G828" s="1"/>
      <c r="H828" s="10"/>
      <c r="I828" s="10"/>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ht="15.75" customHeight="1">
      <c r="A829" s="1"/>
      <c r="B829" s="1"/>
      <c r="C829" s="1"/>
      <c r="D829" s="1"/>
      <c r="E829" s="1"/>
      <c r="F829" s="1"/>
      <c r="G829" s="1"/>
      <c r="H829" s="10"/>
      <c r="I829" s="10"/>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ht="15.75" customHeight="1">
      <c r="A830" s="1"/>
      <c r="B830" s="1"/>
      <c r="C830" s="1"/>
      <c r="D830" s="1"/>
      <c r="E830" s="1"/>
      <c r="F830" s="1"/>
      <c r="G830" s="1"/>
      <c r="H830" s="10"/>
      <c r="I830" s="10"/>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ht="15.75" customHeight="1">
      <c r="A831" s="1"/>
      <c r="B831" s="1"/>
      <c r="C831" s="1"/>
      <c r="D831" s="1"/>
      <c r="E831" s="1"/>
      <c r="F831" s="1"/>
      <c r="G831" s="1"/>
      <c r="H831" s="10"/>
      <c r="I831" s="10"/>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ht="15.75" customHeight="1">
      <c r="A832" s="1"/>
      <c r="B832" s="1"/>
      <c r="C832" s="1"/>
      <c r="D832" s="1"/>
      <c r="E832" s="1"/>
      <c r="F832" s="1"/>
      <c r="G832" s="1"/>
      <c r="H832" s="10"/>
      <c r="I832" s="10"/>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ht="15.75" customHeight="1">
      <c r="A833" s="1"/>
      <c r="B833" s="1"/>
      <c r="C833" s="1"/>
      <c r="D833" s="1"/>
      <c r="E833" s="1"/>
      <c r="F833" s="1"/>
      <c r="G833" s="1"/>
      <c r="H833" s="10"/>
      <c r="I833" s="10"/>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ht="15.75" customHeight="1">
      <c r="A834" s="1"/>
      <c r="B834" s="1"/>
      <c r="C834" s="1"/>
      <c r="D834" s="1"/>
      <c r="E834" s="1"/>
      <c r="F834" s="1"/>
      <c r="G834" s="1"/>
      <c r="H834" s="10"/>
      <c r="I834" s="10"/>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ht="15.75" customHeight="1">
      <c r="A835" s="1"/>
      <c r="B835" s="1"/>
      <c r="C835" s="1"/>
      <c r="D835" s="1"/>
      <c r="E835" s="1"/>
      <c r="F835" s="1"/>
      <c r="G835" s="1"/>
      <c r="H835" s="10"/>
      <c r="I835" s="10"/>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ht="15.75" customHeight="1">
      <c r="A836" s="1"/>
      <c r="B836" s="1"/>
      <c r="C836" s="1"/>
      <c r="D836" s="1"/>
      <c r="E836" s="1"/>
      <c r="F836" s="1"/>
      <c r="G836" s="1"/>
      <c r="H836" s="10"/>
      <c r="I836" s="10"/>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ht="15.75" customHeight="1">
      <c r="A837" s="1"/>
      <c r="B837" s="1"/>
      <c r="C837" s="1"/>
      <c r="D837" s="1"/>
      <c r="E837" s="1"/>
      <c r="F837" s="1"/>
      <c r="G837" s="1"/>
      <c r="H837" s="10"/>
      <c r="I837" s="10"/>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ht="15.75" customHeight="1">
      <c r="A838" s="1"/>
      <c r="B838" s="1"/>
      <c r="C838" s="1"/>
      <c r="D838" s="1"/>
      <c r="E838" s="1"/>
      <c r="F838" s="1"/>
      <c r="G838" s="1"/>
      <c r="H838" s="10"/>
      <c r="I838" s="10"/>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ht="15.75" customHeight="1">
      <c r="A839" s="1"/>
      <c r="B839" s="1"/>
      <c r="C839" s="1"/>
      <c r="D839" s="1"/>
      <c r="E839" s="1"/>
      <c r="F839" s="1"/>
      <c r="G839" s="1"/>
      <c r="H839" s="10"/>
      <c r="I839" s="10"/>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ht="15.75" customHeight="1">
      <c r="A840" s="1"/>
      <c r="B840" s="1"/>
      <c r="C840" s="1"/>
      <c r="D840" s="1"/>
      <c r="E840" s="1"/>
      <c r="F840" s="1"/>
      <c r="G840" s="1"/>
      <c r="H840" s="10"/>
      <c r="I840" s="10"/>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ht="15.75" customHeight="1">
      <c r="A841" s="1"/>
      <c r="B841" s="1"/>
      <c r="C841" s="1"/>
      <c r="D841" s="1"/>
      <c r="E841" s="1"/>
      <c r="F841" s="1"/>
      <c r="G841" s="1"/>
      <c r="H841" s="10"/>
      <c r="I841" s="10"/>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ht="15.75" customHeight="1">
      <c r="A842" s="1"/>
      <c r="B842" s="1"/>
      <c r="C842" s="1"/>
      <c r="D842" s="1"/>
      <c r="E842" s="1"/>
      <c r="F842" s="1"/>
      <c r="G842" s="1"/>
      <c r="H842" s="10"/>
      <c r="I842" s="10"/>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ht="15.75" customHeight="1">
      <c r="A843" s="1"/>
      <c r="B843" s="1"/>
      <c r="C843" s="1"/>
      <c r="D843" s="1"/>
      <c r="E843" s="1"/>
      <c r="F843" s="1"/>
      <c r="G843" s="1"/>
      <c r="H843" s="10"/>
      <c r="I843" s="10"/>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ht="15.75" customHeight="1">
      <c r="A844" s="1"/>
      <c r="B844" s="1"/>
      <c r="C844" s="1"/>
      <c r="D844" s="1"/>
      <c r="E844" s="1"/>
      <c r="F844" s="1"/>
      <c r="G844" s="1"/>
      <c r="H844" s="10"/>
      <c r="I844" s="10"/>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ht="15.75" customHeight="1">
      <c r="A845" s="1"/>
      <c r="B845" s="1"/>
      <c r="C845" s="1"/>
      <c r="D845" s="1"/>
      <c r="E845" s="1"/>
      <c r="F845" s="1"/>
      <c r="G845" s="1"/>
      <c r="H845" s="10"/>
      <c r="I845" s="10"/>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ht="15.75" customHeight="1">
      <c r="A846" s="1"/>
      <c r="B846" s="1"/>
      <c r="C846" s="1"/>
      <c r="D846" s="1"/>
      <c r="E846" s="1"/>
      <c r="F846" s="1"/>
      <c r="G846" s="1"/>
      <c r="H846" s="10"/>
      <c r="I846" s="10"/>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ht="15.75" customHeight="1">
      <c r="A847" s="1"/>
      <c r="B847" s="1"/>
      <c r="C847" s="1"/>
      <c r="D847" s="1"/>
      <c r="E847" s="1"/>
      <c r="F847" s="1"/>
      <c r="G847" s="1"/>
      <c r="H847" s="10"/>
      <c r="I847" s="10"/>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ht="15.75" customHeight="1">
      <c r="A848" s="1"/>
      <c r="B848" s="1"/>
      <c r="C848" s="1"/>
      <c r="D848" s="1"/>
      <c r="E848" s="1"/>
      <c r="F848" s="1"/>
      <c r="G848" s="1"/>
      <c r="H848" s="10"/>
      <c r="I848" s="10"/>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ht="15.75" customHeight="1">
      <c r="A849" s="1"/>
      <c r="B849" s="1"/>
      <c r="C849" s="1"/>
      <c r="D849" s="1"/>
      <c r="E849" s="1"/>
      <c r="F849" s="1"/>
      <c r="G849" s="1"/>
      <c r="H849" s="10"/>
      <c r="I849" s="10"/>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ht="15.75" customHeight="1">
      <c r="A850" s="1"/>
      <c r="B850" s="1"/>
      <c r="C850" s="1"/>
      <c r="D850" s="1"/>
      <c r="E850" s="1"/>
      <c r="F850" s="1"/>
      <c r="G850" s="1"/>
      <c r="H850" s="10"/>
      <c r="I850" s="10"/>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ht="15.75" customHeight="1">
      <c r="A851" s="1"/>
      <c r="B851" s="1"/>
      <c r="C851" s="1"/>
      <c r="D851" s="1"/>
      <c r="E851" s="1"/>
      <c r="F851" s="1"/>
      <c r="G851" s="1"/>
      <c r="H851" s="10"/>
      <c r="I851" s="10"/>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ht="15.75" customHeight="1">
      <c r="A852" s="1"/>
      <c r="B852" s="1"/>
      <c r="C852" s="1"/>
      <c r="D852" s="1"/>
      <c r="E852" s="1"/>
      <c r="F852" s="1"/>
      <c r="G852" s="1"/>
      <c r="H852" s="10"/>
      <c r="I852" s="10"/>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ht="15.75" customHeight="1">
      <c r="A853" s="1"/>
      <c r="B853" s="1"/>
      <c r="C853" s="1"/>
      <c r="D853" s="1"/>
      <c r="E853" s="1"/>
      <c r="F853" s="1"/>
      <c r="G853" s="1"/>
      <c r="H853" s="10"/>
      <c r="I853" s="10"/>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ht="15.75" customHeight="1">
      <c r="A854" s="1"/>
      <c r="B854" s="1"/>
      <c r="C854" s="1"/>
      <c r="D854" s="1"/>
      <c r="E854" s="1"/>
      <c r="F854" s="1"/>
      <c r="G854" s="1"/>
      <c r="H854" s="10"/>
      <c r="I854" s="10"/>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ht="15.75" customHeight="1">
      <c r="A855" s="1"/>
      <c r="B855" s="1"/>
      <c r="C855" s="1"/>
      <c r="D855" s="1"/>
      <c r="E855" s="1"/>
      <c r="F855" s="1"/>
      <c r="G855" s="1"/>
      <c r="H855" s="10"/>
      <c r="I855" s="10"/>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ht="15.75" customHeight="1">
      <c r="A856" s="1"/>
      <c r="B856" s="1"/>
      <c r="C856" s="1"/>
      <c r="D856" s="1"/>
      <c r="E856" s="1"/>
      <c r="F856" s="1"/>
      <c r="G856" s="1"/>
      <c r="H856" s="10"/>
      <c r="I856" s="10"/>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ht="15.75" customHeight="1">
      <c r="A857" s="1"/>
      <c r="B857" s="1"/>
      <c r="C857" s="1"/>
      <c r="D857" s="1"/>
      <c r="E857" s="1"/>
      <c r="F857" s="1"/>
      <c r="G857" s="1"/>
      <c r="H857" s="10"/>
      <c r="I857" s="10"/>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ht="15.75" customHeight="1">
      <c r="A858" s="1"/>
      <c r="B858" s="1"/>
      <c r="C858" s="1"/>
      <c r="D858" s="1"/>
      <c r="E858" s="1"/>
      <c r="F858" s="1"/>
      <c r="G858" s="1"/>
      <c r="H858" s="10"/>
      <c r="I858" s="10"/>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ht="15.75" customHeight="1">
      <c r="A859" s="1"/>
      <c r="B859" s="1"/>
      <c r="C859" s="1"/>
      <c r="D859" s="1"/>
      <c r="E859" s="1"/>
      <c r="F859" s="1"/>
      <c r="G859" s="1"/>
      <c r="H859" s="10"/>
      <c r="I859" s="10"/>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ht="15.75" customHeight="1">
      <c r="A860" s="1"/>
      <c r="B860" s="1"/>
      <c r="C860" s="1"/>
      <c r="D860" s="1"/>
      <c r="E860" s="1"/>
      <c r="F860" s="1"/>
      <c r="G860" s="1"/>
      <c r="H860" s="10"/>
      <c r="I860" s="10"/>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ht="15.75" customHeight="1">
      <c r="A861" s="1"/>
      <c r="B861" s="1"/>
      <c r="C861" s="1"/>
      <c r="D861" s="1"/>
      <c r="E861" s="1"/>
      <c r="F861" s="1"/>
      <c r="G861" s="1"/>
      <c r="H861" s="10"/>
      <c r="I861" s="10"/>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ht="15.75" customHeight="1">
      <c r="A862" s="1"/>
      <c r="B862" s="1"/>
      <c r="C862" s="1"/>
      <c r="D862" s="1"/>
      <c r="E862" s="1"/>
      <c r="F862" s="1"/>
      <c r="G862" s="1"/>
      <c r="H862" s="10"/>
      <c r="I862" s="10"/>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ht="15.75" customHeight="1">
      <c r="A863" s="1"/>
      <c r="B863" s="1"/>
      <c r="C863" s="1"/>
      <c r="D863" s="1"/>
      <c r="E863" s="1"/>
      <c r="F863" s="1"/>
      <c r="G863" s="1"/>
      <c r="H863" s="10"/>
      <c r="I863" s="10"/>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ht="15.75" customHeight="1">
      <c r="A864" s="1"/>
      <c r="B864" s="1"/>
      <c r="C864" s="1"/>
      <c r="D864" s="1"/>
      <c r="E864" s="1"/>
      <c r="F864" s="1"/>
      <c r="G864" s="1"/>
      <c r="H864" s="10"/>
      <c r="I864" s="10"/>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ht="15.75" customHeight="1">
      <c r="A865" s="1"/>
      <c r="B865" s="1"/>
      <c r="C865" s="1"/>
      <c r="D865" s="1"/>
      <c r="E865" s="1"/>
      <c r="F865" s="1"/>
      <c r="G865" s="1"/>
      <c r="H865" s="10"/>
      <c r="I865" s="10"/>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ht="15.75" customHeight="1">
      <c r="A866" s="1"/>
      <c r="B866" s="1"/>
      <c r="C866" s="1"/>
      <c r="D866" s="1"/>
      <c r="E866" s="1"/>
      <c r="F866" s="1"/>
      <c r="G866" s="1"/>
      <c r="H866" s="10"/>
      <c r="I866" s="10"/>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ht="15.75" customHeight="1">
      <c r="A867" s="1"/>
      <c r="B867" s="1"/>
      <c r="C867" s="1"/>
      <c r="D867" s="1"/>
      <c r="E867" s="1"/>
      <c r="F867" s="1"/>
      <c r="G867" s="1"/>
      <c r="H867" s="10"/>
      <c r="I867" s="10"/>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ht="15.75" customHeight="1">
      <c r="A868" s="1"/>
      <c r="B868" s="1"/>
      <c r="C868" s="1"/>
      <c r="D868" s="1"/>
      <c r="E868" s="1"/>
      <c r="F868" s="1"/>
      <c r="G868" s="1"/>
      <c r="H868" s="10"/>
      <c r="I868" s="10"/>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ht="15.75" customHeight="1">
      <c r="A869" s="1"/>
      <c r="B869" s="1"/>
      <c r="C869" s="1"/>
      <c r="D869" s="1"/>
      <c r="E869" s="1"/>
      <c r="F869" s="1"/>
      <c r="G869" s="1"/>
      <c r="H869" s="10"/>
      <c r="I869" s="10"/>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ht="15.75" customHeight="1">
      <c r="A870" s="1"/>
      <c r="B870" s="1"/>
      <c r="C870" s="1"/>
      <c r="D870" s="1"/>
      <c r="E870" s="1"/>
      <c r="F870" s="1"/>
      <c r="G870" s="1"/>
      <c r="H870" s="10"/>
      <c r="I870" s="10"/>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ht="15.75" customHeight="1">
      <c r="A871" s="1"/>
      <c r="B871" s="1"/>
      <c r="C871" s="1"/>
      <c r="D871" s="1"/>
      <c r="E871" s="1"/>
      <c r="F871" s="1"/>
      <c r="G871" s="1"/>
      <c r="H871" s="10"/>
      <c r="I871" s="10"/>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ht="15.75" customHeight="1">
      <c r="A872" s="1"/>
      <c r="B872" s="1"/>
      <c r="C872" s="1"/>
      <c r="D872" s="1"/>
      <c r="E872" s="1"/>
      <c r="F872" s="1"/>
      <c r="G872" s="1"/>
      <c r="H872" s="10"/>
      <c r="I872" s="10"/>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ht="15.75" customHeight="1">
      <c r="A873" s="1"/>
      <c r="B873" s="1"/>
      <c r="C873" s="1"/>
      <c r="D873" s="1"/>
      <c r="E873" s="1"/>
      <c r="F873" s="1"/>
      <c r="G873" s="1"/>
      <c r="H873" s="10"/>
      <c r="I873" s="10"/>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ht="15.75" customHeight="1">
      <c r="A874" s="1"/>
      <c r="B874" s="1"/>
      <c r="C874" s="1"/>
      <c r="D874" s="1"/>
      <c r="E874" s="1"/>
      <c r="F874" s="1"/>
      <c r="G874" s="1"/>
      <c r="H874" s="10"/>
      <c r="I874" s="10"/>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ht="15.75" customHeight="1">
      <c r="A875" s="1"/>
      <c r="B875" s="1"/>
      <c r="C875" s="1"/>
      <c r="D875" s="1"/>
      <c r="E875" s="1"/>
      <c r="F875" s="1"/>
      <c r="G875" s="1"/>
      <c r="H875" s="10"/>
      <c r="I875" s="10"/>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ht="15.75" customHeight="1">
      <c r="A876" s="1"/>
      <c r="B876" s="1"/>
      <c r="C876" s="1"/>
      <c r="D876" s="1"/>
      <c r="E876" s="1"/>
      <c r="F876" s="1"/>
      <c r="G876" s="1"/>
      <c r="H876" s="10"/>
      <c r="I876" s="10"/>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ht="15.75" customHeight="1">
      <c r="A877" s="1"/>
      <c r="B877" s="1"/>
      <c r="C877" s="1"/>
      <c r="D877" s="1"/>
      <c r="E877" s="1"/>
      <c r="F877" s="1"/>
      <c r="G877" s="1"/>
      <c r="H877" s="10"/>
      <c r="I877" s="10"/>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ht="15.75" customHeight="1">
      <c r="A878" s="1"/>
      <c r="B878" s="1"/>
      <c r="C878" s="1"/>
      <c r="D878" s="1"/>
      <c r="E878" s="1"/>
      <c r="F878" s="1"/>
      <c r="G878" s="1"/>
      <c r="H878" s="10"/>
      <c r="I878" s="10"/>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ht="15.75" customHeight="1">
      <c r="A879" s="1"/>
      <c r="B879" s="1"/>
      <c r="C879" s="1"/>
      <c r="D879" s="1"/>
      <c r="E879" s="1"/>
      <c r="F879" s="1"/>
      <c r="G879" s="1"/>
      <c r="H879" s="10"/>
      <c r="I879" s="10"/>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ht="15.75" customHeight="1">
      <c r="A880" s="1"/>
      <c r="B880" s="1"/>
      <c r="C880" s="1"/>
      <c r="D880" s="1"/>
      <c r="E880" s="1"/>
      <c r="F880" s="1"/>
      <c r="G880" s="1"/>
      <c r="H880" s="10"/>
      <c r="I880" s="10"/>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ht="15.75" customHeight="1">
      <c r="A881" s="1"/>
      <c r="B881" s="1"/>
      <c r="C881" s="1"/>
      <c r="D881" s="1"/>
      <c r="E881" s="1"/>
      <c r="F881" s="1"/>
      <c r="G881" s="1"/>
      <c r="H881" s="10"/>
      <c r="I881" s="10"/>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ht="15.75" customHeight="1">
      <c r="A882" s="1"/>
      <c r="B882" s="1"/>
      <c r="C882" s="1"/>
      <c r="D882" s="1"/>
      <c r="E882" s="1"/>
      <c r="F882" s="1"/>
      <c r="G882" s="1"/>
      <c r="H882" s="10"/>
      <c r="I882" s="10"/>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ht="15.75" customHeight="1">
      <c r="A883" s="1"/>
      <c r="B883" s="1"/>
      <c r="C883" s="1"/>
      <c r="D883" s="1"/>
      <c r="E883" s="1"/>
      <c r="F883" s="1"/>
      <c r="G883" s="1"/>
      <c r="H883" s="10"/>
      <c r="I883" s="10"/>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ht="15.75" customHeight="1">
      <c r="A884" s="1"/>
      <c r="B884" s="1"/>
      <c r="C884" s="1"/>
      <c r="D884" s="1"/>
      <c r="E884" s="1"/>
      <c r="F884" s="1"/>
      <c r="G884" s="1"/>
      <c r="H884" s="10"/>
      <c r="I884" s="10"/>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ht="15.75" customHeight="1">
      <c r="A885" s="1"/>
      <c r="B885" s="1"/>
      <c r="C885" s="1"/>
      <c r="D885" s="1"/>
      <c r="E885" s="1"/>
      <c r="F885" s="1"/>
      <c r="G885" s="1"/>
      <c r="H885" s="10"/>
      <c r="I885" s="10"/>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ht="15.75" customHeight="1">
      <c r="A886" s="1"/>
      <c r="B886" s="1"/>
      <c r="C886" s="1"/>
      <c r="D886" s="1"/>
      <c r="E886" s="1"/>
      <c r="F886" s="1"/>
      <c r="G886" s="1"/>
      <c r="H886" s="10"/>
      <c r="I886" s="10"/>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ht="15.75" customHeight="1">
      <c r="A887" s="1"/>
      <c r="B887" s="1"/>
      <c r="C887" s="1"/>
      <c r="D887" s="1"/>
      <c r="E887" s="1"/>
      <c r="F887" s="1"/>
      <c r="G887" s="1"/>
      <c r="H887" s="10"/>
      <c r="I887" s="10"/>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ht="15.75" customHeight="1">
      <c r="A888" s="1"/>
      <c r="B888" s="1"/>
      <c r="C888" s="1"/>
      <c r="D888" s="1"/>
      <c r="E888" s="1"/>
      <c r="F888" s="1"/>
      <c r="G888" s="1"/>
      <c r="H888" s="10"/>
      <c r="I888" s="10"/>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ht="15.75" customHeight="1">
      <c r="A889" s="1"/>
      <c r="B889" s="1"/>
      <c r="C889" s="1"/>
      <c r="D889" s="1"/>
      <c r="E889" s="1"/>
      <c r="F889" s="1"/>
      <c r="G889" s="1"/>
      <c r="H889" s="10"/>
      <c r="I889" s="10"/>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ht="15.75" customHeight="1">
      <c r="A890" s="1"/>
      <c r="B890" s="1"/>
      <c r="C890" s="1"/>
      <c r="D890" s="1"/>
      <c r="E890" s="1"/>
      <c r="F890" s="1"/>
      <c r="G890" s="1"/>
      <c r="H890" s="10"/>
      <c r="I890" s="10"/>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ht="15.75" customHeight="1">
      <c r="A891" s="1"/>
      <c r="B891" s="1"/>
      <c r="C891" s="1"/>
      <c r="D891" s="1"/>
      <c r="E891" s="1"/>
      <c r="F891" s="1"/>
      <c r="G891" s="1"/>
      <c r="H891" s="10"/>
      <c r="I891" s="10"/>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ht="15.75" customHeight="1">
      <c r="A892" s="1"/>
      <c r="B892" s="1"/>
      <c r="C892" s="1"/>
      <c r="D892" s="1"/>
      <c r="E892" s="1"/>
      <c r="F892" s="1"/>
      <c r="G892" s="1"/>
      <c r="H892" s="10"/>
      <c r="I892" s="10"/>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ht="15.75" customHeight="1">
      <c r="A893" s="1"/>
      <c r="B893" s="1"/>
      <c r="C893" s="1"/>
      <c r="D893" s="1"/>
      <c r="E893" s="1"/>
      <c r="F893" s="1"/>
      <c r="G893" s="1"/>
      <c r="H893" s="10"/>
      <c r="I893" s="10"/>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ht="15.75" customHeight="1">
      <c r="A894" s="1"/>
      <c r="B894" s="1"/>
      <c r="C894" s="1"/>
      <c r="D894" s="1"/>
      <c r="E894" s="1"/>
      <c r="F894" s="1"/>
      <c r="G894" s="1"/>
      <c r="H894" s="10"/>
      <c r="I894" s="10"/>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ht="15.75" customHeight="1">
      <c r="A895" s="1"/>
      <c r="B895" s="1"/>
      <c r="C895" s="1"/>
      <c r="D895" s="1"/>
      <c r="E895" s="1"/>
      <c r="F895" s="1"/>
      <c r="G895" s="1"/>
      <c r="H895" s="10"/>
      <c r="I895" s="10"/>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ht="15.75" customHeight="1">
      <c r="A896" s="1"/>
      <c r="B896" s="1"/>
      <c r="C896" s="1"/>
      <c r="D896" s="1"/>
      <c r="E896" s="1"/>
      <c r="F896" s="1"/>
      <c r="G896" s="1"/>
      <c r="H896" s="10"/>
      <c r="I896" s="10"/>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ht="15.75" customHeight="1">
      <c r="A897" s="1"/>
      <c r="B897" s="1"/>
      <c r="C897" s="1"/>
      <c r="D897" s="1"/>
      <c r="E897" s="1"/>
      <c r="F897" s="1"/>
      <c r="G897" s="1"/>
      <c r="H897" s="10"/>
      <c r="I897" s="10"/>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ht="15.75" customHeight="1">
      <c r="A898" s="1"/>
      <c r="B898" s="1"/>
      <c r="C898" s="1"/>
      <c r="D898" s="1"/>
      <c r="E898" s="1"/>
      <c r="F898" s="1"/>
      <c r="G898" s="1"/>
      <c r="H898" s="10"/>
      <c r="I898" s="10"/>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ht="15.75" customHeight="1">
      <c r="A899" s="1"/>
      <c r="B899" s="1"/>
      <c r="C899" s="1"/>
      <c r="D899" s="1"/>
      <c r="E899" s="1"/>
      <c r="F899" s="1"/>
      <c r="G899" s="1"/>
      <c r="H899" s="10"/>
      <c r="I899" s="10"/>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ht="15.75" customHeight="1">
      <c r="A900" s="1"/>
      <c r="B900" s="1"/>
      <c r="C900" s="1"/>
      <c r="D900" s="1"/>
      <c r="E900" s="1"/>
      <c r="F900" s="1"/>
      <c r="G900" s="1"/>
      <c r="H900" s="10"/>
      <c r="I900" s="10"/>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ht="15.75" customHeight="1">
      <c r="A901" s="1"/>
      <c r="B901" s="1"/>
      <c r="C901" s="1"/>
      <c r="D901" s="1"/>
      <c r="E901" s="1"/>
      <c r="F901" s="1"/>
      <c r="G901" s="1"/>
      <c r="H901" s="10"/>
      <c r="I901" s="10"/>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ht="15.75" customHeight="1">
      <c r="A902" s="1"/>
      <c r="B902" s="1"/>
      <c r="C902" s="1"/>
      <c r="D902" s="1"/>
      <c r="E902" s="1"/>
      <c r="F902" s="1"/>
      <c r="G902" s="1"/>
      <c r="H902" s="10"/>
      <c r="I902" s="10"/>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ht="15.75" customHeight="1">
      <c r="A903" s="1"/>
      <c r="B903" s="1"/>
      <c r="C903" s="1"/>
      <c r="D903" s="1"/>
      <c r="E903" s="1"/>
      <c r="F903" s="1"/>
      <c r="G903" s="1"/>
      <c r="H903" s="10"/>
      <c r="I903" s="10"/>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ht="15.75" customHeight="1">
      <c r="A904" s="1"/>
      <c r="B904" s="1"/>
      <c r="C904" s="1"/>
      <c r="D904" s="1"/>
      <c r="E904" s="1"/>
      <c r="F904" s="1"/>
      <c r="G904" s="1"/>
      <c r="H904" s="10"/>
      <c r="I904" s="10"/>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ht="15.75" customHeight="1">
      <c r="A905" s="1"/>
      <c r="B905" s="1"/>
      <c r="C905" s="1"/>
      <c r="D905" s="1"/>
      <c r="E905" s="1"/>
      <c r="F905" s="1"/>
      <c r="G905" s="1"/>
      <c r="H905" s="10"/>
      <c r="I905" s="10"/>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ht="15.75" customHeight="1">
      <c r="A906" s="1"/>
      <c r="B906" s="1"/>
      <c r="C906" s="1"/>
      <c r="D906" s="1"/>
      <c r="E906" s="1"/>
      <c r="F906" s="1"/>
      <c r="G906" s="1"/>
      <c r="H906" s="10"/>
      <c r="I906" s="10"/>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ht="15.75" customHeight="1">
      <c r="A907" s="1"/>
      <c r="B907" s="1"/>
      <c r="C907" s="1"/>
      <c r="D907" s="1"/>
      <c r="E907" s="1"/>
      <c r="F907" s="1"/>
      <c r="G907" s="1"/>
      <c r="H907" s="10"/>
      <c r="I907" s="10"/>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ht="15.75" customHeight="1">
      <c r="A908" s="1"/>
      <c r="B908" s="1"/>
      <c r="C908" s="1"/>
      <c r="D908" s="1"/>
      <c r="E908" s="1"/>
      <c r="F908" s="1"/>
      <c r="G908" s="1"/>
      <c r="H908" s="10"/>
      <c r="I908" s="10"/>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ht="15.75" customHeight="1">
      <c r="A909" s="1"/>
      <c r="B909" s="1"/>
      <c r="C909" s="1"/>
      <c r="D909" s="1"/>
      <c r="E909" s="1"/>
      <c r="F909" s="1"/>
      <c r="G909" s="1"/>
      <c r="H909" s="10"/>
      <c r="I909" s="10"/>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ht="15.75" customHeight="1">
      <c r="A910" s="1"/>
      <c r="B910" s="1"/>
      <c r="C910" s="1"/>
      <c r="D910" s="1"/>
      <c r="E910" s="1"/>
      <c r="F910" s="1"/>
      <c r="G910" s="1"/>
      <c r="H910" s="10"/>
      <c r="I910" s="10"/>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ht="15.75" customHeight="1">
      <c r="A911" s="1"/>
      <c r="B911" s="1"/>
      <c r="C911" s="1"/>
      <c r="D911" s="1"/>
      <c r="E911" s="1"/>
      <c r="F911" s="1"/>
      <c r="G911" s="1"/>
      <c r="H911" s="10"/>
      <c r="I911" s="10"/>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ht="15.75" customHeight="1">
      <c r="A912" s="1"/>
      <c r="B912" s="1"/>
      <c r="C912" s="1"/>
      <c r="D912" s="1"/>
      <c r="E912" s="1"/>
      <c r="F912" s="1"/>
      <c r="G912" s="1"/>
      <c r="H912" s="10"/>
      <c r="I912" s="10"/>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ht="15.75" customHeight="1">
      <c r="A913" s="1"/>
      <c r="B913" s="1"/>
      <c r="C913" s="1"/>
      <c r="D913" s="1"/>
      <c r="E913" s="1"/>
      <c r="F913" s="1"/>
      <c r="G913" s="1"/>
      <c r="H913" s="10"/>
      <c r="I913" s="10"/>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ht="15.75" customHeight="1">
      <c r="A914" s="1"/>
      <c r="B914" s="1"/>
      <c r="C914" s="1"/>
      <c r="D914" s="1"/>
      <c r="E914" s="1"/>
      <c r="F914" s="1"/>
      <c r="G914" s="1"/>
      <c r="H914" s="10"/>
      <c r="I914" s="10"/>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ht="15.75" customHeight="1">
      <c r="A915" s="1"/>
      <c r="B915" s="1"/>
      <c r="C915" s="1"/>
      <c r="D915" s="1"/>
      <c r="E915" s="1"/>
      <c r="F915" s="1"/>
      <c r="G915" s="1"/>
      <c r="H915" s="10"/>
      <c r="I915" s="10"/>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ht="15.75" customHeight="1">
      <c r="A916" s="1"/>
      <c r="B916" s="1"/>
      <c r="C916" s="1"/>
      <c r="D916" s="1"/>
      <c r="E916" s="1"/>
      <c r="F916" s="1"/>
      <c r="G916" s="1"/>
      <c r="H916" s="10"/>
      <c r="I916" s="10"/>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ht="15.75" customHeight="1">
      <c r="A917" s="1"/>
      <c r="B917" s="1"/>
      <c r="C917" s="1"/>
      <c r="D917" s="1"/>
      <c r="E917" s="1"/>
      <c r="F917" s="1"/>
      <c r="G917" s="1"/>
      <c r="H917" s="10"/>
      <c r="I917" s="10"/>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ht="15.75" customHeight="1">
      <c r="A918" s="1"/>
      <c r="B918" s="1"/>
      <c r="C918" s="1"/>
      <c r="D918" s="1"/>
      <c r="E918" s="1"/>
      <c r="F918" s="1"/>
      <c r="G918" s="1"/>
      <c r="H918" s="10"/>
      <c r="I918" s="10"/>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ht="15.75" customHeight="1">
      <c r="A919" s="1"/>
      <c r="B919" s="1"/>
      <c r="C919" s="1"/>
      <c r="D919" s="1"/>
      <c r="E919" s="1"/>
      <c r="F919" s="1"/>
      <c r="G919" s="1"/>
      <c r="H919" s="10"/>
      <c r="I919" s="10"/>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ht="15.75" customHeight="1">
      <c r="A920" s="1"/>
      <c r="B920" s="1"/>
      <c r="C920" s="1"/>
      <c r="D920" s="1"/>
      <c r="E920" s="1"/>
      <c r="F920" s="1"/>
      <c r="G920" s="1"/>
      <c r="H920" s="10"/>
      <c r="I920" s="10"/>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ht="15.75" customHeight="1">
      <c r="A921" s="1"/>
      <c r="B921" s="1"/>
      <c r="C921" s="1"/>
      <c r="D921" s="1"/>
      <c r="E921" s="1"/>
      <c r="F921" s="1"/>
      <c r="G921" s="1"/>
      <c r="H921" s="10"/>
      <c r="I921" s="10"/>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ht="15.75" customHeight="1">
      <c r="A922" s="1"/>
      <c r="B922" s="1"/>
      <c r="C922" s="1"/>
      <c r="D922" s="1"/>
      <c r="E922" s="1"/>
      <c r="F922" s="1"/>
      <c r="G922" s="1"/>
      <c r="H922" s="10"/>
      <c r="I922" s="10"/>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ht="15.75" customHeight="1">
      <c r="A923" s="1"/>
      <c r="B923" s="1"/>
      <c r="C923" s="1"/>
      <c r="D923" s="1"/>
      <c r="E923" s="1"/>
      <c r="F923" s="1"/>
      <c r="G923" s="1"/>
      <c r="H923" s="10"/>
      <c r="I923" s="10"/>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ht="15.75" customHeight="1">
      <c r="A924" s="1"/>
      <c r="B924" s="1"/>
      <c r="C924" s="1"/>
      <c r="D924" s="1"/>
      <c r="E924" s="1"/>
      <c r="F924" s="1"/>
      <c r="G924" s="1"/>
      <c r="H924" s="10"/>
      <c r="I924" s="10"/>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ht="15.75" customHeight="1">
      <c r="A925" s="1"/>
      <c r="B925" s="1"/>
      <c r="C925" s="1"/>
      <c r="D925" s="1"/>
      <c r="E925" s="1"/>
      <c r="F925" s="1"/>
      <c r="G925" s="1"/>
      <c r="H925" s="10"/>
      <c r="I925" s="10"/>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ht="15.75" customHeight="1">
      <c r="A926" s="1"/>
      <c r="B926" s="1"/>
      <c r="C926" s="1"/>
      <c r="D926" s="1"/>
      <c r="E926" s="1"/>
      <c r="F926" s="1"/>
      <c r="G926" s="1"/>
      <c r="H926" s="10"/>
      <c r="I926" s="10"/>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ht="15.75" customHeight="1">
      <c r="A927" s="1"/>
      <c r="B927" s="1"/>
      <c r="C927" s="1"/>
      <c r="D927" s="1"/>
      <c r="E927" s="1"/>
      <c r="F927" s="1"/>
      <c r="G927" s="1"/>
      <c r="H927" s="10"/>
      <c r="I927" s="10"/>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ht="15.75" customHeight="1">
      <c r="A928" s="1"/>
      <c r="B928" s="1"/>
      <c r="C928" s="1"/>
      <c r="D928" s="1"/>
      <c r="E928" s="1"/>
      <c r="F928" s="1"/>
      <c r="G928" s="1"/>
      <c r="H928" s="10"/>
      <c r="I928" s="10"/>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ht="15.75" customHeight="1">
      <c r="A929" s="1"/>
      <c r="B929" s="1"/>
      <c r="C929" s="1"/>
      <c r="D929" s="1"/>
      <c r="E929" s="1"/>
      <c r="F929" s="1"/>
      <c r="G929" s="1"/>
      <c r="H929" s="10"/>
      <c r="I929" s="10"/>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ht="15.75" customHeight="1">
      <c r="A930" s="1"/>
      <c r="B930" s="1"/>
      <c r="C930" s="1"/>
      <c r="D930" s="1"/>
      <c r="E930" s="1"/>
      <c r="F930" s="1"/>
      <c r="G930" s="1"/>
      <c r="H930" s="10"/>
      <c r="I930" s="10"/>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ht="15.75" customHeight="1">
      <c r="A931" s="1"/>
      <c r="B931" s="1"/>
      <c r="C931" s="1"/>
      <c r="D931" s="1"/>
      <c r="E931" s="1"/>
      <c r="F931" s="1"/>
      <c r="G931" s="1"/>
      <c r="H931" s="10"/>
      <c r="I931" s="10"/>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ht="15.75" customHeight="1">
      <c r="A932" s="1"/>
      <c r="B932" s="1"/>
      <c r="C932" s="1"/>
      <c r="D932" s="1"/>
      <c r="E932" s="1"/>
      <c r="F932" s="1"/>
      <c r="G932" s="1"/>
      <c r="H932" s="10"/>
      <c r="I932" s="10"/>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ht="15.75" customHeight="1">
      <c r="A933" s="1"/>
      <c r="B933" s="1"/>
      <c r="C933" s="1"/>
      <c r="D933" s="1"/>
      <c r="E933" s="1"/>
      <c r="F933" s="1"/>
      <c r="G933" s="1"/>
      <c r="H933" s="10"/>
      <c r="I933" s="10"/>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ht="15.75" customHeight="1">
      <c r="A934" s="1"/>
      <c r="B934" s="1"/>
      <c r="C934" s="1"/>
      <c r="D934" s="1"/>
      <c r="E934" s="1"/>
      <c r="F934" s="1"/>
      <c r="G934" s="1"/>
      <c r="H934" s="10"/>
      <c r="I934" s="10"/>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ht="15.75" customHeight="1">
      <c r="A935" s="1"/>
      <c r="B935" s="1"/>
      <c r="C935" s="1"/>
      <c r="D935" s="1"/>
      <c r="E935" s="1"/>
      <c r="F935" s="1"/>
      <c r="G935" s="1"/>
      <c r="H935" s="10"/>
      <c r="I935" s="10"/>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ht="15.75" customHeight="1">
      <c r="A936" s="1"/>
      <c r="B936" s="1"/>
      <c r="C936" s="1"/>
      <c r="D936" s="1"/>
      <c r="E936" s="1"/>
      <c r="F936" s="1"/>
      <c r="G936" s="1"/>
      <c r="H936" s="10"/>
      <c r="I936" s="10"/>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ht="15.75" customHeight="1">
      <c r="A937" s="1"/>
      <c r="B937" s="1"/>
      <c r="C937" s="1"/>
      <c r="D937" s="1"/>
      <c r="E937" s="1"/>
      <c r="F937" s="1"/>
      <c r="G937" s="1"/>
      <c r="H937" s="10"/>
      <c r="I937" s="10"/>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ht="15.75" customHeight="1">
      <c r="A938" s="1"/>
      <c r="B938" s="1"/>
      <c r="C938" s="1"/>
      <c r="D938" s="1"/>
      <c r="E938" s="1"/>
      <c r="F938" s="1"/>
      <c r="G938" s="1"/>
      <c r="H938" s="10"/>
      <c r="I938" s="10"/>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ht="15.75" customHeight="1">
      <c r="A939" s="1"/>
      <c r="B939" s="1"/>
      <c r="C939" s="1"/>
      <c r="D939" s="1"/>
      <c r="E939" s="1"/>
      <c r="F939" s="1"/>
      <c r="G939" s="1"/>
      <c r="H939" s="10"/>
      <c r="I939" s="10"/>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ht="15.75" customHeight="1">
      <c r="A940" s="1"/>
      <c r="B940" s="1"/>
      <c r="C940" s="1"/>
      <c r="D940" s="1"/>
      <c r="E940" s="1"/>
      <c r="F940" s="1"/>
      <c r="G940" s="1"/>
      <c r="H940" s="10"/>
      <c r="I940" s="10"/>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ht="15.75" customHeight="1">
      <c r="A941" s="1"/>
      <c r="B941" s="1"/>
      <c r="C941" s="1"/>
      <c r="D941" s="1"/>
      <c r="E941" s="1"/>
      <c r="F941" s="1"/>
      <c r="G941" s="1"/>
      <c r="H941" s="10"/>
      <c r="I941" s="10"/>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ht="15.75" customHeight="1">
      <c r="A942" s="1"/>
      <c r="B942" s="1"/>
      <c r="C942" s="1"/>
      <c r="D942" s="1"/>
      <c r="E942" s="1"/>
      <c r="F942" s="1"/>
      <c r="G942" s="1"/>
      <c r="H942" s="10"/>
      <c r="I942" s="10"/>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ht="15.75" customHeight="1">
      <c r="A943" s="1"/>
      <c r="B943" s="1"/>
      <c r="C943" s="1"/>
      <c r="D943" s="1"/>
      <c r="E943" s="1"/>
      <c r="F943" s="1"/>
      <c r="G943" s="1"/>
      <c r="H943" s="10"/>
      <c r="I943" s="10"/>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ht="15.75" customHeight="1">
      <c r="A944" s="1"/>
      <c r="B944" s="1"/>
      <c r="C944" s="1"/>
      <c r="D944" s="1"/>
      <c r="E944" s="1"/>
      <c r="F944" s="1"/>
      <c r="G944" s="1"/>
      <c r="H944" s="10"/>
      <c r="I944" s="10"/>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ht="15.75" customHeight="1">
      <c r="A945" s="1"/>
      <c r="B945" s="1"/>
      <c r="C945" s="1"/>
      <c r="D945" s="1"/>
      <c r="E945" s="1"/>
      <c r="F945" s="1"/>
      <c r="G945" s="1"/>
      <c r="H945" s="10"/>
      <c r="I945" s="10"/>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ht="15.75" customHeight="1">
      <c r="A946" s="1"/>
      <c r="B946" s="1"/>
      <c r="C946" s="1"/>
      <c r="D946" s="1"/>
      <c r="E946" s="1"/>
      <c r="F946" s="1"/>
      <c r="G946" s="1"/>
      <c r="H946" s="10"/>
      <c r="I946" s="10"/>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ht="15.75" customHeight="1">
      <c r="A947" s="1"/>
      <c r="B947" s="1"/>
      <c r="C947" s="1"/>
      <c r="D947" s="1"/>
      <c r="E947" s="1"/>
      <c r="F947" s="1"/>
      <c r="G947" s="1"/>
      <c r="H947" s="10"/>
      <c r="I947" s="10"/>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ht="15.75" customHeight="1">
      <c r="A948" s="1"/>
      <c r="B948" s="1"/>
      <c r="C948" s="1"/>
      <c r="D948" s="1"/>
      <c r="E948" s="1"/>
      <c r="F948" s="1"/>
      <c r="G948" s="1"/>
      <c r="H948" s="10"/>
      <c r="I948" s="10"/>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ht="15.75" customHeight="1">
      <c r="A949" s="1"/>
      <c r="B949" s="1"/>
      <c r="C949" s="1"/>
      <c r="D949" s="1"/>
      <c r="E949" s="1"/>
      <c r="F949" s="1"/>
      <c r="G949" s="1"/>
      <c r="H949" s="10"/>
      <c r="I949" s="10"/>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ht="15.75" customHeight="1">
      <c r="A950" s="1"/>
      <c r="B950" s="1"/>
      <c r="C950" s="1"/>
      <c r="D950" s="1"/>
      <c r="E950" s="1"/>
      <c r="F950" s="1"/>
      <c r="G950" s="1"/>
      <c r="H950" s="10"/>
      <c r="I950" s="10"/>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ht="15.75" customHeight="1">
      <c r="A951" s="1"/>
      <c r="B951" s="1"/>
      <c r="C951" s="1"/>
      <c r="D951" s="1"/>
      <c r="E951" s="1"/>
      <c r="F951" s="1"/>
      <c r="G951" s="1"/>
      <c r="H951" s="10"/>
      <c r="I951" s="10"/>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ht="15.75" customHeight="1">
      <c r="A952" s="1"/>
      <c r="B952" s="1"/>
      <c r="C952" s="1"/>
      <c r="D952" s="1"/>
      <c r="E952" s="1"/>
      <c r="F952" s="1"/>
      <c r="G952" s="1"/>
      <c r="H952" s="10"/>
      <c r="I952" s="10"/>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ht="15.75" customHeight="1">
      <c r="A953" s="1"/>
      <c r="B953" s="1"/>
      <c r="C953" s="1"/>
      <c r="D953" s="1"/>
      <c r="E953" s="1"/>
      <c r="F953" s="1"/>
      <c r="G953" s="1"/>
      <c r="H953" s="10"/>
      <c r="I953" s="10"/>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ht="15.75" customHeight="1">
      <c r="A954" s="1"/>
      <c r="B954" s="1"/>
      <c r="C954" s="1"/>
      <c r="D954" s="1"/>
      <c r="E954" s="1"/>
      <c r="F954" s="1"/>
      <c r="G954" s="1"/>
      <c r="H954" s="10"/>
      <c r="I954" s="10"/>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ht="15.75" customHeight="1">
      <c r="A955" s="1"/>
      <c r="B955" s="1"/>
      <c r="C955" s="1"/>
      <c r="D955" s="1"/>
      <c r="E955" s="1"/>
      <c r="F955" s="1"/>
      <c r="G955" s="1"/>
      <c r="H955" s="10"/>
      <c r="I955" s="10"/>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ht="15.75" customHeight="1">
      <c r="A956" s="1"/>
      <c r="B956" s="1"/>
      <c r="C956" s="1"/>
      <c r="D956" s="1"/>
      <c r="E956" s="1"/>
      <c r="F956" s="1"/>
      <c r="G956" s="1"/>
      <c r="H956" s="10"/>
      <c r="I956" s="10"/>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ht="15.75" customHeight="1">
      <c r="A957" s="1"/>
      <c r="B957" s="1"/>
      <c r="C957" s="1"/>
      <c r="D957" s="1"/>
      <c r="E957" s="1"/>
      <c r="F957" s="1"/>
      <c r="G957" s="1"/>
      <c r="H957" s="10"/>
      <c r="I957" s="10"/>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ht="15.75" customHeight="1">
      <c r="A958" s="1"/>
      <c r="B958" s="1"/>
      <c r="C958" s="1"/>
      <c r="D958" s="1"/>
      <c r="E958" s="1"/>
      <c r="F958" s="1"/>
      <c r="G958" s="1"/>
      <c r="H958" s="10"/>
      <c r="I958" s="10"/>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ht="15.75" customHeight="1">
      <c r="A959" s="1"/>
      <c r="B959" s="1"/>
      <c r="C959" s="1"/>
      <c r="D959" s="1"/>
      <c r="E959" s="1"/>
      <c r="F959" s="1"/>
      <c r="G959" s="1"/>
      <c r="H959" s="10"/>
      <c r="I959" s="10"/>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ht="15.75" customHeight="1">
      <c r="A960" s="1"/>
      <c r="B960" s="1"/>
      <c r="C960" s="1"/>
      <c r="D960" s="1"/>
      <c r="E960" s="1"/>
      <c r="F960" s="1"/>
      <c r="G960" s="1"/>
      <c r="H960" s="10"/>
      <c r="I960" s="10"/>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ht="15.75" customHeight="1">
      <c r="A961" s="1"/>
      <c r="B961" s="1"/>
      <c r="C961" s="1"/>
      <c r="D961" s="1"/>
      <c r="E961" s="1"/>
      <c r="F961" s="1"/>
      <c r="G961" s="1"/>
      <c r="H961" s="10"/>
      <c r="I961" s="10"/>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ht="15.75" customHeight="1">
      <c r="A962" s="1"/>
      <c r="B962" s="1"/>
      <c r="C962" s="1"/>
      <c r="D962" s="1"/>
      <c r="E962" s="1"/>
      <c r="F962" s="1"/>
      <c r="G962" s="1"/>
      <c r="H962" s="10"/>
      <c r="I962" s="10"/>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ht="15.75" customHeight="1">
      <c r="A963" s="1"/>
      <c r="B963" s="1"/>
      <c r="C963" s="1"/>
      <c r="D963" s="1"/>
      <c r="E963" s="1"/>
      <c r="F963" s="1"/>
      <c r="G963" s="1"/>
      <c r="H963" s="10"/>
      <c r="I963" s="10"/>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ht="15.75" customHeight="1">
      <c r="A964" s="1"/>
      <c r="B964" s="1"/>
      <c r="C964" s="1"/>
      <c r="D964" s="1"/>
      <c r="E964" s="1"/>
      <c r="F964" s="1"/>
      <c r="G964" s="1"/>
      <c r="H964" s="10"/>
      <c r="I964" s="10"/>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ht="15.75" customHeight="1">
      <c r="A965" s="1"/>
      <c r="B965" s="1"/>
      <c r="C965" s="1"/>
      <c r="D965" s="1"/>
      <c r="E965" s="1"/>
      <c r="F965" s="1"/>
      <c r="G965" s="1"/>
      <c r="H965" s="10"/>
      <c r="I965" s="10"/>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ht="15.75" customHeight="1">
      <c r="A966" s="1"/>
      <c r="B966" s="1"/>
      <c r="C966" s="1"/>
      <c r="D966" s="1"/>
      <c r="E966" s="1"/>
      <c r="F966" s="1"/>
      <c r="G966" s="1"/>
      <c r="H966" s="10"/>
      <c r="I966" s="10"/>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ht="15.75" customHeight="1">
      <c r="A967" s="1"/>
      <c r="B967" s="1"/>
      <c r="C967" s="1"/>
      <c r="D967" s="1"/>
      <c r="E967" s="1"/>
      <c r="F967" s="1"/>
      <c r="G967" s="1"/>
      <c r="H967" s="10"/>
      <c r="I967" s="10"/>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ht="15.75" customHeight="1">
      <c r="A968" s="1"/>
      <c r="B968" s="1"/>
      <c r="C968" s="1"/>
      <c r="D968" s="1"/>
      <c r="E968" s="1"/>
      <c r="F968" s="1"/>
      <c r="G968" s="1"/>
      <c r="H968" s="10"/>
      <c r="I968" s="10"/>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ht="15.75" customHeight="1">
      <c r="A969" s="1"/>
      <c r="B969" s="1"/>
      <c r="C969" s="1"/>
      <c r="D969" s="1"/>
      <c r="E969" s="1"/>
      <c r="F969" s="1"/>
      <c r="G969" s="1"/>
      <c r="H969" s="10"/>
      <c r="I969" s="10"/>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ht="15.75" customHeight="1">
      <c r="A970" s="1"/>
      <c r="B970" s="1"/>
      <c r="C970" s="1"/>
      <c r="D970" s="1"/>
      <c r="E970" s="1"/>
      <c r="F970" s="1"/>
      <c r="G970" s="1"/>
      <c r="H970" s="10"/>
      <c r="I970" s="10"/>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ht="15.75" customHeight="1">
      <c r="A971" s="1"/>
      <c r="B971" s="1"/>
      <c r="C971" s="1"/>
      <c r="D971" s="1"/>
      <c r="E971" s="1"/>
      <c r="F971" s="1"/>
      <c r="G971" s="1"/>
      <c r="H971" s="10"/>
      <c r="I971" s="10"/>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ht="15.75" customHeight="1">
      <c r="A972" s="1"/>
      <c r="B972" s="1"/>
      <c r="C972" s="1"/>
      <c r="D972" s="1"/>
      <c r="E972" s="1"/>
      <c r="F972" s="1"/>
      <c r="G972" s="1"/>
      <c r="H972" s="10"/>
      <c r="I972" s="10"/>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ht="15.75" customHeight="1">
      <c r="A973" s="1"/>
      <c r="B973" s="1"/>
      <c r="C973" s="1"/>
      <c r="D973" s="1"/>
      <c r="E973" s="1"/>
      <c r="F973" s="1"/>
      <c r="G973" s="1"/>
      <c r="H973" s="10"/>
      <c r="I973" s="10"/>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ht="15.75" customHeight="1">
      <c r="A974" s="1"/>
      <c r="B974" s="1"/>
      <c r="C974" s="1"/>
      <c r="D974" s="1"/>
      <c r="E974" s="1"/>
      <c r="F974" s="1"/>
      <c r="G974" s="1"/>
      <c r="H974" s="10"/>
      <c r="I974" s="10"/>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ht="15.75" customHeight="1">
      <c r="A975" s="1"/>
      <c r="B975" s="1"/>
      <c r="C975" s="1"/>
      <c r="D975" s="1"/>
      <c r="E975" s="1"/>
      <c r="F975" s="1"/>
      <c r="G975" s="1"/>
      <c r="H975" s="10"/>
      <c r="I975" s="10"/>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ht="15.75" customHeight="1">
      <c r="A976" s="1"/>
      <c r="B976" s="1"/>
      <c r="C976" s="1"/>
      <c r="D976" s="1"/>
      <c r="E976" s="1"/>
      <c r="F976" s="1"/>
      <c r="G976" s="1"/>
      <c r="H976" s="10"/>
      <c r="I976" s="10"/>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ht="15.75" customHeight="1">
      <c r="A977" s="1"/>
      <c r="B977" s="1"/>
      <c r="C977" s="1"/>
      <c r="D977" s="1"/>
      <c r="E977" s="1"/>
      <c r="F977" s="1"/>
      <c r="G977" s="1"/>
      <c r="H977" s="10"/>
      <c r="I977" s="10"/>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ht="15.75" customHeight="1">
      <c r="A978" s="1"/>
      <c r="B978" s="1"/>
      <c r="C978" s="1"/>
      <c r="D978" s="1"/>
      <c r="E978" s="1"/>
      <c r="F978" s="1"/>
      <c r="G978" s="1"/>
      <c r="H978" s="10"/>
      <c r="I978" s="10"/>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ht="15.75" customHeight="1">
      <c r="A979" s="1"/>
      <c r="B979" s="1"/>
      <c r="C979" s="1"/>
      <c r="D979" s="1"/>
      <c r="E979" s="1"/>
      <c r="F979" s="1"/>
      <c r="G979" s="1"/>
      <c r="H979" s="10"/>
      <c r="I979" s="10"/>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ht="15.75" customHeight="1">
      <c r="A980" s="1"/>
      <c r="B980" s="1"/>
      <c r="C980" s="1"/>
      <c r="D980" s="1"/>
      <c r="E980" s="1"/>
      <c r="F980" s="1"/>
      <c r="G980" s="1"/>
      <c r="H980" s="10"/>
      <c r="I980" s="10"/>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ht="15.75" customHeight="1">
      <c r="A981" s="1"/>
      <c r="B981" s="1"/>
      <c r="C981" s="1"/>
      <c r="D981" s="1"/>
      <c r="E981" s="1"/>
      <c r="F981" s="1"/>
      <c r="G981" s="1"/>
      <c r="H981" s="10"/>
      <c r="I981" s="10"/>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ht="15.75" customHeight="1">
      <c r="A982" s="1"/>
      <c r="B982" s="1"/>
      <c r="C982" s="1"/>
      <c r="D982" s="1"/>
      <c r="E982" s="1"/>
      <c r="F982" s="1"/>
      <c r="G982" s="1"/>
      <c r="H982" s="10"/>
      <c r="I982" s="10"/>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ht="15.75" customHeight="1">
      <c r="A983" s="1"/>
      <c r="B983" s="1"/>
      <c r="C983" s="1"/>
      <c r="D983" s="1"/>
      <c r="E983" s="1"/>
      <c r="F983" s="1"/>
      <c r="G983" s="1"/>
      <c r="H983" s="10"/>
      <c r="I983" s="10"/>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ht="15.75" customHeight="1">
      <c r="A984" s="1"/>
      <c r="B984" s="1"/>
      <c r="C984" s="1"/>
      <c r="D984" s="1"/>
      <c r="E984" s="1"/>
      <c r="F984" s="1"/>
      <c r="G984" s="1"/>
      <c r="H984" s="10"/>
      <c r="I984" s="10"/>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ht="15.75" customHeight="1">
      <c r="A985" s="1"/>
      <c r="B985" s="1"/>
      <c r="C985" s="1"/>
      <c r="D985" s="1"/>
      <c r="E985" s="1"/>
      <c r="F985" s="1"/>
      <c r="G985" s="1"/>
      <c r="H985" s="10"/>
      <c r="I985" s="10"/>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ht="15.75" customHeight="1">
      <c r="A986" s="1"/>
      <c r="B986" s="1"/>
      <c r="C986" s="1"/>
      <c r="D986" s="1"/>
      <c r="E986" s="1"/>
      <c r="F986" s="1"/>
      <c r="G986" s="1"/>
      <c r="H986" s="10"/>
      <c r="I986" s="10"/>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ht="15.75" customHeight="1">
      <c r="A987" s="1"/>
      <c r="B987" s="1"/>
      <c r="C987" s="1"/>
      <c r="D987" s="1"/>
      <c r="E987" s="1"/>
      <c r="F987" s="1"/>
      <c r="G987" s="1"/>
      <c r="H987" s="10"/>
      <c r="I987" s="10"/>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ht="15.75" customHeight="1">
      <c r="A988" s="1"/>
      <c r="B988" s="1"/>
      <c r="C988" s="1"/>
      <c r="D988" s="1"/>
      <c r="E988" s="1"/>
      <c r="F988" s="1"/>
      <c r="G988" s="1"/>
      <c r="H988" s="10"/>
      <c r="I988" s="10"/>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ht="15.75" customHeight="1">
      <c r="A989" s="1"/>
      <c r="B989" s="1"/>
      <c r="C989" s="1"/>
      <c r="D989" s="1"/>
      <c r="E989" s="1"/>
      <c r="F989" s="1"/>
      <c r="G989" s="1"/>
      <c r="H989" s="10"/>
      <c r="I989" s="10"/>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ht="15.75" customHeight="1">
      <c r="A990" s="1"/>
      <c r="B990" s="1"/>
      <c r="C990" s="1"/>
      <c r="D990" s="1"/>
      <c r="E990" s="1"/>
      <c r="F990" s="1"/>
      <c r="G990" s="1"/>
      <c r="H990" s="10"/>
      <c r="I990" s="10"/>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ht="15.75" customHeight="1">
      <c r="A991" s="1"/>
      <c r="B991" s="1"/>
      <c r="C991" s="1"/>
      <c r="D991" s="1"/>
      <c r="E991" s="1"/>
      <c r="F991" s="1"/>
      <c r="G991" s="1"/>
      <c r="H991" s="10"/>
      <c r="I991" s="10"/>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ht="15.75" customHeight="1">
      <c r="A992" s="1"/>
      <c r="B992" s="1"/>
      <c r="C992" s="1"/>
      <c r="D992" s="1"/>
      <c r="E992" s="1"/>
      <c r="F992" s="1"/>
      <c r="G992" s="1"/>
      <c r="H992" s="10"/>
      <c r="I992" s="10"/>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ht="15.75" customHeight="1">
      <c r="A993" s="1"/>
      <c r="B993" s="1"/>
      <c r="C993" s="1"/>
      <c r="D993" s="1"/>
      <c r="E993" s="1"/>
      <c r="F993" s="1"/>
      <c r="G993" s="1"/>
      <c r="H993" s="10"/>
      <c r="I993" s="10"/>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ht="15.75" customHeight="1">
      <c r="A994" s="1"/>
      <c r="B994" s="1"/>
      <c r="C994" s="1"/>
      <c r="D994" s="1"/>
      <c r="E994" s="1"/>
      <c r="F994" s="1"/>
      <c r="G994" s="1"/>
      <c r="H994" s="10"/>
      <c r="I994" s="10"/>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ht="15.75" customHeight="1">
      <c r="A995" s="1"/>
      <c r="B995" s="1"/>
      <c r="C995" s="1"/>
      <c r="D995" s="1"/>
      <c r="E995" s="1"/>
      <c r="F995" s="1"/>
      <c r="G995" s="1"/>
      <c r="H995" s="10"/>
      <c r="I995" s="10"/>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ht="15.75" customHeight="1">
      <c r="A996" s="1"/>
      <c r="B996" s="1"/>
      <c r="C996" s="1"/>
      <c r="D996" s="1"/>
      <c r="E996" s="1"/>
      <c r="F996" s="1"/>
      <c r="G996" s="1"/>
      <c r="H996" s="10"/>
      <c r="I996" s="10"/>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ht="15.75" customHeight="1">
      <c r="A997" s="1"/>
      <c r="B997" s="1"/>
      <c r="C997" s="1"/>
      <c r="D997" s="1"/>
      <c r="E997" s="1"/>
      <c r="F997" s="1"/>
      <c r="G997" s="1"/>
      <c r="H997" s="10"/>
      <c r="I997" s="10"/>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ht="15.75" customHeight="1">
      <c r="A998" s="1"/>
      <c r="B998" s="1"/>
      <c r="C998" s="1"/>
      <c r="D998" s="1"/>
      <c r="E998" s="1"/>
      <c r="F998" s="1"/>
      <c r="G998" s="1"/>
      <c r="H998" s="10"/>
      <c r="I998" s="10"/>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ht="15.75" customHeight="1">
      <c r="A999" s="1"/>
      <c r="B999" s="1"/>
      <c r="C999" s="1"/>
      <c r="D999" s="1"/>
      <c r="E999" s="1"/>
      <c r="F999" s="1"/>
      <c r="G999" s="1"/>
      <c r="H999" s="10"/>
      <c r="I999" s="10"/>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ht="15.75" customHeight="1">
      <c r="A1000" s="1"/>
      <c r="B1000" s="1"/>
      <c r="C1000" s="1"/>
      <c r="D1000" s="1"/>
      <c r="E1000" s="1"/>
      <c r="F1000" s="1"/>
      <c r="G1000" s="1"/>
      <c r="H1000" s="10"/>
      <c r="I1000" s="10"/>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234">
    <mergeCell ref="B2:AB2"/>
    <mergeCell ref="B3:AB3"/>
    <mergeCell ref="B6:E6"/>
    <mergeCell ref="G6:M6"/>
    <mergeCell ref="Q6:S6"/>
    <mergeCell ref="B7:D7"/>
    <mergeCell ref="B8:D8"/>
    <mergeCell ref="G11:I11"/>
    <mergeCell ref="G12:I12"/>
    <mergeCell ref="R13:S13"/>
    <mergeCell ref="R14:S14"/>
    <mergeCell ref="R15:S15"/>
    <mergeCell ref="R16:S16"/>
    <mergeCell ref="G7:I7"/>
    <mergeCell ref="G8:I8"/>
    <mergeCell ref="B9:D9"/>
    <mergeCell ref="G9:I9"/>
    <mergeCell ref="G10:I10"/>
    <mergeCell ref="B11:E11"/>
    <mergeCell ref="B12:D12"/>
    <mergeCell ref="B27:D27"/>
    <mergeCell ref="F31:G31"/>
    <mergeCell ref="I31:K31"/>
    <mergeCell ref="L31:N31"/>
    <mergeCell ref="O31:P31"/>
    <mergeCell ref="J32:K32"/>
    <mergeCell ref="M32:N32"/>
    <mergeCell ref="X43:AB43"/>
    <mergeCell ref="X44:AB44"/>
    <mergeCell ref="X45:AB45"/>
    <mergeCell ref="X46:AB46"/>
    <mergeCell ref="X47:AB47"/>
    <mergeCell ref="X48:AB48"/>
    <mergeCell ref="X49:AB49"/>
    <mergeCell ref="X36:AB36"/>
    <mergeCell ref="X37:AB37"/>
    <mergeCell ref="X38:AB38"/>
    <mergeCell ref="X39:AB39"/>
    <mergeCell ref="X40:AB40"/>
    <mergeCell ref="X41:AB41"/>
    <mergeCell ref="X42:AB42"/>
    <mergeCell ref="Q36:R36"/>
    <mergeCell ref="Q37:R37"/>
    <mergeCell ref="N37:O37"/>
    <mergeCell ref="N38:O38"/>
    <mergeCell ref="I35:K35"/>
    <mergeCell ref="J36:K36"/>
    <mergeCell ref="N36:O36"/>
    <mergeCell ref="T36:U36"/>
    <mergeCell ref="J37:K37"/>
    <mergeCell ref="J38:K38"/>
    <mergeCell ref="Q38:R38"/>
    <mergeCell ref="J42:K42"/>
    <mergeCell ref="J43:K43"/>
    <mergeCell ref="J44:K44"/>
    <mergeCell ref="J45:K45"/>
    <mergeCell ref="J46:K46"/>
    <mergeCell ref="J47:K47"/>
    <mergeCell ref="J48:K48"/>
    <mergeCell ref="J49:K49"/>
    <mergeCell ref="J39:K39"/>
    <mergeCell ref="N39:O39"/>
    <mergeCell ref="Q39:R39"/>
    <mergeCell ref="J40:K40"/>
    <mergeCell ref="N40:O40"/>
    <mergeCell ref="J41:K41"/>
    <mergeCell ref="Q42:R42"/>
    <mergeCell ref="T46:U46"/>
    <mergeCell ref="T47:U47"/>
    <mergeCell ref="T48:U48"/>
    <mergeCell ref="T49:U49"/>
    <mergeCell ref="Q48:R48"/>
    <mergeCell ref="Q49:R49"/>
    <mergeCell ref="Q40:R40"/>
    <mergeCell ref="Q41:R41"/>
    <mergeCell ref="Q43:R43"/>
    <mergeCell ref="Q44:R44"/>
    <mergeCell ref="Q45:R45"/>
    <mergeCell ref="Q46:R46"/>
    <mergeCell ref="Q47:R47"/>
    <mergeCell ref="B16:D16"/>
    <mergeCell ref="B18:E18"/>
    <mergeCell ref="B13:D13"/>
    <mergeCell ref="G13:I13"/>
    <mergeCell ref="B14:D14"/>
    <mergeCell ref="G14:I14"/>
    <mergeCell ref="B15:D15"/>
    <mergeCell ref="G15:I15"/>
    <mergeCell ref="G17:I17"/>
    <mergeCell ref="G18:I18"/>
    <mergeCell ref="B20:D20"/>
    <mergeCell ref="B21:D21"/>
    <mergeCell ref="G21:I21"/>
    <mergeCell ref="R17:S17"/>
    <mergeCell ref="R18:S18"/>
    <mergeCell ref="B19:D19"/>
    <mergeCell ref="G19:I19"/>
    <mergeCell ref="R19:S19"/>
    <mergeCell ref="G20:I20"/>
    <mergeCell ref="R20:S20"/>
    <mergeCell ref="R21:S21"/>
    <mergeCell ref="B25:D25"/>
    <mergeCell ref="B26:D26"/>
    <mergeCell ref="B22:D22"/>
    <mergeCell ref="G22:I22"/>
    <mergeCell ref="B23:D23"/>
    <mergeCell ref="G23:I23"/>
    <mergeCell ref="B24:D24"/>
    <mergeCell ref="G24:I24"/>
    <mergeCell ref="G25:I25"/>
    <mergeCell ref="O10:Q10"/>
    <mergeCell ref="R10:S10"/>
    <mergeCell ref="O7:Q7"/>
    <mergeCell ref="R7:S7"/>
    <mergeCell ref="U7:AB28"/>
    <mergeCell ref="O8:Q8"/>
    <mergeCell ref="R8:S8"/>
    <mergeCell ref="O9:Q9"/>
    <mergeCell ref="R9:S9"/>
    <mergeCell ref="N30:AB30"/>
    <mergeCell ref="Q31:T31"/>
    <mergeCell ref="U31:W31"/>
    <mergeCell ref="R32:T32"/>
    <mergeCell ref="V32:W32"/>
    <mergeCell ref="R34:AB34"/>
    <mergeCell ref="X35:AB35"/>
    <mergeCell ref="D31:E31"/>
    <mergeCell ref="D35:E35"/>
    <mergeCell ref="F35:G35"/>
    <mergeCell ref="M35:O35"/>
    <mergeCell ref="P35:R35"/>
    <mergeCell ref="S35:U35"/>
    <mergeCell ref="V35:W35"/>
    <mergeCell ref="T37:U37"/>
    <mergeCell ref="T38:U38"/>
    <mergeCell ref="T39:U39"/>
    <mergeCell ref="T40:U40"/>
    <mergeCell ref="T41:U41"/>
    <mergeCell ref="T42:U42"/>
    <mergeCell ref="T43:U43"/>
    <mergeCell ref="T52:U52"/>
    <mergeCell ref="T53:U53"/>
    <mergeCell ref="T54:U54"/>
    <mergeCell ref="T55:U55"/>
    <mergeCell ref="T56:U56"/>
    <mergeCell ref="T57:U57"/>
    <mergeCell ref="T58:U58"/>
    <mergeCell ref="T59:U59"/>
    <mergeCell ref="X53:AB53"/>
    <mergeCell ref="X54:AB54"/>
    <mergeCell ref="X55:AB55"/>
    <mergeCell ref="X56:AB56"/>
    <mergeCell ref="X57:AB57"/>
    <mergeCell ref="X58:AB58"/>
    <mergeCell ref="X59:AB59"/>
    <mergeCell ref="T44:U44"/>
    <mergeCell ref="T45:U45"/>
    <mergeCell ref="T50:U50"/>
    <mergeCell ref="X50:AB50"/>
    <mergeCell ref="T51:U51"/>
    <mergeCell ref="X51:AB51"/>
    <mergeCell ref="X52:AB52"/>
    <mergeCell ref="J64:R64"/>
    <mergeCell ref="J65:R65"/>
    <mergeCell ref="J66:R66"/>
    <mergeCell ref="K69:R69"/>
    <mergeCell ref="B63:D63"/>
    <mergeCell ref="E63:H63"/>
    <mergeCell ref="J63:R63"/>
    <mergeCell ref="B64:D64"/>
    <mergeCell ref="E64:H64"/>
    <mergeCell ref="B65:D65"/>
    <mergeCell ref="E65:H65"/>
    <mergeCell ref="B66:D66"/>
    <mergeCell ref="E66:H66"/>
    <mergeCell ref="B69:E69"/>
    <mergeCell ref="B70:R70"/>
    <mergeCell ref="B71:E71"/>
    <mergeCell ref="K71:R71"/>
    <mergeCell ref="B72:E72"/>
    <mergeCell ref="B76:E76"/>
    <mergeCell ref="B78:E78"/>
    <mergeCell ref="E79:F79"/>
    <mergeCell ref="K72:R72"/>
    <mergeCell ref="B73:R73"/>
    <mergeCell ref="B74:E74"/>
    <mergeCell ref="K74:R74"/>
    <mergeCell ref="B75:R75"/>
    <mergeCell ref="K76:R76"/>
    <mergeCell ref="B77:R77"/>
    <mergeCell ref="K78:R78"/>
    <mergeCell ref="N41:O41"/>
    <mergeCell ref="N42:O42"/>
    <mergeCell ref="N43:O43"/>
    <mergeCell ref="N44:O44"/>
    <mergeCell ref="N45:O45"/>
    <mergeCell ref="N46:O46"/>
    <mergeCell ref="N47:O47"/>
    <mergeCell ref="N48:O48"/>
    <mergeCell ref="N49:O49"/>
    <mergeCell ref="J50:K50"/>
    <mergeCell ref="N50:O50"/>
    <mergeCell ref="Q50:R50"/>
    <mergeCell ref="N51:O51"/>
    <mergeCell ref="Q51:R51"/>
    <mergeCell ref="N53:O53"/>
    <mergeCell ref="N54:O54"/>
    <mergeCell ref="N55:O55"/>
    <mergeCell ref="N56:O56"/>
    <mergeCell ref="N57:O57"/>
    <mergeCell ref="N58:O58"/>
    <mergeCell ref="N59:O59"/>
    <mergeCell ref="J54:K54"/>
    <mergeCell ref="J55:K55"/>
    <mergeCell ref="J56:K56"/>
    <mergeCell ref="J57:K57"/>
    <mergeCell ref="J58:K58"/>
    <mergeCell ref="J59:K59"/>
    <mergeCell ref="J51:K51"/>
    <mergeCell ref="J52:K52"/>
    <mergeCell ref="N52:O52"/>
    <mergeCell ref="Q52:R52"/>
    <mergeCell ref="J53:K53"/>
    <mergeCell ref="Q53:R53"/>
    <mergeCell ref="Q54:R54"/>
    <mergeCell ref="E62:H62"/>
    <mergeCell ref="J62:R62"/>
    <mergeCell ref="Q55:R55"/>
    <mergeCell ref="Q56:R56"/>
    <mergeCell ref="Q57:R57"/>
    <mergeCell ref="Q58:R58"/>
    <mergeCell ref="Q59:R59"/>
    <mergeCell ref="B61:R61"/>
    <mergeCell ref="B62:D62"/>
  </mergeCells>
  <conditionalFormatting sqref="C32:J32 E8:E9 E13:E16 F71:F72 F76 F78 L32:M32 O32:R32 S36:T36">
    <cfRule type="notContainsBlanks" dxfId="0" priority="1">
      <formula>LEN(TRIM(C32))&gt;0</formula>
    </cfRule>
  </conditionalFormatting>
  <conditionalFormatting sqref="E20:E27">
    <cfRule type="containsBlanks" dxfId="1" priority="2">
      <formula>LEN(TRIM(E20))=0</formula>
    </cfRule>
  </conditionalFormatting>
  <conditionalFormatting sqref="E20:E27">
    <cfRule type="notContainsBlanks" dxfId="0" priority="3">
      <formula>LEN(TRIM(E20))&gt;0</formula>
    </cfRule>
  </conditionalFormatting>
  <conditionalFormatting sqref="D32:E32 E13:E16 F71:F72">
    <cfRule type="containsBlanks" dxfId="1" priority="4">
      <formula>LEN(TRIM(D32))=0</formula>
    </cfRule>
  </conditionalFormatting>
  <conditionalFormatting sqref="E8:E9 F76 F78 I32:J32 L32:M32 O32:R32">
    <cfRule type="containsBlanks" dxfId="1" priority="5">
      <formula>LEN(TRIM(E8))=0</formula>
    </cfRule>
  </conditionalFormatting>
  <conditionalFormatting sqref="G71:J71">
    <cfRule type="expression" dxfId="2" priority="6">
      <formula>$G$71=1</formula>
    </cfRule>
  </conditionalFormatting>
  <conditionalFormatting sqref="G72:J72">
    <cfRule type="expression" dxfId="2" priority="7">
      <formula>$G$72&gt;0</formula>
    </cfRule>
  </conditionalFormatting>
  <conditionalFormatting sqref="L37:M37">
    <cfRule type="expression" dxfId="0" priority="8">
      <formula>(sizing_w02_gm_result&lt;&gt;"Excluded")</formula>
    </cfRule>
  </conditionalFormatting>
  <conditionalFormatting sqref="M36:N36">
    <cfRule type="expression" dxfId="3" priority="9" stopIfTrue="1">
      <formula>(sizing_w01_gm_result&lt;&gt;"Included")</formula>
    </cfRule>
  </conditionalFormatting>
  <conditionalFormatting sqref="M36:N36">
    <cfRule type="expression" dxfId="0" priority="10">
      <formula>(sizing_w01_gm_result="Included")</formula>
    </cfRule>
  </conditionalFormatting>
  <conditionalFormatting sqref="M38:N38">
    <cfRule type="expression" dxfId="0" priority="11">
      <formula>(sizing_w03_gm_result&lt;&gt;"Excluded")</formula>
    </cfRule>
  </conditionalFormatting>
  <conditionalFormatting sqref="M39:N39">
    <cfRule type="expression" dxfId="0" priority="12">
      <formula>(sizing_w04_gm_result&lt;&gt;"Excluded")</formula>
    </cfRule>
  </conditionalFormatting>
  <conditionalFormatting sqref="M40:N40">
    <cfRule type="expression" dxfId="0" priority="13">
      <formula>(sizing_w05_gm_result&lt;&gt;"Excluded")</formula>
    </cfRule>
  </conditionalFormatting>
  <conditionalFormatting sqref="M41:N41">
    <cfRule type="expression" dxfId="0" priority="14">
      <formula>(sizing_w06_gm_result&lt;&gt;"Excluded")</formula>
    </cfRule>
  </conditionalFormatting>
  <conditionalFormatting sqref="M42:N42">
    <cfRule type="expression" dxfId="0" priority="15">
      <formula>(sizing_w07_gm_result&lt;&gt;"Excluded")</formula>
    </cfRule>
  </conditionalFormatting>
  <conditionalFormatting sqref="M43:N43">
    <cfRule type="expression" dxfId="0" priority="16">
      <formula>(sizing_w08_gm_result&lt;&gt;"Excluded")</formula>
    </cfRule>
  </conditionalFormatting>
  <conditionalFormatting sqref="M44:N44">
    <cfRule type="expression" dxfId="0" priority="17">
      <formula>(sizing_w09_gm_result&lt;&gt;"Excluded")</formula>
    </cfRule>
  </conditionalFormatting>
  <conditionalFormatting sqref="M45:N45">
    <cfRule type="expression" dxfId="0" priority="18">
      <formula>(sizing_w10_gm_result&lt;&gt;"Excluded")</formula>
    </cfRule>
  </conditionalFormatting>
  <conditionalFormatting sqref="M46:N46">
    <cfRule type="expression" dxfId="0" priority="19">
      <formula>(sizing_w11_gm_result&lt;&gt;"Excluded")</formula>
    </cfRule>
  </conditionalFormatting>
  <conditionalFormatting sqref="M47:N47">
    <cfRule type="expression" dxfId="0" priority="20">
      <formula>(sizing_w12_gm_result&lt;&gt;"Excluded")</formula>
    </cfRule>
  </conditionalFormatting>
  <conditionalFormatting sqref="M48:N48">
    <cfRule type="expression" dxfId="0" priority="21">
      <formula>(sizing_w13_gm_result&lt;&gt;"Excluded")</formula>
    </cfRule>
  </conditionalFormatting>
  <conditionalFormatting sqref="M49:N49">
    <cfRule type="expression" dxfId="0" priority="22">
      <formula>(sizing_w14_gm_result&lt;&gt;"Excluded")</formula>
    </cfRule>
  </conditionalFormatting>
  <conditionalFormatting sqref="P40:Q40">
    <cfRule type="expression" dxfId="4" priority="23">
      <formula>(sizing_w05_result="Excluded")</formula>
    </cfRule>
  </conditionalFormatting>
  <conditionalFormatting sqref="P41:Q41">
    <cfRule type="expression" dxfId="4" priority="24">
      <formula>(sizing_w06_result="Excluded")</formula>
    </cfRule>
  </conditionalFormatting>
  <conditionalFormatting sqref="T37">
    <cfRule type="notContainsBlanks" dxfId="0" priority="25">
      <formula>LEN(TRIM(T37))&gt;0</formula>
    </cfRule>
  </conditionalFormatting>
  <dataValidations>
    <dataValidation type="list" allowBlank="1" showErrorMessage="1" sqref="P36:P59 B65:B66">
      <formula1>"Exclude,Include"</formula1>
    </dataValidation>
    <dataValidation type="list" allowBlank="1" showErrorMessage="1" sqref="E23:E24">
      <formula1>"Exclude,Small,Medium,Large"</formula1>
    </dataValidation>
    <dataValidation type="list" allowBlank="1" showErrorMessage="1" sqref="R13">
      <formula1>"vSAN-ESA,vSAN-OSA,NFS,FC"</formula1>
    </dataValidation>
    <dataValidation type="list" allowBlank="1" showErrorMessage="1" sqref="V54">
      <formula1>IF(sizing_w19_nsxt_model="Shared",vcf_pnp_result_excluded,table_ssp_sizes)</formula1>
    </dataValidation>
    <dataValidation type="list" allowBlank="1" showErrorMessage="1" sqref="V41">
      <formula1>IF(sizing_w06_nsxt_model="Shared",vcf_pnp_result_excluded,table_ssp_sizes)</formula1>
    </dataValidation>
    <dataValidation type="list" allowBlank="1" showErrorMessage="1" sqref="B63">
      <formula1>"Exclude,Management Only,VI Workload Only,Management &amp; VI Workload"</formula1>
    </dataValidation>
    <dataValidation type="list" allowBlank="1" showErrorMessage="1" sqref="V37">
      <formula1>IF(sizing_w02_nsxt_model="Shared",vcf_pnp_result_excluded,table_ssp_sizes)</formula1>
    </dataValidation>
    <dataValidation type="list" allowBlank="1" showErrorMessage="1" sqref="E22">
      <formula1>"Exclude,Small,Standard"</formula1>
    </dataValidation>
    <dataValidation type="list" allowBlank="1" showErrorMessage="1" sqref="D32 D36:D59">
      <formula1>sizing_vcenter_appliance_size_list</formula1>
    </dataValidation>
    <dataValidation type="list" allowBlank="1" showErrorMessage="1" sqref="V52">
      <formula1>IF(sizing_w17_nsxt_model="Shared",vcf_pnp_result_excluded,table_ssp_sizes)</formula1>
    </dataValidation>
    <dataValidation type="list" allowBlank="1" showErrorMessage="1" sqref="B64">
      <formula1>"Include,Exclude"</formula1>
    </dataValidation>
    <dataValidation type="list" allowBlank="1" showErrorMessage="1" sqref="H37:H59">
      <formula1>table_nsxt_deployment_model</formula1>
    </dataValidation>
    <dataValidation type="list" allowBlank="1" showErrorMessage="1" sqref="V42">
      <formula1>IF(sizing_w07_nsxt_model="Shared",vcf_pnp_result_excluded,table_ssp_sizes)</formula1>
    </dataValidation>
    <dataValidation type="list" allowBlank="1" showErrorMessage="1" sqref="V49">
      <formula1>IF(sizing_w14_nsxt_model="Shared",vcf_pnp_result_excluded,table_ssp_sizes)</formula1>
    </dataValidation>
    <dataValidation type="list" allowBlank="1" showErrorMessage="1" sqref="L36:L59">
      <formula1>"Excluded,Active GM,Standby GM,Connect Instance"</formula1>
    </dataValidation>
    <dataValidation type="list" allowBlank="1" showErrorMessage="1" sqref="V44">
      <formula1>IF(sizing_w09_nsxt_model="Shared",vcf_pnp_result_excluded,table_ssp_sizes)</formula1>
    </dataValidation>
    <dataValidation type="list" allowBlank="1" showErrorMessage="1" sqref="Q32 S36:S59">
      <formula1>"Excluded,Small,Large,X-Large"</formula1>
    </dataValidation>
    <dataValidation type="list" allowBlank="1" showErrorMessage="1" sqref="V58">
      <formula1>IF(sizing_w23_nsxt_model="Shared",vcf_pnp_result_excluded,table_ssp_sizes)</formula1>
    </dataValidation>
    <dataValidation type="list" allowBlank="1" showErrorMessage="1" sqref="L32">
      <formula1>sizing_nsxt_edge_sizing_list</formula1>
    </dataValidation>
    <dataValidation type="list" allowBlank="1" showErrorMessage="1" sqref="V47">
      <formula1>IF(sizing_w12_nsxt_model="Shared",vcf_pnp_result_excluded,table_ssp_sizes)</formula1>
    </dataValidation>
    <dataValidation type="list" allowBlank="1" showErrorMessage="1" sqref="V53">
      <formula1>IF(sizing_w18_nsxt_model="Shared",vcf_pnp_result_excluded,table_ssp_sizes)</formula1>
    </dataValidation>
    <dataValidation type="list" allowBlank="1" showErrorMessage="1" sqref="V56">
      <formula1>IF(sizing_w21_nsxt_model="Shared",vcf_pnp_result_excluded,table_ssp_sizes)</formula1>
    </dataValidation>
    <dataValidation type="list" allowBlank="1" showErrorMessage="1" sqref="V59">
      <formula1>IF(sizing_w24_nsxt_model="Shared",vcf_pnp_result_excluded,table_ssp_sizes)</formula1>
    </dataValidation>
    <dataValidation type="list" allowBlank="1" showErrorMessage="1" sqref="V50">
      <formula1>IF(sizing_w15_nsxt_model="Shared",vcf_pnp_result_excluded,table_ssp_sizes)</formula1>
    </dataValidation>
    <dataValidation type="list" allowBlank="1" showErrorMessage="1" sqref="C36:C59">
      <formula1>"Excluded,Included"</formula1>
    </dataValidation>
    <dataValidation type="list" allowBlank="1" showErrorMessage="1" sqref="V51">
      <formula1>IF(sizing_w16_nsxt_model="Shared",vcf_pnp_result_excluded,table_ssp_sizes)</formula1>
    </dataValidation>
    <dataValidation type="list" allowBlank="1" showErrorMessage="1" sqref="V48">
      <formula1>IF(sizing_w13_nsxt_model="Shared",vcf_pnp_result_excluded,table_ssp_sizes)</formula1>
    </dataValidation>
    <dataValidation type="list" allowBlank="1" showErrorMessage="1" sqref="V45">
      <formula1>IF(sizing_w10_nsxt_model="Shared",vcf_pnp_result_excluded,table_ssp_sizes)</formula1>
    </dataValidation>
    <dataValidation type="list" allowBlank="1" showErrorMessage="1" sqref="V39">
      <formula1>IF(sizing_w04_nsxt_model="Shared",vcf_pnp_result_excluded,table_ssp_sizes)</formula1>
    </dataValidation>
    <dataValidation type="list" allowBlank="1" showErrorMessage="1" sqref="E27">
      <formula1>"Exclude,Embedded,Deploy HA"</formula1>
    </dataValidation>
    <dataValidation type="list" allowBlank="1" showErrorMessage="1" sqref="I32 I36:I59 M36:M59">
      <formula1>sizing_nsxt_manager_size_list</formula1>
    </dataValidation>
    <dataValidation type="list" allowBlank="1" showErrorMessage="1" sqref="V57">
      <formula1>IF(sizing_w22_nsxt_model="Shared",vcf_pnp_result_excluded,table_ssp_sizes)</formula1>
    </dataValidation>
    <dataValidation type="list" allowBlank="1" showErrorMessage="1" sqref="H32 H36">
      <formula1>"Mandatory - HA Cluster,Mandatory - Single Node"</formula1>
    </dataValidation>
    <dataValidation type="list" allowBlank="1" showErrorMessage="1" sqref="V55">
      <formula1>IF(sizing_w20_nsxt_model="Shared",vcf_pnp_result_excluded,table_ssp_sizes)</formula1>
    </dataValidation>
    <dataValidation type="list" allowBlank="1" showErrorMessage="1" sqref="E25:E26">
      <formula1>"Exclude,Small,Medium,Large,Extra Large,Extra Extra Large"</formula1>
    </dataValidation>
    <dataValidation type="list" allowBlank="1" showErrorMessage="1" sqref="E20">
      <formula1>"Deploy HA,Deploy Simple"</formula1>
    </dataValidation>
    <dataValidation type="list" allowBlank="1" showErrorMessage="1" sqref="O32">
      <formula1>"Excluded,Small,Medium,Large,X-Large"</formula1>
    </dataValidation>
    <dataValidation type="list" allowBlank="1" showErrorMessage="1" sqref="V46">
      <formula1>IF(sizing_w11_nsxt_model="Shared",vcf_pnp_result_excluded,table_ssp_sizes)</formula1>
    </dataValidation>
    <dataValidation type="list" allowBlank="1" showErrorMessage="1" sqref="E21">
      <formula1>"Exclude,Extra Small,Small,Medium,Large,Extra Large"</formula1>
    </dataValidation>
    <dataValidation type="list" allowBlank="1" showErrorMessage="1" sqref="F32 F36:F59">
      <formula1>sizing_vcenter_storage_size_list</formula1>
    </dataValidation>
    <dataValidation type="list" allowBlank="1" showErrorMessage="1" sqref="V38">
      <formula1>IF(sizing_w03_nsxt_model="Shared",vcf_pnp_result_excluded,table_ssp_sizes)</formula1>
    </dataValidation>
    <dataValidation type="list" allowBlank="1" showErrorMessage="1" sqref="V40">
      <formula1>IF(sizing_w05_nsxt_model="Shared",vcf_pnp_result_excluded,table_ssp_sizes)</formula1>
    </dataValidation>
    <dataValidation type="list" allowBlank="1" showErrorMessage="1" sqref="E15:E16">
      <formula1>"1,1.5,2"</formula1>
    </dataValidation>
    <dataValidation type="list" allowBlank="1" showErrorMessage="1" sqref="U32 V36">
      <formula1>table_ssp_sizes</formula1>
    </dataValidation>
    <dataValidation type="list" allowBlank="1" showErrorMessage="1" sqref="V43">
      <formula1>IF(sizing_w08_nsxt_model="Shared",vcf_pnp_result_excluded,table_ssp_sizes)</formula1>
    </dataValidation>
  </dataValidations>
  <hyperlinks>
    <hyperlink r:id="rId1" ref="E63"/>
    <hyperlink r:id="rId2" ref="E64"/>
    <hyperlink r:id="rId3" ref="E66"/>
  </hyperlinks>
  <printOptions/>
  <pageMargins bottom="0.75" footer="0.0" header="0.0" left="0.7" right="0.7" top="0.75"/>
  <pageSetup paperSize="9"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1.78"/>
    <col customWidth="1" min="3" max="3" width="2.33"/>
    <col customWidth="1" min="4" max="4" width="1.78"/>
    <col customWidth="1" min="5" max="5" width="25.78"/>
    <col customWidth="1" min="6" max="6" width="1.78"/>
    <col customWidth="1" min="7" max="7" width="2.78"/>
    <col customWidth="1" min="8" max="8" width="1.78"/>
    <col customWidth="1" min="9" max="9" width="2.78"/>
    <col customWidth="1" min="10" max="10" width="75.33"/>
    <col customWidth="1" min="11" max="12" width="80.78"/>
    <col customWidth="1" min="13" max="13" width="104.67"/>
    <col customWidth="1" min="14" max="14" width="10.78"/>
    <col customWidth="1" min="15" max="26" width="11.0"/>
  </cols>
  <sheetData>
    <row r="1" ht="15.75" customHeight="1">
      <c r="A1" s="35"/>
      <c r="B1" s="35"/>
      <c r="C1" s="35"/>
      <c r="D1" s="35"/>
      <c r="E1" s="35"/>
      <c r="F1" s="35"/>
      <c r="G1" s="35"/>
      <c r="H1" s="35"/>
      <c r="I1" s="35"/>
      <c r="J1" s="1"/>
      <c r="K1" s="1"/>
      <c r="L1" s="1"/>
      <c r="M1" s="1"/>
      <c r="N1" s="41"/>
      <c r="O1" s="41"/>
      <c r="P1" s="41"/>
      <c r="Q1" s="41"/>
      <c r="R1" s="41"/>
      <c r="S1" s="1"/>
      <c r="T1" s="1"/>
      <c r="U1" s="1"/>
      <c r="V1" s="1"/>
      <c r="W1" s="1"/>
      <c r="X1" s="1"/>
      <c r="Y1" s="1"/>
      <c r="Z1" s="1"/>
    </row>
    <row r="2" ht="54.0" customHeight="1">
      <c r="A2" s="35"/>
      <c r="B2" s="105" t="s">
        <v>269</v>
      </c>
      <c r="C2" s="3"/>
      <c r="D2" s="3"/>
      <c r="E2" s="3"/>
      <c r="F2" s="3"/>
      <c r="G2" s="3"/>
      <c r="H2" s="3"/>
      <c r="I2" s="3"/>
      <c r="J2" s="3"/>
      <c r="K2" s="3"/>
      <c r="L2" s="3"/>
      <c r="M2" s="106"/>
      <c r="N2" s="41"/>
      <c r="O2" s="41"/>
      <c r="P2" s="41"/>
      <c r="Q2" s="41"/>
      <c r="R2" s="41"/>
      <c r="S2" s="1"/>
      <c r="T2" s="1"/>
      <c r="U2" s="1"/>
      <c r="V2" s="1"/>
      <c r="W2" s="1"/>
      <c r="X2" s="1"/>
      <c r="Y2" s="1"/>
      <c r="Z2" s="1"/>
    </row>
    <row r="3" ht="19.5" customHeight="1">
      <c r="A3" s="35"/>
      <c r="B3" s="7" t="s">
        <v>270</v>
      </c>
      <c r="C3" s="3"/>
      <c r="D3" s="3"/>
      <c r="E3" s="3"/>
      <c r="F3" s="3"/>
      <c r="G3" s="3"/>
      <c r="H3" s="3"/>
      <c r="I3" s="3"/>
      <c r="J3" s="3"/>
      <c r="K3" s="3"/>
      <c r="L3" s="3"/>
      <c r="M3" s="106"/>
      <c r="N3" s="41"/>
      <c r="O3" s="41"/>
      <c r="P3" s="41"/>
      <c r="Q3" s="41"/>
      <c r="R3" s="41"/>
      <c r="S3" s="1"/>
      <c r="T3" s="1"/>
      <c r="U3" s="1"/>
      <c r="V3" s="1"/>
      <c r="W3" s="1"/>
      <c r="X3" s="1"/>
      <c r="Y3" s="1"/>
      <c r="Z3" s="1"/>
    </row>
    <row r="4" ht="15.75" customHeight="1">
      <c r="A4" s="35"/>
      <c r="B4" s="35"/>
      <c r="C4" s="35"/>
      <c r="D4" s="35"/>
      <c r="E4" s="35"/>
      <c r="F4" s="35"/>
      <c r="G4" s="35"/>
      <c r="H4" s="35"/>
      <c r="I4" s="40"/>
      <c r="J4" s="1"/>
      <c r="K4" s="1"/>
      <c r="L4" s="9"/>
      <c r="M4" s="10"/>
      <c r="N4" s="10"/>
      <c r="O4" s="1"/>
      <c r="P4" s="1"/>
      <c r="Q4" s="1"/>
      <c r="R4" s="1"/>
      <c r="S4" s="1"/>
      <c r="T4" s="1"/>
      <c r="U4" s="1"/>
      <c r="V4" s="1"/>
      <c r="W4" s="1"/>
      <c r="X4" s="1"/>
      <c r="Y4" s="1"/>
      <c r="Z4" s="1"/>
    </row>
    <row r="5" ht="15.75" customHeight="1">
      <c r="A5" s="35"/>
      <c r="B5" s="35"/>
      <c r="C5" s="35"/>
      <c r="D5" s="35"/>
      <c r="E5" s="35"/>
      <c r="F5" s="35"/>
      <c r="G5" s="35"/>
      <c r="H5" s="35"/>
      <c r="I5" s="35"/>
      <c r="J5" s="41"/>
      <c r="K5" s="1"/>
      <c r="L5" s="41"/>
      <c r="M5" s="1"/>
      <c r="N5" s="41"/>
      <c r="O5" s="41"/>
      <c r="P5" s="41"/>
      <c r="Q5" s="41"/>
      <c r="R5" s="41"/>
      <c r="S5" s="41"/>
      <c r="T5" s="41"/>
      <c r="U5" s="41"/>
      <c r="V5" s="41"/>
      <c r="W5" s="41"/>
      <c r="X5" s="41"/>
      <c r="Y5" s="41"/>
      <c r="Z5" s="41"/>
    </row>
    <row r="6" ht="33.75" customHeight="1">
      <c r="A6" s="35"/>
      <c r="B6" s="41"/>
      <c r="C6" s="41"/>
      <c r="D6" s="41"/>
      <c r="E6" s="41"/>
      <c r="F6" s="41"/>
      <c r="G6" s="41"/>
      <c r="H6" s="41"/>
      <c r="I6" s="41"/>
      <c r="J6" s="12" t="s">
        <v>271</v>
      </c>
      <c r="K6" s="13"/>
      <c r="L6" s="13"/>
      <c r="M6" s="14"/>
      <c r="N6" s="107"/>
      <c r="O6" s="107"/>
      <c r="P6" s="107"/>
      <c r="Q6" s="107"/>
      <c r="R6" s="107"/>
      <c r="S6" s="41"/>
      <c r="T6" s="41"/>
      <c r="U6" s="41"/>
      <c r="V6" s="41"/>
      <c r="W6" s="41"/>
      <c r="X6" s="41"/>
      <c r="Y6" s="41"/>
      <c r="Z6" s="41"/>
    </row>
    <row r="7" ht="19.5" customHeight="1">
      <c r="A7" s="35"/>
      <c r="B7" s="41"/>
      <c r="C7" s="41"/>
      <c r="D7" s="41"/>
      <c r="E7" s="41"/>
      <c r="F7" s="41"/>
      <c r="G7" s="41"/>
      <c r="H7" s="41"/>
      <c r="I7" s="41"/>
      <c r="J7" s="102" t="s">
        <v>272</v>
      </c>
      <c r="K7" s="13"/>
      <c r="L7" s="13"/>
      <c r="M7" s="14"/>
      <c r="N7" s="107"/>
      <c r="O7" s="107"/>
      <c r="P7" s="107"/>
      <c r="Q7" s="107"/>
      <c r="R7" s="107"/>
      <c r="S7" s="107"/>
      <c r="T7" s="107"/>
      <c r="U7" s="107"/>
      <c r="V7" s="107"/>
      <c r="W7" s="107"/>
      <c r="X7" s="41"/>
      <c r="Y7" s="41"/>
      <c r="Z7" s="41"/>
    </row>
    <row r="8" ht="19.5" customHeight="1">
      <c r="A8" s="35"/>
      <c r="B8" s="35"/>
      <c r="C8" s="35"/>
      <c r="D8" s="35"/>
      <c r="E8" s="1"/>
      <c r="F8" s="1"/>
      <c r="G8" s="1"/>
      <c r="H8" s="1"/>
      <c r="I8" s="1"/>
      <c r="J8" s="108" t="s">
        <v>37</v>
      </c>
      <c r="K8" s="49" t="s">
        <v>273</v>
      </c>
      <c r="L8" s="49" t="s">
        <v>274</v>
      </c>
      <c r="M8" s="49" t="s">
        <v>5</v>
      </c>
      <c r="N8" s="107"/>
      <c r="O8" s="107"/>
      <c r="P8" s="107"/>
      <c r="Q8" s="107"/>
      <c r="R8" s="107"/>
      <c r="S8" s="107"/>
      <c r="T8" s="107"/>
      <c r="U8" s="107"/>
      <c r="V8" s="107"/>
      <c r="W8" s="107"/>
      <c r="X8" s="41"/>
      <c r="Y8" s="41"/>
      <c r="Z8" s="41"/>
    </row>
    <row r="9" ht="19.5" customHeight="1">
      <c r="A9" s="35"/>
      <c r="B9" s="35"/>
      <c r="C9" s="35"/>
      <c r="D9" s="35"/>
      <c r="E9" s="1"/>
      <c r="F9" s="1"/>
      <c r="G9" s="1"/>
      <c r="H9" s="1"/>
      <c r="I9" s="1"/>
      <c r="J9" s="109" t="s">
        <v>275</v>
      </c>
      <c r="K9" s="110" t="s">
        <v>276</v>
      </c>
      <c r="L9" s="18" t="s">
        <v>277</v>
      </c>
      <c r="M9" s="18"/>
      <c r="N9" s="107"/>
      <c r="O9" s="107"/>
      <c r="P9" s="107"/>
      <c r="Q9" s="107"/>
      <c r="R9" s="107"/>
      <c r="S9" s="107"/>
      <c r="T9" s="107"/>
      <c r="U9" s="107"/>
      <c r="V9" s="107"/>
      <c r="W9" s="107"/>
      <c r="X9" s="41"/>
      <c r="Y9" s="41"/>
      <c r="Z9" s="41"/>
    </row>
    <row r="10" ht="19.5" customHeight="1">
      <c r="A10" s="35"/>
      <c r="B10" s="35"/>
      <c r="C10" s="35"/>
      <c r="D10" s="35"/>
      <c r="E10" s="1"/>
      <c r="F10" s="1"/>
      <c r="G10" s="1"/>
      <c r="H10" s="1"/>
      <c r="I10" s="1"/>
      <c r="J10" s="71" t="s">
        <v>278</v>
      </c>
      <c r="K10" s="111" t="s">
        <v>279</v>
      </c>
      <c r="L10" s="68"/>
      <c r="M10" s="18" t="str">
        <f>IF(mgmt_offline_depot_chosen="Online", "Input is masked out and only required if using offline depot","")</f>
        <v/>
      </c>
      <c r="N10" s="41"/>
      <c r="O10" s="41"/>
      <c r="P10" s="41"/>
      <c r="Q10" s="41"/>
      <c r="R10" s="41"/>
      <c r="S10" s="41"/>
      <c r="T10" s="41"/>
      <c r="U10" s="41"/>
      <c r="V10" s="41"/>
      <c r="W10" s="41"/>
      <c r="X10" s="41"/>
      <c r="Y10" s="41"/>
      <c r="Z10" s="41"/>
    </row>
    <row r="11" ht="19.5" customHeight="1">
      <c r="A11" s="35"/>
      <c r="B11" s="35"/>
      <c r="C11" s="35"/>
      <c r="D11" s="35"/>
      <c r="E11" s="1"/>
      <c r="F11" s="1"/>
      <c r="G11" s="1"/>
      <c r="H11" s="1"/>
      <c r="I11" s="1"/>
      <c r="J11" s="71" t="s">
        <v>280</v>
      </c>
      <c r="K11" s="110">
        <v>443.0</v>
      </c>
      <c r="L11" s="68"/>
      <c r="M11" s="18"/>
      <c r="N11" s="41"/>
      <c r="O11" s="41"/>
      <c r="P11" s="41"/>
      <c r="Q11" s="41"/>
      <c r="R11" s="41"/>
      <c r="S11" s="41"/>
      <c r="T11" s="41"/>
      <c r="U11" s="41"/>
      <c r="V11" s="41"/>
      <c r="W11" s="41"/>
      <c r="X11" s="41"/>
      <c r="Y11" s="41"/>
      <c r="Z11" s="41"/>
    </row>
    <row r="12" ht="19.5" customHeight="1">
      <c r="A12" s="35"/>
      <c r="B12" s="35"/>
      <c r="C12" s="35"/>
      <c r="D12" s="35"/>
      <c r="E12" s="1"/>
      <c r="F12" s="1"/>
      <c r="G12" s="1"/>
      <c r="H12" s="1"/>
      <c r="I12" s="1"/>
      <c r="J12" s="71" t="s">
        <v>281</v>
      </c>
      <c r="K12" s="110" t="s">
        <v>282</v>
      </c>
      <c r="L12" s="68"/>
      <c r="M12" s="18"/>
      <c r="N12" s="41"/>
      <c r="O12" s="41"/>
      <c r="P12" s="41"/>
      <c r="Q12" s="41"/>
      <c r="R12" s="41"/>
      <c r="S12" s="41"/>
      <c r="T12" s="41"/>
      <c r="U12" s="41"/>
      <c r="V12" s="41"/>
      <c r="W12" s="41"/>
      <c r="X12" s="41"/>
      <c r="Y12" s="41"/>
      <c r="Z12" s="41"/>
    </row>
    <row r="13" ht="19.5" customHeight="1">
      <c r="A13" s="35"/>
      <c r="B13" s="112"/>
      <c r="C13" s="112"/>
      <c r="D13" s="112"/>
      <c r="E13" s="112"/>
      <c r="F13" s="112"/>
      <c r="G13" s="112"/>
      <c r="H13" s="112"/>
      <c r="I13" s="1"/>
      <c r="J13" s="71" t="s">
        <v>283</v>
      </c>
      <c r="K13" s="110" t="s">
        <v>284</v>
      </c>
      <c r="L13" s="68" t="s">
        <v>285</v>
      </c>
      <c r="M13" s="18"/>
      <c r="N13" s="41"/>
      <c r="O13" s="41"/>
      <c r="P13" s="41"/>
      <c r="Q13" s="41"/>
      <c r="R13" s="41"/>
      <c r="S13" s="41"/>
      <c r="T13" s="41"/>
      <c r="U13" s="41"/>
      <c r="V13" s="41"/>
      <c r="W13" s="41"/>
      <c r="X13" s="41"/>
      <c r="Y13" s="41"/>
      <c r="Z13" s="41"/>
    </row>
    <row r="14" ht="19.5" customHeight="1">
      <c r="A14" s="113"/>
      <c r="B14" s="114"/>
      <c r="C14" s="115" t="s">
        <v>286</v>
      </c>
      <c r="D14" s="114"/>
      <c r="E14" s="114"/>
      <c r="F14" s="114"/>
      <c r="G14" s="114"/>
      <c r="H14" s="116"/>
      <c r="I14" s="40"/>
      <c r="J14" s="71" t="s">
        <v>287</v>
      </c>
      <c r="K14" s="110" t="s">
        <v>288</v>
      </c>
      <c r="L14" s="68" t="s">
        <v>289</v>
      </c>
      <c r="M14" s="18" t="str">
        <f>IF(mgmt_internet_proxy_chosen="Unselected", "Input is masked out and only required if using Proxy Server for depot connectivity","")</f>
        <v/>
      </c>
      <c r="N14" s="41"/>
      <c r="O14" s="41"/>
      <c r="P14" s="41"/>
      <c r="Q14" s="41"/>
      <c r="R14" s="41"/>
      <c r="S14" s="41"/>
      <c r="T14" s="41"/>
      <c r="U14" s="41"/>
      <c r="V14" s="41"/>
      <c r="W14" s="41"/>
      <c r="X14" s="41"/>
      <c r="Y14" s="41"/>
      <c r="Z14" s="41"/>
    </row>
    <row r="15" ht="19.5" customHeight="1">
      <c r="A15" s="113"/>
      <c r="B15" s="115"/>
      <c r="C15" s="117"/>
      <c r="D15" s="118"/>
      <c r="E15" s="118"/>
      <c r="F15" s="118"/>
      <c r="G15" s="118"/>
      <c r="H15" s="119"/>
      <c r="I15" s="40"/>
      <c r="J15" s="71" t="s">
        <v>290</v>
      </c>
      <c r="K15" s="110" t="s">
        <v>291</v>
      </c>
      <c r="L15" s="68"/>
      <c r="M15" s="18"/>
      <c r="N15" s="41"/>
      <c r="O15" s="41"/>
      <c r="P15" s="41"/>
      <c r="Q15" s="41"/>
      <c r="R15" s="41"/>
      <c r="S15" s="41"/>
      <c r="T15" s="41"/>
      <c r="U15" s="41"/>
      <c r="V15" s="41"/>
      <c r="W15" s="41"/>
      <c r="X15" s="41"/>
      <c r="Y15" s="41"/>
      <c r="Z15" s="41"/>
    </row>
    <row r="16" ht="19.5" customHeight="1">
      <c r="A16" s="113"/>
      <c r="B16" s="120"/>
      <c r="C16" s="121" t="s">
        <v>183</v>
      </c>
      <c r="D16" s="122"/>
      <c r="E16" s="122"/>
      <c r="F16" s="122"/>
      <c r="G16" s="123"/>
      <c r="H16" s="119"/>
      <c r="I16" s="40"/>
      <c r="J16" s="71" t="s">
        <v>292</v>
      </c>
      <c r="K16" s="110">
        <v>443.0</v>
      </c>
      <c r="L16" s="68"/>
      <c r="M16" s="18"/>
      <c r="N16" s="41"/>
      <c r="O16" s="41"/>
      <c r="P16" s="41"/>
      <c r="Q16" s="41"/>
      <c r="R16" s="41"/>
      <c r="S16" s="41"/>
      <c r="T16" s="41"/>
      <c r="U16" s="41"/>
      <c r="V16" s="41"/>
      <c r="W16" s="41"/>
      <c r="X16" s="41"/>
      <c r="Y16" s="41"/>
      <c r="Z16" s="41"/>
    </row>
    <row r="17" ht="19.5" customHeight="1">
      <c r="A17" s="113"/>
      <c r="B17" s="120"/>
      <c r="C17" s="121" t="s">
        <v>189</v>
      </c>
      <c r="D17" s="122"/>
      <c r="E17" s="122"/>
      <c r="F17" s="122"/>
      <c r="G17" s="123"/>
      <c r="H17" s="119"/>
      <c r="I17" s="40"/>
      <c r="J17" s="71" t="s">
        <v>293</v>
      </c>
      <c r="K17" s="110" t="s">
        <v>284</v>
      </c>
      <c r="L17" s="18" t="s">
        <v>285</v>
      </c>
      <c r="M17" s="68"/>
      <c r="N17" s="41"/>
      <c r="O17" s="41"/>
      <c r="P17" s="41"/>
      <c r="Q17" s="41"/>
      <c r="R17" s="41"/>
      <c r="S17" s="41"/>
      <c r="T17" s="41"/>
      <c r="U17" s="41"/>
      <c r="V17" s="41"/>
      <c r="W17" s="41"/>
      <c r="X17" s="41"/>
      <c r="Y17" s="41"/>
      <c r="Z17" s="41"/>
    </row>
    <row r="18" ht="19.5" customHeight="1">
      <c r="A18" s="113"/>
      <c r="B18" s="114"/>
      <c r="C18" s="124"/>
      <c r="D18" s="124"/>
      <c r="E18" s="124"/>
      <c r="F18" s="124"/>
      <c r="G18" s="124"/>
      <c r="H18" s="119"/>
      <c r="I18" s="40"/>
      <c r="J18" s="71" t="s">
        <v>294</v>
      </c>
      <c r="K18" s="110" t="s">
        <v>295</v>
      </c>
      <c r="L18" s="18"/>
      <c r="M18" s="68" t="str">
        <f>IF(mgmt_internet_proxy_auth_chosen="Unselected", "Input is masked out and only required if using Proxy Server that required authentication","")</f>
        <v/>
      </c>
      <c r="N18" s="41"/>
      <c r="O18" s="41"/>
      <c r="P18" s="41"/>
      <c r="Q18" s="41"/>
      <c r="R18" s="41"/>
      <c r="S18" s="41"/>
      <c r="T18" s="41"/>
      <c r="U18" s="41"/>
      <c r="V18" s="41"/>
      <c r="W18" s="41"/>
      <c r="X18" s="41"/>
      <c r="Y18" s="41"/>
      <c r="Z18" s="41"/>
    </row>
    <row r="19" ht="19.5" customHeight="1">
      <c r="A19" s="113"/>
      <c r="B19" s="114"/>
      <c r="C19" s="125" t="str">
        <f>CONCATENATE(mgmt_domain_deployment_type_chosen, " Instance")</f>
        <v>VMware Cloud Foundation Instance</v>
      </c>
      <c r="D19" s="115"/>
      <c r="E19" s="115"/>
      <c r="F19" s="114"/>
      <c r="G19" s="126"/>
      <c r="H19" s="119"/>
      <c r="I19" s="40"/>
      <c r="J19" s="71" t="s">
        <v>296</v>
      </c>
      <c r="K19" s="110" t="s">
        <v>297</v>
      </c>
      <c r="L19" s="18"/>
      <c r="M19" s="68"/>
      <c r="N19" s="41"/>
      <c r="O19" s="41"/>
      <c r="P19" s="41"/>
      <c r="Q19" s="41"/>
      <c r="R19" s="41"/>
      <c r="S19" s="41"/>
      <c r="T19" s="41"/>
      <c r="U19" s="41"/>
      <c r="V19" s="41"/>
      <c r="W19" s="41"/>
      <c r="X19" s="41"/>
      <c r="Y19" s="41"/>
      <c r="Z19" s="41"/>
    </row>
    <row r="20" ht="19.5" customHeight="1">
      <c r="A20" s="113"/>
      <c r="B20" s="114"/>
      <c r="C20" s="127"/>
      <c r="D20" s="128"/>
      <c r="E20" s="128"/>
      <c r="F20" s="128"/>
      <c r="G20" s="126"/>
      <c r="H20" s="119"/>
      <c r="I20" s="40"/>
      <c r="J20" s="41"/>
      <c r="K20" s="1"/>
      <c r="L20" s="41"/>
      <c r="M20" s="1"/>
      <c r="N20" s="41"/>
      <c r="O20" s="41"/>
      <c r="P20" s="41"/>
      <c r="Q20" s="41"/>
      <c r="R20" s="41"/>
      <c r="S20" s="41"/>
      <c r="T20" s="41"/>
      <c r="U20" s="41"/>
      <c r="V20" s="41"/>
      <c r="W20" s="41"/>
      <c r="X20" s="41"/>
      <c r="Y20" s="41"/>
      <c r="Z20" s="41"/>
    </row>
    <row r="21" ht="33.75" customHeight="1">
      <c r="A21" s="113"/>
      <c r="B21" s="114"/>
      <c r="C21" s="127"/>
      <c r="D21" s="129"/>
      <c r="E21" s="115" t="str">
        <f>IF(mgmt_domain_deployment_type_chosen="VCF","Management Domain","Components")</f>
        <v>Components</v>
      </c>
      <c r="F21" s="130"/>
      <c r="G21" s="126"/>
      <c r="H21" s="119"/>
      <c r="I21" s="35"/>
      <c r="J21" s="12" t="s">
        <v>298</v>
      </c>
      <c r="K21" s="13"/>
      <c r="L21" s="13"/>
      <c r="M21" s="14"/>
      <c r="N21" s="41"/>
      <c r="O21" s="41"/>
      <c r="P21" s="41"/>
      <c r="Q21" s="41"/>
      <c r="R21" s="41"/>
      <c r="S21" s="41"/>
      <c r="T21" s="41"/>
      <c r="U21" s="41"/>
      <c r="V21" s="41"/>
      <c r="W21" s="41"/>
      <c r="X21" s="41"/>
      <c r="Y21" s="41"/>
      <c r="Z21" s="41"/>
    </row>
    <row r="22" ht="19.5" customHeight="1">
      <c r="A22" s="113"/>
      <c r="B22" s="114"/>
      <c r="C22" s="127"/>
      <c r="D22" s="129"/>
      <c r="E22" s="118"/>
      <c r="F22" s="130"/>
      <c r="G22" s="126"/>
      <c r="H22" s="119"/>
      <c r="I22" s="35"/>
      <c r="J22" s="131"/>
      <c r="K22" s="13"/>
      <c r="L22" s="13"/>
      <c r="M22" s="14"/>
      <c r="N22" s="41"/>
      <c r="O22" s="41"/>
      <c r="P22" s="41"/>
      <c r="Q22" s="41"/>
      <c r="R22" s="41"/>
      <c r="S22" s="41"/>
      <c r="T22" s="41"/>
      <c r="U22" s="41"/>
      <c r="V22" s="41"/>
      <c r="W22" s="41"/>
      <c r="X22" s="41"/>
      <c r="Y22" s="41"/>
      <c r="Z22" s="41"/>
    </row>
    <row r="23" ht="19.5" customHeight="1">
      <c r="A23" s="113"/>
      <c r="B23" s="114"/>
      <c r="C23" s="127"/>
      <c r="D23" s="132"/>
      <c r="E23" s="133" t="s">
        <v>299</v>
      </c>
      <c r="F23" s="130"/>
      <c r="G23" s="126"/>
      <c r="H23" s="119"/>
      <c r="I23" s="35"/>
      <c r="J23" s="49" t="s">
        <v>37</v>
      </c>
      <c r="K23" s="49" t="s">
        <v>273</v>
      </c>
      <c r="L23" s="49" t="s">
        <v>274</v>
      </c>
      <c r="M23" s="49" t="s">
        <v>5</v>
      </c>
      <c r="N23" s="41"/>
      <c r="O23" s="41"/>
      <c r="P23" s="41"/>
      <c r="Q23" s="41"/>
      <c r="R23" s="41"/>
      <c r="S23" s="41"/>
      <c r="T23" s="41"/>
      <c r="U23" s="41"/>
      <c r="V23" s="41"/>
      <c r="W23" s="41"/>
      <c r="X23" s="41"/>
      <c r="Y23" s="41"/>
      <c r="Z23" s="41"/>
    </row>
    <row r="24" ht="19.5" customHeight="1">
      <c r="A24" s="113"/>
      <c r="B24" s="114"/>
      <c r="C24" s="127"/>
      <c r="D24" s="132"/>
      <c r="E24" s="133" t="s">
        <v>300</v>
      </c>
      <c r="F24" s="130"/>
      <c r="G24" s="126"/>
      <c r="H24" s="119"/>
      <c r="I24" s="35"/>
      <c r="J24" s="84" t="s">
        <v>301</v>
      </c>
      <c r="K24" s="110" t="s">
        <v>121</v>
      </c>
      <c r="L24" s="18" t="str">
        <f>mgmt_domain_deployment_type_chosen</f>
        <v>VMware Cloud Foundation</v>
      </c>
      <c r="M24" s="18"/>
      <c r="N24" s="41"/>
      <c r="O24" s="41"/>
      <c r="P24" s="41"/>
      <c r="Q24" s="41"/>
      <c r="R24" s="41"/>
      <c r="S24" s="41"/>
      <c r="T24" s="41"/>
      <c r="U24" s="41"/>
      <c r="V24" s="41"/>
      <c r="W24" s="41"/>
      <c r="X24" s="41"/>
      <c r="Y24" s="41"/>
      <c r="Z24" s="41"/>
    </row>
    <row r="25" ht="19.5" customHeight="1">
      <c r="A25" s="113"/>
      <c r="B25" s="114"/>
      <c r="C25" s="127"/>
      <c r="D25" s="132"/>
      <c r="E25" s="134" t="s">
        <v>302</v>
      </c>
      <c r="F25" s="130"/>
      <c r="G25" s="126"/>
      <c r="H25" s="119"/>
      <c r="I25" s="35"/>
      <c r="J25" s="84" t="s">
        <v>122</v>
      </c>
      <c r="K25" s="110" t="s">
        <v>303</v>
      </c>
      <c r="L25" s="18" t="str">
        <f>IF(vcf_granular_option_chosen="Deploy a new VCF fleet","Deploy a new VCF fleet",IF(vcf_granular_option_chosen="Deploy a VCF Instance in an existing VCF fleet","Deploy a VCF Instance in an existing VCF fleet",""))</f>
        <v>Deploy a VCF Instance in an existing VCF fleet</v>
      </c>
      <c r="M25" s="135" t="s">
        <v>304</v>
      </c>
      <c r="N25" s="41"/>
      <c r="O25" s="41"/>
      <c r="P25" s="41"/>
      <c r="Q25" s="41"/>
      <c r="R25" s="41"/>
      <c r="S25" s="41"/>
      <c r="T25" s="41"/>
      <c r="U25" s="41"/>
      <c r="V25" s="41"/>
      <c r="W25" s="41"/>
      <c r="X25" s="41"/>
      <c r="Y25" s="41"/>
      <c r="Z25" s="41"/>
    </row>
    <row r="26" ht="19.5" customHeight="1">
      <c r="A26" s="113"/>
      <c r="B26" s="114"/>
      <c r="C26" s="127"/>
      <c r="D26" s="132"/>
      <c r="E26" s="136" t="s">
        <v>146</v>
      </c>
      <c r="F26" s="130"/>
      <c r="G26" s="126"/>
      <c r="H26" s="119"/>
      <c r="I26" s="35"/>
      <c r="J26" s="137"/>
      <c r="K26" s="1"/>
      <c r="L26" s="41"/>
      <c r="M26" s="138"/>
      <c r="N26" s="41"/>
      <c r="O26" s="41"/>
      <c r="P26" s="41"/>
      <c r="Q26" s="41"/>
      <c r="R26" s="41"/>
      <c r="S26" s="41"/>
      <c r="T26" s="41"/>
      <c r="U26" s="41"/>
      <c r="V26" s="41"/>
      <c r="W26" s="41"/>
      <c r="X26" s="41"/>
      <c r="Y26" s="41"/>
      <c r="Z26" s="41"/>
    </row>
    <row r="27" ht="33.75" customHeight="1">
      <c r="A27" s="113"/>
      <c r="B27" s="114"/>
      <c r="C27" s="127"/>
      <c r="D27" s="139"/>
      <c r="E27" s="128"/>
      <c r="F27" s="140"/>
      <c r="G27" s="126"/>
      <c r="H27" s="119"/>
      <c r="I27" s="35"/>
      <c r="J27" s="12" t="s">
        <v>305</v>
      </c>
      <c r="K27" s="13"/>
      <c r="L27" s="13"/>
      <c r="M27" s="14"/>
      <c r="N27" s="41"/>
      <c r="O27" s="41"/>
      <c r="P27" s="41"/>
      <c r="Q27" s="41"/>
      <c r="R27" s="41"/>
      <c r="S27" s="41"/>
      <c r="T27" s="41"/>
      <c r="U27" s="41"/>
      <c r="V27" s="41"/>
      <c r="W27" s="41"/>
      <c r="X27" s="41"/>
      <c r="Y27" s="41"/>
      <c r="Z27" s="41"/>
    </row>
    <row r="28" ht="19.5" customHeight="1">
      <c r="A28" s="113"/>
      <c r="B28" s="114"/>
      <c r="C28" s="141"/>
      <c r="D28" s="124"/>
      <c r="E28" s="124"/>
      <c r="F28" s="124"/>
      <c r="G28" s="142"/>
      <c r="H28" s="119"/>
      <c r="I28" s="35"/>
      <c r="J28" s="102" t="s">
        <v>306</v>
      </c>
      <c r="K28" s="13"/>
      <c r="L28" s="13"/>
      <c r="M28" s="14"/>
      <c r="N28" s="41"/>
      <c r="O28" s="41"/>
      <c r="P28" s="41"/>
      <c r="Q28" s="41"/>
      <c r="R28" s="41"/>
      <c r="S28" s="41"/>
      <c r="T28" s="41"/>
      <c r="U28" s="41"/>
      <c r="V28" s="41"/>
      <c r="W28" s="41"/>
      <c r="X28" s="41"/>
      <c r="Y28" s="41"/>
      <c r="Z28" s="41"/>
    </row>
    <row r="29" ht="19.5" customHeight="1">
      <c r="A29" s="113"/>
      <c r="B29" s="118"/>
      <c r="C29" s="118"/>
      <c r="D29" s="118"/>
      <c r="E29" s="118"/>
      <c r="F29" s="118"/>
      <c r="G29" s="118"/>
      <c r="H29" s="143"/>
      <c r="I29" s="35"/>
      <c r="J29" s="49" t="s">
        <v>37</v>
      </c>
      <c r="K29" s="49" t="s">
        <v>273</v>
      </c>
      <c r="L29" s="49" t="s">
        <v>274</v>
      </c>
      <c r="M29" s="49" t="s">
        <v>5</v>
      </c>
      <c r="N29" s="41"/>
      <c r="O29" s="41"/>
      <c r="P29" s="41"/>
      <c r="Q29" s="41"/>
      <c r="R29" s="41"/>
      <c r="S29" s="41"/>
      <c r="T29" s="41"/>
      <c r="U29" s="41"/>
      <c r="V29" s="41"/>
      <c r="W29" s="41"/>
      <c r="X29" s="41"/>
      <c r="Y29" s="41"/>
      <c r="Z29" s="41"/>
    </row>
    <row r="30" ht="19.5" customHeight="1">
      <c r="A30" s="35"/>
      <c r="B30" s="35"/>
      <c r="C30" s="35"/>
      <c r="D30" s="35"/>
      <c r="E30" s="144"/>
      <c r="F30" s="144"/>
      <c r="G30" s="144"/>
      <c r="H30" s="144"/>
      <c r="I30" s="35"/>
      <c r="J30" s="84" t="s">
        <v>183</v>
      </c>
      <c r="K30" s="110" t="s">
        <v>284</v>
      </c>
      <c r="L30" s="18" t="s">
        <v>285</v>
      </c>
      <c r="M30" s="29"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c r="N30" s="41"/>
      <c r="O30" s="41"/>
      <c r="P30" s="41"/>
      <c r="Q30" s="41"/>
      <c r="R30" s="41"/>
      <c r="S30" s="41"/>
      <c r="T30" s="41"/>
      <c r="U30" s="41"/>
      <c r="V30" s="41"/>
      <c r="W30" s="41"/>
      <c r="X30" s="41"/>
      <c r="Y30" s="41"/>
      <c r="Z30" s="41"/>
    </row>
    <row r="31" ht="19.5" customHeight="1">
      <c r="A31" s="35"/>
      <c r="B31" s="35"/>
      <c r="C31" s="35"/>
      <c r="D31" s="35"/>
      <c r="E31" s="144"/>
      <c r="F31" s="144"/>
      <c r="G31" s="144"/>
      <c r="H31" s="144"/>
      <c r="I31" s="35"/>
      <c r="J31" s="145" t="s">
        <v>307</v>
      </c>
      <c r="K31" s="110" t="s">
        <v>284</v>
      </c>
      <c r="L31" s="18" t="s">
        <v>284</v>
      </c>
      <c r="M31" s="29" t="s">
        <v>308</v>
      </c>
      <c r="N31" s="41"/>
      <c r="O31" s="41"/>
      <c r="P31" s="41"/>
      <c r="Q31" s="41"/>
      <c r="R31" s="41"/>
      <c r="S31" s="41"/>
      <c r="T31" s="41"/>
      <c r="U31" s="41"/>
      <c r="V31" s="41"/>
      <c r="W31" s="41"/>
      <c r="X31" s="41"/>
      <c r="Y31" s="41"/>
      <c r="Z31" s="41"/>
    </row>
    <row r="32" ht="19.5" customHeight="1">
      <c r="A32" s="35"/>
      <c r="B32" s="35"/>
      <c r="C32" s="35"/>
      <c r="D32" s="35"/>
      <c r="E32" s="1"/>
      <c r="F32" s="1"/>
      <c r="G32" s="1"/>
      <c r="H32" s="1"/>
      <c r="I32" s="35"/>
      <c r="J32" s="84" t="s">
        <v>309</v>
      </c>
      <c r="K32" s="110" t="s">
        <v>284</v>
      </c>
      <c r="L32" s="146" t="s">
        <v>284</v>
      </c>
      <c r="M32" s="29" t="str">
        <f>IF(mgmt_domain_existing_vcenter_chosen="Selected","Use the NSX Manager connected to this vCenter as the management domain NSX Manager.","Input is masked out and only required if you are importing a vCenter with an NSX Manager connected to it")</f>
        <v>Input is masked out and only required if you are importing a vCenter with an NSX Manager connected to it</v>
      </c>
      <c r="N32" s="41"/>
      <c r="O32" s="41"/>
      <c r="P32" s="41"/>
      <c r="Q32" s="41"/>
      <c r="R32" s="41"/>
      <c r="S32" s="41"/>
      <c r="T32" s="41"/>
      <c r="U32" s="41"/>
      <c r="V32" s="41"/>
      <c r="W32" s="41"/>
      <c r="X32" s="41"/>
      <c r="Y32" s="41"/>
      <c r="Z32" s="41"/>
    </row>
    <row r="33" ht="19.5" customHeight="1">
      <c r="A33" s="35"/>
      <c r="B33" s="35"/>
      <c r="C33" s="35"/>
      <c r="D33" s="35"/>
      <c r="E33" s="1"/>
      <c r="F33" s="1"/>
      <c r="G33" s="1"/>
      <c r="H33" s="1"/>
      <c r="I33" s="35"/>
      <c r="J33" s="79"/>
      <c r="K33" s="74"/>
      <c r="L33" s="147"/>
      <c r="M33" s="74"/>
      <c r="N33" s="41"/>
      <c r="O33" s="41"/>
      <c r="P33" s="41"/>
      <c r="Q33" s="41"/>
      <c r="R33" s="41"/>
      <c r="S33" s="41"/>
      <c r="T33" s="41"/>
      <c r="U33" s="41"/>
      <c r="V33" s="41"/>
      <c r="W33" s="41"/>
      <c r="X33" s="41"/>
      <c r="Y33" s="41"/>
      <c r="Z33" s="41"/>
    </row>
    <row r="34" ht="33.75" customHeight="1">
      <c r="A34" s="35"/>
      <c r="B34" s="35"/>
      <c r="C34" s="35"/>
      <c r="D34" s="35"/>
      <c r="E34" s="1"/>
      <c r="F34" s="1"/>
      <c r="G34" s="1"/>
      <c r="H34" s="1"/>
      <c r="I34" s="1"/>
      <c r="J34" s="12" t="s">
        <v>310</v>
      </c>
      <c r="K34" s="13"/>
      <c r="L34" s="13"/>
      <c r="M34" s="14"/>
      <c r="N34" s="41"/>
      <c r="O34" s="41"/>
      <c r="P34" s="41"/>
      <c r="Q34" s="41"/>
      <c r="R34" s="41"/>
      <c r="S34" s="41"/>
      <c r="T34" s="41"/>
      <c r="U34" s="41"/>
      <c r="V34" s="41"/>
      <c r="W34" s="41"/>
      <c r="X34" s="41"/>
      <c r="Y34" s="41"/>
      <c r="Z34" s="41"/>
    </row>
    <row r="35" ht="19.5" customHeight="1">
      <c r="A35" s="35"/>
      <c r="B35" s="35"/>
      <c r="C35" s="35"/>
      <c r="D35" s="35"/>
      <c r="E35" s="1"/>
      <c r="F35" s="1"/>
      <c r="G35" s="1"/>
      <c r="H35" s="1"/>
      <c r="I35" s="1"/>
      <c r="J35" s="102" t="s">
        <v>311</v>
      </c>
      <c r="K35" s="13"/>
      <c r="L35" s="13"/>
      <c r="M35" s="14"/>
      <c r="N35" s="41"/>
      <c r="O35" s="41"/>
      <c r="P35" s="41"/>
      <c r="Q35" s="41"/>
      <c r="R35" s="41"/>
      <c r="S35" s="41"/>
      <c r="T35" s="41"/>
      <c r="U35" s="41"/>
      <c r="V35" s="41"/>
      <c r="W35" s="41"/>
      <c r="X35" s="41"/>
      <c r="Y35" s="41"/>
      <c r="Z35" s="41"/>
    </row>
    <row r="36" ht="19.5" customHeight="1">
      <c r="A36" s="35"/>
      <c r="B36" s="35"/>
      <c r="C36" s="35"/>
      <c r="D36" s="35"/>
      <c r="E36" s="1"/>
      <c r="F36" s="1"/>
      <c r="G36" s="1"/>
      <c r="H36" s="1"/>
      <c r="I36" s="1"/>
      <c r="J36" s="49" t="s">
        <v>37</v>
      </c>
      <c r="K36" s="49" t="s">
        <v>273</v>
      </c>
      <c r="L36" s="49" t="s">
        <v>274</v>
      </c>
      <c r="M36" s="49" t="s">
        <v>5</v>
      </c>
      <c r="N36" s="41"/>
      <c r="O36" s="41"/>
      <c r="P36" s="41"/>
      <c r="Q36" s="41"/>
      <c r="R36" s="41"/>
      <c r="S36" s="41"/>
      <c r="T36" s="41"/>
      <c r="U36" s="41"/>
      <c r="V36" s="41"/>
      <c r="W36" s="41"/>
      <c r="X36" s="41"/>
      <c r="Y36" s="41"/>
      <c r="Z36" s="41"/>
    </row>
    <row r="37" ht="19.5" customHeight="1">
      <c r="A37" s="35"/>
      <c r="B37" s="35"/>
      <c r="C37" s="35"/>
      <c r="D37" s="35"/>
      <c r="E37" s="1"/>
      <c r="F37" s="1"/>
      <c r="G37" s="1"/>
      <c r="H37" s="1"/>
      <c r="I37" s="1"/>
      <c r="J37" s="84" t="s">
        <v>120</v>
      </c>
      <c r="K37" s="110" t="str">
        <f>vcf_version_chosen</f>
        <v>9.0.2.0</v>
      </c>
      <c r="L37" s="148" t="str">
        <f>vcf_version_chosen</f>
        <v>9.0.2.0</v>
      </c>
      <c r="M37" s="18"/>
      <c r="N37" s="41"/>
      <c r="O37" s="41"/>
      <c r="P37" s="41"/>
      <c r="Q37" s="41"/>
      <c r="R37" s="41"/>
      <c r="S37" s="41"/>
      <c r="T37" s="41"/>
      <c r="U37" s="41"/>
      <c r="V37" s="41"/>
      <c r="W37" s="41"/>
      <c r="X37" s="41"/>
      <c r="Y37" s="41"/>
      <c r="Z37" s="41"/>
    </row>
    <row r="38" ht="19.5" customHeight="1">
      <c r="A38" s="35"/>
      <c r="B38" s="35"/>
      <c r="C38" s="35"/>
      <c r="D38" s="35"/>
      <c r="E38" s="1"/>
      <c r="F38" s="1"/>
      <c r="G38" s="1"/>
      <c r="H38" s="1"/>
      <c r="I38" s="1"/>
      <c r="J38" s="84" t="s">
        <v>312</v>
      </c>
      <c r="K38" s="149" t="str">
        <f>IF(mgmt_domain_chosen="First Instance","San Francisco","Los Angeles")</f>
        <v>Los Angeles</v>
      </c>
      <c r="L38" s="148"/>
      <c r="M38" s="18" t="s">
        <v>313</v>
      </c>
      <c r="N38" s="41"/>
      <c r="O38" s="41"/>
      <c r="P38" s="41"/>
      <c r="Q38" s="41"/>
      <c r="R38" s="41"/>
      <c r="S38" s="41"/>
      <c r="T38" s="41"/>
      <c r="U38" s="41"/>
      <c r="V38" s="41"/>
      <c r="W38" s="41"/>
      <c r="X38" s="41"/>
      <c r="Y38" s="41"/>
      <c r="Z38" s="41"/>
    </row>
    <row r="39" ht="19.5" customHeight="1">
      <c r="A39" s="35"/>
      <c r="B39" s="35"/>
      <c r="C39" s="35"/>
      <c r="D39" s="35"/>
      <c r="E39" s="1"/>
      <c r="F39" s="1"/>
      <c r="G39" s="1"/>
      <c r="H39" s="1"/>
      <c r="I39" s="1"/>
      <c r="J39" s="84" t="s">
        <v>314</v>
      </c>
      <c r="K39" s="110" t="str">
        <f>CONCATENATE(this_instance,"-m01")</f>
        <v>lax-m01</v>
      </c>
      <c r="L39" s="18"/>
      <c r="M39" s="18"/>
      <c r="N39" s="41"/>
      <c r="O39" s="41"/>
      <c r="P39" s="41"/>
      <c r="Q39" s="41"/>
      <c r="R39" s="41"/>
      <c r="S39" s="41"/>
      <c r="T39" s="41"/>
      <c r="U39" s="41"/>
      <c r="V39" s="41"/>
      <c r="W39" s="41"/>
      <c r="X39" s="41"/>
      <c r="Y39" s="41"/>
      <c r="Z39" s="41"/>
    </row>
    <row r="40" ht="19.5" customHeight="1">
      <c r="A40" s="35"/>
      <c r="B40" s="35"/>
      <c r="C40" s="35"/>
      <c r="D40" s="35"/>
      <c r="E40" s="1"/>
      <c r="F40" s="1"/>
      <c r="G40" s="1"/>
      <c r="H40" s="1"/>
      <c r="I40" s="1"/>
      <c r="J40" s="84" t="s">
        <v>315</v>
      </c>
      <c r="K40" s="110" t="s">
        <v>284</v>
      </c>
      <c r="L40" s="18" t="s">
        <v>284</v>
      </c>
      <c r="M40" s="29" t="str">
        <f>IF(mgmt_domain_ops_automation_later_chosen="Selected","Use Deploy Fleet Management Day-N sheet to capture inputs","Select to perform deployment of VCF Operations and VCF Automation post Management Domain Creation")</f>
        <v>Select to perform deployment of VCF Operations and VCF Automation post Management Domain Creation</v>
      </c>
      <c r="N40" s="41"/>
      <c r="O40" s="41"/>
      <c r="P40" s="41"/>
      <c r="Q40" s="41"/>
      <c r="R40" s="41"/>
      <c r="S40" s="41"/>
      <c r="T40" s="41"/>
      <c r="U40" s="41"/>
      <c r="V40" s="41"/>
      <c r="W40" s="41"/>
      <c r="X40" s="41"/>
      <c r="Y40" s="41"/>
      <c r="Z40" s="41"/>
    </row>
    <row r="41" ht="19.5" customHeight="1">
      <c r="A41" s="35"/>
      <c r="B41" s="35"/>
      <c r="C41" s="35"/>
      <c r="D41" s="35"/>
      <c r="E41" s="1"/>
      <c r="F41" s="1"/>
      <c r="G41" s="1"/>
      <c r="H41" s="1"/>
      <c r="I41" s="1"/>
      <c r="J41" s="84" t="s">
        <v>316</v>
      </c>
      <c r="K41" s="110" t="s">
        <v>317</v>
      </c>
      <c r="L41" s="18" t="s">
        <v>318</v>
      </c>
      <c r="M41" s="29" t="s">
        <v>319</v>
      </c>
      <c r="N41" s="41"/>
      <c r="O41" s="41"/>
      <c r="P41" s="41"/>
      <c r="Q41" s="41"/>
      <c r="R41" s="41"/>
      <c r="S41" s="41"/>
      <c r="T41" s="41"/>
      <c r="U41" s="41"/>
      <c r="V41" s="41"/>
      <c r="W41" s="41"/>
      <c r="X41" s="41"/>
      <c r="Y41" s="41"/>
      <c r="Z41" s="41"/>
    </row>
    <row r="42" ht="19.5" customHeight="1">
      <c r="A42" s="35"/>
      <c r="B42" s="35"/>
      <c r="C42" s="35"/>
      <c r="D42" s="35"/>
      <c r="E42" s="1"/>
      <c r="F42" s="1"/>
      <c r="G42" s="1"/>
      <c r="H42" s="1"/>
      <c r="I42" s="1"/>
      <c r="J42" s="102" t="s">
        <v>88</v>
      </c>
      <c r="K42" s="13"/>
      <c r="L42" s="13"/>
      <c r="M42" s="14"/>
      <c r="N42" s="41"/>
      <c r="O42" s="41"/>
      <c r="P42" s="41"/>
      <c r="Q42" s="41"/>
      <c r="R42" s="41"/>
      <c r="S42" s="41"/>
      <c r="T42" s="41"/>
      <c r="U42" s="41"/>
      <c r="V42" s="41"/>
      <c r="W42" s="41"/>
      <c r="X42" s="41"/>
      <c r="Y42" s="41"/>
      <c r="Z42" s="41"/>
    </row>
    <row r="43" ht="19.5" customHeight="1">
      <c r="A43" s="35"/>
      <c r="B43" s="35"/>
      <c r="C43" s="35"/>
      <c r="D43" s="35"/>
      <c r="E43" s="1"/>
      <c r="F43" s="1"/>
      <c r="G43" s="1"/>
      <c r="H43" s="1"/>
      <c r="I43" s="1"/>
      <c r="J43" s="84" t="s">
        <v>320</v>
      </c>
      <c r="K43" s="110" t="s">
        <v>77</v>
      </c>
      <c r="L43" s="18"/>
      <c r="M43" s="18" t="str">
        <f>IF(mgmt_domain_existing_vcenter_chosen="Selected","Inputs are masked out as you are importing a vCenter. DNS inputs will be captured from vCenter during import","")</f>
        <v/>
      </c>
      <c r="N43" s="41"/>
      <c r="O43" s="41"/>
      <c r="P43" s="41"/>
      <c r="Q43" s="41"/>
      <c r="R43" s="41"/>
      <c r="S43" s="41"/>
      <c r="T43" s="41"/>
      <c r="U43" s="41"/>
      <c r="V43" s="41"/>
      <c r="W43" s="41"/>
      <c r="X43" s="41"/>
      <c r="Y43" s="41"/>
      <c r="Z43" s="41"/>
    </row>
    <row r="44" ht="19.5" customHeight="1">
      <c r="A44" s="35"/>
      <c r="B44" s="35"/>
      <c r="C44" s="35"/>
      <c r="D44" s="35"/>
      <c r="E44" s="1"/>
      <c r="F44" s="1"/>
      <c r="G44" s="1"/>
      <c r="H44" s="1"/>
      <c r="I44" s="1"/>
      <c r="J44" s="84" t="s">
        <v>321</v>
      </c>
      <c r="K44" s="110" t="str">
        <f>IF(mgmt_dpg_reuse_result="Included",CONCATENATE(prefix_mgmt_az1_cidr,"10.4"),CONCATENATE(prefix_mgmt_az1_cidr,"11.4"))</f>
        <v>10.21.10.4</v>
      </c>
      <c r="L44" s="18"/>
      <c r="M44" s="18" t="str">
        <f>IF(mgmt_domain_existing_vcenter_chosen="Selected","Inputs are masked out as you are importing a vCenter. DNS inputs will be captured from vCenter during import","")</f>
        <v/>
      </c>
      <c r="N44" s="41"/>
      <c r="O44" s="41"/>
      <c r="P44" s="41"/>
      <c r="Q44" s="41"/>
      <c r="R44" s="41"/>
      <c r="S44" s="41"/>
      <c r="T44" s="41"/>
      <c r="U44" s="41"/>
      <c r="V44" s="41"/>
      <c r="W44" s="41"/>
      <c r="X44" s="41"/>
      <c r="Y44" s="41"/>
      <c r="Z44" s="41"/>
    </row>
    <row r="45" ht="19.5" customHeight="1">
      <c r="A45" s="35"/>
      <c r="B45" s="35"/>
      <c r="C45" s="35"/>
      <c r="D45" s="35"/>
      <c r="E45" s="1"/>
      <c r="F45" s="1"/>
      <c r="G45" s="1"/>
      <c r="H45" s="1"/>
      <c r="I45" s="1"/>
      <c r="J45" s="84" t="s">
        <v>322</v>
      </c>
      <c r="K45" s="110" t="str">
        <f>IF(mgmt_dpg_reuse_result="Included",CONCATENATE(prefix_mgmt_az1_cidr,"10.5"),CONCATENATE(prefix_mgmt_az1_cidr,"11.5"))</f>
        <v>10.21.10.5</v>
      </c>
      <c r="L45" s="18"/>
      <c r="M45" s="18" t="str">
        <f>IF(mgmt_domain_existing_vcenter_chosen="Selected","Inputs are masked out as you are importing a vCenter. DNS inputs will be captured from vCenter during import","")</f>
        <v/>
      </c>
      <c r="N45" s="41"/>
      <c r="O45" s="41"/>
      <c r="P45" s="41"/>
      <c r="Q45" s="41"/>
      <c r="R45" s="41"/>
      <c r="S45" s="41"/>
      <c r="T45" s="41"/>
      <c r="U45" s="41"/>
      <c r="V45" s="41"/>
      <c r="W45" s="41"/>
      <c r="X45" s="41"/>
      <c r="Y45" s="41"/>
      <c r="Z45" s="41"/>
    </row>
    <row r="46" ht="19.5" customHeight="1">
      <c r="A46" s="35"/>
      <c r="B46" s="35"/>
      <c r="C46" s="35"/>
      <c r="D46" s="35"/>
      <c r="E46" s="144"/>
      <c r="F46" s="144"/>
      <c r="G46" s="144"/>
      <c r="H46" s="144"/>
      <c r="I46" s="1"/>
      <c r="J46" s="102" t="s">
        <v>100</v>
      </c>
      <c r="K46" s="13"/>
      <c r="L46" s="13"/>
      <c r="M46" s="14"/>
      <c r="N46" s="41"/>
      <c r="O46" s="41"/>
      <c r="P46" s="41"/>
      <c r="Q46" s="41"/>
      <c r="R46" s="41"/>
      <c r="S46" s="41"/>
      <c r="T46" s="41"/>
      <c r="U46" s="41"/>
      <c r="V46" s="41"/>
      <c r="W46" s="41"/>
      <c r="X46" s="41"/>
      <c r="Y46" s="41"/>
      <c r="Z46" s="41"/>
    </row>
    <row r="47" ht="19.5" customHeight="1">
      <c r="A47" s="35"/>
      <c r="B47" s="35"/>
      <c r="C47" s="35"/>
      <c r="D47" s="35"/>
      <c r="E47" s="144"/>
      <c r="F47" s="144"/>
      <c r="G47" s="144"/>
      <c r="H47" s="144"/>
      <c r="I47" s="1"/>
      <c r="J47" s="84" t="s">
        <v>321</v>
      </c>
      <c r="K47" s="111" t="str">
        <f>CONCATENATE("ntp0.",this_instance,".rainpole.io")</f>
        <v>ntp0.lax.rainpole.io</v>
      </c>
      <c r="L47" s="18"/>
      <c r="M47" s="18" t="str">
        <f>IF(mgmt_domain_existing_vcenter_chosen="Selected","Inputs are masked out as you are importing a vCenter. NTP inputs will be captured from vCenter during import","")</f>
        <v/>
      </c>
      <c r="N47" s="41"/>
      <c r="O47" s="41"/>
      <c r="P47" s="41"/>
      <c r="Q47" s="41"/>
      <c r="R47" s="41"/>
      <c r="S47" s="41"/>
      <c r="T47" s="41"/>
      <c r="U47" s="41"/>
      <c r="V47" s="41"/>
      <c r="W47" s="41"/>
      <c r="X47" s="41"/>
      <c r="Y47" s="41"/>
      <c r="Z47" s="41"/>
    </row>
    <row r="48" ht="19.5" customHeight="1">
      <c r="A48" s="35"/>
      <c r="B48" s="35"/>
      <c r="C48" s="35"/>
      <c r="D48" s="35"/>
      <c r="E48" s="144"/>
      <c r="F48" s="144"/>
      <c r="G48" s="144"/>
      <c r="H48" s="144"/>
      <c r="I48" s="35"/>
      <c r="J48" s="84" t="s">
        <v>322</v>
      </c>
      <c r="K48" s="111" t="str">
        <f>CONCATENATE("ntp1.",this_instance,".rainpole.io")</f>
        <v>ntp1.lax.rainpole.io</v>
      </c>
      <c r="L48" s="18"/>
      <c r="M48" s="18" t="str">
        <f>IF(mgmt_domain_existing_vcenter_chosen="Selected","Inputs are masked out as you are importing a vCenter. NTP inputs will be captured from vCenter during import","")</f>
        <v/>
      </c>
      <c r="N48" s="41"/>
      <c r="O48" s="41"/>
      <c r="P48" s="41"/>
      <c r="Q48" s="41"/>
      <c r="R48" s="41"/>
      <c r="S48" s="41"/>
      <c r="T48" s="41"/>
      <c r="U48" s="41"/>
      <c r="V48" s="41"/>
      <c r="W48" s="41"/>
      <c r="X48" s="41"/>
      <c r="Y48" s="41"/>
      <c r="Z48" s="41"/>
    </row>
    <row r="49" ht="18.75" customHeight="1">
      <c r="A49" s="35"/>
      <c r="B49" s="35"/>
      <c r="C49" s="35"/>
      <c r="D49" s="35"/>
      <c r="E49" s="35"/>
      <c r="F49" s="35"/>
      <c r="G49" s="35"/>
      <c r="H49" s="35"/>
      <c r="I49" s="35"/>
      <c r="J49" s="84" t="s">
        <v>323</v>
      </c>
      <c r="K49" s="110" t="s">
        <v>284</v>
      </c>
      <c r="L49" s="18" t="s">
        <v>284</v>
      </c>
      <c r="M49" s="18"/>
      <c r="N49" s="41"/>
      <c r="O49" s="41"/>
      <c r="P49" s="41"/>
      <c r="Q49" s="41"/>
      <c r="R49" s="41"/>
      <c r="S49" s="41"/>
      <c r="T49" s="41"/>
      <c r="U49" s="41"/>
      <c r="V49" s="41"/>
      <c r="W49" s="41"/>
      <c r="X49" s="41"/>
      <c r="Y49" s="41"/>
      <c r="Z49" s="41"/>
    </row>
    <row r="50" ht="19.5" customHeight="1">
      <c r="A50" s="35"/>
      <c r="B50" s="35"/>
      <c r="C50" s="35"/>
      <c r="D50" s="35"/>
      <c r="E50" s="1"/>
      <c r="F50" s="1"/>
      <c r="G50" s="1"/>
      <c r="H50" s="1"/>
      <c r="I50" s="1"/>
      <c r="J50" s="84" t="s">
        <v>324</v>
      </c>
      <c r="K50" s="110" t="s">
        <v>285</v>
      </c>
      <c r="L50" s="18" t="s">
        <v>284</v>
      </c>
      <c r="M50" s="18"/>
      <c r="N50" s="41"/>
      <c r="O50" s="41"/>
      <c r="P50" s="41"/>
      <c r="Q50" s="41"/>
      <c r="R50" s="41"/>
      <c r="S50" s="41"/>
      <c r="T50" s="41"/>
      <c r="U50" s="41"/>
      <c r="V50" s="41"/>
      <c r="W50" s="41"/>
      <c r="X50" s="41"/>
      <c r="Y50" s="41"/>
      <c r="Z50" s="41"/>
    </row>
    <row r="51" ht="19.5" customHeight="1">
      <c r="A51" s="35"/>
      <c r="B51" s="35"/>
      <c r="C51" s="35"/>
      <c r="D51" s="35"/>
      <c r="E51" s="35"/>
      <c r="F51" s="35"/>
      <c r="G51" s="35"/>
      <c r="H51" s="35"/>
      <c r="I51" s="35"/>
      <c r="J51" s="79"/>
      <c r="K51" s="74"/>
      <c r="L51" s="74"/>
      <c r="M51" s="74"/>
      <c r="N51" s="41"/>
      <c r="O51" s="41"/>
      <c r="P51" s="41"/>
      <c r="Q51" s="41"/>
      <c r="R51" s="41"/>
      <c r="S51" s="41"/>
      <c r="T51" s="41"/>
      <c r="U51" s="41"/>
      <c r="V51" s="41"/>
      <c r="W51" s="41"/>
      <c r="X51" s="41"/>
      <c r="Y51" s="41"/>
      <c r="Z51" s="41"/>
    </row>
    <row r="52" ht="33.75" customHeight="1">
      <c r="A52" s="35"/>
      <c r="B52" s="35"/>
      <c r="C52" s="35"/>
      <c r="D52" s="35"/>
      <c r="E52" s="35"/>
      <c r="F52" s="35"/>
      <c r="G52" s="35"/>
      <c r="H52" s="35"/>
      <c r="I52" s="35"/>
      <c r="J52" s="12" t="s">
        <v>183</v>
      </c>
      <c r="K52" s="13"/>
      <c r="L52" s="13"/>
      <c r="M52" s="14"/>
      <c r="N52" s="41"/>
      <c r="O52" s="41"/>
      <c r="P52" s="41"/>
      <c r="Q52" s="41"/>
      <c r="R52" s="41"/>
      <c r="S52" s="41"/>
      <c r="T52" s="41"/>
      <c r="U52" s="41"/>
      <c r="V52" s="41"/>
      <c r="W52" s="41"/>
      <c r="X52" s="41"/>
      <c r="Y52" s="41"/>
      <c r="Z52" s="41"/>
    </row>
    <row r="53" ht="19.5" customHeight="1">
      <c r="A53" s="35"/>
      <c r="B53" s="35"/>
      <c r="C53" s="35"/>
      <c r="D53" s="35"/>
      <c r="E53" s="35"/>
      <c r="F53" s="35"/>
      <c r="G53" s="35"/>
      <c r="H53" s="35"/>
      <c r="I53" s="35"/>
      <c r="J53" s="102" t="s">
        <v>325</v>
      </c>
      <c r="K53" s="13"/>
      <c r="L53" s="13"/>
      <c r="M53" s="14"/>
      <c r="N53" s="41"/>
      <c r="O53" s="41"/>
      <c r="P53" s="41"/>
      <c r="Q53" s="41"/>
      <c r="R53" s="41"/>
      <c r="S53" s="41"/>
      <c r="T53" s="41"/>
      <c r="U53" s="41"/>
      <c r="V53" s="41"/>
      <c r="W53" s="41"/>
      <c r="X53" s="41"/>
      <c r="Y53" s="41"/>
      <c r="Z53" s="41"/>
    </row>
    <row r="54" ht="19.5" customHeight="1">
      <c r="A54" s="35"/>
      <c r="B54" s="35"/>
      <c r="C54" s="35"/>
      <c r="D54" s="35"/>
      <c r="E54" s="35"/>
      <c r="F54" s="35"/>
      <c r="G54" s="35"/>
      <c r="H54" s="35"/>
      <c r="I54" s="35"/>
      <c r="J54" s="49" t="s">
        <v>37</v>
      </c>
      <c r="K54" s="49" t="s">
        <v>273</v>
      </c>
      <c r="L54" s="49" t="s">
        <v>274</v>
      </c>
      <c r="M54" s="49" t="s">
        <v>5</v>
      </c>
      <c r="N54" s="41"/>
      <c r="O54" s="41"/>
      <c r="P54" s="41"/>
      <c r="Q54" s="41"/>
      <c r="R54" s="41"/>
      <c r="S54" s="41"/>
      <c r="T54" s="41"/>
      <c r="U54" s="41"/>
      <c r="V54" s="41"/>
      <c r="W54" s="41"/>
      <c r="X54" s="41"/>
      <c r="Y54" s="41"/>
      <c r="Z54" s="41"/>
    </row>
    <row r="55" ht="19.5" customHeight="1">
      <c r="A55" s="35"/>
      <c r="B55" s="35"/>
      <c r="C55" s="35"/>
      <c r="D55" s="35"/>
      <c r="E55" s="35"/>
      <c r="F55" s="35"/>
      <c r="G55" s="35"/>
      <c r="H55" s="35"/>
      <c r="I55" s="35"/>
      <c r="J55" s="102" t="s">
        <v>183</v>
      </c>
      <c r="K55" s="13"/>
      <c r="L55" s="13"/>
      <c r="M55" s="14"/>
      <c r="N55" s="41"/>
      <c r="O55" s="41"/>
      <c r="P55" s="41"/>
      <c r="Q55" s="41"/>
      <c r="R55" s="41"/>
      <c r="S55" s="41"/>
      <c r="T55" s="41"/>
      <c r="U55" s="41"/>
      <c r="V55" s="41"/>
      <c r="W55" s="41"/>
      <c r="X55" s="41"/>
      <c r="Y55" s="41"/>
      <c r="Z55" s="41"/>
    </row>
    <row r="56" ht="19.5" customHeight="1">
      <c r="A56" s="35"/>
      <c r="B56" s="35"/>
      <c r="C56" s="35"/>
      <c r="D56" s="35"/>
      <c r="E56" s="35"/>
      <c r="F56" s="35"/>
      <c r="G56" s="35"/>
      <c r="H56" s="35"/>
      <c r="I56" s="35"/>
      <c r="J56" s="84" t="s">
        <v>326</v>
      </c>
      <c r="K56" s="110" t="s">
        <v>212</v>
      </c>
      <c r="L56" s="18" t="s">
        <v>212</v>
      </c>
      <c r="M56" s="18" t="str">
        <f>IF(mgmt_domain_ops_automation_later_chosen="Selected","Inputs are masked out as you have opted to deploy VCF Ops and Automation post MGMT Domain deployment",CONCATENATE(IF(mgmt_vcfops_appliance_size_chosen="Extra Small","2 vCPU, 8GB RAM, 274 GB Storage",
IF(mgmt_vcfops_appliance_size_chosen="Small","4 vCPU, 16GB RAM, 274 GB Storage",
IF(mgmt_vcfops_appliance_size_chosen="Medium","8 vCPU, 32GB RAM, 274 GB Storage",
IF(mgmt_vcfops_appliance_size_chosen="Large","16 vCPU, 48GB RAM, 274 GB Storage",
IF(mgmt_vcfops_appliance_size_chosen="Extra Large","24 vCPU, 128GB RAM, 274 GB Storage",
)))))," Per Appliance"))</f>
        <v>8 vCPU, 32GB RAM, 274 GB Storage Per Appliance</v>
      </c>
      <c r="N56" s="41"/>
      <c r="O56" s="41"/>
      <c r="P56" s="41"/>
      <c r="Q56" s="41"/>
      <c r="R56" s="41"/>
      <c r="S56" s="41"/>
      <c r="T56" s="41"/>
      <c r="U56" s="41"/>
      <c r="V56" s="41"/>
      <c r="W56" s="41"/>
      <c r="X56" s="41"/>
      <c r="Y56" s="41"/>
      <c r="Z56" s="41"/>
    </row>
    <row r="57" ht="19.5" customHeight="1">
      <c r="A57" s="35"/>
      <c r="B57" s="35"/>
      <c r="C57" s="35"/>
      <c r="D57" s="35"/>
      <c r="E57" s="35"/>
      <c r="F57" s="35"/>
      <c r="G57" s="35"/>
      <c r="H57" s="35"/>
      <c r="I57" s="35"/>
      <c r="J57" s="84" t="s">
        <v>327</v>
      </c>
      <c r="K57" s="150" t="str">
        <f>CONCATENATE(prefix_portable_component,"-ops01a.",sample_parent_dns_zone)</f>
        <v>flt-ops01a.rainpole.io</v>
      </c>
      <c r="L57" s="18"/>
      <c r="M57" s="18"/>
      <c r="N57" s="41"/>
      <c r="O57" s="41"/>
      <c r="P57" s="41"/>
      <c r="Q57" s="41"/>
      <c r="R57" s="41"/>
      <c r="S57" s="41"/>
      <c r="T57" s="41"/>
      <c r="U57" s="41"/>
      <c r="V57" s="41"/>
      <c r="W57" s="41"/>
      <c r="X57" s="41"/>
      <c r="Y57" s="41"/>
      <c r="Z57" s="41"/>
    </row>
    <row r="58" ht="19.5" customHeight="1">
      <c r="A58" s="35"/>
      <c r="B58" s="35"/>
      <c r="C58" s="35"/>
      <c r="D58" s="35"/>
      <c r="E58" s="35"/>
      <c r="F58" s="35"/>
      <c r="G58" s="35"/>
      <c r="H58" s="35"/>
      <c r="I58" s="35"/>
      <c r="J58" s="84" t="s">
        <v>328</v>
      </c>
      <c r="K58" s="150" t="str">
        <f>CONCATENATE(prefix_portable_component,"-ops01b.",sample_parent_dns_zone)</f>
        <v>flt-ops01b.rainpole.io</v>
      </c>
      <c r="L58" s="18"/>
      <c r="M58" s="18"/>
      <c r="N58" s="41"/>
      <c r="O58" s="41"/>
      <c r="P58" s="41"/>
      <c r="Q58" s="41"/>
      <c r="R58" s="41"/>
      <c r="S58" s="41"/>
      <c r="T58" s="41"/>
      <c r="U58" s="41"/>
      <c r="V58" s="41"/>
      <c r="W58" s="41"/>
      <c r="X58" s="41"/>
      <c r="Y58" s="41"/>
      <c r="Z58" s="41"/>
    </row>
    <row r="59" ht="19.5" customHeight="1">
      <c r="A59" s="35"/>
      <c r="B59" s="35"/>
      <c r="C59" s="35"/>
      <c r="D59" s="35"/>
      <c r="E59" s="35"/>
      <c r="F59" s="35"/>
      <c r="G59" s="35"/>
      <c r="H59" s="35"/>
      <c r="I59" s="35"/>
      <c r="J59" s="84" t="s">
        <v>329</v>
      </c>
      <c r="K59" s="111" t="str">
        <f>CONCATENATE(prefix_portable_component,"-ops01c.",sample_parent_dns_zone)</f>
        <v>flt-ops01c.rainpole.io</v>
      </c>
      <c r="L59" s="18"/>
      <c r="M59" s="18"/>
      <c r="N59" s="41"/>
      <c r="O59" s="41"/>
      <c r="P59" s="41"/>
      <c r="Q59" s="41"/>
      <c r="R59" s="41"/>
      <c r="S59" s="41"/>
      <c r="T59" s="41"/>
      <c r="U59" s="41"/>
      <c r="V59" s="41"/>
      <c r="W59" s="41"/>
      <c r="X59" s="41"/>
      <c r="Y59" s="41"/>
      <c r="Z59" s="41"/>
    </row>
    <row r="60" ht="19.5" customHeight="1">
      <c r="A60" s="35"/>
      <c r="B60" s="35"/>
      <c r="C60" s="35"/>
      <c r="D60" s="35"/>
      <c r="E60" s="35"/>
      <c r="F60" s="35"/>
      <c r="G60" s="35"/>
      <c r="H60" s="35"/>
      <c r="I60" s="35"/>
      <c r="J60" s="145" t="s">
        <v>330</v>
      </c>
      <c r="K60" s="151" t="s">
        <v>297</v>
      </c>
      <c r="L60" s="152"/>
      <c r="M60" s="29" t="str">
        <f>IF(mgmt_domain_password_creation_chosen="Selected","Inputs are masked out as you have opted to deploy with system generated passwords","Minimum 15 Characters, 1 Uppercase, 1 Special")</f>
        <v>Minimum 15 Characters, 1 Uppercase, 1 Special</v>
      </c>
      <c r="N60" s="41"/>
      <c r="O60" s="41"/>
      <c r="P60" s="41"/>
      <c r="Q60" s="41"/>
      <c r="R60" s="41"/>
      <c r="S60" s="41"/>
      <c r="T60" s="41"/>
      <c r="U60" s="41"/>
      <c r="V60" s="41"/>
      <c r="W60" s="41"/>
      <c r="X60" s="41"/>
      <c r="Y60" s="41"/>
      <c r="Z60" s="41"/>
    </row>
    <row r="61" ht="19.5" customHeight="1">
      <c r="A61" s="35"/>
      <c r="B61" s="35"/>
      <c r="C61" s="35"/>
      <c r="D61" s="35"/>
      <c r="E61" s="35"/>
      <c r="F61" s="35"/>
      <c r="G61" s="35"/>
      <c r="H61" s="35"/>
      <c r="I61" s="35"/>
      <c r="J61" s="84" t="s">
        <v>331</v>
      </c>
      <c r="K61" s="110" t="s">
        <v>297</v>
      </c>
      <c r="L61" s="153"/>
      <c r="M61" s="18" t="str">
        <f>IF(mgmt_domain_password_creation_chosen="Selected","Inputs are masked out as you have opted to deploy with system generated passwords","Minimum 15 Characters, 1 Uppercase, 1 Special")</f>
        <v>Minimum 15 Characters, 1 Uppercase, 1 Special</v>
      </c>
      <c r="N61" s="41"/>
      <c r="O61" s="41"/>
      <c r="P61" s="41"/>
      <c r="Q61" s="41"/>
      <c r="R61" s="41"/>
      <c r="S61" s="41"/>
      <c r="T61" s="41"/>
      <c r="U61" s="41"/>
      <c r="V61" s="41"/>
      <c r="W61" s="41"/>
      <c r="X61" s="41"/>
      <c r="Y61" s="41"/>
      <c r="Z61" s="41"/>
    </row>
    <row r="62" ht="19.5" customHeight="1">
      <c r="A62" s="35"/>
      <c r="B62" s="35"/>
      <c r="C62" s="35"/>
      <c r="D62" s="35"/>
      <c r="E62" s="35"/>
      <c r="F62" s="35"/>
      <c r="G62" s="35"/>
      <c r="H62" s="35"/>
      <c r="I62" s="35"/>
      <c r="J62" s="102" t="s">
        <v>332</v>
      </c>
      <c r="K62" s="13"/>
      <c r="L62" s="13"/>
      <c r="M62" s="14"/>
      <c r="N62" s="41"/>
      <c r="O62" s="41"/>
      <c r="P62" s="41"/>
      <c r="Q62" s="41"/>
      <c r="R62" s="41"/>
      <c r="S62" s="41"/>
      <c r="T62" s="41"/>
      <c r="U62" s="41"/>
      <c r="V62" s="41"/>
      <c r="W62" s="41"/>
      <c r="X62" s="41"/>
      <c r="Y62" s="41"/>
      <c r="Z62" s="41"/>
    </row>
    <row r="63" ht="19.5" customHeight="1">
      <c r="A63" s="35"/>
      <c r="B63" s="35"/>
      <c r="C63" s="35"/>
      <c r="D63" s="35"/>
      <c r="E63" s="35"/>
      <c r="F63" s="35"/>
      <c r="G63" s="35"/>
      <c r="H63" s="35"/>
      <c r="I63" s="35"/>
      <c r="J63" s="84" t="s">
        <v>333</v>
      </c>
      <c r="K63" s="150" t="str">
        <f>CONCATENATE(prefix_portable_component,"-ops01.",sample_parent_dns_zone)</f>
        <v>flt-ops01.rainpole.io</v>
      </c>
      <c r="L63" s="18"/>
      <c r="M63" s="18" t="s">
        <v>334</v>
      </c>
      <c r="N63" s="41"/>
      <c r="O63" s="41"/>
      <c r="P63" s="41"/>
      <c r="Q63" s="41"/>
      <c r="R63" s="41"/>
      <c r="S63" s="41"/>
      <c r="T63" s="41"/>
      <c r="U63" s="41"/>
      <c r="V63" s="41"/>
      <c r="W63" s="41"/>
      <c r="X63" s="41"/>
      <c r="Y63" s="41"/>
      <c r="Z63" s="41"/>
    </row>
    <row r="64" ht="19.5" customHeight="1">
      <c r="A64" s="35"/>
      <c r="B64" s="35"/>
      <c r="C64" s="35"/>
      <c r="D64" s="35"/>
      <c r="E64" s="35"/>
      <c r="F64" s="35"/>
      <c r="G64" s="35"/>
      <c r="H64" s="35"/>
      <c r="I64" s="35"/>
      <c r="J64" s="102" t="s">
        <v>335</v>
      </c>
      <c r="K64" s="13"/>
      <c r="L64" s="13"/>
      <c r="M64" s="14"/>
      <c r="N64" s="41"/>
      <c r="O64" s="41"/>
      <c r="P64" s="41"/>
      <c r="Q64" s="41"/>
      <c r="R64" s="41"/>
      <c r="S64" s="41"/>
      <c r="T64" s="41"/>
      <c r="U64" s="41"/>
      <c r="V64" s="41"/>
      <c r="W64" s="41"/>
      <c r="X64" s="41"/>
      <c r="Y64" s="41"/>
      <c r="Z64" s="41"/>
    </row>
    <row r="65" ht="19.5" customHeight="1">
      <c r="A65" s="35"/>
      <c r="B65" s="35"/>
      <c r="C65" s="35"/>
      <c r="D65" s="35"/>
      <c r="E65" s="35"/>
      <c r="F65" s="35"/>
      <c r="G65" s="35"/>
      <c r="H65" s="35"/>
      <c r="I65" s="35"/>
      <c r="J65" s="84" t="s">
        <v>336</v>
      </c>
      <c r="K65" s="111" t="str">
        <f>CONCATENATE(prefix_portable_component,"-fm01.",sample_parent_dns_zone)</f>
        <v>flt-fm01.rainpole.io</v>
      </c>
      <c r="L65" s="18"/>
      <c r="M65" s="31" t="str">
        <f>IF(mgmt_domain_ops_automation_later_chosen="Selected","Inputs are masked out as you have opted to deploy VCF Ops and Automation post MGMT Domain deployment","4 vCPU, 12GB RAM, 194GB Storage")</f>
        <v>4 vCPU, 12GB RAM, 194GB Storage</v>
      </c>
      <c r="N65" s="41"/>
      <c r="O65" s="41"/>
      <c r="P65" s="41"/>
      <c r="Q65" s="41"/>
      <c r="R65" s="41"/>
      <c r="S65" s="41"/>
      <c r="T65" s="41"/>
      <c r="U65" s="41"/>
      <c r="V65" s="41"/>
      <c r="W65" s="41"/>
      <c r="X65" s="41"/>
      <c r="Y65" s="41"/>
      <c r="Z65" s="41"/>
    </row>
    <row r="66" ht="19.5" customHeight="1">
      <c r="A66" s="35"/>
      <c r="B66" s="35"/>
      <c r="C66" s="35"/>
      <c r="D66" s="35"/>
      <c r="E66" s="35"/>
      <c r="F66" s="35"/>
      <c r="G66" s="35"/>
      <c r="H66" s="35"/>
      <c r="I66" s="35"/>
      <c r="J66" s="84" t="s">
        <v>337</v>
      </c>
      <c r="K66" s="110" t="s">
        <v>284</v>
      </c>
      <c r="L66" s="18" t="s">
        <v>284</v>
      </c>
      <c r="M66" s="18" t="str">
        <f>IF(mgmt_domain_password_creation_chosen="Selected","Inputs are masked out as you have opted to deploy with system generated passwords","")</f>
        <v/>
      </c>
      <c r="N66" s="41"/>
      <c r="O66" s="41"/>
      <c r="P66" s="41"/>
      <c r="Q66" s="41"/>
      <c r="R66" s="41"/>
      <c r="S66" s="41"/>
      <c r="T66" s="41"/>
      <c r="U66" s="41"/>
      <c r="V66" s="41"/>
      <c r="W66" s="41"/>
      <c r="X66" s="41"/>
      <c r="Y66" s="41"/>
      <c r="Z66" s="41"/>
    </row>
    <row r="67" ht="19.5" customHeight="1">
      <c r="A67" s="35"/>
      <c r="B67" s="35"/>
      <c r="C67" s="35"/>
      <c r="D67" s="35"/>
      <c r="E67" s="35"/>
      <c r="F67" s="35"/>
      <c r="G67" s="35"/>
      <c r="H67" s="35"/>
      <c r="I67" s="35"/>
      <c r="J67" s="84" t="s">
        <v>330</v>
      </c>
      <c r="K67" s="110" t="s">
        <v>297</v>
      </c>
      <c r="L67" s="18"/>
      <c r="M67" s="18" t="str">
        <f>IF(mgmt_domain_password_creation_chosen="Selected","Inputs are masked out as you have opted to deploy with system generated passwords","Minimum 15 Characters, 1 Uppercase, 1 Special")</f>
        <v>Minimum 15 Characters, 1 Uppercase, 1 Special</v>
      </c>
      <c r="N67" s="41"/>
      <c r="O67" s="41"/>
      <c r="P67" s="41"/>
      <c r="Q67" s="41"/>
      <c r="R67" s="41"/>
      <c r="S67" s="41"/>
      <c r="T67" s="41"/>
      <c r="U67" s="41"/>
      <c r="V67" s="41"/>
      <c r="W67" s="41"/>
      <c r="X67" s="41"/>
      <c r="Y67" s="41"/>
      <c r="Z67" s="41"/>
    </row>
    <row r="68" ht="19.5" customHeight="1">
      <c r="A68" s="35"/>
      <c r="B68" s="35"/>
      <c r="C68" s="35"/>
      <c r="D68" s="35"/>
      <c r="E68" s="35"/>
      <c r="F68" s="35"/>
      <c r="G68" s="35"/>
      <c r="H68" s="35"/>
      <c r="I68" s="35"/>
      <c r="J68" s="71" t="s">
        <v>338</v>
      </c>
      <c r="K68" s="149" t="s">
        <v>297</v>
      </c>
      <c r="L68" s="18"/>
      <c r="M68" s="154" t="str">
        <f>IF(mgmt_domain_password_creation_chosen="Selected","Inputs are masked out as you have opted to deploy with system generated passwords","Minimum 15 Characters, 1 Uppercase, 1 Special")</f>
        <v>Minimum 15 Characters, 1 Uppercase, 1 Special</v>
      </c>
      <c r="N68" s="41"/>
      <c r="O68" s="41"/>
      <c r="P68" s="41"/>
      <c r="Q68" s="41"/>
      <c r="R68" s="41"/>
      <c r="S68" s="41"/>
      <c r="T68" s="41"/>
      <c r="U68" s="41"/>
      <c r="V68" s="41"/>
      <c r="W68" s="41"/>
      <c r="X68" s="41"/>
      <c r="Y68" s="41"/>
      <c r="Z68" s="41"/>
    </row>
    <row r="69" ht="19.5" customHeight="1">
      <c r="A69" s="35"/>
      <c r="B69" s="35"/>
      <c r="C69" s="35"/>
      <c r="D69" s="35"/>
      <c r="E69" s="35"/>
      <c r="F69" s="35"/>
      <c r="G69" s="35"/>
      <c r="H69" s="35"/>
      <c r="I69" s="35"/>
      <c r="J69" s="102" t="s">
        <v>339</v>
      </c>
      <c r="K69" s="13"/>
      <c r="L69" s="13"/>
      <c r="M69" s="14"/>
      <c r="N69" s="41"/>
      <c r="O69" s="41"/>
      <c r="P69" s="41"/>
      <c r="Q69" s="41"/>
      <c r="R69" s="41"/>
      <c r="S69" s="41"/>
      <c r="T69" s="41"/>
      <c r="U69" s="41"/>
      <c r="V69" s="41"/>
      <c r="W69" s="41"/>
      <c r="X69" s="41"/>
      <c r="Y69" s="41"/>
      <c r="Z69" s="41"/>
    </row>
    <row r="70" ht="19.5" customHeight="1">
      <c r="A70" s="35"/>
      <c r="B70" s="35"/>
      <c r="C70" s="35"/>
      <c r="D70" s="35"/>
      <c r="E70" s="35"/>
      <c r="F70" s="35"/>
      <c r="G70" s="35"/>
      <c r="H70" s="35"/>
      <c r="I70" s="35"/>
      <c r="J70" s="84" t="s">
        <v>336</v>
      </c>
      <c r="K70" s="155" t="str">
        <f>CONCATENATE(this_instance,"-cp01.",sample_child_dns_zone)</f>
        <v>lax-cp01.lax.rainpole.io</v>
      </c>
      <c r="L70" s="18"/>
      <c r="M70" s="84"/>
      <c r="N70" s="41"/>
      <c r="O70" s="41"/>
      <c r="P70" s="41"/>
      <c r="Q70" s="41"/>
      <c r="R70" s="41"/>
      <c r="S70" s="41"/>
      <c r="T70" s="41"/>
      <c r="U70" s="41"/>
      <c r="V70" s="41"/>
      <c r="W70" s="41"/>
      <c r="X70" s="41"/>
      <c r="Y70" s="41"/>
      <c r="Z70" s="41"/>
    </row>
    <row r="71" ht="19.5" customHeight="1">
      <c r="A71" s="35"/>
      <c r="B71" s="35"/>
      <c r="C71" s="35"/>
      <c r="D71" s="35"/>
      <c r="E71" s="35"/>
      <c r="F71" s="35"/>
      <c r="G71" s="35"/>
      <c r="H71" s="35"/>
      <c r="I71" s="35"/>
      <c r="J71" s="84" t="s">
        <v>337</v>
      </c>
      <c r="K71" s="110" t="s">
        <v>284</v>
      </c>
      <c r="L71" s="18" t="s">
        <v>284</v>
      </c>
      <c r="M71" s="84"/>
      <c r="N71" s="41"/>
      <c r="O71" s="41"/>
      <c r="P71" s="41"/>
      <c r="Q71" s="41"/>
      <c r="R71" s="41"/>
      <c r="S71" s="41"/>
      <c r="T71" s="41"/>
      <c r="U71" s="41"/>
      <c r="V71" s="41"/>
      <c r="W71" s="41"/>
      <c r="X71" s="41"/>
      <c r="Y71" s="41"/>
      <c r="Z71" s="41"/>
    </row>
    <row r="72" ht="19.5" customHeight="1">
      <c r="A72" s="35"/>
      <c r="B72" s="35"/>
      <c r="C72" s="35"/>
      <c r="D72" s="35"/>
      <c r="E72" s="35"/>
      <c r="F72" s="35"/>
      <c r="G72" s="35"/>
      <c r="H72" s="35"/>
      <c r="I72" s="35"/>
      <c r="J72" s="84" t="s">
        <v>331</v>
      </c>
      <c r="K72" s="110" t="s">
        <v>297</v>
      </c>
      <c r="L72" s="18"/>
      <c r="M72" s="18" t="s">
        <v>340</v>
      </c>
      <c r="N72" s="41"/>
      <c r="O72" s="41"/>
      <c r="P72" s="41"/>
      <c r="Q72" s="41"/>
      <c r="R72" s="41"/>
      <c r="S72" s="41"/>
      <c r="T72" s="41"/>
      <c r="U72" s="41"/>
      <c r="V72" s="41"/>
      <c r="W72" s="41"/>
      <c r="X72" s="41"/>
      <c r="Y72" s="41"/>
      <c r="Z72" s="41"/>
    </row>
    <row r="73" ht="19.5" customHeight="1">
      <c r="A73" s="35"/>
      <c r="B73" s="35"/>
      <c r="C73" s="35"/>
      <c r="D73" s="35"/>
      <c r="E73" s="35"/>
      <c r="F73" s="35"/>
      <c r="G73" s="35"/>
      <c r="H73" s="35"/>
      <c r="I73" s="35"/>
      <c r="J73" s="79"/>
      <c r="K73" s="79"/>
      <c r="L73" s="79"/>
      <c r="M73" s="79"/>
      <c r="N73" s="41"/>
      <c r="O73" s="41"/>
      <c r="P73" s="41"/>
      <c r="Q73" s="41"/>
      <c r="R73" s="41"/>
      <c r="S73" s="41"/>
      <c r="T73" s="41"/>
      <c r="U73" s="41"/>
      <c r="V73" s="41"/>
      <c r="W73" s="41"/>
      <c r="X73" s="41"/>
      <c r="Y73" s="41"/>
      <c r="Z73" s="41"/>
    </row>
    <row r="74" ht="33.75" customHeight="1">
      <c r="A74" s="35"/>
      <c r="B74" s="35"/>
      <c r="C74" s="35"/>
      <c r="D74" s="35"/>
      <c r="E74" s="35"/>
      <c r="F74" s="35"/>
      <c r="G74" s="35"/>
      <c r="H74" s="35"/>
      <c r="I74" s="35"/>
      <c r="J74" s="12" t="s">
        <v>189</v>
      </c>
      <c r="K74" s="13"/>
      <c r="L74" s="13"/>
      <c r="M74" s="14"/>
      <c r="N74" s="41"/>
      <c r="O74" s="41"/>
      <c r="P74" s="41"/>
      <c r="Q74" s="41"/>
      <c r="R74" s="41"/>
      <c r="S74" s="41"/>
      <c r="T74" s="41"/>
      <c r="U74" s="41"/>
      <c r="V74" s="41"/>
      <c r="W74" s="41"/>
      <c r="X74" s="41"/>
      <c r="Y74" s="41"/>
      <c r="Z74" s="41"/>
    </row>
    <row r="75" ht="19.5" customHeight="1">
      <c r="A75" s="35"/>
      <c r="B75" s="35"/>
      <c r="C75" s="35"/>
      <c r="D75" s="35"/>
      <c r="E75" s="35"/>
      <c r="F75" s="35"/>
      <c r="G75" s="35"/>
      <c r="H75" s="35"/>
      <c r="I75" s="35"/>
      <c r="J75" s="102" t="s">
        <v>341</v>
      </c>
      <c r="K75" s="13"/>
      <c r="L75" s="13"/>
      <c r="M75" s="14"/>
      <c r="N75" s="41"/>
      <c r="O75" s="41"/>
      <c r="P75" s="41"/>
      <c r="Q75" s="41"/>
      <c r="R75" s="41"/>
      <c r="S75" s="41"/>
      <c r="T75" s="41"/>
      <c r="U75" s="41"/>
      <c r="V75" s="41"/>
      <c r="W75" s="41"/>
      <c r="X75" s="41"/>
      <c r="Y75" s="41"/>
      <c r="Z75" s="41"/>
    </row>
    <row r="76" ht="19.5" customHeight="1">
      <c r="A76" s="35"/>
      <c r="B76" s="35"/>
      <c r="C76" s="35"/>
      <c r="D76" s="35"/>
      <c r="E76" s="35"/>
      <c r="F76" s="35"/>
      <c r="G76" s="35"/>
      <c r="H76" s="35"/>
      <c r="I76" s="35"/>
      <c r="J76" s="49" t="s">
        <v>37</v>
      </c>
      <c r="K76" s="49" t="s">
        <v>273</v>
      </c>
      <c r="L76" s="49" t="s">
        <v>274</v>
      </c>
      <c r="M76" s="49" t="s">
        <v>5</v>
      </c>
      <c r="N76" s="41"/>
      <c r="O76" s="41"/>
      <c r="P76" s="41"/>
      <c r="Q76" s="41"/>
      <c r="R76" s="41"/>
      <c r="S76" s="41"/>
      <c r="T76" s="41"/>
      <c r="U76" s="41"/>
      <c r="V76" s="41"/>
      <c r="W76" s="41"/>
      <c r="X76" s="41"/>
      <c r="Y76" s="41"/>
      <c r="Z76" s="41"/>
    </row>
    <row r="77" ht="19.5" customHeight="1">
      <c r="A77" s="35"/>
      <c r="B77" s="35"/>
      <c r="C77" s="35"/>
      <c r="D77" s="35"/>
      <c r="E77" s="35"/>
      <c r="F77" s="35"/>
      <c r="G77" s="35"/>
      <c r="H77" s="35"/>
      <c r="I77" s="35"/>
      <c r="J77" s="84" t="s">
        <v>342</v>
      </c>
      <c r="K77" s="110" t="s">
        <v>284</v>
      </c>
      <c r="L77" s="18" t="s">
        <v>284</v>
      </c>
      <c r="M77" s="18" t="str">
        <f>IF(mgmt_domain_ops_automation_later_chosen="Selected","Inputs are masked out as you have opted to deploy VCF Ops and Automation post MGMT Domain deployment","Select to use VCF Operations to import or install VCF Automation once VCF installer is complete.")</f>
        <v>Select to use VCF Operations to import or install VCF Automation once VCF installer is complete.</v>
      </c>
      <c r="N77" s="41"/>
      <c r="O77" s="41"/>
      <c r="P77" s="41"/>
      <c r="Q77" s="41"/>
      <c r="R77" s="41"/>
      <c r="S77" s="41"/>
      <c r="T77" s="41"/>
      <c r="U77" s="41"/>
      <c r="V77" s="41"/>
      <c r="W77" s="41"/>
      <c r="X77" s="41"/>
      <c r="Y77" s="41"/>
      <c r="Z77" s="41"/>
    </row>
    <row r="78" ht="19.5" customHeight="1">
      <c r="A78" s="35"/>
      <c r="B78" s="35"/>
      <c r="C78" s="35"/>
      <c r="D78" s="35"/>
      <c r="E78" s="35"/>
      <c r="F78" s="35"/>
      <c r="G78" s="35"/>
      <c r="H78" s="35"/>
      <c r="I78" s="35"/>
      <c r="J78" s="84" t="s">
        <v>336</v>
      </c>
      <c r="K78" s="111" t="str">
        <f>CONCATENATE(prefix_portable_component,"-auto01.",sample_parent_dns_zone)</f>
        <v>flt-auto01.rainpole.io</v>
      </c>
      <c r="L78" s="18"/>
      <c r="M78" s="18" t="str">
        <f>IF(OR(mgmt_domain_ops_automation_later_chosen="Selected",mgmt_domain_vcf_automation_later_chosen="Selected"),"Inputs are masked out as you have opted to deploy or import VCF Automation post MGMT Domain deployment","24 vCPU, 96GB RAM, 599GB Storage Per Appliance")</f>
        <v>24 vCPU, 96GB RAM, 599GB Storage Per Appliance</v>
      </c>
      <c r="N78" s="41"/>
      <c r="O78" s="41"/>
      <c r="P78" s="41"/>
      <c r="Q78" s="41"/>
      <c r="R78" s="41"/>
      <c r="S78" s="41"/>
      <c r="T78" s="41"/>
      <c r="U78" s="41"/>
      <c r="V78" s="41"/>
      <c r="W78" s="41"/>
      <c r="X78" s="41"/>
      <c r="Y78" s="41"/>
      <c r="Z78" s="41"/>
    </row>
    <row r="79" ht="19.5" customHeight="1">
      <c r="A79" s="35"/>
      <c r="B79" s="35"/>
      <c r="C79" s="35"/>
      <c r="D79" s="35"/>
      <c r="E79" s="35"/>
      <c r="F79" s="35"/>
      <c r="G79" s="35"/>
      <c r="H79" s="35"/>
      <c r="I79" s="35"/>
      <c r="J79" s="84" t="s">
        <v>330</v>
      </c>
      <c r="K79" s="110" t="s">
        <v>297</v>
      </c>
      <c r="L79" s="18"/>
      <c r="M79" s="18"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Minimum 15 Characters, 1 Uppercase, 1 Special</v>
      </c>
      <c r="N79" s="41"/>
      <c r="O79" s="41"/>
      <c r="P79" s="41"/>
      <c r="Q79" s="41"/>
      <c r="R79" s="41"/>
      <c r="S79" s="41"/>
      <c r="T79" s="41"/>
      <c r="U79" s="41"/>
      <c r="V79" s="41"/>
      <c r="W79" s="41"/>
      <c r="X79" s="41"/>
      <c r="Y79" s="41"/>
      <c r="Z79" s="41"/>
    </row>
    <row r="80" ht="19.5" customHeight="1">
      <c r="A80" s="35"/>
      <c r="B80" s="35"/>
      <c r="C80" s="35"/>
      <c r="D80" s="35"/>
      <c r="E80" s="35"/>
      <c r="F80" s="35"/>
      <c r="G80" s="35"/>
      <c r="H80" s="35"/>
      <c r="I80" s="35"/>
      <c r="J80" s="84" t="s">
        <v>343</v>
      </c>
      <c r="K80" s="156" t="str">
        <f>IF(mgmt_vcf_management_network_chosen="Use VM management network",IF(mgmt_dpg_reuse_result="Included",CONCATENATE(prefix_mgmt_az1_cidr,"10.46"),CONCATENATE(prefix_mgmt_az1_cidr,"11.46")),CONCATENATE(prefix_flt_shared_cidr,".46"))</f>
        <v>10.21.10.46</v>
      </c>
      <c r="L80" s="18"/>
      <c r="M80" s="18"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c r="N80" s="41"/>
      <c r="O80" s="41"/>
      <c r="P80" s="41"/>
      <c r="Q80" s="41"/>
      <c r="R80" s="41"/>
      <c r="S80" s="41"/>
      <c r="T80" s="41"/>
      <c r="U80" s="41"/>
      <c r="V80" s="41"/>
      <c r="W80" s="41"/>
      <c r="X80" s="41"/>
      <c r="Y80" s="41"/>
      <c r="Z80" s="41"/>
    </row>
    <row r="81" ht="19.5" customHeight="1">
      <c r="A81" s="35"/>
      <c r="B81" s="35"/>
      <c r="C81" s="35"/>
      <c r="D81" s="35"/>
      <c r="E81" s="35"/>
      <c r="F81" s="35"/>
      <c r="G81" s="35"/>
      <c r="H81" s="35"/>
      <c r="I81" s="35"/>
      <c r="J81" s="84" t="s">
        <v>344</v>
      </c>
      <c r="K81" s="156" t="str">
        <f>IF(mgmt_vcf_management_network_chosen="Use VM management network",IF(mgmt_dpg_reuse_result="Included",CONCATENATE(prefix_mgmt_az1_cidr,"10.47"),CONCATENATE(prefix_mgmt_az1_cidr,"11.47")),CONCATENATE(prefix_flt_shared_cidr,".47"))</f>
        <v>10.21.10.47</v>
      </c>
      <c r="L81" s="18"/>
      <c r="M81" s="18"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c r="N81" s="41"/>
      <c r="O81" s="41"/>
      <c r="P81" s="41"/>
      <c r="Q81" s="41"/>
      <c r="R81" s="41"/>
      <c r="S81" s="41"/>
      <c r="T81" s="41"/>
      <c r="U81" s="41"/>
      <c r="V81" s="41"/>
      <c r="W81" s="41"/>
      <c r="X81" s="41"/>
      <c r="Y81" s="41"/>
      <c r="Z81" s="41"/>
    </row>
    <row r="82" ht="19.5" customHeight="1">
      <c r="A82" s="35"/>
      <c r="B82" s="35"/>
      <c r="C82" s="35"/>
      <c r="D82" s="35"/>
      <c r="E82" s="35"/>
      <c r="F82" s="35"/>
      <c r="G82" s="35"/>
      <c r="H82" s="35"/>
      <c r="I82" s="35"/>
      <c r="J82" s="84" t="s">
        <v>345</v>
      </c>
      <c r="K82" s="157" t="str">
        <f>IF(mgmt_vcf_management_network_chosen="Use VM management network",IF(mgmt_dpg_reuse_result="Included",CONCATENATE(prefix_mgmt_az1_cidr,"10.48"),CONCATENATE(prefix_mgmt_az1_cidr,"11.48")),CONCATENATE(prefix_flt_shared_cidr,".48"))</f>
        <v>10.21.10.48</v>
      </c>
      <c r="L82" s="29"/>
      <c r="M82" s="18"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c r="N82" s="41"/>
      <c r="O82" s="41"/>
      <c r="P82" s="41"/>
      <c r="Q82" s="41"/>
      <c r="R82" s="41"/>
      <c r="S82" s="41"/>
      <c r="T82" s="41"/>
      <c r="U82" s="41"/>
      <c r="V82" s="41"/>
      <c r="W82" s="41"/>
      <c r="X82" s="41"/>
      <c r="Y82" s="41"/>
      <c r="Z82" s="41"/>
    </row>
    <row r="83" ht="19.5" customHeight="1">
      <c r="A83" s="35"/>
      <c r="B83" s="35"/>
      <c r="C83" s="35"/>
      <c r="D83" s="35"/>
      <c r="E83" s="35"/>
      <c r="F83" s="35"/>
      <c r="G83" s="35"/>
      <c r="H83" s="35"/>
      <c r="I83" s="35"/>
      <c r="J83" s="84" t="s">
        <v>346</v>
      </c>
      <c r="K83" s="158" t="str">
        <f>IF(mgmt_vcf_management_network_chosen="Use VM management network",IF(mgmt_dpg_reuse_result="Included",CONCATENATE(prefix_mgmt_az1_cidr,"10.49"),CONCATENATE(prefix_mgmt_az1_cidr,"11.49")),CONCATENATE(prefix_flt_shared_cidr,".49"))</f>
        <v>10.21.10.49</v>
      </c>
      <c r="L83" s="159"/>
      <c r="M83" s="18" t="str">
        <f>IF(OR(mgmt_domain_ops_automation_later_chosen="Selected",mgmt_domain_vcf_automation_later_chosen="Selected"),"Inputs are masked out as you have opted to deploy or import VCF Automation post MGMT Domain deployment","DNS  record is not required | This IP Address must be on the same network as vCenter, NSX Manager etc")</f>
        <v>DNS  record is not required | This IP Address must be on the same network as vCenter, NSX Manager etc</v>
      </c>
      <c r="N83" s="41"/>
      <c r="O83" s="41"/>
      <c r="P83" s="41"/>
      <c r="Q83" s="41"/>
      <c r="R83" s="41"/>
      <c r="S83" s="41"/>
      <c r="T83" s="41"/>
      <c r="U83" s="41"/>
      <c r="V83" s="41"/>
      <c r="W83" s="41"/>
      <c r="X83" s="41"/>
      <c r="Y83" s="41"/>
      <c r="Z83" s="41"/>
    </row>
    <row r="84" ht="19.5" customHeight="1">
      <c r="A84" s="35"/>
      <c r="B84" s="35"/>
      <c r="C84" s="35"/>
      <c r="D84" s="35"/>
      <c r="E84" s="35"/>
      <c r="F84" s="35"/>
      <c r="G84" s="35"/>
      <c r="H84" s="35"/>
      <c r="I84" s="35"/>
      <c r="J84" s="84" t="s">
        <v>347</v>
      </c>
      <c r="K84" s="156" t="str">
        <f>CONCATENATE(prefix_portable_component,"-auto")</f>
        <v>flt-auto</v>
      </c>
      <c r="L84" s="18"/>
      <c r="M84" s="18" t="str">
        <f>IF(OR(mgmt_domain_ops_automation_later_chosen="Selected",mgmt_domain_vcf_automation_later_chosen="Selected"),"Inputs are masked out as you have opted to deploy or import VCF Automation post MGMT Domain deployment","VCF Automation virtual machines will be deployed with Node Name Prefix&lt;generated id&gt;")</f>
        <v>VCF Automation virtual machines will be deployed with Node Name Prefix&lt;generated id&gt;</v>
      </c>
      <c r="N84" s="41"/>
      <c r="O84" s="41"/>
      <c r="P84" s="41"/>
      <c r="Q84" s="41"/>
      <c r="R84" s="41"/>
      <c r="S84" s="41"/>
      <c r="T84" s="41"/>
      <c r="U84" s="41"/>
      <c r="V84" s="41"/>
      <c r="W84" s="41"/>
      <c r="X84" s="41"/>
      <c r="Y84" s="41"/>
      <c r="Z84" s="41"/>
    </row>
    <row r="85" ht="19.5" customHeight="1">
      <c r="A85" s="35"/>
      <c r="B85" s="35"/>
      <c r="C85" s="35"/>
      <c r="D85" s="35"/>
      <c r="E85" s="35"/>
      <c r="F85" s="35"/>
      <c r="G85" s="35"/>
      <c r="H85" s="35"/>
      <c r="I85" s="35"/>
      <c r="J85" s="84" t="s">
        <v>348</v>
      </c>
      <c r="K85" s="156" t="s">
        <v>349</v>
      </c>
      <c r="L85" s="18" t="s">
        <v>349</v>
      </c>
      <c r="M85" s="18" t="str">
        <f>IF(OR(mgmt_domain_ops_automation_later_chosen="Selected",mgmt_domain_vcf_automation_later_chosen="Selected"),"Inputs are masked out as you have opted to deploy or import VCF Automation post MGMT Domain deployment","The CIDR used for pods running the internal Kubernetes cluster")</f>
        <v>The CIDR used for pods running the internal Kubernetes cluster</v>
      </c>
      <c r="N85" s="41"/>
      <c r="O85" s="41"/>
      <c r="P85" s="41"/>
      <c r="Q85" s="41"/>
      <c r="R85" s="41"/>
      <c r="S85" s="41"/>
      <c r="T85" s="41"/>
      <c r="U85" s="41"/>
      <c r="V85" s="41"/>
      <c r="W85" s="41"/>
      <c r="X85" s="41"/>
      <c r="Y85" s="41"/>
      <c r="Z85" s="41"/>
    </row>
    <row r="86" ht="19.5" customHeight="1">
      <c r="A86" s="35"/>
      <c r="B86" s="35"/>
      <c r="C86" s="35"/>
      <c r="D86" s="35"/>
      <c r="E86" s="35"/>
      <c r="F86" s="35"/>
      <c r="G86" s="35"/>
      <c r="H86" s="35"/>
      <c r="I86" s="35"/>
      <c r="J86" s="79"/>
      <c r="K86" s="79"/>
      <c r="L86" s="74"/>
      <c r="M86" s="79"/>
      <c r="N86" s="41"/>
      <c r="O86" s="41"/>
      <c r="P86" s="41"/>
      <c r="Q86" s="41"/>
      <c r="R86" s="41"/>
      <c r="S86" s="41"/>
      <c r="T86" s="41"/>
      <c r="U86" s="41"/>
      <c r="V86" s="41"/>
      <c r="W86" s="41"/>
      <c r="X86" s="41"/>
      <c r="Y86" s="41"/>
      <c r="Z86" s="41"/>
    </row>
    <row r="87" ht="33.75" customHeight="1">
      <c r="A87" s="35"/>
      <c r="B87" s="35"/>
      <c r="C87" s="35"/>
      <c r="D87" s="35"/>
      <c r="E87" s="35"/>
      <c r="F87" s="35"/>
      <c r="G87" s="35"/>
      <c r="H87" s="35"/>
      <c r="I87" s="35"/>
      <c r="J87" s="12" t="s">
        <v>299</v>
      </c>
      <c r="K87" s="13"/>
      <c r="L87" s="13"/>
      <c r="M87" s="14"/>
      <c r="N87" s="41"/>
      <c r="O87" s="41"/>
      <c r="P87" s="41"/>
      <c r="Q87" s="41"/>
      <c r="R87" s="41"/>
      <c r="S87" s="41"/>
      <c r="T87" s="41"/>
      <c r="U87" s="41"/>
      <c r="V87" s="41"/>
      <c r="W87" s="41"/>
      <c r="X87" s="41"/>
      <c r="Y87" s="41"/>
      <c r="Z87" s="41"/>
    </row>
    <row r="88" ht="19.5" customHeight="1">
      <c r="A88" s="35"/>
      <c r="B88" s="35"/>
      <c r="C88" s="35"/>
      <c r="D88" s="35"/>
      <c r="E88" s="35"/>
      <c r="F88" s="35"/>
      <c r="G88" s="35"/>
      <c r="H88" s="35"/>
      <c r="I88" s="35"/>
      <c r="J88" s="102" t="s">
        <v>350</v>
      </c>
      <c r="K88" s="13"/>
      <c r="L88" s="13"/>
      <c r="M88" s="14"/>
      <c r="N88" s="41"/>
      <c r="O88" s="41"/>
      <c r="P88" s="41"/>
      <c r="Q88" s="41"/>
      <c r="R88" s="41"/>
      <c r="S88" s="41"/>
      <c r="T88" s="41"/>
      <c r="U88" s="41"/>
      <c r="V88" s="41"/>
      <c r="W88" s="41"/>
      <c r="X88" s="41"/>
      <c r="Y88" s="41"/>
      <c r="Z88" s="41"/>
    </row>
    <row r="89" ht="19.5" customHeight="1">
      <c r="A89" s="35"/>
      <c r="B89" s="35"/>
      <c r="C89" s="35"/>
      <c r="D89" s="35"/>
      <c r="E89" s="35"/>
      <c r="F89" s="35"/>
      <c r="G89" s="35"/>
      <c r="H89" s="35"/>
      <c r="I89" s="35"/>
      <c r="J89" s="49" t="s">
        <v>37</v>
      </c>
      <c r="K89" s="49" t="s">
        <v>273</v>
      </c>
      <c r="L89" s="49" t="s">
        <v>274</v>
      </c>
      <c r="M89" s="49" t="s">
        <v>5</v>
      </c>
      <c r="N89" s="41"/>
      <c r="O89" s="41"/>
      <c r="P89" s="41"/>
      <c r="Q89" s="41"/>
      <c r="R89" s="41"/>
      <c r="S89" s="41"/>
      <c r="T89" s="41"/>
      <c r="U89" s="41"/>
      <c r="V89" s="41"/>
      <c r="W89" s="41"/>
      <c r="X89" s="41"/>
      <c r="Y89" s="41"/>
      <c r="Z89" s="41"/>
    </row>
    <row r="90" ht="19.5" customHeight="1">
      <c r="A90" s="35"/>
      <c r="B90" s="35"/>
      <c r="C90" s="35"/>
      <c r="D90" s="35"/>
      <c r="E90" s="35"/>
      <c r="F90" s="35"/>
      <c r="G90" s="35"/>
      <c r="H90" s="35"/>
      <c r="I90" s="35"/>
      <c r="J90" s="84" t="s">
        <v>336</v>
      </c>
      <c r="K90" s="160" t="str">
        <f>CONCATENATE(this_instance,"-m01-vc01.",sample_child_dns_zone)</f>
        <v>lax-m01-vc01.lax.rainpole.io</v>
      </c>
      <c r="L90" s="18"/>
      <c r="M90" s="18"/>
      <c r="N90" s="41"/>
      <c r="O90" s="41"/>
      <c r="P90" s="41"/>
      <c r="Q90" s="41"/>
      <c r="R90" s="41"/>
      <c r="S90" s="41"/>
      <c r="T90" s="41"/>
      <c r="U90" s="41"/>
      <c r="V90" s="41"/>
      <c r="W90" s="41"/>
      <c r="X90" s="41"/>
      <c r="Y90" s="41"/>
      <c r="Z90" s="41"/>
    </row>
    <row r="91" ht="19.5" customHeight="1">
      <c r="A91" s="35"/>
      <c r="B91" s="35"/>
      <c r="C91" s="35"/>
      <c r="D91" s="35"/>
      <c r="E91" s="35"/>
      <c r="F91" s="35"/>
      <c r="G91" s="35"/>
      <c r="H91" s="35"/>
      <c r="I91" s="35"/>
      <c r="J91" s="84" t="s">
        <v>351</v>
      </c>
      <c r="K91" s="110" t="s">
        <v>352</v>
      </c>
      <c r="L91" s="18" t="s">
        <v>212</v>
      </c>
      <c r="M91" s="18" t="str">
        <f>IF(mgmt_domain_existing_vcenter_chosen="Selected","Inputs are masked out as you have opted to import an existing vCenter Server",
IF(mgmt_vcenter_appliance_size_chosen="Tiny","2 vCPU, 10GB RAM",
IF(mgmt_vcenter_appliance_size_chosen="Small","4 vCPU, 21GB RAM",
IF(mgmt_vcenter_appliance_size_chosen="Medium","8 vCPU, 30GB RAM",
IF(mgmt_vcenter_appliance_size_chosen="Large","16 vCPU, 39GB RAM",
IF(mgmt_vcenter_appliance_size_chosen="Extra Large","24 vCPU, 58GB  RAM",
))))))</f>
        <v>8 vCPU, 30GB RAM</v>
      </c>
      <c r="N91" s="41"/>
      <c r="O91" s="41"/>
      <c r="P91" s="41"/>
      <c r="Q91" s="41"/>
      <c r="R91" s="41"/>
      <c r="S91" s="41"/>
      <c r="T91" s="41"/>
      <c r="U91" s="41"/>
      <c r="V91" s="41"/>
      <c r="W91" s="41"/>
      <c r="X91" s="41"/>
      <c r="Y91" s="41"/>
      <c r="Z91" s="41"/>
    </row>
    <row r="92" ht="19.5" customHeight="1">
      <c r="A92" s="35"/>
      <c r="B92" s="35"/>
      <c r="C92" s="35"/>
      <c r="D92" s="35"/>
      <c r="E92" s="35"/>
      <c r="F92" s="35"/>
      <c r="G92" s="35"/>
      <c r="H92" s="35"/>
      <c r="I92" s="35"/>
      <c r="J92" s="145" t="s">
        <v>353</v>
      </c>
      <c r="K92" s="110" t="s">
        <v>213</v>
      </c>
      <c r="L92" s="18" t="s">
        <v>213</v>
      </c>
      <c r="M92" s="18" t="str">
        <f>IF(mgmt_domain_existing_vcenter_chosen="Selected","Inputs are masked out as you have opted to import an existing vCenter Server",
CONCATENATE(VLOOKUP(CONCATENATE(mgmt_vcenter_appliance_size_chosen,sizing_m01_vcenter_storage_size_chosen),table_vcenter_disk_gb,2,FALSE)," GB"))</f>
        <v>908 GB</v>
      </c>
      <c r="N92" s="41"/>
      <c r="O92" s="41"/>
      <c r="P92" s="41"/>
      <c r="Q92" s="41"/>
      <c r="R92" s="41"/>
      <c r="S92" s="41"/>
      <c r="T92" s="41"/>
      <c r="U92" s="41"/>
      <c r="V92" s="41"/>
      <c r="W92" s="41"/>
      <c r="X92" s="41"/>
      <c r="Y92" s="41"/>
      <c r="Z92" s="41"/>
    </row>
    <row r="93" ht="19.5" customHeight="1">
      <c r="A93" s="35"/>
      <c r="B93" s="35"/>
      <c r="C93" s="35"/>
      <c r="D93" s="35"/>
      <c r="E93" s="35"/>
      <c r="F93" s="35"/>
      <c r="G93" s="35"/>
      <c r="H93" s="35"/>
      <c r="I93" s="35"/>
      <c r="J93" s="84" t="s">
        <v>354</v>
      </c>
      <c r="K93" s="110" t="str">
        <f>CONCATENATE(this_instance,"-m01-dc01")</f>
        <v>lax-m01-dc01</v>
      </c>
      <c r="L93" s="18"/>
      <c r="M93" s="18" t="str">
        <f>IF(mgmt_domain_existing_vcenter_chosen="Selected","Inputs are masked out as you have opted to import an existing vCenter Server","")</f>
        <v/>
      </c>
      <c r="N93" s="41"/>
      <c r="O93" s="41"/>
      <c r="P93" s="41"/>
      <c r="Q93" s="41"/>
      <c r="R93" s="41"/>
      <c r="S93" s="41"/>
      <c r="T93" s="41"/>
      <c r="U93" s="41"/>
      <c r="V93" s="41"/>
      <c r="W93" s="41"/>
      <c r="X93" s="41"/>
      <c r="Y93" s="41"/>
      <c r="Z93" s="41"/>
    </row>
    <row r="94" ht="19.5" customHeight="1">
      <c r="A94" s="35"/>
      <c r="B94" s="35"/>
      <c r="C94" s="35"/>
      <c r="D94" s="35"/>
      <c r="E94" s="35"/>
      <c r="F94" s="35"/>
      <c r="G94" s="35"/>
      <c r="H94" s="35"/>
      <c r="I94" s="35"/>
      <c r="J94" s="84" t="s">
        <v>355</v>
      </c>
      <c r="K94" s="110" t="str">
        <f>CONCATENATE(this_instance,"-m01-cl01")</f>
        <v>lax-m01-cl01</v>
      </c>
      <c r="L94" s="18"/>
      <c r="M94" s="18" t="str">
        <f>IF(mgmt_domain_existing_vcenter_chosen="Selected","Inputs are masked out as you have opted to import an existing vCenter Server","")</f>
        <v/>
      </c>
      <c r="N94" s="41"/>
      <c r="O94" s="41"/>
      <c r="P94" s="41"/>
      <c r="Q94" s="41"/>
      <c r="R94" s="41"/>
      <c r="S94" s="41"/>
      <c r="T94" s="41"/>
      <c r="U94" s="41"/>
      <c r="V94" s="41"/>
      <c r="W94" s="41"/>
      <c r="X94" s="41"/>
      <c r="Y94" s="41"/>
      <c r="Z94" s="41"/>
    </row>
    <row r="95" ht="19.5" customHeight="1">
      <c r="A95" s="35"/>
      <c r="B95" s="35"/>
      <c r="C95" s="35"/>
      <c r="D95" s="35"/>
      <c r="E95" s="35"/>
      <c r="F95" s="35"/>
      <c r="G95" s="35"/>
      <c r="H95" s="35"/>
      <c r="I95" s="35"/>
      <c r="J95" s="84" t="s">
        <v>356</v>
      </c>
      <c r="K95" s="110" t="s">
        <v>357</v>
      </c>
      <c r="L95" s="18"/>
      <c r="M95" s="18" t="str">
        <f>IF(mgmt_domain_existing_vcenter_chosen="Selected","Inputs are masked out as you have opted to import an existing vCenter Server","")</f>
        <v/>
      </c>
      <c r="N95" s="41"/>
      <c r="O95" s="41"/>
      <c r="P95" s="41"/>
      <c r="Q95" s="41"/>
      <c r="R95" s="41"/>
      <c r="S95" s="41"/>
      <c r="T95" s="41"/>
      <c r="U95" s="41"/>
      <c r="V95" s="41"/>
      <c r="W95" s="41"/>
      <c r="X95" s="41"/>
      <c r="Y95" s="41"/>
      <c r="Z95" s="41"/>
    </row>
    <row r="96" ht="19.5" customHeight="1">
      <c r="A96" s="35"/>
      <c r="B96" s="35"/>
      <c r="C96" s="35"/>
      <c r="D96" s="35"/>
      <c r="E96" s="35"/>
      <c r="F96" s="35"/>
      <c r="G96" s="35"/>
      <c r="H96" s="35"/>
      <c r="I96" s="35"/>
      <c r="J96" s="84" t="s">
        <v>358</v>
      </c>
      <c r="K96" s="110" t="s">
        <v>359</v>
      </c>
      <c r="L96" s="18"/>
      <c r="M96" s="18" t="str">
        <f>IF(mgmt_domain_existing_vcenter_chosen="Unselected", "Input is masked out and only required if importing an existing vCenter","")</f>
        <v>Input is masked out and only required if importing an existing vCenter</v>
      </c>
      <c r="N96" s="41"/>
      <c r="O96" s="41"/>
      <c r="P96" s="41"/>
      <c r="Q96" s="41"/>
      <c r="R96" s="41"/>
      <c r="S96" s="41"/>
      <c r="T96" s="41"/>
      <c r="U96" s="41"/>
      <c r="V96" s="41"/>
      <c r="W96" s="41"/>
      <c r="X96" s="41"/>
      <c r="Y96" s="41"/>
      <c r="Z96" s="41"/>
    </row>
    <row r="97" ht="19.5" customHeight="1">
      <c r="A97" s="35"/>
      <c r="B97" s="35"/>
      <c r="C97" s="35"/>
      <c r="D97" s="35"/>
      <c r="E97" s="35"/>
      <c r="F97" s="35"/>
      <c r="G97" s="35"/>
      <c r="H97" s="35"/>
      <c r="I97" s="35"/>
      <c r="J97" s="84" t="s">
        <v>330</v>
      </c>
      <c r="K97" s="110" t="s">
        <v>297</v>
      </c>
      <c r="L97" s="18"/>
      <c r="M97" s="18" t="str">
        <f>IF(mgmt_domain_existing_vcenter_chosen="Selected","",IF(mgmt_domain_password_creation_chosen="Selected","Inputs are masked out as you have opted deploy with system generated passwords","Minimum 15 Characters, 1 Uppercase, 1 Special"))</f>
        <v>Minimum 15 Characters, 1 Uppercase, 1 Special</v>
      </c>
      <c r="N97" s="41"/>
      <c r="O97" s="41"/>
      <c r="P97" s="41"/>
      <c r="Q97" s="41"/>
      <c r="R97" s="41"/>
      <c r="S97" s="41"/>
      <c r="T97" s="41"/>
      <c r="U97" s="41"/>
      <c r="V97" s="41"/>
      <c r="W97" s="41"/>
      <c r="X97" s="41"/>
      <c r="Y97" s="41"/>
      <c r="Z97" s="41"/>
    </row>
    <row r="98" ht="19.5" customHeight="1">
      <c r="A98" s="35"/>
      <c r="B98" s="35"/>
      <c r="C98" s="35"/>
      <c r="D98" s="35"/>
      <c r="E98" s="35"/>
      <c r="F98" s="35"/>
      <c r="G98" s="35"/>
      <c r="H98" s="35"/>
      <c r="I98" s="35"/>
      <c r="J98" s="84" t="s">
        <v>331</v>
      </c>
      <c r="K98" s="110" t="s">
        <v>297</v>
      </c>
      <c r="L98" s="18"/>
      <c r="M98" s="18" t="str">
        <f>IF(mgmt_domain_existing_vcenter_chosen="Selected","",IF(mgmt_domain_password_creation_chosen="Selected","Inputs are masked out as you have opted deploy with system generated passwords","Minimum 15 Characters, 1 Uppercase, 1 Special"))</f>
        <v>Minimum 15 Characters, 1 Uppercase, 1 Special</v>
      </c>
      <c r="N98" s="41"/>
      <c r="O98" s="41"/>
      <c r="P98" s="41"/>
      <c r="Q98" s="41"/>
      <c r="R98" s="41"/>
      <c r="S98" s="41"/>
      <c r="T98" s="41"/>
      <c r="U98" s="41"/>
      <c r="V98" s="41"/>
      <c r="W98" s="41"/>
      <c r="X98" s="41"/>
      <c r="Y98" s="41"/>
      <c r="Z98" s="41"/>
    </row>
    <row r="99" ht="19.5" customHeight="1">
      <c r="A99" s="35"/>
      <c r="B99" s="35"/>
      <c r="C99" s="35"/>
      <c r="D99" s="35"/>
      <c r="E99" s="35"/>
      <c r="F99" s="35"/>
      <c r="G99" s="35"/>
      <c r="H99" s="35"/>
      <c r="I99" s="35"/>
      <c r="J99" s="161"/>
      <c r="K99" s="161"/>
      <c r="L99" s="161"/>
      <c r="M99" s="161"/>
      <c r="N99" s="41"/>
      <c r="O99" s="41"/>
      <c r="P99" s="41"/>
      <c r="Q99" s="41"/>
      <c r="R99" s="41"/>
      <c r="S99" s="41"/>
      <c r="T99" s="41"/>
      <c r="U99" s="41"/>
      <c r="V99" s="41"/>
      <c r="W99" s="41"/>
      <c r="X99" s="41"/>
      <c r="Y99" s="41"/>
      <c r="Z99" s="41"/>
    </row>
    <row r="100" ht="33.75" customHeight="1">
      <c r="A100" s="35"/>
      <c r="B100" s="35"/>
      <c r="C100" s="35"/>
      <c r="D100" s="35"/>
      <c r="E100" s="35"/>
      <c r="F100" s="35"/>
      <c r="G100" s="35"/>
      <c r="H100" s="35"/>
      <c r="I100" s="35"/>
      <c r="J100" s="12" t="s">
        <v>300</v>
      </c>
      <c r="K100" s="13"/>
      <c r="L100" s="13"/>
      <c r="M100" s="14"/>
      <c r="N100" s="41"/>
      <c r="O100" s="41"/>
      <c r="P100" s="41"/>
      <c r="Q100" s="41"/>
      <c r="R100" s="41"/>
      <c r="S100" s="41"/>
      <c r="T100" s="41"/>
      <c r="U100" s="41"/>
      <c r="V100" s="41"/>
      <c r="W100" s="41"/>
      <c r="X100" s="41"/>
      <c r="Y100" s="41"/>
      <c r="Z100" s="41"/>
    </row>
    <row r="101" ht="19.5" customHeight="1">
      <c r="A101" s="35"/>
      <c r="B101" s="35"/>
      <c r="C101" s="35"/>
      <c r="D101" s="35"/>
      <c r="E101" s="35"/>
      <c r="F101" s="35"/>
      <c r="G101" s="35"/>
      <c r="H101" s="35"/>
      <c r="I101" s="35"/>
      <c r="J101" s="102" t="s">
        <v>360</v>
      </c>
      <c r="K101" s="13"/>
      <c r="L101" s="13"/>
      <c r="M101" s="14"/>
      <c r="N101" s="41"/>
      <c r="O101" s="41"/>
      <c r="P101" s="41"/>
      <c r="Q101" s="41"/>
      <c r="R101" s="41"/>
      <c r="S101" s="41"/>
      <c r="T101" s="41"/>
      <c r="U101" s="41"/>
      <c r="V101" s="41"/>
      <c r="W101" s="41"/>
      <c r="X101" s="41"/>
      <c r="Y101" s="41"/>
      <c r="Z101" s="41"/>
    </row>
    <row r="102" ht="19.5" customHeight="1">
      <c r="A102" s="35"/>
      <c r="B102" s="35"/>
      <c r="C102" s="35"/>
      <c r="D102" s="35"/>
      <c r="E102" s="35"/>
      <c r="F102" s="35"/>
      <c r="G102" s="35"/>
      <c r="H102" s="35"/>
      <c r="I102" s="35"/>
      <c r="J102" s="49" t="s">
        <v>37</v>
      </c>
      <c r="K102" s="49" t="s">
        <v>273</v>
      </c>
      <c r="L102" s="49" t="s">
        <v>274</v>
      </c>
      <c r="M102" s="49" t="s">
        <v>5</v>
      </c>
      <c r="N102" s="41"/>
      <c r="O102" s="41"/>
      <c r="P102" s="41"/>
      <c r="Q102" s="41"/>
      <c r="R102" s="41"/>
      <c r="S102" s="41"/>
      <c r="T102" s="41"/>
      <c r="U102" s="41"/>
      <c r="V102" s="41"/>
      <c r="W102" s="41"/>
      <c r="X102" s="41"/>
      <c r="Y102" s="41"/>
      <c r="Z102" s="41"/>
    </row>
    <row r="103" ht="19.5" customHeight="1">
      <c r="A103" s="35"/>
      <c r="B103" s="35"/>
      <c r="C103" s="35"/>
      <c r="D103" s="35"/>
      <c r="E103" s="35"/>
      <c r="F103" s="35"/>
      <c r="G103" s="35"/>
      <c r="H103" s="35"/>
      <c r="I103" s="35"/>
      <c r="J103" s="84" t="s">
        <v>351</v>
      </c>
      <c r="K103" s="110" t="s">
        <v>212</v>
      </c>
      <c r="L103" s="18" t="s">
        <v>212</v>
      </c>
      <c r="M103" s="18" t="str">
        <f>IF(mgmt_domain_existing_nsx_manager_chosen="Selected","Inputs are masked out as you have opted to import with an existing NSX Cluster",
IF(mgmt_nsxt_appliance_size_chosen="Extra Small","2 vCPU, 8GB, 300GB Storage - Only supported via API. Use VCF.JSONGenerator to generate the JSON File once PnP is complete",
IF(mgmt_nsxt_appliance_size_chosen="Small","4 vCPU, 16GB, 300GB Storage",
IF(mgmt_nsxt_appliance_size_chosen="Medium","6 vCPU, 24GB, 300GB Storage",
IF(mgmt_nsxt_appliance_size_chosen="Large","12 vCPU, 48GB, 400GB Storage",
IF(mgmt_nsxt_appliance_size_chosen="Extra Large","24 vCPU, 96GB, 400GB Storage Only supported via API. Use VCF.JSONGenerator to generate the JSON File once PnP is complete",
))))))</f>
        <v>6 vCPU, 24GB, 300GB Storage</v>
      </c>
      <c r="N103" s="41"/>
      <c r="O103" s="41"/>
      <c r="P103" s="41"/>
      <c r="Q103" s="41"/>
      <c r="R103" s="41"/>
      <c r="S103" s="41"/>
      <c r="T103" s="41"/>
      <c r="U103" s="41"/>
      <c r="V103" s="41"/>
      <c r="W103" s="41"/>
      <c r="X103" s="41"/>
      <c r="Y103" s="41"/>
      <c r="Z103" s="41"/>
    </row>
    <row r="104" ht="19.5" customHeight="1">
      <c r="A104" s="35"/>
      <c r="B104" s="35"/>
      <c r="C104" s="35"/>
      <c r="D104" s="35"/>
      <c r="E104" s="35"/>
      <c r="F104" s="35"/>
      <c r="G104" s="35"/>
      <c r="H104" s="35"/>
      <c r="I104" s="35"/>
      <c r="J104" s="84" t="s">
        <v>361</v>
      </c>
      <c r="K104" s="160" t="str">
        <f>CONCATENATE(this_instance,"-m01-nsx01",".",sample_child_dns_zone)</f>
        <v>lax-m01-nsx01.lax.rainpole.io</v>
      </c>
      <c r="L104" s="148"/>
      <c r="M104" s="18"/>
      <c r="N104" s="41"/>
      <c r="O104" s="41"/>
      <c r="P104" s="41"/>
      <c r="Q104" s="41"/>
      <c r="R104" s="41"/>
      <c r="S104" s="41"/>
      <c r="T104" s="41"/>
      <c r="U104" s="41"/>
      <c r="V104" s="41"/>
      <c r="W104" s="41"/>
      <c r="X104" s="41"/>
      <c r="Y104" s="41"/>
      <c r="Z104" s="41"/>
    </row>
    <row r="105" ht="19.5" customHeight="1">
      <c r="A105" s="35"/>
      <c r="B105" s="35"/>
      <c r="C105" s="35"/>
      <c r="D105" s="35"/>
      <c r="E105" s="35"/>
      <c r="F105" s="35"/>
      <c r="G105" s="35"/>
      <c r="H105" s="35"/>
      <c r="I105" s="35"/>
      <c r="J105" s="84" t="s">
        <v>362</v>
      </c>
      <c r="K105" s="160" t="str">
        <f>CONCATENATE(this_instance,"-m01-nsx01a",".",sample_child_dns_zone)</f>
        <v>lax-m01-nsx01a.lax.rainpole.io</v>
      </c>
      <c r="L105" s="18"/>
      <c r="M105" s="18" t="str">
        <f>IF(mgmt_domain_existing_nsx_manager_chosen="Selected","Inputs are masked out as you have opted to deploy with an existing NSX Cluster","")</f>
        <v/>
      </c>
      <c r="N105" s="41"/>
      <c r="O105" s="41"/>
      <c r="P105" s="41"/>
      <c r="Q105" s="41"/>
      <c r="R105" s="41"/>
      <c r="S105" s="41"/>
      <c r="T105" s="41"/>
      <c r="U105" s="41"/>
      <c r="V105" s="41"/>
      <c r="W105" s="41"/>
      <c r="X105" s="41"/>
      <c r="Y105" s="41"/>
      <c r="Z105" s="41"/>
    </row>
    <row r="106" ht="19.5" customHeight="1">
      <c r="A106" s="35"/>
      <c r="B106" s="35"/>
      <c r="C106" s="35"/>
      <c r="D106" s="35"/>
      <c r="E106" s="35"/>
      <c r="F106" s="35"/>
      <c r="G106" s="35"/>
      <c r="H106" s="35"/>
      <c r="I106" s="35"/>
      <c r="J106" s="84" t="s">
        <v>363</v>
      </c>
      <c r="K106" s="160" t="str">
        <f>CONCATENATE(this_instance,"-m01-nsx01b",".",sample_child_dns_zone)</f>
        <v>lax-m01-nsx01b.lax.rainpole.io</v>
      </c>
      <c r="L106" s="18"/>
      <c r="M106" s="18" t="str">
        <f>IF(mgmt_domain_existing_nsx_manager_chosen="Selected","Inputs are masked out as you have opted to deploy with an existing NSX Cluster","")</f>
        <v/>
      </c>
      <c r="N106" s="41"/>
      <c r="O106" s="41"/>
      <c r="P106" s="41"/>
      <c r="Q106" s="41"/>
      <c r="R106" s="41"/>
      <c r="S106" s="41"/>
      <c r="T106" s="41"/>
      <c r="U106" s="41"/>
      <c r="V106" s="41"/>
      <c r="W106" s="41"/>
      <c r="X106" s="41"/>
      <c r="Y106" s="41"/>
      <c r="Z106" s="41"/>
    </row>
    <row r="107" ht="19.5" customHeight="1">
      <c r="A107" s="35"/>
      <c r="B107" s="35"/>
      <c r="C107" s="35"/>
      <c r="D107" s="35"/>
      <c r="E107" s="35"/>
      <c r="F107" s="35"/>
      <c r="G107" s="35"/>
      <c r="H107" s="35"/>
      <c r="I107" s="35"/>
      <c r="J107" s="84" t="s">
        <v>364</v>
      </c>
      <c r="K107" s="160" t="str">
        <f>CONCATENATE(this_instance,"-m01-nsx01c",".",sample_child_dns_zone)</f>
        <v>lax-m01-nsx01c.lax.rainpole.io</v>
      </c>
      <c r="L107" s="18"/>
      <c r="M107" s="18" t="str">
        <f>IF(mgmt_domain_existing_nsx_manager_chosen="Selected","Inputs are masked out as you have opted to deploy with an existing NSX Cluster","")</f>
        <v/>
      </c>
      <c r="N107" s="41"/>
      <c r="O107" s="41"/>
      <c r="P107" s="41"/>
      <c r="Q107" s="41"/>
      <c r="R107" s="41"/>
      <c r="S107" s="41"/>
      <c r="T107" s="41"/>
      <c r="U107" s="41"/>
      <c r="V107" s="41"/>
      <c r="W107" s="41"/>
      <c r="X107" s="41"/>
      <c r="Y107" s="41"/>
      <c r="Z107" s="41"/>
    </row>
    <row r="108" ht="19.5" customHeight="1">
      <c r="A108" s="35"/>
      <c r="B108" s="35"/>
      <c r="C108" s="35"/>
      <c r="D108" s="35"/>
      <c r="E108" s="35"/>
      <c r="F108" s="35"/>
      <c r="G108" s="35"/>
      <c r="H108" s="35"/>
      <c r="I108" s="35"/>
      <c r="J108" s="84" t="s">
        <v>330</v>
      </c>
      <c r="K108" s="110" t="s">
        <v>297</v>
      </c>
      <c r="L108" s="18"/>
      <c r="M108" s="18" t="str">
        <f>IF(mgmt_domain_password_creation_chosen="Selected","Inputs are masked out as you have opted to deploy with system generated passwords","Minimum 12 Characters, 1 Uppercase, 1 Special")</f>
        <v>Minimum 12 Characters, 1 Uppercase, 1 Special</v>
      </c>
      <c r="N108" s="41"/>
      <c r="O108" s="41"/>
      <c r="P108" s="41"/>
      <c r="Q108" s="41"/>
      <c r="R108" s="41"/>
      <c r="S108" s="41"/>
      <c r="T108" s="41"/>
      <c r="U108" s="41"/>
      <c r="V108" s="41"/>
      <c r="W108" s="41"/>
      <c r="X108" s="41"/>
      <c r="Y108" s="41"/>
      <c r="Z108" s="41"/>
    </row>
    <row r="109" ht="19.5" customHeight="1">
      <c r="A109" s="35"/>
      <c r="B109" s="35"/>
      <c r="C109" s="35"/>
      <c r="D109" s="35"/>
      <c r="E109" s="35"/>
      <c r="F109" s="35"/>
      <c r="G109" s="35"/>
      <c r="H109" s="35"/>
      <c r="I109" s="35"/>
      <c r="J109" s="84" t="s">
        <v>331</v>
      </c>
      <c r="K109" s="110" t="s">
        <v>297</v>
      </c>
      <c r="L109" s="18"/>
      <c r="M109" s="18" t="str">
        <f>IF(mgmt_domain_password_creation_chosen="Selected","Inputs are masked out as you have opted to deploy with system generated passwords","Minimum 12 Characters, 1 Uppercase, 1 Special")</f>
        <v>Minimum 12 Characters, 1 Uppercase, 1 Special</v>
      </c>
      <c r="N109" s="41"/>
      <c r="O109" s="41"/>
      <c r="P109" s="41"/>
      <c r="Q109" s="41"/>
      <c r="R109" s="41"/>
      <c r="S109" s="41"/>
      <c r="T109" s="41"/>
      <c r="U109" s="41"/>
      <c r="V109" s="41"/>
      <c r="W109" s="41"/>
      <c r="X109" s="41"/>
      <c r="Y109" s="41"/>
      <c r="Z109" s="41"/>
    </row>
    <row r="110" ht="19.5" customHeight="1">
      <c r="A110" s="35"/>
      <c r="B110" s="35"/>
      <c r="C110" s="35"/>
      <c r="D110" s="35"/>
      <c r="E110" s="35"/>
      <c r="F110" s="35"/>
      <c r="G110" s="35"/>
      <c r="H110" s="35"/>
      <c r="I110" s="35"/>
      <c r="J110" s="84" t="s">
        <v>365</v>
      </c>
      <c r="K110" s="110" t="s">
        <v>297</v>
      </c>
      <c r="L110" s="18"/>
      <c r="M110" s="18" t="str">
        <f>IF(mgmt_domain_password_creation_chosen="Selected","Inputs are masked out as you have opted to deploy with system generated passwords","Minimum 12 Characters, 1 Uppercase, 1 Special")</f>
        <v>Minimum 12 Characters, 1 Uppercase, 1 Special</v>
      </c>
      <c r="N110" s="41"/>
      <c r="O110" s="41"/>
      <c r="P110" s="41"/>
      <c r="Q110" s="41"/>
      <c r="R110" s="41"/>
      <c r="S110" s="41"/>
      <c r="T110" s="41"/>
      <c r="U110" s="41"/>
      <c r="V110" s="41"/>
      <c r="W110" s="41"/>
      <c r="X110" s="41"/>
      <c r="Y110" s="41"/>
      <c r="Z110" s="41"/>
    </row>
    <row r="111" ht="19.5" customHeight="1">
      <c r="A111" s="35"/>
      <c r="B111" s="35"/>
      <c r="C111" s="35"/>
      <c r="D111" s="35"/>
      <c r="E111" s="35"/>
      <c r="F111" s="35"/>
      <c r="G111" s="35"/>
      <c r="H111" s="35"/>
      <c r="I111" s="35"/>
      <c r="J111" s="84" t="s">
        <v>366</v>
      </c>
      <c r="K111" s="110" t="s">
        <v>284</v>
      </c>
      <c r="L111" s="18" t="s">
        <v>284</v>
      </c>
      <c r="M111" s="18" t="str">
        <f>IF(mgmt_domain_existing_nsx_manager_chosen="Unselected","Input is masked out and only required if importing an NSX Instance","")</f>
        <v>Input is masked out and only required if importing an NSX Instance</v>
      </c>
      <c r="N111" s="41"/>
      <c r="O111" s="41"/>
      <c r="P111" s="41"/>
      <c r="Q111" s="41"/>
      <c r="R111" s="41"/>
      <c r="S111" s="41"/>
      <c r="T111" s="41"/>
      <c r="U111" s="41"/>
      <c r="V111" s="41"/>
      <c r="W111" s="41"/>
      <c r="X111" s="41"/>
      <c r="Y111" s="41"/>
      <c r="Z111" s="41"/>
    </row>
    <row r="112" ht="19.5" customHeight="1">
      <c r="A112" s="35"/>
      <c r="B112" s="35"/>
      <c r="C112" s="35"/>
      <c r="D112" s="35"/>
      <c r="E112" s="35"/>
      <c r="F112" s="35"/>
      <c r="G112" s="35"/>
      <c r="H112" s="35"/>
      <c r="I112" s="35"/>
      <c r="J112" s="79"/>
      <c r="K112" s="79"/>
      <c r="L112" s="79"/>
      <c r="M112" s="79"/>
      <c r="N112" s="41"/>
      <c r="O112" s="41"/>
      <c r="P112" s="41"/>
      <c r="Q112" s="41"/>
      <c r="R112" s="41"/>
      <c r="S112" s="41"/>
      <c r="T112" s="41"/>
      <c r="U112" s="41"/>
      <c r="V112" s="41"/>
      <c r="W112" s="41"/>
      <c r="X112" s="41"/>
      <c r="Y112" s="41"/>
      <c r="Z112" s="41"/>
    </row>
    <row r="113" ht="33.75" customHeight="1">
      <c r="A113" s="35"/>
      <c r="B113" s="35"/>
      <c r="C113" s="35"/>
      <c r="D113" s="35"/>
      <c r="E113" s="35"/>
      <c r="F113" s="35"/>
      <c r="G113" s="35"/>
      <c r="H113" s="35"/>
      <c r="I113" s="35"/>
      <c r="J113" s="12" t="s">
        <v>367</v>
      </c>
      <c r="K113" s="13"/>
      <c r="L113" s="13"/>
      <c r="M113" s="14"/>
      <c r="N113" s="41"/>
      <c r="O113" s="41"/>
      <c r="P113" s="41"/>
      <c r="Q113" s="41"/>
      <c r="R113" s="41"/>
      <c r="S113" s="41"/>
      <c r="T113" s="41"/>
      <c r="U113" s="41"/>
      <c r="V113" s="41"/>
      <c r="W113" s="41"/>
      <c r="X113" s="41"/>
      <c r="Y113" s="41"/>
      <c r="Z113" s="41"/>
    </row>
    <row r="114" ht="19.5" customHeight="1">
      <c r="A114" s="35"/>
      <c r="B114" s="35"/>
      <c r="C114" s="35"/>
      <c r="D114" s="35"/>
      <c r="E114" s="35"/>
      <c r="F114" s="35"/>
      <c r="G114" s="35"/>
      <c r="H114" s="35"/>
      <c r="I114" s="35"/>
      <c r="J114" s="102" t="s">
        <v>368</v>
      </c>
      <c r="K114" s="13"/>
      <c r="L114" s="13"/>
      <c r="M114" s="14"/>
      <c r="N114" s="41"/>
      <c r="O114" s="41"/>
      <c r="P114" s="41"/>
      <c r="Q114" s="41"/>
      <c r="R114" s="41"/>
      <c r="S114" s="41"/>
      <c r="T114" s="41"/>
      <c r="U114" s="41"/>
      <c r="V114" s="41"/>
      <c r="W114" s="41"/>
      <c r="X114" s="41"/>
      <c r="Y114" s="41"/>
      <c r="Z114" s="41"/>
    </row>
    <row r="115" ht="19.5" customHeight="1">
      <c r="A115" s="35"/>
      <c r="B115" s="35"/>
      <c r="C115" s="35"/>
      <c r="D115" s="35"/>
      <c r="E115" s="35"/>
      <c r="F115" s="35"/>
      <c r="G115" s="35"/>
      <c r="H115" s="35"/>
      <c r="I115" s="35"/>
      <c r="J115" s="49" t="s">
        <v>37</v>
      </c>
      <c r="K115" s="49" t="s">
        <v>273</v>
      </c>
      <c r="L115" s="49" t="s">
        <v>274</v>
      </c>
      <c r="M115" s="49" t="s">
        <v>5</v>
      </c>
      <c r="N115" s="41"/>
      <c r="O115" s="41"/>
      <c r="P115" s="41"/>
      <c r="Q115" s="41"/>
      <c r="R115" s="41"/>
      <c r="S115" s="41"/>
      <c r="T115" s="41"/>
      <c r="U115" s="41"/>
      <c r="V115" s="41"/>
      <c r="W115" s="41"/>
      <c r="X115" s="41"/>
      <c r="Y115" s="41"/>
      <c r="Z115" s="41"/>
    </row>
    <row r="116" ht="19.5" customHeight="1">
      <c r="A116" s="35"/>
      <c r="B116" s="35"/>
      <c r="C116" s="35"/>
      <c r="D116" s="35"/>
      <c r="E116" s="35"/>
      <c r="F116" s="35"/>
      <c r="G116" s="35"/>
      <c r="H116" s="35"/>
      <c r="I116" s="35"/>
      <c r="J116" s="84" t="s">
        <v>369</v>
      </c>
      <c r="K116" s="110" t="s">
        <v>370</v>
      </c>
      <c r="L116" s="18" t="s">
        <v>371</v>
      </c>
      <c r="M116" s="18" t="str">
        <f>IF(mgmt_domain_existing_vcenter_chosen="Selected","Inputs are masked out as you have opted to import an existing vCenter Server","")</f>
        <v/>
      </c>
      <c r="N116" s="41"/>
      <c r="O116" s="41"/>
      <c r="P116" s="41"/>
      <c r="Q116" s="41"/>
      <c r="R116" s="41"/>
      <c r="S116" s="41"/>
      <c r="T116" s="41"/>
      <c r="U116" s="41"/>
      <c r="V116" s="41"/>
      <c r="W116" s="41"/>
      <c r="X116" s="41"/>
      <c r="Y116" s="41"/>
      <c r="Z116" s="41"/>
    </row>
    <row r="117" ht="19.5" customHeight="1">
      <c r="A117" s="35"/>
      <c r="B117" s="35"/>
      <c r="C117" s="35"/>
      <c r="D117" s="35"/>
      <c r="E117" s="35"/>
      <c r="F117" s="35"/>
      <c r="G117" s="35"/>
      <c r="H117" s="35"/>
      <c r="I117" s="35"/>
      <c r="J117" s="84" t="s">
        <v>372</v>
      </c>
      <c r="K117" s="110" t="str">
        <f>IF(mgmt_principal_storage_chosen="VMFS on Fibre Channel (FC)",CONCATENATE(this_instance,"-m01-cl01-ds-vmfs01"),IF(mgmt_principal_storage_chosen="NFSv3",CONCATENATE(this_instance,"-m01-cl01-ds-nfs01"),CONCATENATE(this_instance,"-m01-cl01-ds-vsan01")))</f>
        <v>lax-m01-cl01-ds-nfs01</v>
      </c>
      <c r="L117" s="18"/>
      <c r="M117" s="18" t="str">
        <f>IF(mgmt_domain_existing_vcenter_chosen="Selected","Inputs are masked out as you have opted to import an existing vCenter Server","")</f>
        <v/>
      </c>
      <c r="N117" s="41"/>
      <c r="O117" s="41"/>
      <c r="P117" s="41"/>
      <c r="Q117" s="41"/>
      <c r="R117" s="41"/>
      <c r="S117" s="41"/>
      <c r="T117" s="41"/>
      <c r="U117" s="41"/>
      <c r="V117" s="41"/>
      <c r="W117" s="41"/>
      <c r="X117" s="41"/>
      <c r="Y117" s="41"/>
      <c r="Z117" s="41"/>
    </row>
    <row r="118" ht="19.5" customHeight="1">
      <c r="A118" s="35"/>
      <c r="B118" s="35"/>
      <c r="C118" s="35"/>
      <c r="D118" s="35"/>
      <c r="E118" s="35"/>
      <c r="F118" s="35"/>
      <c r="G118" s="35"/>
      <c r="H118" s="35"/>
      <c r="I118" s="35"/>
      <c r="J118" s="145" t="s">
        <v>373</v>
      </c>
      <c r="K118" s="110">
        <v>1.0</v>
      </c>
      <c r="L118" s="29" t="s">
        <v>374</v>
      </c>
      <c r="M118" s="18" t="str">
        <f>IF(mgmt_principal_storage_chosen&lt;&gt;"vSAN-OSA","Input is masked out and only required if configuring vSAN-OSA","")</f>
        <v>Input is masked out and only required if configuring vSAN-OSA</v>
      </c>
      <c r="N118" s="41"/>
      <c r="O118" s="41"/>
      <c r="P118" s="41"/>
      <c r="Q118" s="41"/>
      <c r="R118" s="41"/>
      <c r="S118" s="41"/>
      <c r="T118" s="41"/>
      <c r="U118" s="41"/>
      <c r="V118" s="41"/>
      <c r="W118" s="41"/>
      <c r="X118" s="41"/>
      <c r="Y118" s="41"/>
      <c r="Z118" s="41"/>
    </row>
    <row r="119" ht="19.5" customHeight="1">
      <c r="A119" s="35"/>
      <c r="B119" s="35"/>
      <c r="C119" s="35"/>
      <c r="D119" s="35"/>
      <c r="E119" s="35"/>
      <c r="F119" s="35"/>
      <c r="G119" s="35"/>
      <c r="H119" s="35"/>
      <c r="I119" s="35"/>
      <c r="J119" s="145" t="s">
        <v>375</v>
      </c>
      <c r="K119" s="110" t="s">
        <v>284</v>
      </c>
      <c r="L119" s="29" t="s">
        <v>284</v>
      </c>
      <c r="M119" s="18" t="str">
        <f>IF(mgmt_principal_storage_chosen&lt;&gt;"vSAN-OSA","Input is masked out and only required if configuring vSAN-OSA","")</f>
        <v>Input is masked out and only required if configuring vSAN-OSA</v>
      </c>
      <c r="N119" s="41"/>
      <c r="O119" s="41"/>
      <c r="P119" s="41"/>
      <c r="Q119" s="41"/>
      <c r="R119" s="41"/>
      <c r="S119" s="41"/>
      <c r="T119" s="41"/>
      <c r="U119" s="41"/>
      <c r="V119" s="41"/>
      <c r="W119" s="41"/>
      <c r="X119" s="41"/>
      <c r="Y119" s="41"/>
      <c r="Z119" s="41"/>
    </row>
    <row r="120" ht="19.5" customHeight="1">
      <c r="A120" s="35"/>
      <c r="B120" s="35"/>
      <c r="C120" s="35"/>
      <c r="D120" s="35"/>
      <c r="E120" s="35"/>
      <c r="F120" s="35"/>
      <c r="G120" s="35"/>
      <c r="H120" s="35"/>
      <c r="I120" s="35"/>
      <c r="J120" s="145" t="s">
        <v>376</v>
      </c>
      <c r="K120" s="151" t="str">
        <f>CONCATENATE("/share/",this_instance,"-m01-cl01-ds-nfs01")</f>
        <v>/share/lax-m01-cl01-ds-nfs01</v>
      </c>
      <c r="L120" s="145"/>
      <c r="M120" s="29" t="str">
        <f>IF(mgmt_principal_storage_chosen&lt;&gt;"NFSv3","Input is masked out and only required if configuring NFS Storage","")</f>
        <v/>
      </c>
      <c r="N120" s="41"/>
      <c r="O120" s="41"/>
      <c r="P120" s="41"/>
      <c r="Q120" s="41"/>
      <c r="R120" s="41"/>
      <c r="S120" s="41"/>
      <c r="T120" s="41"/>
      <c r="U120" s="41"/>
      <c r="V120" s="41"/>
      <c r="W120" s="41"/>
      <c r="X120" s="41"/>
      <c r="Y120" s="41"/>
      <c r="Z120" s="41"/>
    </row>
    <row r="121" ht="19.5" customHeight="1">
      <c r="A121" s="35"/>
      <c r="B121" s="35"/>
      <c r="C121" s="35"/>
      <c r="D121" s="35"/>
      <c r="E121" s="35"/>
      <c r="F121" s="35"/>
      <c r="G121" s="35"/>
      <c r="H121" s="35"/>
      <c r="I121" s="35"/>
      <c r="J121" s="145" t="s">
        <v>377</v>
      </c>
      <c r="K121" s="151" t="str">
        <f>CONCATENATE(prefix_mgmt_az1_cidr,"15.200")</f>
        <v>10.21.15.200</v>
      </c>
      <c r="L121" s="145"/>
      <c r="M121" s="29" t="str">
        <f>IF(mgmt_principal_storage_chosen&lt;&gt;"NFSv3","Input is masked out and only required if configuring NFS Storage","")</f>
        <v/>
      </c>
      <c r="N121" s="41"/>
      <c r="O121" s="41"/>
      <c r="P121" s="41"/>
      <c r="Q121" s="41"/>
      <c r="R121" s="41"/>
      <c r="S121" s="41"/>
      <c r="T121" s="41"/>
      <c r="U121" s="41"/>
      <c r="V121" s="41"/>
      <c r="W121" s="41"/>
      <c r="X121" s="41"/>
      <c r="Y121" s="41"/>
      <c r="Z121" s="41"/>
    </row>
    <row r="122" ht="19.5" customHeight="1">
      <c r="A122" s="35"/>
      <c r="B122" s="35"/>
      <c r="C122" s="35"/>
      <c r="D122" s="35"/>
      <c r="E122" s="35"/>
      <c r="F122" s="35"/>
      <c r="G122" s="35"/>
      <c r="H122" s="35"/>
      <c r="I122" s="35"/>
      <c r="J122" s="145" t="s">
        <v>378</v>
      </c>
      <c r="K122" s="151" t="s">
        <v>285</v>
      </c>
      <c r="L122" s="29" t="s">
        <v>285</v>
      </c>
      <c r="M122" s="29" t="str">
        <f>IF(mgmt_principal_storage_chosen&lt;&gt;"NFSv3","Input is masked out and only required if configuring NFS Storage","")</f>
        <v/>
      </c>
      <c r="N122" s="41"/>
      <c r="O122" s="41"/>
      <c r="P122" s="41"/>
      <c r="Q122" s="41"/>
      <c r="R122" s="41"/>
      <c r="S122" s="41"/>
      <c r="T122" s="41"/>
      <c r="U122" s="41"/>
      <c r="V122" s="41"/>
      <c r="W122" s="41"/>
      <c r="X122" s="41"/>
      <c r="Y122" s="41"/>
      <c r="Z122" s="41"/>
    </row>
    <row r="123" ht="19.5" customHeight="1">
      <c r="A123" s="35"/>
      <c r="B123" s="35"/>
      <c r="C123" s="35"/>
      <c r="D123" s="35"/>
      <c r="E123" s="35"/>
      <c r="F123" s="35"/>
      <c r="G123" s="35"/>
      <c r="H123" s="35"/>
      <c r="I123" s="35"/>
      <c r="J123" s="79"/>
      <c r="K123" s="74"/>
      <c r="L123" s="74"/>
      <c r="M123" s="74"/>
      <c r="N123" s="41"/>
      <c r="O123" s="41"/>
      <c r="P123" s="41"/>
      <c r="Q123" s="41"/>
      <c r="R123" s="41"/>
      <c r="S123" s="41"/>
      <c r="T123" s="41"/>
      <c r="U123" s="41"/>
      <c r="V123" s="41"/>
      <c r="W123" s="41"/>
      <c r="X123" s="41"/>
      <c r="Y123" s="41"/>
      <c r="Z123" s="41"/>
    </row>
    <row r="124" ht="33.75" customHeight="1">
      <c r="A124" s="35"/>
      <c r="B124" s="35"/>
      <c r="C124" s="35"/>
      <c r="D124" s="35"/>
      <c r="E124" s="35"/>
      <c r="F124" s="35"/>
      <c r="G124" s="35"/>
      <c r="H124" s="35"/>
      <c r="I124" s="35"/>
      <c r="J124" s="12" t="s">
        <v>379</v>
      </c>
      <c r="K124" s="13"/>
      <c r="L124" s="13"/>
      <c r="M124" s="14"/>
      <c r="N124" s="41"/>
      <c r="O124" s="41"/>
      <c r="P124" s="41"/>
      <c r="Q124" s="41"/>
      <c r="R124" s="41"/>
      <c r="S124" s="41"/>
      <c r="T124" s="41"/>
      <c r="U124" s="41"/>
      <c r="V124" s="41"/>
      <c r="W124" s="41"/>
      <c r="X124" s="41"/>
      <c r="Y124" s="41"/>
      <c r="Z124" s="41"/>
    </row>
    <row r="125" ht="19.5" customHeight="1">
      <c r="A125" s="35"/>
      <c r="B125" s="35"/>
      <c r="C125" s="35"/>
      <c r="D125" s="35"/>
      <c r="E125" s="35"/>
      <c r="F125" s="35"/>
      <c r="G125" s="35"/>
      <c r="H125" s="35"/>
      <c r="I125" s="35"/>
      <c r="J125" s="102" t="s">
        <v>380</v>
      </c>
      <c r="K125" s="13"/>
      <c r="L125" s="13"/>
      <c r="M125" s="14"/>
      <c r="N125" s="41"/>
      <c r="O125" s="41"/>
      <c r="P125" s="41"/>
      <c r="Q125" s="41"/>
      <c r="R125" s="41"/>
      <c r="S125" s="41"/>
      <c r="T125" s="41"/>
      <c r="U125" s="41"/>
      <c r="V125" s="41"/>
      <c r="W125" s="41"/>
      <c r="X125" s="41"/>
      <c r="Y125" s="41"/>
      <c r="Z125" s="41"/>
    </row>
    <row r="126" ht="19.5" customHeight="1">
      <c r="A126" s="35"/>
      <c r="B126" s="35"/>
      <c r="C126" s="35"/>
      <c r="D126" s="35"/>
      <c r="E126" s="35"/>
      <c r="F126" s="35"/>
      <c r="G126" s="35"/>
      <c r="H126" s="35"/>
      <c r="I126" s="35"/>
      <c r="J126" s="49" t="s">
        <v>37</v>
      </c>
      <c r="K126" s="49" t="s">
        <v>273</v>
      </c>
      <c r="L126" s="49" t="s">
        <v>274</v>
      </c>
      <c r="M126" s="49" t="s">
        <v>5</v>
      </c>
      <c r="N126" s="41"/>
      <c r="O126" s="41"/>
      <c r="P126" s="41"/>
      <c r="Q126" s="41"/>
      <c r="R126" s="41"/>
      <c r="S126" s="41"/>
      <c r="T126" s="41"/>
      <c r="U126" s="41"/>
      <c r="V126" s="41"/>
      <c r="W126" s="41"/>
      <c r="X126" s="41"/>
      <c r="Y126" s="41"/>
      <c r="Z126" s="41"/>
    </row>
    <row r="127" ht="19.5" customHeight="1">
      <c r="A127" s="35"/>
      <c r="B127" s="35"/>
      <c r="C127" s="35"/>
      <c r="D127" s="35"/>
      <c r="E127" s="35"/>
      <c r="F127" s="35"/>
      <c r="G127" s="35"/>
      <c r="H127" s="35"/>
      <c r="I127" s="35"/>
      <c r="J127" s="84" t="s">
        <v>381</v>
      </c>
      <c r="K127" s="110" t="s">
        <v>382</v>
      </c>
      <c r="L127" s="18"/>
      <c r="M127" s="18" t="str">
        <f>IF(mgmt_domain_existing_vcenter_chosen="Selected","Inputs are masked out as you have opted to import an existing vCenter Server","")</f>
        <v/>
      </c>
      <c r="N127" s="41"/>
      <c r="O127" s="41"/>
      <c r="P127" s="41"/>
      <c r="Q127" s="41"/>
      <c r="R127" s="41"/>
      <c r="S127" s="41"/>
      <c r="T127" s="41"/>
      <c r="U127" s="41"/>
      <c r="V127" s="41"/>
      <c r="W127" s="41"/>
      <c r="X127" s="41"/>
      <c r="Y127" s="41"/>
      <c r="Z127" s="41"/>
    </row>
    <row r="128" ht="19.5" customHeight="1">
      <c r="A128" s="35"/>
      <c r="B128" s="35"/>
      <c r="C128" s="35"/>
      <c r="D128" s="35"/>
      <c r="E128" s="35"/>
      <c r="F128" s="35"/>
      <c r="G128" s="35"/>
      <c r="H128" s="35"/>
      <c r="I128" s="35"/>
      <c r="J128" s="84" t="s">
        <v>383</v>
      </c>
      <c r="K128" s="111" t="str">
        <f>CONCATENATE(this_instance,"01-m01-r01-esx01",".",sample_child_dns_zone)</f>
        <v>lax01-m01-r01-esx01.lax.rainpole.io</v>
      </c>
      <c r="L128" s="18"/>
      <c r="M128" s="18"/>
      <c r="N128" s="41"/>
      <c r="O128" s="41"/>
      <c r="P128" s="41"/>
      <c r="Q128" s="41"/>
      <c r="R128" s="41"/>
      <c r="S128" s="41"/>
      <c r="T128" s="41"/>
      <c r="U128" s="41"/>
      <c r="V128" s="41"/>
      <c r="W128" s="41"/>
      <c r="X128" s="41"/>
      <c r="Y128" s="41"/>
      <c r="Z128" s="41"/>
    </row>
    <row r="129" ht="19.5" customHeight="1">
      <c r="A129" s="35"/>
      <c r="B129" s="35"/>
      <c r="C129" s="35"/>
      <c r="D129" s="35"/>
      <c r="E129" s="35"/>
      <c r="F129" s="35"/>
      <c r="G129" s="35"/>
      <c r="H129" s="35"/>
      <c r="I129" s="35"/>
      <c r="J129" s="84" t="s">
        <v>384</v>
      </c>
      <c r="K129" s="111" t="str">
        <f>CONCATENATE(this_instance,"01-m01-r01-esx02",".",sample_child_dns_zone)</f>
        <v>lax01-m01-r01-esx02.lax.rainpole.io</v>
      </c>
      <c r="L129" s="18"/>
      <c r="M129" s="18"/>
      <c r="N129" s="41"/>
      <c r="O129" s="41"/>
      <c r="P129" s="41"/>
      <c r="Q129" s="41"/>
      <c r="R129" s="41"/>
      <c r="S129" s="41"/>
      <c r="T129" s="41"/>
      <c r="U129" s="41"/>
      <c r="V129" s="41"/>
      <c r="W129" s="41"/>
      <c r="X129" s="41"/>
      <c r="Y129" s="41"/>
      <c r="Z129" s="41"/>
    </row>
    <row r="130" ht="19.5" customHeight="1">
      <c r="A130" s="35"/>
      <c r="B130" s="35"/>
      <c r="C130" s="35"/>
      <c r="D130" s="35"/>
      <c r="E130" s="35"/>
      <c r="F130" s="35"/>
      <c r="G130" s="35"/>
      <c r="H130" s="35"/>
      <c r="I130" s="35"/>
      <c r="J130" s="84" t="s">
        <v>385</v>
      </c>
      <c r="K130" s="111" t="str">
        <f>CONCATENATE(this_instance,"01-m01-r01-esx03",".",sample_child_dns_zone)</f>
        <v>lax01-m01-r01-esx03.lax.rainpole.io</v>
      </c>
      <c r="L130" s="18"/>
      <c r="M130" s="18"/>
      <c r="N130" s="41"/>
      <c r="O130" s="41"/>
      <c r="P130" s="41"/>
      <c r="Q130" s="41"/>
      <c r="R130" s="41"/>
      <c r="S130" s="41"/>
      <c r="T130" s="41"/>
      <c r="U130" s="41"/>
      <c r="V130" s="41"/>
      <c r="W130" s="41"/>
      <c r="X130" s="41"/>
      <c r="Y130" s="41"/>
      <c r="Z130" s="41"/>
    </row>
    <row r="131" ht="19.5" customHeight="1">
      <c r="A131" s="35"/>
      <c r="B131" s="35"/>
      <c r="C131" s="35"/>
      <c r="D131" s="35"/>
      <c r="E131" s="35"/>
      <c r="F131" s="35"/>
      <c r="G131" s="35"/>
      <c r="H131" s="35"/>
      <c r="I131" s="35"/>
      <c r="J131" s="84" t="s">
        <v>386</v>
      </c>
      <c r="K131" s="111" t="str">
        <f>CONCATENATE(this_instance,"01-m01-r01-esx04",".",sample_child_dns_zone)</f>
        <v>lax01-m01-r01-esx04.lax.rainpole.io</v>
      </c>
      <c r="L131" s="18"/>
      <c r="M131" s="18"/>
      <c r="N131" s="41"/>
      <c r="O131" s="41"/>
      <c r="P131" s="41"/>
      <c r="Q131" s="41"/>
      <c r="R131" s="41"/>
      <c r="S131" s="41"/>
      <c r="T131" s="41"/>
      <c r="U131" s="41"/>
      <c r="V131" s="41"/>
      <c r="W131" s="41"/>
      <c r="X131" s="41"/>
      <c r="Y131" s="41"/>
      <c r="Z131" s="41"/>
    </row>
    <row r="132" ht="19.5" customHeight="1">
      <c r="A132" s="35"/>
      <c r="B132" s="35"/>
      <c r="C132" s="35"/>
      <c r="D132" s="35"/>
      <c r="E132" s="35"/>
      <c r="F132" s="35"/>
      <c r="G132" s="35"/>
      <c r="H132" s="35"/>
      <c r="I132" s="35"/>
      <c r="J132" s="84" t="s">
        <v>387</v>
      </c>
      <c r="K132" s="160" t="str">
        <f>CONCATENATE(this_instance,"01-m01-r01-esx05",".",sample_child_dns_zone)</f>
        <v>lax01-m01-r01-esx05.lax.rainpole.io</v>
      </c>
      <c r="L132" s="18"/>
      <c r="M132" s="18"/>
      <c r="N132" s="41"/>
      <c r="O132" s="41"/>
      <c r="P132" s="41"/>
      <c r="Q132" s="41"/>
      <c r="R132" s="41"/>
      <c r="S132" s="41"/>
      <c r="T132" s="41"/>
      <c r="U132" s="41"/>
      <c r="V132" s="41"/>
      <c r="W132" s="41"/>
      <c r="X132" s="41"/>
      <c r="Y132" s="41"/>
      <c r="Z132" s="41"/>
    </row>
    <row r="133" ht="19.5" customHeight="1">
      <c r="A133" s="35"/>
      <c r="B133" s="35"/>
      <c r="C133" s="35"/>
      <c r="D133" s="35"/>
      <c r="E133" s="35"/>
      <c r="F133" s="35"/>
      <c r="G133" s="35"/>
      <c r="H133" s="35"/>
      <c r="I133" s="35"/>
      <c r="J133" s="84" t="s">
        <v>388</v>
      </c>
      <c r="K133" s="160" t="str">
        <f>CONCATENATE(this_instance,"01-m01-r01-esx06",".",sample_child_dns_zone)</f>
        <v>lax01-m01-r01-esx06.lax.rainpole.io</v>
      </c>
      <c r="L133" s="18"/>
      <c r="M133" s="18"/>
      <c r="N133" s="41"/>
      <c r="O133" s="41"/>
      <c r="P133" s="41"/>
      <c r="Q133" s="41"/>
      <c r="R133" s="41"/>
      <c r="S133" s="41"/>
      <c r="T133" s="41"/>
      <c r="U133" s="41"/>
      <c r="V133" s="41"/>
      <c r="W133" s="41"/>
      <c r="X133" s="41"/>
      <c r="Y133" s="41"/>
      <c r="Z133" s="41"/>
    </row>
    <row r="134" ht="19.5" customHeight="1">
      <c r="A134" s="35"/>
      <c r="B134" s="35"/>
      <c r="C134" s="35"/>
      <c r="D134" s="35"/>
      <c r="E134" s="35"/>
      <c r="F134" s="35"/>
      <c r="G134" s="35"/>
      <c r="H134" s="35"/>
      <c r="I134" s="35"/>
      <c r="J134" s="84" t="s">
        <v>389</v>
      </c>
      <c r="K134" s="160" t="str">
        <f>CONCATENATE(this_instance,"01-m01-r01-esx07",".",sample_child_dns_zone)</f>
        <v>lax01-m01-r01-esx07.lax.rainpole.io</v>
      </c>
      <c r="L134" s="18"/>
      <c r="M134" s="18"/>
      <c r="N134" s="41"/>
      <c r="O134" s="41"/>
      <c r="P134" s="41"/>
      <c r="Q134" s="41"/>
      <c r="R134" s="41"/>
      <c r="S134" s="41"/>
      <c r="T134" s="41"/>
      <c r="U134" s="41"/>
      <c r="V134" s="41"/>
      <c r="W134" s="41"/>
      <c r="X134" s="41"/>
      <c r="Y134" s="41"/>
      <c r="Z134" s="41"/>
    </row>
    <row r="135" ht="19.5" customHeight="1">
      <c r="A135" s="35"/>
      <c r="B135" s="35"/>
      <c r="C135" s="35"/>
      <c r="D135" s="35"/>
      <c r="E135" s="35"/>
      <c r="F135" s="35"/>
      <c r="G135" s="35"/>
      <c r="H135" s="35"/>
      <c r="I135" s="35"/>
      <c r="J135" s="84" t="s">
        <v>390</v>
      </c>
      <c r="K135" s="160" t="str">
        <f>CONCATENATE(this_instance,"01-m01-r01-esx08",".",sample_child_dns_zone)</f>
        <v>lax01-m01-r01-esx08.lax.rainpole.io</v>
      </c>
      <c r="L135" s="18"/>
      <c r="M135" s="18"/>
      <c r="N135" s="41"/>
      <c r="O135" s="41"/>
      <c r="P135" s="41"/>
      <c r="Q135" s="41"/>
      <c r="R135" s="41"/>
      <c r="S135" s="41"/>
      <c r="T135" s="41"/>
      <c r="U135" s="41"/>
      <c r="V135" s="41"/>
      <c r="W135" s="41"/>
      <c r="X135" s="41"/>
      <c r="Y135" s="41"/>
      <c r="Z135" s="41"/>
    </row>
    <row r="136" ht="19.5" customHeight="1">
      <c r="A136" s="35"/>
      <c r="B136" s="35"/>
      <c r="C136" s="35"/>
      <c r="D136" s="35"/>
      <c r="E136" s="35"/>
      <c r="F136" s="35"/>
      <c r="G136" s="35"/>
      <c r="H136" s="35"/>
      <c r="I136" s="35"/>
      <c r="J136" s="84" t="s">
        <v>391</v>
      </c>
      <c r="K136" s="160" t="str">
        <f>CONCATENATE(this_instance,"01-m01-r01-esx09",".",sample_child_dns_zone)</f>
        <v>lax01-m01-r01-esx09.lax.rainpole.io</v>
      </c>
      <c r="L136" s="18"/>
      <c r="M136" s="18"/>
      <c r="N136" s="41"/>
      <c r="O136" s="41"/>
      <c r="P136" s="41"/>
      <c r="Q136" s="41"/>
      <c r="R136" s="41"/>
      <c r="S136" s="41"/>
      <c r="T136" s="41"/>
      <c r="U136" s="41"/>
      <c r="V136" s="41"/>
      <c r="W136" s="41"/>
      <c r="X136" s="41"/>
      <c r="Y136" s="41"/>
      <c r="Z136" s="41"/>
    </row>
    <row r="137" ht="19.5" customHeight="1">
      <c r="A137" s="35"/>
      <c r="B137" s="35"/>
      <c r="C137" s="35"/>
      <c r="D137" s="35"/>
      <c r="E137" s="35"/>
      <c r="F137" s="35"/>
      <c r="G137" s="35"/>
      <c r="H137" s="35"/>
      <c r="I137" s="35"/>
      <c r="J137" s="84" t="s">
        <v>392</v>
      </c>
      <c r="K137" s="160" t="str">
        <f>CONCATENATE(this_instance,"01-m01-r01-esx10",".",sample_child_dns_zone)</f>
        <v>lax01-m01-r01-esx10.lax.rainpole.io</v>
      </c>
      <c r="L137" s="18"/>
      <c r="M137" s="18"/>
      <c r="N137" s="41"/>
      <c r="O137" s="41"/>
      <c r="P137" s="41"/>
      <c r="Q137" s="41"/>
      <c r="R137" s="41"/>
      <c r="S137" s="41"/>
      <c r="T137" s="41"/>
      <c r="U137" s="41"/>
      <c r="V137" s="41"/>
      <c r="W137" s="41"/>
      <c r="X137" s="41"/>
      <c r="Y137" s="41"/>
      <c r="Z137" s="41"/>
    </row>
    <row r="138" ht="19.5" customHeight="1">
      <c r="A138" s="35"/>
      <c r="B138" s="35"/>
      <c r="C138" s="35"/>
      <c r="D138" s="35"/>
      <c r="E138" s="35"/>
      <c r="F138" s="35"/>
      <c r="G138" s="35"/>
      <c r="H138" s="35"/>
      <c r="I138" s="35"/>
      <c r="J138" s="84" t="s">
        <v>393</v>
      </c>
      <c r="K138" s="160" t="str">
        <f>CONCATENATE(this_instance,"01-m01-r01-esx11",".",sample_child_dns_zone)</f>
        <v>lax01-m01-r01-esx11.lax.rainpole.io</v>
      </c>
      <c r="L138" s="18"/>
      <c r="M138" s="18"/>
      <c r="N138" s="41"/>
      <c r="O138" s="41"/>
      <c r="P138" s="41"/>
      <c r="Q138" s="41"/>
      <c r="R138" s="41"/>
      <c r="S138" s="41"/>
      <c r="T138" s="41"/>
      <c r="U138" s="41"/>
      <c r="V138" s="41"/>
      <c r="W138" s="41"/>
      <c r="X138" s="41"/>
      <c r="Y138" s="41"/>
      <c r="Z138" s="41"/>
    </row>
    <row r="139" ht="19.5" customHeight="1">
      <c r="A139" s="35"/>
      <c r="B139" s="35"/>
      <c r="C139" s="35"/>
      <c r="D139" s="35"/>
      <c r="E139" s="35"/>
      <c r="F139" s="35"/>
      <c r="G139" s="35"/>
      <c r="H139" s="35"/>
      <c r="I139" s="35"/>
      <c r="J139" s="84" t="s">
        <v>394</v>
      </c>
      <c r="K139" s="160" t="str">
        <f>CONCATENATE(this_instance,"01-m01-r01-esx12",".",sample_child_dns_zone)</f>
        <v>lax01-m01-r01-esx12.lax.rainpole.io</v>
      </c>
      <c r="L139" s="18"/>
      <c r="M139" s="18"/>
      <c r="N139" s="41"/>
      <c r="O139" s="41"/>
      <c r="P139" s="41"/>
      <c r="Q139" s="41"/>
      <c r="R139" s="41"/>
      <c r="S139" s="41"/>
      <c r="T139" s="41"/>
      <c r="U139" s="41"/>
      <c r="V139" s="41"/>
      <c r="W139" s="41"/>
      <c r="X139" s="41"/>
      <c r="Y139" s="41"/>
      <c r="Z139" s="41"/>
    </row>
    <row r="140" ht="19.5" customHeight="1">
      <c r="A140" s="35"/>
      <c r="B140" s="35"/>
      <c r="C140" s="35"/>
      <c r="D140" s="35"/>
      <c r="E140" s="35"/>
      <c r="F140" s="35"/>
      <c r="G140" s="35"/>
      <c r="H140" s="35"/>
      <c r="I140" s="35"/>
      <c r="J140" s="84" t="s">
        <v>395</v>
      </c>
      <c r="K140" s="160" t="str">
        <f>CONCATENATE(this_instance,"01-m01-r01-esx13",".",sample_child_dns_zone)</f>
        <v>lax01-m01-r01-esx13.lax.rainpole.io</v>
      </c>
      <c r="L140" s="18"/>
      <c r="M140" s="18"/>
      <c r="N140" s="41"/>
      <c r="O140" s="41"/>
      <c r="P140" s="41"/>
      <c r="Q140" s="41"/>
      <c r="R140" s="41"/>
      <c r="S140" s="41"/>
      <c r="T140" s="41"/>
      <c r="U140" s="41"/>
      <c r="V140" s="41"/>
      <c r="W140" s="41"/>
      <c r="X140" s="41"/>
      <c r="Y140" s="41"/>
      <c r="Z140" s="41"/>
    </row>
    <row r="141" ht="19.5" customHeight="1">
      <c r="A141" s="35"/>
      <c r="B141" s="35"/>
      <c r="C141" s="35"/>
      <c r="D141" s="35"/>
      <c r="E141" s="35"/>
      <c r="F141" s="35"/>
      <c r="G141" s="35"/>
      <c r="H141" s="35"/>
      <c r="I141" s="35"/>
      <c r="J141" s="84" t="s">
        <v>396</v>
      </c>
      <c r="K141" s="160" t="str">
        <f>CONCATENATE(this_instance,"01-m01-r01-esx14",".",sample_child_dns_zone)</f>
        <v>lax01-m01-r01-esx14.lax.rainpole.io</v>
      </c>
      <c r="L141" s="18"/>
      <c r="M141" s="18"/>
      <c r="N141" s="41"/>
      <c r="O141" s="41"/>
      <c r="P141" s="41"/>
      <c r="Q141" s="41"/>
      <c r="R141" s="41"/>
      <c r="S141" s="41"/>
      <c r="T141" s="41"/>
      <c r="U141" s="41"/>
      <c r="V141" s="41"/>
      <c r="W141" s="41"/>
      <c r="X141" s="41"/>
      <c r="Y141" s="41"/>
      <c r="Z141" s="41"/>
    </row>
    <row r="142" ht="19.5" customHeight="1">
      <c r="A142" s="35"/>
      <c r="B142" s="35"/>
      <c r="C142" s="35"/>
      <c r="D142" s="35"/>
      <c r="E142" s="35"/>
      <c r="F142" s="35"/>
      <c r="G142" s="35"/>
      <c r="H142" s="35"/>
      <c r="I142" s="35"/>
      <c r="J142" s="84" t="s">
        <v>397</v>
      </c>
      <c r="K142" s="160" t="str">
        <f>CONCATENATE(this_instance,"01-m01-r01-esx15",".",sample_child_dns_zone)</f>
        <v>lax01-m01-r01-esx15.lax.rainpole.io</v>
      </c>
      <c r="L142" s="18"/>
      <c r="M142" s="18"/>
      <c r="N142" s="41"/>
      <c r="O142" s="41"/>
      <c r="P142" s="41"/>
      <c r="Q142" s="41"/>
      <c r="R142" s="41"/>
      <c r="S142" s="41"/>
      <c r="T142" s="41"/>
      <c r="U142" s="41"/>
      <c r="V142" s="41"/>
      <c r="W142" s="41"/>
      <c r="X142" s="41"/>
      <c r="Y142" s="41"/>
      <c r="Z142" s="41"/>
    </row>
    <row r="143" ht="19.5" customHeight="1">
      <c r="A143" s="35"/>
      <c r="B143" s="35"/>
      <c r="C143" s="35"/>
      <c r="D143" s="35"/>
      <c r="E143" s="35"/>
      <c r="F143" s="35"/>
      <c r="G143" s="35"/>
      <c r="H143" s="35"/>
      <c r="I143" s="35"/>
      <c r="J143" s="84" t="s">
        <v>398</v>
      </c>
      <c r="K143" s="160" t="str">
        <f>CONCATENATE(this_instance,"01-m01-r01-esx16",".",sample_child_dns_zone)</f>
        <v>lax01-m01-r01-esx16.lax.rainpole.io</v>
      </c>
      <c r="L143" s="18"/>
      <c r="M143" s="18"/>
      <c r="N143" s="41"/>
      <c r="O143" s="41"/>
      <c r="P143" s="41"/>
      <c r="Q143" s="41"/>
      <c r="R143" s="41"/>
      <c r="S143" s="41"/>
      <c r="T143" s="41"/>
      <c r="U143" s="41"/>
      <c r="V143" s="41"/>
      <c r="W143" s="41"/>
      <c r="X143" s="41"/>
      <c r="Y143" s="41"/>
      <c r="Z143" s="41"/>
    </row>
    <row r="144" ht="19.5" customHeight="1">
      <c r="A144" s="35"/>
      <c r="B144" s="35"/>
      <c r="C144" s="35"/>
      <c r="D144" s="35"/>
      <c r="E144" s="35"/>
      <c r="F144" s="35"/>
      <c r="G144" s="35"/>
      <c r="H144" s="35"/>
      <c r="I144" s="35"/>
      <c r="J144" s="79"/>
      <c r="K144" s="74"/>
      <c r="L144" s="147"/>
      <c r="M144" s="74"/>
      <c r="N144" s="41"/>
      <c r="O144" s="41"/>
      <c r="P144" s="41"/>
      <c r="Q144" s="41"/>
      <c r="R144" s="41"/>
      <c r="S144" s="41"/>
      <c r="T144" s="41"/>
      <c r="U144" s="41"/>
      <c r="V144" s="41"/>
      <c r="W144" s="41"/>
      <c r="X144" s="41"/>
      <c r="Y144" s="41"/>
      <c r="Z144" s="41"/>
    </row>
    <row r="145" ht="33.75" customHeight="1">
      <c r="A145" s="35"/>
      <c r="B145" s="35"/>
      <c r="C145" s="35"/>
      <c r="D145" s="35"/>
      <c r="E145" s="35"/>
      <c r="F145" s="35"/>
      <c r="G145" s="35"/>
      <c r="H145" s="35"/>
      <c r="I145" s="35"/>
      <c r="J145" s="12" t="s">
        <v>399</v>
      </c>
      <c r="K145" s="13"/>
      <c r="L145" s="13"/>
      <c r="M145" s="14"/>
      <c r="N145" s="41"/>
      <c r="O145" s="41"/>
      <c r="P145" s="41"/>
      <c r="Q145" s="41"/>
      <c r="R145" s="41"/>
      <c r="S145" s="41"/>
      <c r="T145" s="41"/>
      <c r="U145" s="41"/>
      <c r="V145" s="41"/>
      <c r="W145" s="41"/>
      <c r="X145" s="41"/>
      <c r="Y145" s="41"/>
      <c r="Z145" s="41"/>
    </row>
    <row r="146" ht="19.5" customHeight="1">
      <c r="A146" s="35"/>
      <c r="B146" s="35"/>
      <c r="C146" s="35"/>
      <c r="D146" s="35"/>
      <c r="E146" s="35"/>
      <c r="F146" s="35"/>
      <c r="G146" s="35"/>
      <c r="H146" s="35"/>
      <c r="I146" s="35"/>
      <c r="J146" s="102" t="s">
        <v>400</v>
      </c>
      <c r="K146" s="13"/>
      <c r="L146" s="13"/>
      <c r="M146" s="14"/>
      <c r="N146" s="41"/>
      <c r="O146" s="41"/>
      <c r="P146" s="41"/>
      <c r="Q146" s="41"/>
      <c r="R146" s="41"/>
      <c r="S146" s="41"/>
      <c r="T146" s="41"/>
      <c r="U146" s="41"/>
      <c r="V146" s="41"/>
      <c r="W146" s="41"/>
      <c r="X146" s="41"/>
      <c r="Y146" s="41"/>
      <c r="Z146" s="41"/>
    </row>
    <row r="147" ht="19.5" customHeight="1">
      <c r="A147" s="35"/>
      <c r="B147" s="35"/>
      <c r="C147" s="35"/>
      <c r="D147" s="35"/>
      <c r="E147" s="35"/>
      <c r="F147" s="35"/>
      <c r="G147" s="35"/>
      <c r="H147" s="35"/>
      <c r="I147" s="35"/>
      <c r="J147" s="49" t="s">
        <v>37</v>
      </c>
      <c r="K147" s="49" t="s">
        <v>273</v>
      </c>
      <c r="L147" s="49" t="s">
        <v>274</v>
      </c>
      <c r="M147" s="49" t="s">
        <v>5</v>
      </c>
      <c r="N147" s="41"/>
      <c r="O147" s="41"/>
      <c r="P147" s="41"/>
      <c r="Q147" s="41"/>
      <c r="R147" s="41"/>
      <c r="S147" s="41"/>
      <c r="T147" s="41"/>
      <c r="U147" s="41"/>
      <c r="V147" s="41"/>
      <c r="W147" s="41"/>
      <c r="X147" s="41"/>
      <c r="Y147" s="41"/>
      <c r="Z147" s="41"/>
    </row>
    <row r="148" ht="19.5" customHeight="1">
      <c r="A148" s="35"/>
      <c r="B148" s="35"/>
      <c r="C148" s="35"/>
      <c r="D148" s="35"/>
      <c r="E148" s="35"/>
      <c r="F148" s="35"/>
      <c r="G148" s="35"/>
      <c r="H148" s="35"/>
      <c r="I148" s="35"/>
      <c r="J148" s="84" t="s">
        <v>401</v>
      </c>
      <c r="K148" s="156" t="str">
        <f>CONCATENATE(prefix_mgmt_az1_vlan,"11")</f>
        <v>2111</v>
      </c>
      <c r="L148" s="18"/>
      <c r="M148" s="18" t="str">
        <f>IF(mgmt_domain_existing_vcenter_chosen="Selected","Inputs are masked out as you have opted to import an existing vCenter Server","")</f>
        <v/>
      </c>
      <c r="N148" s="41"/>
      <c r="O148" s="41"/>
      <c r="P148" s="41"/>
      <c r="Q148" s="41"/>
      <c r="R148" s="41"/>
      <c r="S148" s="41"/>
      <c r="T148" s="41"/>
      <c r="U148" s="41"/>
      <c r="V148" s="41"/>
      <c r="W148" s="41"/>
      <c r="X148" s="41"/>
      <c r="Y148" s="41"/>
      <c r="Z148" s="41"/>
    </row>
    <row r="149" ht="19.5" customHeight="1">
      <c r="A149" s="35"/>
      <c r="B149" s="35"/>
      <c r="C149" s="35"/>
      <c r="D149" s="35"/>
      <c r="E149" s="35"/>
      <c r="F149" s="35"/>
      <c r="G149" s="35"/>
      <c r="H149" s="35"/>
      <c r="I149" s="35"/>
      <c r="J149" s="84" t="s">
        <v>402</v>
      </c>
      <c r="K149" s="156" t="str">
        <f>CONCATENATE(prefix_mgmt_az1_cidr,"11.1")</f>
        <v>10.21.11.1</v>
      </c>
      <c r="L149" s="18"/>
      <c r="M149" s="18" t="str">
        <f>IF(AND(mgmt_stretched_cluster_result="Included",mgmt_dpg_reuse_result="Excluded"),"Stretched L2","")</f>
        <v/>
      </c>
      <c r="N149" s="41"/>
      <c r="O149" s="41"/>
      <c r="P149" s="41"/>
      <c r="Q149" s="41"/>
      <c r="R149" s="41"/>
      <c r="S149" s="41"/>
      <c r="T149" s="41"/>
      <c r="U149" s="41"/>
      <c r="V149" s="41"/>
      <c r="W149" s="41"/>
      <c r="X149" s="41"/>
      <c r="Y149" s="41"/>
      <c r="Z149" s="41"/>
    </row>
    <row r="150" ht="19.5" customHeight="1">
      <c r="A150" s="35"/>
      <c r="B150" s="35"/>
      <c r="C150" s="35"/>
      <c r="D150" s="35"/>
      <c r="E150" s="35"/>
      <c r="F150" s="35"/>
      <c r="G150" s="35"/>
      <c r="H150" s="35"/>
      <c r="I150" s="35"/>
      <c r="J150" s="84" t="s">
        <v>403</v>
      </c>
      <c r="K150" s="156" t="str">
        <f>CONCATENATE(prefix_mgmt_az1_cidr,"11.0/24")</f>
        <v>10.21.11.0/24</v>
      </c>
      <c r="L150" s="18"/>
      <c r="M150" s="18"/>
      <c r="N150" s="41"/>
      <c r="O150" s="41"/>
      <c r="P150" s="41"/>
      <c r="Q150" s="41"/>
      <c r="R150" s="41"/>
      <c r="S150" s="41"/>
      <c r="T150" s="41"/>
      <c r="U150" s="41"/>
      <c r="V150" s="41"/>
      <c r="W150" s="41"/>
      <c r="X150" s="41"/>
      <c r="Y150" s="41"/>
      <c r="Z150" s="41"/>
    </row>
    <row r="151" ht="19.5" customHeight="1">
      <c r="A151" s="35"/>
      <c r="B151" s="35"/>
      <c r="C151" s="35"/>
      <c r="D151" s="35"/>
      <c r="E151" s="35"/>
      <c r="F151" s="35"/>
      <c r="G151" s="35"/>
      <c r="H151" s="35"/>
      <c r="I151" s="35"/>
      <c r="J151" s="84" t="s">
        <v>404</v>
      </c>
      <c r="K151" s="156">
        <v>1500.0</v>
      </c>
      <c r="L151" s="18"/>
      <c r="M151" s="18"/>
      <c r="N151" s="41"/>
      <c r="O151" s="41"/>
      <c r="P151" s="41"/>
      <c r="Q151" s="41"/>
      <c r="R151" s="41"/>
      <c r="S151" s="41"/>
      <c r="T151" s="41"/>
      <c r="U151" s="41"/>
      <c r="V151" s="41"/>
      <c r="W151" s="41"/>
      <c r="X151" s="41"/>
      <c r="Y151" s="41"/>
      <c r="Z151" s="41"/>
    </row>
    <row r="152" ht="19.5" customHeight="1">
      <c r="A152" s="35"/>
      <c r="B152" s="35"/>
      <c r="C152" s="35"/>
      <c r="D152" s="35"/>
      <c r="E152" s="35"/>
      <c r="F152" s="35"/>
      <c r="G152" s="35"/>
      <c r="H152" s="35"/>
      <c r="I152" s="35"/>
      <c r="J152" s="102" t="s">
        <v>405</v>
      </c>
      <c r="K152" s="13"/>
      <c r="L152" s="13"/>
      <c r="M152" s="14"/>
      <c r="N152" s="41"/>
      <c r="O152" s="41"/>
      <c r="P152" s="41"/>
      <c r="Q152" s="41"/>
      <c r="R152" s="41"/>
      <c r="S152" s="41"/>
      <c r="T152" s="41"/>
      <c r="U152" s="41"/>
      <c r="V152" s="41"/>
      <c r="W152" s="41"/>
      <c r="X152" s="41"/>
      <c r="Y152" s="41"/>
      <c r="Z152" s="41"/>
    </row>
    <row r="153" ht="19.5" customHeight="1">
      <c r="A153" s="35"/>
      <c r="B153" s="35"/>
      <c r="C153" s="35"/>
      <c r="D153" s="35"/>
      <c r="E153" s="35"/>
      <c r="F153" s="35"/>
      <c r="G153" s="35"/>
      <c r="H153" s="35"/>
      <c r="I153" s="35"/>
      <c r="J153" s="84" t="s">
        <v>406</v>
      </c>
      <c r="K153" s="110" t="s">
        <v>284</v>
      </c>
      <c r="L153" s="18" t="s">
        <v>284</v>
      </c>
      <c r="M153" s="18" t="str">
        <f>IF(mgmt_domain_existing_vcenter_chosen="Selected","Inputs are masked out as you have opted to import an existing vCenter Server","")</f>
        <v/>
      </c>
      <c r="N153" s="162"/>
      <c r="O153" s="162"/>
      <c r="P153" s="162"/>
      <c r="Q153" s="162"/>
      <c r="R153" s="162"/>
      <c r="S153" s="162"/>
      <c r="T153" s="162"/>
      <c r="U153" s="162"/>
      <c r="V153" s="162"/>
      <c r="W153" s="162"/>
      <c r="X153" s="162"/>
      <c r="Y153" s="162"/>
      <c r="Z153" s="162"/>
    </row>
    <row r="154" ht="19.5" customHeight="1">
      <c r="A154" s="35"/>
      <c r="B154" s="35"/>
      <c r="C154" s="35"/>
      <c r="D154" s="35"/>
      <c r="E154" s="35"/>
      <c r="F154" s="35"/>
      <c r="G154" s="35"/>
      <c r="H154" s="35"/>
      <c r="I154" s="35"/>
      <c r="J154" s="84" t="s">
        <v>401</v>
      </c>
      <c r="K154" s="163" t="str">
        <f>IF(mgmt_dpg_reuse_result="Included",(CONCATENATE(prefix_mgmt_az1_vlan,"10")),(CONCATENATE(prefix_mgmt_az1_vlan,"11")))</f>
        <v>2110</v>
      </c>
      <c r="L154" s="18"/>
      <c r="M154" s="18"/>
      <c r="N154" s="162"/>
      <c r="O154" s="162"/>
      <c r="P154" s="162"/>
      <c r="Q154" s="162"/>
      <c r="R154" s="162"/>
      <c r="S154" s="162"/>
      <c r="T154" s="162"/>
      <c r="U154" s="162"/>
      <c r="V154" s="162"/>
      <c r="W154" s="162"/>
      <c r="X154" s="162"/>
      <c r="Y154" s="162"/>
      <c r="Z154" s="162"/>
    </row>
    <row r="155" ht="19.5" customHeight="1">
      <c r="A155" s="35"/>
      <c r="B155" s="35"/>
      <c r="C155" s="35"/>
      <c r="D155" s="35"/>
      <c r="E155" s="35"/>
      <c r="F155" s="35"/>
      <c r="G155" s="35"/>
      <c r="H155" s="35"/>
      <c r="I155" s="35"/>
      <c r="J155" s="84" t="s">
        <v>402</v>
      </c>
      <c r="K155" s="156" t="str">
        <f>IF(mgmt_dpg_reuse_result="Included",CONCATENATE(prefix_mgmt_az1_cidr,"10.1"),CONCATENATE(prefix_mgmt_az1_cidr,"11.1"))</f>
        <v>10.21.10.1</v>
      </c>
      <c r="L155" s="18"/>
      <c r="M155" s="18"/>
      <c r="N155" s="162"/>
      <c r="O155" s="162"/>
      <c r="P155" s="162"/>
      <c r="Q155" s="162"/>
      <c r="R155" s="162"/>
      <c r="S155" s="162"/>
      <c r="T155" s="162"/>
      <c r="U155" s="162"/>
      <c r="V155" s="162"/>
      <c r="W155" s="162"/>
      <c r="X155" s="162"/>
      <c r="Y155" s="162"/>
      <c r="Z155" s="162"/>
    </row>
    <row r="156" ht="19.5" customHeight="1">
      <c r="A156" s="35"/>
      <c r="B156" s="35"/>
      <c r="C156" s="35"/>
      <c r="D156" s="35"/>
      <c r="E156" s="35"/>
      <c r="F156" s="35"/>
      <c r="G156" s="35"/>
      <c r="H156" s="35"/>
      <c r="I156" s="35"/>
      <c r="J156" s="84" t="s">
        <v>403</v>
      </c>
      <c r="K156" s="156" t="str">
        <f>IF(mgmt_dpg_reuse_result="Included",CONCATENATE(prefix_mgmt_az1_cidr,"10.0/24"),CONCATENATE(prefix_mgmt_az1_cidr,"11.0/24"))</f>
        <v>10.21.10.0/24</v>
      </c>
      <c r="L156" s="18"/>
      <c r="M156" s="18"/>
      <c r="N156" s="162"/>
      <c r="O156" s="162"/>
      <c r="P156" s="162"/>
      <c r="Q156" s="162"/>
      <c r="R156" s="162"/>
      <c r="S156" s="162"/>
      <c r="T156" s="162"/>
      <c r="U156" s="162"/>
      <c r="V156" s="162"/>
      <c r="W156" s="162"/>
      <c r="X156" s="162"/>
      <c r="Y156" s="162"/>
      <c r="Z156" s="162"/>
    </row>
    <row r="157" ht="19.5" customHeight="1">
      <c r="A157" s="35"/>
      <c r="B157" s="35"/>
      <c r="C157" s="35"/>
      <c r="D157" s="35"/>
      <c r="E157" s="35"/>
      <c r="F157" s="35"/>
      <c r="G157" s="35"/>
      <c r="H157" s="35"/>
      <c r="I157" s="35"/>
      <c r="J157" s="84" t="s">
        <v>404</v>
      </c>
      <c r="K157" s="156">
        <v>1500.0</v>
      </c>
      <c r="L157" s="18"/>
      <c r="M157" s="18"/>
      <c r="N157" s="162"/>
      <c r="O157" s="162"/>
      <c r="P157" s="162"/>
      <c r="Q157" s="162"/>
      <c r="R157" s="162"/>
      <c r="S157" s="162"/>
      <c r="T157" s="162"/>
      <c r="U157" s="162"/>
      <c r="V157" s="162"/>
      <c r="W157" s="162"/>
      <c r="X157" s="162"/>
      <c r="Y157" s="162"/>
      <c r="Z157" s="162"/>
    </row>
    <row r="158" ht="19.5" customHeight="1">
      <c r="A158" s="35"/>
      <c r="B158" s="35"/>
      <c r="C158" s="35"/>
      <c r="D158" s="35"/>
      <c r="E158" s="35"/>
      <c r="F158" s="35"/>
      <c r="G158" s="35"/>
      <c r="H158" s="35"/>
      <c r="I158" s="35"/>
      <c r="J158" s="102" t="s">
        <v>407</v>
      </c>
      <c r="K158" s="13"/>
      <c r="L158" s="13"/>
      <c r="M158" s="14"/>
      <c r="N158" s="41"/>
      <c r="O158" s="41"/>
      <c r="P158" s="41"/>
      <c r="Q158" s="41"/>
      <c r="R158" s="41"/>
      <c r="S158" s="41"/>
      <c r="T158" s="41"/>
      <c r="U158" s="41"/>
      <c r="V158" s="41"/>
      <c r="W158" s="41"/>
      <c r="X158" s="41"/>
      <c r="Y158" s="41"/>
      <c r="Z158" s="41"/>
    </row>
    <row r="159" ht="19.5" customHeight="1">
      <c r="A159" s="35"/>
      <c r="B159" s="35"/>
      <c r="C159" s="35"/>
      <c r="D159" s="35"/>
      <c r="E159" s="35"/>
      <c r="F159" s="35"/>
      <c r="G159" s="35"/>
      <c r="H159" s="35"/>
      <c r="I159" s="35"/>
      <c r="J159" s="84" t="s">
        <v>401</v>
      </c>
      <c r="K159" s="156" t="str">
        <f>CONCATENATE(prefix_mgmt_az1_vlan,"12")</f>
        <v>2112</v>
      </c>
      <c r="L159" s="18"/>
      <c r="M159" s="18" t="str">
        <f>IF(mgmt_domain_existing_vcenter_chosen="Selected","Inputs are masked out as you have opted to import an existing vCenter Server","")</f>
        <v/>
      </c>
      <c r="N159" s="41"/>
      <c r="O159" s="41"/>
      <c r="P159" s="41"/>
      <c r="Q159" s="41"/>
      <c r="R159" s="41"/>
      <c r="S159" s="41"/>
      <c r="T159" s="41"/>
      <c r="U159" s="41"/>
      <c r="V159" s="41"/>
      <c r="W159" s="41"/>
      <c r="X159" s="41"/>
      <c r="Y159" s="41"/>
      <c r="Z159" s="41"/>
    </row>
    <row r="160" ht="19.5" customHeight="1">
      <c r="A160" s="35"/>
      <c r="B160" s="35"/>
      <c r="C160" s="35"/>
      <c r="D160" s="35"/>
      <c r="E160" s="35"/>
      <c r="F160" s="35"/>
      <c r="G160" s="35"/>
      <c r="H160" s="35"/>
      <c r="I160" s="35"/>
      <c r="J160" s="84" t="s">
        <v>402</v>
      </c>
      <c r="K160" s="156" t="str">
        <f>CONCATENATE(prefix_mgmt_az1_cidr,"12.1")</f>
        <v>10.21.12.1</v>
      </c>
      <c r="L160" s="18"/>
      <c r="M160" s="18"/>
      <c r="N160" s="41"/>
      <c r="O160" s="41"/>
      <c r="P160" s="41"/>
      <c r="Q160" s="41"/>
      <c r="R160" s="41"/>
      <c r="S160" s="41"/>
      <c r="T160" s="41"/>
      <c r="U160" s="41"/>
      <c r="V160" s="41"/>
      <c r="W160" s="41"/>
      <c r="X160" s="41"/>
      <c r="Y160" s="41"/>
      <c r="Z160" s="41"/>
    </row>
    <row r="161" ht="19.5" customHeight="1">
      <c r="A161" s="35"/>
      <c r="B161" s="35"/>
      <c r="C161" s="35"/>
      <c r="D161" s="35"/>
      <c r="E161" s="35"/>
      <c r="F161" s="35"/>
      <c r="G161" s="35"/>
      <c r="H161" s="35"/>
      <c r="I161" s="35"/>
      <c r="J161" s="84" t="s">
        <v>403</v>
      </c>
      <c r="K161" s="156" t="str">
        <f>CONCATENATE(prefix_mgmt_az1_cidr,"12.0/24")</f>
        <v>10.21.12.0/24</v>
      </c>
      <c r="L161" s="18"/>
      <c r="M161" s="18"/>
      <c r="N161" s="41"/>
      <c r="O161" s="41"/>
      <c r="P161" s="41"/>
      <c r="Q161" s="41"/>
      <c r="R161" s="41"/>
      <c r="S161" s="41"/>
      <c r="T161" s="41"/>
      <c r="U161" s="41"/>
      <c r="V161" s="41"/>
      <c r="W161" s="41"/>
      <c r="X161" s="41"/>
      <c r="Y161" s="41"/>
      <c r="Z161" s="41"/>
    </row>
    <row r="162" ht="19.5" customHeight="1">
      <c r="A162" s="35"/>
      <c r="B162" s="35"/>
      <c r="C162" s="35"/>
      <c r="D162" s="35"/>
      <c r="E162" s="35"/>
      <c r="F162" s="35"/>
      <c r="G162" s="35"/>
      <c r="H162" s="35"/>
      <c r="I162" s="35"/>
      <c r="J162" s="84" t="s">
        <v>404</v>
      </c>
      <c r="K162" s="156">
        <v>9000.0</v>
      </c>
      <c r="L162" s="18"/>
      <c r="M162" s="18"/>
      <c r="N162" s="41"/>
      <c r="O162" s="41"/>
      <c r="P162" s="41"/>
      <c r="Q162" s="41"/>
      <c r="R162" s="41"/>
      <c r="S162" s="41"/>
      <c r="T162" s="41"/>
      <c r="U162" s="41"/>
      <c r="V162" s="41"/>
      <c r="W162" s="41"/>
      <c r="X162" s="41"/>
      <c r="Y162" s="41"/>
      <c r="Z162" s="41"/>
    </row>
    <row r="163" ht="19.5" customHeight="1">
      <c r="A163" s="35"/>
      <c r="B163" s="35"/>
      <c r="C163" s="35"/>
      <c r="D163" s="35"/>
      <c r="E163" s="35"/>
      <c r="F163" s="35"/>
      <c r="G163" s="35"/>
      <c r="H163" s="35"/>
      <c r="I163" s="35"/>
      <c r="J163" s="84" t="s">
        <v>408</v>
      </c>
      <c r="K163" s="156" t="str">
        <f>CONCATENATE(prefix_mgmt_az1_cidr,"12.101")</f>
        <v>10.21.12.101</v>
      </c>
      <c r="L163" s="18"/>
      <c r="M163" s="18"/>
      <c r="N163" s="41"/>
      <c r="O163" s="41"/>
      <c r="P163" s="41"/>
      <c r="Q163" s="41"/>
      <c r="R163" s="41"/>
      <c r="S163" s="41"/>
      <c r="T163" s="41"/>
      <c r="U163" s="41"/>
      <c r="V163" s="41"/>
      <c r="W163" s="41"/>
      <c r="X163" s="41"/>
      <c r="Y163" s="41"/>
      <c r="Z163" s="41"/>
    </row>
    <row r="164" ht="19.5" customHeight="1">
      <c r="A164" s="35"/>
      <c r="B164" s="35"/>
      <c r="C164" s="35"/>
      <c r="D164" s="35"/>
      <c r="E164" s="35"/>
      <c r="F164" s="35"/>
      <c r="G164" s="35"/>
      <c r="H164" s="35"/>
      <c r="I164" s="35"/>
      <c r="J164" s="84" t="s">
        <v>409</v>
      </c>
      <c r="K164" s="156" t="str">
        <f>CONCATENATE(prefix_mgmt_az1_cidr,"12.116")</f>
        <v>10.21.12.116</v>
      </c>
      <c r="L164" s="18"/>
      <c r="M164" s="18"/>
      <c r="N164" s="41"/>
      <c r="O164" s="41"/>
      <c r="P164" s="41"/>
      <c r="Q164" s="41"/>
      <c r="R164" s="41"/>
      <c r="S164" s="41"/>
      <c r="T164" s="41"/>
      <c r="U164" s="41"/>
      <c r="V164" s="41"/>
      <c r="W164" s="41"/>
      <c r="X164" s="41"/>
      <c r="Y164" s="41"/>
      <c r="Z164" s="41"/>
    </row>
    <row r="165" ht="19.5" customHeight="1">
      <c r="A165" s="35"/>
      <c r="B165" s="35"/>
      <c r="C165" s="35"/>
      <c r="D165" s="35"/>
      <c r="E165" s="35"/>
      <c r="F165" s="35"/>
      <c r="G165" s="35"/>
      <c r="H165" s="35"/>
      <c r="I165" s="35"/>
      <c r="J165" s="102" t="s">
        <v>410</v>
      </c>
      <c r="K165" s="13"/>
      <c r="L165" s="13"/>
      <c r="M165" s="14"/>
      <c r="N165" s="41"/>
      <c r="O165" s="41"/>
      <c r="P165" s="41"/>
      <c r="Q165" s="41"/>
      <c r="R165" s="41"/>
      <c r="S165" s="41"/>
      <c r="T165" s="41"/>
      <c r="U165" s="41"/>
      <c r="V165" s="41"/>
      <c r="W165" s="41"/>
      <c r="X165" s="41"/>
      <c r="Y165" s="41"/>
      <c r="Z165" s="41"/>
    </row>
    <row r="166" ht="19.5" customHeight="1">
      <c r="A166" s="35"/>
      <c r="B166" s="35"/>
      <c r="C166" s="35"/>
      <c r="D166" s="35"/>
      <c r="E166" s="35"/>
      <c r="F166" s="35"/>
      <c r="G166" s="35"/>
      <c r="H166" s="35"/>
      <c r="I166" s="35"/>
      <c r="J166" s="84" t="s">
        <v>401</v>
      </c>
      <c r="K166" s="156" t="str">
        <f>CONCATENATE(prefix_mgmt_az1_vlan,"13")</f>
        <v>2113</v>
      </c>
      <c r="L166" s="18"/>
      <c r="M166" s="18" t="str">
        <f>IF(mgmt_domain_existing_vcenter_chosen="Selected","Inputs are masked out as you have opted to import an existing vCenter Server","")</f>
        <v/>
      </c>
      <c r="N166" s="41"/>
      <c r="O166" s="41"/>
      <c r="P166" s="41"/>
      <c r="Q166" s="41"/>
      <c r="R166" s="41"/>
      <c r="S166" s="41"/>
      <c r="T166" s="41"/>
      <c r="U166" s="41"/>
      <c r="V166" s="41"/>
      <c r="W166" s="41"/>
      <c r="X166" s="41"/>
      <c r="Y166" s="41"/>
      <c r="Z166" s="41"/>
    </row>
    <row r="167" ht="19.5" customHeight="1">
      <c r="A167" s="35"/>
      <c r="B167" s="35"/>
      <c r="C167" s="35"/>
      <c r="D167" s="35"/>
      <c r="E167" s="35"/>
      <c r="F167" s="35"/>
      <c r="G167" s="35"/>
      <c r="H167" s="35"/>
      <c r="I167" s="35"/>
      <c r="J167" s="84" t="s">
        <v>402</v>
      </c>
      <c r="K167" s="156" t="str">
        <f>CONCATENATE(prefix_mgmt_az1_cidr,"13.1")</f>
        <v>10.21.13.1</v>
      </c>
      <c r="L167" s="18"/>
      <c r="M167" s="18"/>
      <c r="N167" s="41"/>
      <c r="O167" s="41"/>
      <c r="P167" s="41"/>
      <c r="Q167" s="41"/>
      <c r="R167" s="41"/>
      <c r="S167" s="41"/>
      <c r="T167" s="41"/>
      <c r="U167" s="41"/>
      <c r="V167" s="41"/>
      <c r="W167" s="41"/>
      <c r="X167" s="41"/>
      <c r="Y167" s="41"/>
      <c r="Z167" s="41"/>
    </row>
    <row r="168" ht="19.5" customHeight="1">
      <c r="A168" s="35"/>
      <c r="B168" s="35"/>
      <c r="C168" s="35"/>
      <c r="D168" s="35"/>
      <c r="E168" s="35"/>
      <c r="F168" s="35"/>
      <c r="G168" s="35"/>
      <c r="H168" s="35"/>
      <c r="I168" s="35"/>
      <c r="J168" s="84" t="s">
        <v>403</v>
      </c>
      <c r="K168" s="156" t="str">
        <f>CONCATENATE(prefix_mgmt_az1_cidr,"13.0/24")</f>
        <v>10.21.13.0/24</v>
      </c>
      <c r="L168" s="18"/>
      <c r="M168" s="18"/>
      <c r="N168" s="41"/>
      <c r="O168" s="41"/>
      <c r="P168" s="41"/>
      <c r="Q168" s="41"/>
      <c r="R168" s="41"/>
      <c r="S168" s="41"/>
      <c r="T168" s="41"/>
      <c r="U168" s="41"/>
      <c r="V168" s="41"/>
      <c r="W168" s="41"/>
      <c r="X168" s="41"/>
      <c r="Y168" s="41"/>
      <c r="Z168" s="41"/>
    </row>
    <row r="169" ht="19.5" customHeight="1">
      <c r="A169" s="35"/>
      <c r="B169" s="35"/>
      <c r="C169" s="35"/>
      <c r="D169" s="35"/>
      <c r="E169" s="35"/>
      <c r="F169" s="35"/>
      <c r="G169" s="35"/>
      <c r="H169" s="35"/>
      <c r="I169" s="35"/>
      <c r="J169" s="84" t="s">
        <v>404</v>
      </c>
      <c r="K169" s="156">
        <v>9000.0</v>
      </c>
      <c r="L169" s="18"/>
      <c r="M169" s="18"/>
      <c r="N169" s="41"/>
      <c r="O169" s="41"/>
      <c r="P169" s="41"/>
      <c r="Q169" s="41"/>
      <c r="R169" s="41"/>
      <c r="S169" s="41"/>
      <c r="T169" s="41"/>
      <c r="U169" s="41"/>
      <c r="V169" s="41"/>
      <c r="W169" s="41"/>
      <c r="X169" s="41"/>
      <c r="Y169" s="41"/>
      <c r="Z169" s="41"/>
    </row>
    <row r="170" ht="19.5" customHeight="1">
      <c r="A170" s="35"/>
      <c r="B170" s="35"/>
      <c r="C170" s="35"/>
      <c r="D170" s="35"/>
      <c r="E170" s="35"/>
      <c r="F170" s="35"/>
      <c r="G170" s="35"/>
      <c r="H170" s="35"/>
      <c r="I170" s="35"/>
      <c r="J170" s="84" t="s">
        <v>411</v>
      </c>
      <c r="K170" s="156" t="str">
        <f>CONCATENATE(prefix_mgmt_az1_cidr,"13.101")</f>
        <v>10.21.13.101</v>
      </c>
      <c r="L170" s="18"/>
      <c r="M170" s="18"/>
      <c r="N170" s="41"/>
      <c r="O170" s="41"/>
      <c r="P170" s="41"/>
      <c r="Q170" s="41"/>
      <c r="R170" s="41"/>
      <c r="S170" s="41"/>
      <c r="T170" s="41"/>
      <c r="U170" s="41"/>
      <c r="V170" s="41"/>
      <c r="W170" s="41"/>
      <c r="X170" s="41"/>
      <c r="Y170" s="41"/>
      <c r="Z170" s="41"/>
    </row>
    <row r="171" ht="19.5" customHeight="1">
      <c r="A171" s="35"/>
      <c r="B171" s="35"/>
      <c r="C171" s="35"/>
      <c r="D171" s="35"/>
      <c r="E171" s="35"/>
      <c r="F171" s="35"/>
      <c r="G171" s="35"/>
      <c r="H171" s="35"/>
      <c r="I171" s="35"/>
      <c r="J171" s="84" t="s">
        <v>412</v>
      </c>
      <c r="K171" s="156" t="str">
        <f>CONCATENATE(prefix_mgmt_az1_cidr,"13.116")</f>
        <v>10.21.13.116</v>
      </c>
      <c r="L171" s="18"/>
      <c r="M171" s="18"/>
      <c r="N171" s="41"/>
      <c r="O171" s="41"/>
      <c r="P171" s="41"/>
      <c r="Q171" s="41"/>
      <c r="R171" s="41"/>
      <c r="S171" s="41"/>
      <c r="T171" s="41"/>
      <c r="U171" s="41"/>
      <c r="V171" s="41"/>
      <c r="W171" s="41"/>
      <c r="X171" s="41"/>
      <c r="Y171" s="41"/>
      <c r="Z171" s="41"/>
    </row>
    <row r="172" ht="19.5" customHeight="1">
      <c r="A172" s="35"/>
      <c r="B172" s="35"/>
      <c r="C172" s="35"/>
      <c r="D172" s="35"/>
      <c r="E172" s="35"/>
      <c r="F172" s="35"/>
      <c r="G172" s="35"/>
      <c r="H172" s="35"/>
      <c r="I172" s="35"/>
      <c r="J172" s="102" t="s">
        <v>413</v>
      </c>
      <c r="K172" s="13"/>
      <c r="L172" s="13"/>
      <c r="M172" s="14"/>
      <c r="N172" s="41"/>
      <c r="O172" s="41"/>
      <c r="P172" s="41"/>
      <c r="Q172" s="41"/>
      <c r="R172" s="41"/>
      <c r="S172" s="41"/>
      <c r="T172" s="41"/>
      <c r="U172" s="41"/>
      <c r="V172" s="41"/>
      <c r="W172" s="41"/>
      <c r="X172" s="41"/>
      <c r="Y172" s="41"/>
      <c r="Z172" s="41"/>
    </row>
    <row r="173" ht="19.5" customHeight="1">
      <c r="A173" s="35"/>
      <c r="B173" s="35"/>
      <c r="C173" s="35"/>
      <c r="D173" s="35"/>
      <c r="E173" s="35"/>
      <c r="F173" s="35"/>
      <c r="G173" s="35"/>
      <c r="H173" s="35"/>
      <c r="I173" s="35"/>
      <c r="J173" s="84" t="s">
        <v>401</v>
      </c>
      <c r="K173" s="156" t="str">
        <f>CONCATENATE(prefix_mgmt_az1_vlan,"15")</f>
        <v>2115</v>
      </c>
      <c r="L173" s="18"/>
      <c r="M173" s="18" t="str">
        <f>IF(mgmt_domain_existing_vcenter_chosen="Selected","Inputs are masked out as you have opted to import an existing vCenter Server",IF(mgmt_principal_storage_chosen&lt;&gt;"NFSv3","This input is masked out and only required if configuring NFS Storage",""))</f>
        <v/>
      </c>
      <c r="N173" s="41"/>
      <c r="O173" s="41"/>
      <c r="P173" s="41"/>
      <c r="Q173" s="41"/>
      <c r="R173" s="41"/>
      <c r="S173" s="41"/>
      <c r="T173" s="41"/>
      <c r="U173" s="41"/>
      <c r="V173" s="41"/>
      <c r="W173" s="41"/>
      <c r="X173" s="41"/>
      <c r="Y173" s="41"/>
      <c r="Z173" s="41"/>
    </row>
    <row r="174" ht="19.5" customHeight="1">
      <c r="A174" s="35"/>
      <c r="B174" s="35"/>
      <c r="C174" s="35"/>
      <c r="D174" s="35"/>
      <c r="E174" s="35"/>
      <c r="F174" s="35"/>
      <c r="G174" s="35"/>
      <c r="H174" s="35"/>
      <c r="I174" s="35"/>
      <c r="J174" s="84" t="s">
        <v>402</v>
      </c>
      <c r="K174" s="156" t="str">
        <f>CONCATENATE(prefix_mgmt_az1_cidr,"15.1")</f>
        <v>10.21.15.1</v>
      </c>
      <c r="L174" s="18"/>
      <c r="M174" s="18"/>
      <c r="N174" s="41"/>
      <c r="O174" s="41"/>
      <c r="P174" s="41"/>
      <c r="Q174" s="41"/>
      <c r="R174" s="41"/>
      <c r="S174" s="41"/>
      <c r="T174" s="41"/>
      <c r="U174" s="41"/>
      <c r="V174" s="41"/>
      <c r="W174" s="41"/>
      <c r="X174" s="41"/>
      <c r="Y174" s="41"/>
      <c r="Z174" s="41"/>
    </row>
    <row r="175" ht="19.5" customHeight="1">
      <c r="A175" s="35"/>
      <c r="B175" s="35"/>
      <c r="C175" s="35"/>
      <c r="D175" s="35"/>
      <c r="E175" s="35"/>
      <c r="F175" s="35"/>
      <c r="G175" s="35"/>
      <c r="H175" s="35"/>
      <c r="I175" s="35"/>
      <c r="J175" s="84" t="s">
        <v>403</v>
      </c>
      <c r="K175" s="156" t="str">
        <f>CONCATENATE(prefix_mgmt_az1_cidr,"15.0/24")</f>
        <v>10.21.15.0/24</v>
      </c>
      <c r="L175" s="18"/>
      <c r="M175" s="18"/>
      <c r="N175" s="41"/>
      <c r="O175" s="41"/>
      <c r="P175" s="41"/>
      <c r="Q175" s="41"/>
      <c r="R175" s="41"/>
      <c r="S175" s="41"/>
      <c r="T175" s="41"/>
      <c r="U175" s="41"/>
      <c r="V175" s="41"/>
      <c r="W175" s="41"/>
      <c r="X175" s="41"/>
      <c r="Y175" s="41"/>
      <c r="Z175" s="41"/>
    </row>
    <row r="176" ht="19.5" customHeight="1">
      <c r="A176" s="35"/>
      <c r="B176" s="35"/>
      <c r="C176" s="35"/>
      <c r="D176" s="35"/>
      <c r="E176" s="35"/>
      <c r="F176" s="35"/>
      <c r="G176" s="35"/>
      <c r="H176" s="35"/>
      <c r="I176" s="35"/>
      <c r="J176" s="84" t="s">
        <v>404</v>
      </c>
      <c r="K176" s="156">
        <v>9000.0</v>
      </c>
      <c r="L176" s="18"/>
      <c r="M176" s="18"/>
      <c r="N176" s="41"/>
      <c r="O176" s="41"/>
      <c r="P176" s="41"/>
      <c r="Q176" s="41"/>
      <c r="R176" s="41"/>
      <c r="S176" s="41"/>
      <c r="T176" s="41"/>
      <c r="U176" s="41"/>
      <c r="V176" s="41"/>
      <c r="W176" s="41"/>
      <c r="X176" s="41"/>
      <c r="Y176" s="41"/>
      <c r="Z176" s="41"/>
    </row>
    <row r="177" ht="19.5" customHeight="1">
      <c r="A177" s="35"/>
      <c r="B177" s="35"/>
      <c r="C177" s="35"/>
      <c r="D177" s="35"/>
      <c r="E177" s="35"/>
      <c r="F177" s="35"/>
      <c r="G177" s="35"/>
      <c r="H177" s="35"/>
      <c r="I177" s="35"/>
      <c r="J177" s="84" t="s">
        <v>414</v>
      </c>
      <c r="K177" s="156" t="str">
        <f>CONCATENATE(prefix_mgmt_az1_cidr,"15.101")</f>
        <v>10.21.15.101</v>
      </c>
      <c r="L177" s="18"/>
      <c r="M177" s="18"/>
      <c r="N177" s="41"/>
      <c r="O177" s="41"/>
      <c r="P177" s="41"/>
      <c r="Q177" s="41"/>
      <c r="R177" s="41"/>
      <c r="S177" s="41"/>
      <c r="T177" s="41"/>
      <c r="U177" s="41"/>
      <c r="V177" s="41"/>
      <c r="W177" s="41"/>
      <c r="X177" s="41"/>
      <c r="Y177" s="41"/>
      <c r="Z177" s="41"/>
    </row>
    <row r="178" ht="19.5" customHeight="1">
      <c r="A178" s="35"/>
      <c r="B178" s="35"/>
      <c r="C178" s="35"/>
      <c r="D178" s="35"/>
      <c r="E178" s="35"/>
      <c r="F178" s="35"/>
      <c r="G178" s="35"/>
      <c r="H178" s="35"/>
      <c r="I178" s="35"/>
      <c r="J178" s="84" t="s">
        <v>415</v>
      </c>
      <c r="K178" s="156" t="str">
        <f>CONCATENATE(prefix_mgmt_az1_cidr,"15.116")</f>
        <v>10.21.15.116</v>
      </c>
      <c r="L178" s="18"/>
      <c r="M178" s="18"/>
      <c r="N178" s="41"/>
      <c r="O178" s="41"/>
      <c r="P178" s="41"/>
      <c r="Q178" s="41"/>
      <c r="R178" s="41"/>
      <c r="S178" s="41"/>
      <c r="T178" s="41"/>
      <c r="U178" s="41"/>
      <c r="V178" s="41"/>
      <c r="W178" s="41"/>
      <c r="X178" s="41"/>
      <c r="Y178" s="41"/>
      <c r="Z178" s="41"/>
    </row>
    <row r="179" ht="19.5" customHeight="1">
      <c r="A179" s="35"/>
      <c r="B179" s="35"/>
      <c r="C179" s="35"/>
      <c r="D179" s="35"/>
      <c r="E179" s="35"/>
      <c r="F179" s="35"/>
      <c r="G179" s="35"/>
      <c r="H179" s="35"/>
      <c r="I179" s="35"/>
      <c r="J179" s="79"/>
      <c r="K179" s="74"/>
      <c r="L179" s="74"/>
      <c r="M179" s="74"/>
      <c r="N179" s="41"/>
      <c r="O179" s="41"/>
      <c r="P179" s="41"/>
      <c r="Q179" s="41"/>
      <c r="R179" s="41"/>
      <c r="S179" s="41"/>
      <c r="T179" s="41"/>
      <c r="U179" s="41"/>
      <c r="V179" s="41"/>
      <c r="W179" s="41"/>
      <c r="X179" s="41"/>
      <c r="Y179" s="41"/>
      <c r="Z179" s="41"/>
    </row>
    <row r="180" ht="33.75" customHeight="1">
      <c r="A180" s="35"/>
      <c r="B180" s="35"/>
      <c r="C180" s="35"/>
      <c r="D180" s="35"/>
      <c r="E180" s="35"/>
      <c r="F180" s="35"/>
      <c r="G180" s="35"/>
      <c r="H180" s="35"/>
      <c r="I180" s="35"/>
      <c r="J180" s="12" t="s">
        <v>416</v>
      </c>
      <c r="K180" s="13"/>
      <c r="L180" s="13"/>
      <c r="M180" s="14"/>
      <c r="N180" s="41"/>
      <c r="O180" s="41"/>
      <c r="P180" s="41"/>
      <c r="Q180" s="41"/>
      <c r="R180" s="41"/>
      <c r="S180" s="41"/>
      <c r="T180" s="41"/>
      <c r="U180" s="41"/>
      <c r="V180" s="41"/>
      <c r="W180" s="41"/>
      <c r="X180" s="41"/>
      <c r="Y180" s="41"/>
      <c r="Z180" s="41"/>
    </row>
    <row r="181" ht="19.5" customHeight="1">
      <c r="A181" s="35"/>
      <c r="B181" s="35"/>
      <c r="C181" s="35"/>
      <c r="D181" s="35"/>
      <c r="E181" s="35"/>
      <c r="F181" s="35"/>
      <c r="G181" s="35"/>
      <c r="H181" s="35"/>
      <c r="I181" s="35"/>
      <c r="J181" s="102" t="s">
        <v>417</v>
      </c>
      <c r="K181" s="13"/>
      <c r="L181" s="13"/>
      <c r="M181" s="14"/>
      <c r="N181" s="41"/>
      <c r="O181" s="41"/>
      <c r="P181" s="41"/>
      <c r="Q181" s="41"/>
      <c r="R181" s="41"/>
      <c r="S181" s="41"/>
      <c r="T181" s="41"/>
      <c r="U181" s="41"/>
      <c r="V181" s="41"/>
      <c r="W181" s="41"/>
      <c r="X181" s="41"/>
      <c r="Y181" s="41"/>
      <c r="Z181" s="41"/>
    </row>
    <row r="182" ht="19.5" customHeight="1">
      <c r="A182" s="35"/>
      <c r="B182" s="35"/>
      <c r="C182" s="35"/>
      <c r="D182" s="35"/>
      <c r="E182" s="35"/>
      <c r="F182" s="35"/>
      <c r="G182" s="35"/>
      <c r="H182" s="35"/>
      <c r="I182" s="35"/>
      <c r="J182" s="49" t="s">
        <v>37</v>
      </c>
      <c r="K182" s="49" t="s">
        <v>273</v>
      </c>
      <c r="L182" s="49" t="s">
        <v>274</v>
      </c>
      <c r="M182" s="49" t="s">
        <v>5</v>
      </c>
      <c r="N182" s="41"/>
      <c r="O182" s="41"/>
      <c r="P182" s="41"/>
      <c r="Q182" s="41"/>
      <c r="R182" s="41"/>
      <c r="S182" s="41"/>
      <c r="T182" s="41"/>
      <c r="U182" s="41"/>
      <c r="V182" s="41"/>
      <c r="W182" s="41"/>
      <c r="X182" s="41"/>
      <c r="Y182" s="41"/>
      <c r="Z182" s="41"/>
    </row>
    <row r="183" ht="19.5" customHeight="1">
      <c r="A183" s="35"/>
      <c r="B183" s="35"/>
      <c r="C183" s="35"/>
      <c r="D183" s="35"/>
      <c r="E183" s="35"/>
      <c r="F183" s="35"/>
      <c r="G183" s="35"/>
      <c r="H183" s="35"/>
      <c r="I183" s="35"/>
      <c r="J183" s="84" t="s">
        <v>418</v>
      </c>
      <c r="K183" s="110" t="s">
        <v>213</v>
      </c>
      <c r="L183" s="18" t="s">
        <v>419</v>
      </c>
      <c r="M183" s="51" t="str">
        <f>IF(mgmt_domain_existing_vcenter_chosen="Selected","Inputs are masked out as you have opted to import an existing vCenter Server","")</f>
        <v/>
      </c>
      <c r="N183" s="41"/>
      <c r="O183" s="41"/>
      <c r="P183" s="41"/>
      <c r="Q183" s="41"/>
      <c r="R183" s="41"/>
      <c r="S183" s="41"/>
      <c r="T183" s="41"/>
      <c r="U183" s="41"/>
      <c r="V183" s="41"/>
      <c r="W183" s="41"/>
      <c r="X183" s="41"/>
      <c r="Y183" s="41"/>
      <c r="Z183" s="41"/>
    </row>
    <row r="184" ht="19.5" customHeight="1">
      <c r="A184" s="35"/>
      <c r="B184" s="35"/>
      <c r="C184" s="35"/>
      <c r="D184" s="35"/>
      <c r="E184" s="35"/>
      <c r="F184" s="35"/>
      <c r="G184" s="35"/>
      <c r="H184" s="35"/>
      <c r="I184" s="35"/>
      <c r="J184" s="79"/>
      <c r="K184" s="74"/>
      <c r="L184" s="147"/>
      <c r="M184" s="74"/>
      <c r="N184" s="41"/>
      <c r="O184" s="41"/>
      <c r="P184" s="41"/>
      <c r="Q184" s="41"/>
      <c r="R184" s="41"/>
      <c r="S184" s="41"/>
      <c r="T184" s="41"/>
      <c r="U184" s="41"/>
      <c r="V184" s="41"/>
      <c r="W184" s="41"/>
      <c r="X184" s="41"/>
      <c r="Y184" s="41"/>
      <c r="Z184" s="41"/>
    </row>
    <row r="185" ht="33.75" customHeight="1">
      <c r="A185" s="35"/>
      <c r="B185" s="35"/>
      <c r="C185" s="35"/>
      <c r="D185" s="35"/>
      <c r="E185" s="35"/>
      <c r="F185" s="35"/>
      <c r="G185" s="35"/>
      <c r="H185" s="35"/>
      <c r="I185" s="35"/>
      <c r="J185" s="86" t="s">
        <v>420</v>
      </c>
      <c r="K185" s="87"/>
      <c r="L185" s="87"/>
      <c r="M185" s="164"/>
      <c r="N185" s="41"/>
      <c r="O185" s="41"/>
      <c r="P185" s="41"/>
      <c r="Q185" s="41"/>
      <c r="R185" s="41"/>
      <c r="S185" s="41"/>
      <c r="T185" s="41"/>
      <c r="U185" s="41"/>
      <c r="V185" s="41"/>
      <c r="W185" s="41"/>
      <c r="X185" s="41"/>
      <c r="Y185" s="41"/>
      <c r="Z185" s="41"/>
    </row>
    <row r="186" ht="19.5" customHeight="1">
      <c r="A186" s="35"/>
      <c r="B186" s="35"/>
      <c r="C186" s="35"/>
      <c r="D186" s="35"/>
      <c r="E186" s="35"/>
      <c r="F186" s="35"/>
      <c r="G186" s="35"/>
      <c r="H186" s="35"/>
      <c r="I186" s="35"/>
      <c r="J186" s="165" t="s">
        <v>421</v>
      </c>
      <c r="K186" s="166"/>
      <c r="L186" s="166"/>
      <c r="M186" s="167"/>
      <c r="N186" s="41"/>
      <c r="O186" s="41"/>
      <c r="P186" s="41"/>
      <c r="Q186" s="41"/>
      <c r="R186" s="41"/>
      <c r="S186" s="41"/>
      <c r="T186" s="41"/>
      <c r="U186" s="41"/>
      <c r="V186" s="41"/>
      <c r="W186" s="41"/>
      <c r="X186" s="41"/>
      <c r="Y186" s="41"/>
      <c r="Z186" s="41"/>
    </row>
    <row r="187" ht="19.5" customHeight="1">
      <c r="A187" s="35"/>
      <c r="B187" s="35"/>
      <c r="C187" s="35"/>
      <c r="D187" s="35"/>
      <c r="E187" s="35"/>
      <c r="F187" s="35"/>
      <c r="G187" s="35"/>
      <c r="H187" s="35"/>
      <c r="I187" s="35"/>
      <c r="J187" s="49" t="s">
        <v>37</v>
      </c>
      <c r="K187" s="49" t="s">
        <v>273</v>
      </c>
      <c r="L187" s="49" t="s">
        <v>274</v>
      </c>
      <c r="M187" s="49" t="s">
        <v>5</v>
      </c>
      <c r="N187" s="41"/>
      <c r="O187" s="41"/>
      <c r="P187" s="41"/>
      <c r="Q187" s="41"/>
      <c r="R187" s="41"/>
      <c r="S187" s="41"/>
      <c r="T187" s="41"/>
      <c r="U187" s="41"/>
      <c r="V187" s="41"/>
      <c r="W187" s="41"/>
      <c r="X187" s="41"/>
      <c r="Y187" s="41"/>
      <c r="Z187" s="41"/>
    </row>
    <row r="188" ht="19.5" customHeight="1">
      <c r="A188" s="35"/>
      <c r="B188" s="35"/>
      <c r="C188" s="35"/>
      <c r="D188" s="35"/>
      <c r="E188" s="35"/>
      <c r="F188" s="35"/>
      <c r="G188" s="35"/>
      <c r="H188" s="35"/>
      <c r="I188" s="35"/>
      <c r="J188" s="84" t="s">
        <v>422</v>
      </c>
      <c r="K188" s="110" t="str">
        <f>CONCATENATE(this_instance,"-m01-cl01-vds01")</f>
        <v>lax-m01-cl01-vds01</v>
      </c>
      <c r="L188" s="32"/>
      <c r="M188" s="18" t="str">
        <f>IF(mgmt_domain_existing_vcenter_chosen="Selected","Inputs are masked out as you have opted to import an existing vCenter Server","")</f>
        <v/>
      </c>
      <c r="N188" s="41"/>
      <c r="O188" s="41"/>
      <c r="P188" s="41"/>
      <c r="Q188" s="41"/>
      <c r="R188" s="41"/>
      <c r="S188" s="41"/>
      <c r="T188" s="41"/>
      <c r="U188" s="41"/>
      <c r="V188" s="41"/>
      <c r="W188" s="41"/>
      <c r="X188" s="41"/>
      <c r="Y188" s="41"/>
      <c r="Z188" s="41"/>
    </row>
    <row r="189" ht="19.5" customHeight="1">
      <c r="A189" s="35"/>
      <c r="B189" s="35"/>
      <c r="C189" s="35"/>
      <c r="D189" s="35"/>
      <c r="E189" s="35"/>
      <c r="F189" s="35"/>
      <c r="G189" s="35"/>
      <c r="H189" s="35"/>
      <c r="I189" s="35"/>
      <c r="J189" s="84" t="s">
        <v>404</v>
      </c>
      <c r="K189" s="110">
        <v>9000.0</v>
      </c>
      <c r="L189" s="18"/>
      <c r="M189" s="18"/>
      <c r="N189" s="41"/>
      <c r="O189" s="41"/>
      <c r="P189" s="41"/>
      <c r="Q189" s="41"/>
      <c r="R189" s="41"/>
      <c r="S189" s="41"/>
      <c r="T189" s="41"/>
      <c r="U189" s="41"/>
      <c r="V189" s="41"/>
      <c r="W189" s="41"/>
      <c r="X189" s="41"/>
      <c r="Y189" s="41"/>
      <c r="Z189" s="41"/>
    </row>
    <row r="190" ht="19.5" customHeight="1">
      <c r="A190" s="35"/>
      <c r="B190" s="35"/>
      <c r="C190" s="35"/>
      <c r="D190" s="35"/>
      <c r="E190" s="35"/>
      <c r="F190" s="35"/>
      <c r="G190" s="35"/>
      <c r="H190" s="35"/>
      <c r="I190" s="35"/>
      <c r="J190" s="84" t="s">
        <v>30</v>
      </c>
      <c r="K190" s="110" t="s">
        <v>423</v>
      </c>
      <c r="L190" s="18" t="s">
        <v>423</v>
      </c>
      <c r="M190" s="18" t="str">
        <f>IF(AND(mgmt_cl01_vds_profile_chosen="NSX Traffic Separation",mgmt_cl01_vds01_link_type_chosen="VDS LAG"),"VDS LAG / LACP is not supported on this VDS with the chosen VDS profile",
IF(AND(mgmt_cl01_vds_profile_chosen="Storage Traffic and NSX Traffic separation",mgmt_cl01_vds01_link_type_chosen="VDS LAG"),"VDS LAG / LACP is not supported on this VDS with the chosen VDS profile",
IF(mgmt_cl01_vds01_link_type_chosen="VDS Lag","Only supported via API. Use VCF.JSONGenerator to generate the JSON File once PnP is complete","Option is not visible VCF installer UI")))</f>
        <v>Option is not visible VCF installer UI</v>
      </c>
      <c r="N190" s="41"/>
      <c r="O190" s="41"/>
      <c r="P190" s="41"/>
      <c r="Q190" s="41"/>
      <c r="R190" s="41"/>
      <c r="S190" s="41"/>
      <c r="T190" s="41"/>
      <c r="U190" s="41"/>
      <c r="V190" s="41"/>
      <c r="W190" s="41"/>
      <c r="X190" s="41"/>
      <c r="Y190" s="41"/>
      <c r="Z190" s="41"/>
    </row>
    <row r="191" ht="19.5" customHeight="1">
      <c r="A191" s="35"/>
      <c r="B191" s="35"/>
      <c r="C191" s="35"/>
      <c r="D191" s="35"/>
      <c r="E191" s="35"/>
      <c r="F191" s="35"/>
      <c r="G191" s="35"/>
      <c r="H191" s="35"/>
      <c r="I191" s="35"/>
      <c r="J191" s="84" t="s">
        <v>424</v>
      </c>
      <c r="K191" s="110" t="str">
        <f>CONCATENATE("m01-cl01-vds1-lg")</f>
        <v>m01-cl01-vds1-lg</v>
      </c>
      <c r="L191" s="18"/>
      <c r="M191" s="18" t="str">
        <f>IF(mgmt_cl01_vds01_link_type_chosen="VDS Uplinks","This input is masked out as you have chosen to configure VDS Uplinks","Option is not visible in VCF Operations UI. There is a 16 Character Limit for LAG Name")</f>
        <v>This input is masked out as you have chosen to configure VDS Uplinks</v>
      </c>
      <c r="N191" s="41"/>
      <c r="O191" s="41"/>
      <c r="P191" s="41"/>
      <c r="Q191" s="41"/>
      <c r="R191" s="41"/>
      <c r="S191" s="41"/>
      <c r="T191" s="41"/>
      <c r="U191" s="41"/>
      <c r="V191" s="41"/>
      <c r="W191" s="41"/>
      <c r="X191" s="41"/>
      <c r="Y191" s="41"/>
      <c r="Z191" s="41"/>
    </row>
    <row r="192" ht="19.5" customHeight="1">
      <c r="A192" s="35"/>
      <c r="B192" s="35"/>
      <c r="C192" s="35"/>
      <c r="D192" s="35"/>
      <c r="E192" s="35"/>
      <c r="F192" s="35"/>
      <c r="G192" s="35"/>
      <c r="H192" s="35"/>
      <c r="I192" s="35"/>
      <c r="J192" s="84" t="s">
        <v>425</v>
      </c>
      <c r="K192" s="110" t="s">
        <v>426</v>
      </c>
      <c r="L192" s="18" t="s">
        <v>426</v>
      </c>
      <c r="M192" s="18" t="str">
        <f>IF(mgmt_cl01_vds01_link_type_chosen="VDS Uplinks","This input is masked out as you have chosen to configure VDS Uplinks","Option is not visible in VCF Installer UI")</f>
        <v>This input is masked out as you have chosen to configure VDS Uplinks</v>
      </c>
      <c r="N192" s="41"/>
      <c r="O192" s="41"/>
      <c r="P192" s="41"/>
      <c r="Q192" s="41"/>
      <c r="R192" s="41"/>
      <c r="S192" s="41"/>
      <c r="T192" s="41"/>
      <c r="U192" s="41"/>
      <c r="V192" s="41"/>
      <c r="W192" s="41"/>
      <c r="X192" s="41"/>
      <c r="Y192" s="41"/>
      <c r="Z192" s="41"/>
    </row>
    <row r="193" ht="19.5" customHeight="1">
      <c r="A193" s="35"/>
      <c r="B193" s="35"/>
      <c r="C193" s="35"/>
      <c r="D193" s="35"/>
      <c r="E193" s="35"/>
      <c r="F193" s="35"/>
      <c r="G193" s="35"/>
      <c r="H193" s="35"/>
      <c r="I193" s="35"/>
      <c r="J193" s="84" t="s">
        <v>427</v>
      </c>
      <c r="K193" s="110" t="s">
        <v>428</v>
      </c>
      <c r="L193" s="18" t="s">
        <v>428</v>
      </c>
      <c r="M193" s="18" t="str">
        <f>IF(mgmt_cl01_vds01_link_type_chosen="VDS Uplinks","This input is masked out as you have chosen to configure VDS Uplinks","Option is not visible in VCF Installer UI")</f>
        <v>This input is masked out as you have chosen to configure VDS Uplinks</v>
      </c>
      <c r="N193" s="41"/>
      <c r="O193" s="41"/>
      <c r="P193" s="41"/>
      <c r="Q193" s="41"/>
      <c r="R193" s="41"/>
      <c r="S193" s="41"/>
      <c r="T193" s="41"/>
      <c r="U193" s="41"/>
      <c r="V193" s="41"/>
      <c r="W193" s="41"/>
      <c r="X193" s="41"/>
      <c r="Y193" s="41"/>
      <c r="Z193" s="41"/>
    </row>
    <row r="194" ht="19.5" customHeight="1">
      <c r="A194" s="35"/>
      <c r="B194" s="35"/>
      <c r="C194" s="35"/>
      <c r="D194" s="35"/>
      <c r="E194" s="35"/>
      <c r="F194" s="35"/>
      <c r="G194" s="35"/>
      <c r="H194" s="35"/>
      <c r="I194" s="35"/>
      <c r="J194" s="84" t="s">
        <v>429</v>
      </c>
      <c r="K194" s="110" t="s">
        <v>430</v>
      </c>
      <c r="L194" s="18" t="s">
        <v>430</v>
      </c>
      <c r="M194" s="18" t="str">
        <f>IF(mgmt_cl01_vds01_link_type_chosen="VDS Uplinks","This input is masked out as you have chosen to configure VDS Uplinks","Option is not visible in VCF Installer UI")</f>
        <v>This input is masked out as you have chosen to configure VDS Uplinks</v>
      </c>
      <c r="N194" s="41"/>
      <c r="O194" s="41"/>
      <c r="P194" s="41"/>
      <c r="Q194" s="41"/>
      <c r="R194" s="41"/>
      <c r="S194" s="41"/>
      <c r="T194" s="41"/>
      <c r="U194" s="41"/>
      <c r="V194" s="41"/>
      <c r="W194" s="41"/>
      <c r="X194" s="41"/>
      <c r="Y194" s="41"/>
      <c r="Z194" s="41"/>
    </row>
    <row r="195" ht="19.5" customHeight="1">
      <c r="A195" s="35"/>
      <c r="B195" s="35"/>
      <c r="C195" s="35"/>
      <c r="D195" s="35"/>
      <c r="E195" s="35"/>
      <c r="F195" s="35"/>
      <c r="G195" s="35"/>
      <c r="H195" s="35"/>
      <c r="I195" s="35"/>
      <c r="J195" s="84" t="s">
        <v>431</v>
      </c>
      <c r="K195" s="110">
        <v>2.0</v>
      </c>
      <c r="L195" s="18"/>
      <c r="M195" s="18"/>
      <c r="N195" s="41"/>
      <c r="O195" s="41"/>
      <c r="P195" s="41"/>
      <c r="Q195" s="41"/>
      <c r="R195" s="41"/>
      <c r="S195" s="41"/>
      <c r="T195" s="41"/>
      <c r="U195" s="41"/>
      <c r="V195" s="41"/>
      <c r="W195" s="41"/>
      <c r="X195" s="41"/>
      <c r="Y195" s="41"/>
      <c r="Z195" s="41"/>
    </row>
    <row r="196" ht="19.5" customHeight="1">
      <c r="A196" s="35"/>
      <c r="B196" s="35"/>
      <c r="C196" s="35"/>
      <c r="D196" s="35"/>
      <c r="E196" s="35"/>
      <c r="F196" s="35"/>
      <c r="G196" s="35"/>
      <c r="H196" s="35"/>
      <c r="I196" s="35"/>
      <c r="J196" s="84" t="str">
        <f>IF(mgmt_cl01_vds01_link_type_chosen="VDS LAG",IF(mgmt_cl01_vds01_lag_name="Value Missing","lag-0",CONCATENATE(mgmt_cl01_vds01_lag_name,"-0")),"uplink1")</f>
        <v>uplink1</v>
      </c>
      <c r="K196" s="110" t="s">
        <v>432</v>
      </c>
      <c r="L196" s="18"/>
      <c r="M196" s="18"/>
      <c r="N196" s="41"/>
      <c r="O196" s="41"/>
      <c r="P196" s="41"/>
      <c r="Q196" s="41"/>
      <c r="R196" s="41"/>
      <c r="S196" s="41"/>
      <c r="T196" s="41"/>
      <c r="U196" s="41"/>
      <c r="V196" s="41"/>
      <c r="W196" s="41"/>
      <c r="X196" s="41"/>
      <c r="Y196" s="41"/>
      <c r="Z196" s="41"/>
    </row>
    <row r="197" ht="19.5" customHeight="1">
      <c r="A197" s="35"/>
      <c r="B197" s="35"/>
      <c r="C197" s="35"/>
      <c r="D197" s="35"/>
      <c r="E197" s="35"/>
      <c r="F197" s="35"/>
      <c r="G197" s="35"/>
      <c r="H197" s="35"/>
      <c r="I197" s="35"/>
      <c r="J197" s="84" t="str">
        <f>IF(mgmt_cl01_vds01_link_type_chosen="VDS LAG",IF(mgmt_cl01_vds01_lag_name="Value Missing","lag-1",CONCATENATE(mgmt_cl01_vds01_lag_name,"-1")),"uplink2")</f>
        <v>uplink2</v>
      </c>
      <c r="K197" s="110" t="s">
        <v>433</v>
      </c>
      <c r="L197" s="18"/>
      <c r="M197" s="18"/>
      <c r="N197" s="41"/>
      <c r="O197" s="41"/>
      <c r="P197" s="41"/>
      <c r="Q197" s="41"/>
      <c r="R197" s="41"/>
      <c r="S197" s="41"/>
      <c r="T197" s="41"/>
      <c r="U197" s="41"/>
      <c r="V197" s="41"/>
      <c r="W197" s="41"/>
      <c r="X197" s="41"/>
      <c r="Y197" s="41"/>
      <c r="Z197" s="41"/>
    </row>
    <row r="198" ht="19.5" customHeight="1">
      <c r="A198" s="35"/>
      <c r="B198" s="35"/>
      <c r="C198" s="35"/>
      <c r="D198" s="35"/>
      <c r="E198" s="35"/>
      <c r="F198" s="35"/>
      <c r="G198" s="35"/>
      <c r="H198" s="35"/>
      <c r="I198" s="35"/>
      <c r="J198" s="102" t="s">
        <v>434</v>
      </c>
      <c r="K198" s="13"/>
      <c r="L198" s="13"/>
      <c r="M198" s="14"/>
      <c r="N198" s="41"/>
      <c r="O198" s="41"/>
      <c r="P198" s="41"/>
      <c r="Q198" s="41"/>
      <c r="R198" s="41"/>
      <c r="S198" s="41"/>
      <c r="T198" s="41"/>
      <c r="U198" s="41"/>
      <c r="V198" s="41"/>
      <c r="W198" s="41"/>
      <c r="X198" s="41"/>
      <c r="Y198" s="41"/>
      <c r="Z198" s="41"/>
    </row>
    <row r="199" ht="19.5" customHeight="1">
      <c r="A199" s="35"/>
      <c r="B199" s="35"/>
      <c r="C199" s="35"/>
      <c r="D199" s="35"/>
      <c r="E199" s="35"/>
      <c r="F199" s="35"/>
      <c r="G199" s="35"/>
      <c r="H199" s="35"/>
      <c r="I199" s="35"/>
      <c r="J199" s="84" t="s">
        <v>422</v>
      </c>
      <c r="K199" s="110" t="str">
        <f>CONCATENATE(this_instance,"-m01-cl01-vds02")</f>
        <v>lax-m01-cl01-vds02</v>
      </c>
      <c r="L199" s="18"/>
      <c r="M199" s="18" t="str">
        <f>IF(mgmt_domain_existing_vcenter_chosen="Selected","Inputs are masked out as you have opted to import an existing vCenter Server",IF(mgmt_cl01_vds_profile_chosen="Default","This input is masked out due to VDS Profile selected",""))</f>
        <v/>
      </c>
      <c r="N199" s="41"/>
      <c r="O199" s="41"/>
      <c r="P199" s="41"/>
      <c r="Q199" s="41"/>
      <c r="R199" s="41"/>
      <c r="S199" s="41"/>
      <c r="T199" s="41"/>
      <c r="U199" s="41"/>
      <c r="V199" s="41"/>
      <c r="W199" s="41"/>
      <c r="X199" s="41"/>
      <c r="Y199" s="41"/>
      <c r="Z199" s="41"/>
    </row>
    <row r="200" ht="19.5" customHeight="1">
      <c r="A200" s="35"/>
      <c r="B200" s="35"/>
      <c r="C200" s="35"/>
      <c r="D200" s="35"/>
      <c r="E200" s="35"/>
      <c r="F200" s="35"/>
      <c r="G200" s="35"/>
      <c r="H200" s="35"/>
      <c r="I200" s="35"/>
      <c r="J200" s="84" t="s">
        <v>404</v>
      </c>
      <c r="K200" s="110">
        <v>9000.0</v>
      </c>
      <c r="L200" s="18"/>
      <c r="M200" s="18" t="str">
        <f>IF(mgmt_cl01_vds_profile_chosen="Default","This input is masked out due to VDS Profile selected","")</f>
        <v/>
      </c>
      <c r="N200" s="41"/>
      <c r="O200" s="41"/>
      <c r="P200" s="41"/>
      <c r="Q200" s="41"/>
      <c r="R200" s="41"/>
      <c r="S200" s="41"/>
      <c r="T200" s="41"/>
      <c r="U200" s="41"/>
      <c r="V200" s="41"/>
      <c r="W200" s="41"/>
      <c r="X200" s="41"/>
      <c r="Y200" s="41"/>
      <c r="Z200" s="41"/>
    </row>
    <row r="201" ht="19.5" customHeight="1">
      <c r="A201" s="35"/>
      <c r="B201" s="35"/>
      <c r="C201" s="35"/>
      <c r="D201" s="35"/>
      <c r="E201" s="35"/>
      <c r="F201" s="35"/>
      <c r="G201" s="35"/>
      <c r="H201" s="35"/>
      <c r="I201" s="35"/>
      <c r="J201" s="84" t="s">
        <v>30</v>
      </c>
      <c r="K201" s="110" t="s">
        <v>423</v>
      </c>
      <c r="L201" s="18" t="s">
        <v>423</v>
      </c>
      <c r="M201" s="18" t="str">
        <f>IF(AND(mgmt_cl01_vds_profile_chosen="Storage Traffic Separation",mgmt_cl01_vds01_link_type_chosen="VDS LAG",mgmt_cl01_vds02_link_type_chosen="VDS LAG",vcf_version&lt;&gt;"9.0.2.0"),"VDS LAG / LACP is not supported on this VDS with the chosen VDS profile and Primary VDS Lag configuration",
IF(AND(mgmt_cl01_vds_profile_chosen="Storage Traffic and NSX Traffic separation",mgmt_cl01_vds02_link_type_chosen="VDS LAG",vcf_version&lt;&gt;"9.0.2.0"),"VDS LAG / LACP is not supported on this VDS with the chosen VDS profile",
IF(mgmt_cl01_vds_profile_chosen="Default","This input is masked out due to VDS Profile selected",IF(mgmt_cl01_vds02_link_type_chosen="VDS Lag","Only supported via API. Use VCF.JSONGenerator to generate the JSON File once PnP is complete","Option is not visible VCF installer UI"))))</f>
        <v>Option is not visible VCF installer UI</v>
      </c>
      <c r="N201" s="41"/>
      <c r="O201" s="41"/>
      <c r="P201" s="41"/>
      <c r="Q201" s="41"/>
      <c r="R201" s="41"/>
      <c r="S201" s="41"/>
      <c r="T201" s="41"/>
      <c r="U201" s="41"/>
      <c r="V201" s="41"/>
      <c r="W201" s="41"/>
      <c r="X201" s="41"/>
      <c r="Y201" s="41"/>
      <c r="Z201" s="41"/>
    </row>
    <row r="202" ht="19.5" customHeight="1">
      <c r="A202" s="35"/>
      <c r="B202" s="35"/>
      <c r="C202" s="35"/>
      <c r="D202" s="35"/>
      <c r="E202" s="35"/>
      <c r="F202" s="35"/>
      <c r="G202" s="35"/>
      <c r="H202" s="35"/>
      <c r="I202" s="35"/>
      <c r="J202" s="84" t="s">
        <v>424</v>
      </c>
      <c r="K202" s="110" t="str">
        <f>CONCATENATE("m01-cl01-vds2-lg")</f>
        <v>m01-cl01-vds2-lg</v>
      </c>
      <c r="L202" s="18"/>
      <c r="M202" s="18" t="str">
        <f>IF(mgmt_cl01_vds_profile_chosen="Default","This input is masked out due to VDS Profile selected",IF(mgmt_cl01_vds02_link_type_chosen="VDS Uplinks","This input is masked out as you have chosen to configure VDS Uplinks","Option is not visible in VCF Operations UI. There is a 16 Character Limit for LAG Name"))</f>
        <v>This input is masked out as you have chosen to configure VDS Uplinks</v>
      </c>
      <c r="N202" s="41"/>
      <c r="O202" s="41"/>
      <c r="P202" s="41"/>
      <c r="Q202" s="41"/>
      <c r="R202" s="41"/>
      <c r="S202" s="41"/>
      <c r="T202" s="41"/>
      <c r="U202" s="41"/>
      <c r="V202" s="41"/>
      <c r="W202" s="41"/>
      <c r="X202" s="41"/>
      <c r="Y202" s="41"/>
      <c r="Z202" s="41"/>
    </row>
    <row r="203" ht="19.5" customHeight="1">
      <c r="A203" s="35"/>
      <c r="B203" s="35"/>
      <c r="C203" s="35"/>
      <c r="D203" s="35"/>
      <c r="E203" s="35"/>
      <c r="F203" s="35"/>
      <c r="G203" s="35"/>
      <c r="H203" s="35"/>
      <c r="I203" s="35"/>
      <c r="J203" s="84" t="s">
        <v>425</v>
      </c>
      <c r="K203" s="110" t="s">
        <v>426</v>
      </c>
      <c r="L203" s="18" t="s">
        <v>426</v>
      </c>
      <c r="M203" s="18"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c r="N203" s="41"/>
      <c r="O203" s="41"/>
      <c r="P203" s="41"/>
      <c r="Q203" s="41"/>
      <c r="R203" s="41"/>
      <c r="S203" s="41"/>
      <c r="T203" s="41"/>
      <c r="U203" s="41"/>
      <c r="V203" s="41"/>
      <c r="W203" s="41"/>
      <c r="X203" s="41"/>
      <c r="Y203" s="41"/>
      <c r="Z203" s="41"/>
    </row>
    <row r="204" ht="19.5" customHeight="1">
      <c r="A204" s="35"/>
      <c r="B204" s="35"/>
      <c r="C204" s="35"/>
      <c r="D204" s="35"/>
      <c r="E204" s="35"/>
      <c r="F204" s="35"/>
      <c r="G204" s="35"/>
      <c r="H204" s="35"/>
      <c r="I204" s="35"/>
      <c r="J204" s="84" t="s">
        <v>427</v>
      </c>
      <c r="K204" s="110" t="s">
        <v>428</v>
      </c>
      <c r="L204" s="18" t="s">
        <v>428</v>
      </c>
      <c r="M204" s="18"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c r="N204" s="41"/>
      <c r="O204" s="41"/>
      <c r="P204" s="41"/>
      <c r="Q204" s="41"/>
      <c r="R204" s="41"/>
      <c r="S204" s="41"/>
      <c r="T204" s="41"/>
      <c r="U204" s="41"/>
      <c r="V204" s="41"/>
      <c r="W204" s="41"/>
      <c r="X204" s="41"/>
      <c r="Y204" s="41"/>
      <c r="Z204" s="41"/>
    </row>
    <row r="205" ht="19.5" customHeight="1">
      <c r="A205" s="35"/>
      <c r="B205" s="35"/>
      <c r="C205" s="35"/>
      <c r="D205" s="35"/>
      <c r="E205" s="35"/>
      <c r="F205" s="35"/>
      <c r="G205" s="35"/>
      <c r="H205" s="35"/>
      <c r="I205" s="35"/>
      <c r="J205" s="84" t="s">
        <v>429</v>
      </c>
      <c r="K205" s="110" t="s">
        <v>430</v>
      </c>
      <c r="L205" s="18" t="s">
        <v>430</v>
      </c>
      <c r="M205" s="18" t="str">
        <f>IF(mgmt_cl01_vds_profile_chosen="Default","This input is masked out due to VDS Profile selected",IF(mgmt_cl01_vds02_link_type_chosen="VDS Uplinks","This input is masked out as you have chosen to configure VDS Uplinks","Option is not visible in VCF Installer UI"))</f>
        <v>This input is masked out as you have chosen to configure VDS Uplinks</v>
      </c>
      <c r="N205" s="41"/>
      <c r="O205" s="41"/>
      <c r="P205" s="41"/>
      <c r="Q205" s="41"/>
      <c r="R205" s="41"/>
      <c r="S205" s="41"/>
      <c r="T205" s="41"/>
      <c r="U205" s="41"/>
      <c r="V205" s="41"/>
      <c r="W205" s="41"/>
      <c r="X205" s="41"/>
      <c r="Y205" s="41"/>
      <c r="Z205" s="41"/>
    </row>
    <row r="206" ht="19.5" customHeight="1">
      <c r="A206" s="35"/>
      <c r="B206" s="35"/>
      <c r="C206" s="35"/>
      <c r="D206" s="35"/>
      <c r="E206" s="35"/>
      <c r="F206" s="35"/>
      <c r="G206" s="35"/>
      <c r="H206" s="35"/>
      <c r="I206" s="35"/>
      <c r="J206" s="84" t="s">
        <v>431</v>
      </c>
      <c r="K206" s="110">
        <v>2.0</v>
      </c>
      <c r="L206" s="18"/>
      <c r="M206" s="18" t="str">
        <f>IF(mgmt_cl01_vds_profile_chosen="Default","This input is masked out due to VDS Profile selected","")</f>
        <v/>
      </c>
      <c r="N206" s="41"/>
      <c r="O206" s="41"/>
      <c r="P206" s="41"/>
      <c r="Q206" s="41"/>
      <c r="R206" s="41"/>
      <c r="S206" s="41"/>
      <c r="T206" s="41"/>
      <c r="U206" s="41"/>
      <c r="V206" s="41"/>
      <c r="W206" s="41"/>
      <c r="X206" s="41"/>
      <c r="Y206" s="41"/>
      <c r="Z206" s="41"/>
    </row>
    <row r="207" ht="19.5" customHeight="1">
      <c r="A207" s="35"/>
      <c r="B207" s="35"/>
      <c r="C207" s="35"/>
      <c r="D207" s="35"/>
      <c r="E207" s="35"/>
      <c r="F207" s="35"/>
      <c r="G207" s="35"/>
      <c r="H207" s="35"/>
      <c r="I207" s="35"/>
      <c r="J207" s="84" t="str">
        <f>IF(mgmt_cl01_vds02_link_type_chosen="VDS LAG",IF(mgmt_cl01_vds02_lag_name="Value Missing","lag-0",CONCATENATE(mgmt_cl01_vds02_lag_name,"-0")),"uplink1")</f>
        <v>uplink1</v>
      </c>
      <c r="K207" s="110" t="s">
        <v>435</v>
      </c>
      <c r="L207" s="18"/>
      <c r="M207" s="18" t="str">
        <f>IF(mgmt_cl01_vds_profile_chosen="Default","This input is masked out due to VDS Profile selected","")</f>
        <v/>
      </c>
      <c r="N207" s="41"/>
      <c r="O207" s="41"/>
      <c r="P207" s="41"/>
      <c r="Q207" s="41"/>
      <c r="R207" s="41"/>
      <c r="S207" s="41"/>
      <c r="T207" s="41"/>
      <c r="U207" s="41"/>
      <c r="V207" s="41"/>
      <c r="W207" s="41"/>
      <c r="X207" s="41"/>
      <c r="Y207" s="41"/>
      <c r="Z207" s="41"/>
    </row>
    <row r="208" ht="19.5" customHeight="1">
      <c r="A208" s="35"/>
      <c r="B208" s="35"/>
      <c r="C208" s="35"/>
      <c r="D208" s="35"/>
      <c r="E208" s="35"/>
      <c r="F208" s="35"/>
      <c r="G208" s="35"/>
      <c r="H208" s="35"/>
      <c r="I208" s="35"/>
      <c r="J208" s="84" t="str">
        <f>IF(mgmt_cl01_vds02_link_type_chosen="VDS LAG",IF(mgmt_cl01_vds02_lag_name="Value Missing","lag-1",CONCATENATE(mgmt_cl01_vds02_lag_name,"-1")),"uplink2")</f>
        <v>uplink2</v>
      </c>
      <c r="K208" s="110" t="s">
        <v>436</v>
      </c>
      <c r="L208" s="18"/>
      <c r="M208" s="18" t="str">
        <f>IF(mgmt_cl01_vds_profile_chosen="Default","This input is masked out due to VDS Profile selected","")</f>
        <v/>
      </c>
      <c r="N208" s="41"/>
      <c r="O208" s="41"/>
      <c r="P208" s="41"/>
      <c r="Q208" s="41"/>
      <c r="R208" s="41"/>
      <c r="S208" s="41"/>
      <c r="T208" s="41"/>
      <c r="U208" s="41"/>
      <c r="V208" s="41"/>
      <c r="W208" s="41"/>
      <c r="X208" s="41"/>
      <c r="Y208" s="41"/>
      <c r="Z208" s="41"/>
    </row>
    <row r="209" ht="19.5" customHeight="1">
      <c r="A209" s="35"/>
      <c r="B209" s="35"/>
      <c r="C209" s="35"/>
      <c r="D209" s="35"/>
      <c r="E209" s="35"/>
      <c r="F209" s="35"/>
      <c r="G209" s="35"/>
      <c r="H209" s="35"/>
      <c r="I209" s="35"/>
      <c r="J209" s="102" t="s">
        <v>437</v>
      </c>
      <c r="K209" s="13"/>
      <c r="L209" s="13"/>
      <c r="M209" s="14"/>
      <c r="N209" s="41"/>
      <c r="O209" s="41"/>
      <c r="P209" s="41"/>
      <c r="Q209" s="41"/>
      <c r="R209" s="41"/>
      <c r="S209" s="41"/>
      <c r="T209" s="41"/>
      <c r="U209" s="41"/>
      <c r="V209" s="41"/>
      <c r="W209" s="41"/>
      <c r="X209" s="41"/>
      <c r="Y209" s="41"/>
      <c r="Z209" s="41"/>
    </row>
    <row r="210" ht="19.5" customHeight="1">
      <c r="A210" s="35"/>
      <c r="B210" s="35"/>
      <c r="C210" s="35"/>
      <c r="D210" s="35"/>
      <c r="E210" s="35"/>
      <c r="F210" s="35"/>
      <c r="G210" s="35"/>
      <c r="H210" s="35"/>
      <c r="I210" s="35"/>
      <c r="J210" s="84" t="s">
        <v>422</v>
      </c>
      <c r="K210" s="110" t="str">
        <f>CONCATENATE(this_instance,"-m01-cl01-vds03")</f>
        <v>lax-m01-cl01-vds03</v>
      </c>
      <c r="L210" s="18"/>
      <c r="M210" s="18"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c r="N210" s="41"/>
      <c r="O210" s="41"/>
      <c r="P210" s="41"/>
      <c r="Q210" s="41"/>
      <c r="R210" s="41"/>
      <c r="S210" s="41"/>
      <c r="T210" s="41"/>
      <c r="U210" s="41"/>
      <c r="V210" s="41"/>
      <c r="W210" s="41"/>
      <c r="X210" s="41"/>
      <c r="Y210" s="41"/>
      <c r="Z210" s="41"/>
    </row>
    <row r="211" ht="19.5" customHeight="1">
      <c r="A211" s="35"/>
      <c r="B211" s="35"/>
      <c r="C211" s="35"/>
      <c r="D211" s="35"/>
      <c r="E211" s="35"/>
      <c r="F211" s="35"/>
      <c r="G211" s="35"/>
      <c r="H211" s="35"/>
      <c r="I211" s="35"/>
      <c r="J211" s="84" t="s">
        <v>30</v>
      </c>
      <c r="K211" s="110" t="s">
        <v>423</v>
      </c>
      <c r="L211" s="18" t="s">
        <v>423</v>
      </c>
      <c r="M211" s="18" t="str">
        <f>IF(mgmt_cl01_vds_profile_chosen="Default","This input is masked out due to VDS Profile selected",IF(mgmt_cl01_vds03_link_type_chosen="VDS Lag","Only supported via API. Use VCF.JSONGenerator to generate the JSON File once PnP is complete","Option is not visible VCF installer UI"))</f>
        <v>Option is not visible VCF installer UI</v>
      </c>
      <c r="N211" s="41"/>
      <c r="O211" s="41"/>
      <c r="P211" s="41"/>
      <c r="Q211" s="41"/>
      <c r="R211" s="41"/>
      <c r="S211" s="41"/>
      <c r="T211" s="41"/>
      <c r="U211" s="41"/>
      <c r="V211" s="41"/>
      <c r="W211" s="41"/>
      <c r="X211" s="41"/>
      <c r="Y211" s="41"/>
      <c r="Z211" s="41"/>
    </row>
    <row r="212" ht="19.5" customHeight="1">
      <c r="A212" s="35"/>
      <c r="B212" s="35"/>
      <c r="C212" s="35"/>
      <c r="D212" s="35"/>
      <c r="E212" s="35"/>
      <c r="F212" s="35"/>
      <c r="G212" s="35"/>
      <c r="H212" s="35"/>
      <c r="I212" s="35"/>
      <c r="J212" s="84" t="s">
        <v>404</v>
      </c>
      <c r="K212" s="110">
        <v>9000.0</v>
      </c>
      <c r="L212" s="18"/>
      <c r="M212" s="18" t="str">
        <f>IF(mgmt_cl01_vds_profile_chosen="Default","This input is masked out due to VDS Profile selected","")</f>
        <v/>
      </c>
      <c r="N212" s="41"/>
      <c r="O212" s="41"/>
      <c r="P212" s="41"/>
      <c r="Q212" s="41"/>
      <c r="R212" s="41"/>
      <c r="S212" s="41"/>
      <c r="T212" s="41"/>
      <c r="U212" s="41"/>
      <c r="V212" s="41"/>
      <c r="W212" s="41"/>
      <c r="X212" s="41"/>
      <c r="Y212" s="41"/>
      <c r="Z212" s="41"/>
    </row>
    <row r="213" ht="19.5" customHeight="1">
      <c r="A213" s="35"/>
      <c r="B213" s="35"/>
      <c r="C213" s="35"/>
      <c r="D213" s="35"/>
      <c r="E213" s="35"/>
      <c r="F213" s="35"/>
      <c r="G213" s="35"/>
      <c r="H213" s="35"/>
      <c r="I213" s="35"/>
      <c r="J213" s="84" t="s">
        <v>424</v>
      </c>
      <c r="K213" s="110" t="str">
        <f>CONCATENATE("m01-cl01-vds3-lg")</f>
        <v>m01-cl01-vds3-lg</v>
      </c>
      <c r="L213" s="18"/>
      <c r="M213" s="18" t="str">
        <f>IF(mgmt_cl01_vds_profile_chosen&lt;&gt;"Storage Traffic and NSX Traffic Separation","This input is masked out due to VDS Profile selected",IF(mgmt_cl01_vds03_link_type_chosen="VDS Uplinks","This input is masked out as you have chosen to configure VDS Uplinks","Option is not visible in VCF Operations UI. There is a 16 Character Limit for LAG Name"))</f>
        <v>This input is masked out due to VDS Profile selected</v>
      </c>
      <c r="N213" s="41"/>
      <c r="O213" s="41"/>
      <c r="P213" s="41"/>
      <c r="Q213" s="41"/>
      <c r="R213" s="41"/>
      <c r="S213" s="41"/>
      <c r="T213" s="41"/>
      <c r="U213" s="41"/>
      <c r="V213" s="41"/>
      <c r="W213" s="41"/>
      <c r="X213" s="41"/>
      <c r="Y213" s="41"/>
      <c r="Z213" s="41"/>
    </row>
    <row r="214" ht="19.5" customHeight="1">
      <c r="A214" s="35"/>
      <c r="B214" s="35"/>
      <c r="C214" s="35"/>
      <c r="D214" s="35"/>
      <c r="E214" s="35"/>
      <c r="F214" s="35"/>
      <c r="G214" s="35"/>
      <c r="H214" s="35"/>
      <c r="I214" s="35"/>
      <c r="J214" s="84" t="s">
        <v>425</v>
      </c>
      <c r="K214" s="110" t="s">
        <v>426</v>
      </c>
      <c r="L214" s="18" t="s">
        <v>426</v>
      </c>
      <c r="M214" s="18"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c r="N214" s="41"/>
      <c r="O214" s="41"/>
      <c r="P214" s="41"/>
      <c r="Q214" s="41"/>
      <c r="R214" s="41"/>
      <c r="S214" s="41"/>
      <c r="T214" s="41"/>
      <c r="U214" s="41"/>
      <c r="V214" s="41"/>
      <c r="W214" s="41"/>
      <c r="X214" s="41"/>
      <c r="Y214" s="41"/>
      <c r="Z214" s="41"/>
    </row>
    <row r="215" ht="19.5" customHeight="1">
      <c r="A215" s="35"/>
      <c r="B215" s="35"/>
      <c r="C215" s="35"/>
      <c r="D215" s="35"/>
      <c r="E215" s="35"/>
      <c r="F215" s="35"/>
      <c r="G215" s="35"/>
      <c r="H215" s="35"/>
      <c r="I215" s="35"/>
      <c r="J215" s="84" t="s">
        <v>427</v>
      </c>
      <c r="K215" s="110" t="s">
        <v>428</v>
      </c>
      <c r="L215" s="18" t="s">
        <v>428</v>
      </c>
      <c r="M215" s="18"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c r="N215" s="41"/>
      <c r="O215" s="41"/>
      <c r="P215" s="41"/>
      <c r="Q215" s="41"/>
      <c r="R215" s="41"/>
      <c r="S215" s="41"/>
      <c r="T215" s="41"/>
      <c r="U215" s="41"/>
      <c r="V215" s="41"/>
      <c r="W215" s="41"/>
      <c r="X215" s="41"/>
      <c r="Y215" s="41"/>
      <c r="Z215" s="41"/>
    </row>
    <row r="216" ht="19.5" customHeight="1">
      <c r="A216" s="35"/>
      <c r="B216" s="35"/>
      <c r="C216" s="35"/>
      <c r="D216" s="35"/>
      <c r="E216" s="35"/>
      <c r="F216" s="35"/>
      <c r="G216" s="35"/>
      <c r="H216" s="35"/>
      <c r="I216" s="35"/>
      <c r="J216" s="84" t="s">
        <v>429</v>
      </c>
      <c r="K216" s="110" t="s">
        <v>430</v>
      </c>
      <c r="L216" s="18" t="s">
        <v>430</v>
      </c>
      <c r="M216" s="18" t="str">
        <f>IF(mgmt_cl01_vds_profile_chosen&lt;&gt;"Storage Traffic and NSX Traffic Separation","This input is masked out due to VDS Profile selected",IF(mgmt_cl01_vds03_link_type_chosen="VDS Uplinks","This input is masked out as you have chosen to configure VDS Uplinks","Option is not visible in VCF Installer UI"))</f>
        <v>This input is masked out due to VDS Profile selected</v>
      </c>
      <c r="N216" s="41"/>
      <c r="O216" s="41"/>
      <c r="P216" s="41"/>
      <c r="Q216" s="41"/>
      <c r="R216" s="41"/>
      <c r="S216" s="41"/>
      <c r="T216" s="41"/>
      <c r="U216" s="41"/>
      <c r="V216" s="41"/>
      <c r="W216" s="41"/>
      <c r="X216" s="41"/>
      <c r="Y216" s="41"/>
      <c r="Z216" s="41"/>
    </row>
    <row r="217" ht="19.5" customHeight="1">
      <c r="A217" s="35"/>
      <c r="B217" s="35"/>
      <c r="C217" s="35"/>
      <c r="D217" s="35"/>
      <c r="E217" s="35"/>
      <c r="F217" s="35"/>
      <c r="G217" s="35"/>
      <c r="H217" s="35"/>
      <c r="I217" s="35"/>
      <c r="J217" s="84" t="s">
        <v>431</v>
      </c>
      <c r="K217" s="110">
        <v>2.0</v>
      </c>
      <c r="L217" s="18"/>
      <c r="M217" s="18" t="str">
        <f>IF(mgmt_cl01_vds_profile_chosen="Default","This input is masked out due to VDS Profile selected","")</f>
        <v/>
      </c>
      <c r="N217" s="41"/>
      <c r="O217" s="41"/>
      <c r="P217" s="41"/>
      <c r="Q217" s="41"/>
      <c r="R217" s="41"/>
      <c r="S217" s="41"/>
      <c r="T217" s="41"/>
      <c r="U217" s="41"/>
      <c r="V217" s="41"/>
      <c r="W217" s="41"/>
      <c r="X217" s="41"/>
      <c r="Y217" s="41"/>
      <c r="Z217" s="41"/>
    </row>
    <row r="218" ht="19.5" customHeight="1">
      <c r="A218" s="35"/>
      <c r="B218" s="35"/>
      <c r="C218" s="35"/>
      <c r="D218" s="35"/>
      <c r="E218" s="35"/>
      <c r="F218" s="35"/>
      <c r="G218" s="35"/>
      <c r="H218" s="35"/>
      <c r="I218" s="35"/>
      <c r="J218" s="84" t="str">
        <f>IF(mgmt_cl01_vds02_link_type_chosen="VDS LAG",IF(mgmt_cl01_vds03_lag_name="Value Missing","lag-0",CONCATENATE(mgmt_cl01_vds03_lag_name,"-0")),"uplink1")</f>
        <v>uplink1</v>
      </c>
      <c r="K218" s="110" t="s">
        <v>438</v>
      </c>
      <c r="L218" s="18"/>
      <c r="M218" s="18" t="str">
        <f>IF(mgmt_cl01_vds_profile_chosen="Default","This input is masked out due to VDS Profile selected","")</f>
        <v/>
      </c>
      <c r="N218" s="41"/>
      <c r="O218" s="41"/>
      <c r="P218" s="41"/>
      <c r="Q218" s="41"/>
      <c r="R218" s="41"/>
      <c r="S218" s="41"/>
      <c r="T218" s="41"/>
      <c r="U218" s="41"/>
      <c r="V218" s="41"/>
      <c r="W218" s="41"/>
      <c r="X218" s="41"/>
      <c r="Y218" s="41"/>
      <c r="Z218" s="41"/>
    </row>
    <row r="219" ht="19.5" customHeight="1">
      <c r="A219" s="35"/>
      <c r="B219" s="35"/>
      <c r="C219" s="35"/>
      <c r="D219" s="35"/>
      <c r="E219" s="35"/>
      <c r="F219" s="35"/>
      <c r="G219" s="35"/>
      <c r="H219" s="35"/>
      <c r="I219" s="35"/>
      <c r="J219" s="84" t="str">
        <f>IF(mgmt_cl01_vds02_link_type_chosen="VDS LAG",IF(mgmt_cl01_vds03_lag_name="Value Missing","lag-1",CONCATENATE(mgmt_cl01_vds03_lag_name,"-1")),"uplink2")</f>
        <v>uplink2</v>
      </c>
      <c r="K219" s="110" t="s">
        <v>439</v>
      </c>
      <c r="L219" s="18"/>
      <c r="M219" s="18" t="str">
        <f>IF(mgmt_cl01_vds_profile_chosen="Default","This input is masked out due to VDS Profile selected","")</f>
        <v/>
      </c>
      <c r="N219" s="41"/>
      <c r="O219" s="41"/>
      <c r="P219" s="41"/>
      <c r="Q219" s="41"/>
      <c r="R219" s="41"/>
      <c r="S219" s="41"/>
      <c r="T219" s="41"/>
      <c r="U219" s="41"/>
      <c r="V219" s="41"/>
      <c r="W219" s="41"/>
      <c r="X219" s="41"/>
      <c r="Y219" s="41"/>
      <c r="Z219" s="41"/>
    </row>
    <row r="220" ht="19.5" customHeight="1">
      <c r="A220" s="35"/>
      <c r="B220" s="35"/>
      <c r="C220" s="35"/>
      <c r="D220" s="35"/>
      <c r="E220" s="35"/>
      <c r="F220" s="35"/>
      <c r="G220" s="35"/>
      <c r="H220" s="35"/>
      <c r="I220" s="35"/>
      <c r="J220" s="165" t="s">
        <v>440</v>
      </c>
      <c r="K220" s="166"/>
      <c r="L220" s="166"/>
      <c r="M220" s="167"/>
      <c r="N220" s="41"/>
      <c r="O220" s="41"/>
      <c r="P220" s="41"/>
      <c r="Q220" s="41"/>
      <c r="R220" s="41"/>
      <c r="S220" s="41"/>
      <c r="T220" s="41"/>
      <c r="U220" s="41"/>
      <c r="V220" s="41"/>
      <c r="W220" s="41"/>
      <c r="X220" s="41"/>
      <c r="Y220" s="41"/>
      <c r="Z220" s="41"/>
    </row>
    <row r="221" ht="19.5" customHeight="1">
      <c r="A221" s="35"/>
      <c r="B221" s="35"/>
      <c r="C221" s="35"/>
      <c r="D221" s="35"/>
      <c r="E221" s="35"/>
      <c r="F221" s="35"/>
      <c r="G221" s="35"/>
      <c r="H221" s="35"/>
      <c r="I221" s="35"/>
      <c r="J221" s="84" t="s">
        <v>441</v>
      </c>
      <c r="K221" s="110" t="str">
        <f>CONCATENATE(this_instance,"-m01-cl01-vds01-pg-mgmt")</f>
        <v>lax-m01-cl01-vds01-pg-mgmt</v>
      </c>
      <c r="L221" s="168"/>
      <c r="M221" s="18" t="str">
        <f>IF(mgmt_domain_existing_vcenter_chosen="Selected","Inputs are masked out as you have opted to import an existing vCenter Server","Portgroup will be created on Primary Distributed Switch")</f>
        <v>Portgroup will be created on Primary Distributed Switch</v>
      </c>
      <c r="N221" s="41"/>
      <c r="O221" s="41"/>
      <c r="P221" s="41"/>
      <c r="Q221" s="41"/>
      <c r="R221" s="41"/>
      <c r="S221" s="41"/>
      <c r="T221" s="41"/>
      <c r="U221" s="41"/>
      <c r="V221" s="41"/>
      <c r="W221" s="41"/>
      <c r="X221" s="41"/>
      <c r="Y221" s="41"/>
      <c r="Z221" s="41"/>
    </row>
    <row r="222" ht="19.5" customHeight="1">
      <c r="A222" s="35"/>
      <c r="B222" s="35"/>
      <c r="C222" s="35"/>
      <c r="D222" s="35"/>
      <c r="E222" s="35"/>
      <c r="F222" s="35"/>
      <c r="G222" s="35"/>
      <c r="H222" s="35"/>
      <c r="I222" s="35"/>
      <c r="J222" s="84" t="s">
        <v>442</v>
      </c>
      <c r="K222" s="110" t="s">
        <v>443</v>
      </c>
      <c r="L222" s="18" t="s">
        <v>444</v>
      </c>
      <c r="M222" s="18" t="str">
        <f>IF(mgmt_cl01_vds01_link_type_chosen="VDS Lag","This input is masked out as you have chosen to configure VDS LAG","")</f>
        <v/>
      </c>
      <c r="N222" s="41"/>
      <c r="O222" s="41"/>
      <c r="P222" s="41"/>
      <c r="Q222" s="41"/>
      <c r="R222" s="41"/>
      <c r="S222" s="41"/>
      <c r="T222" s="41"/>
      <c r="U222" s="41"/>
      <c r="V222" s="41"/>
      <c r="W222" s="41"/>
      <c r="X222" s="41"/>
      <c r="Y222" s="41"/>
      <c r="Z222" s="41"/>
    </row>
    <row r="223" ht="19.5" customHeight="1">
      <c r="A223" s="35"/>
      <c r="B223" s="35"/>
      <c r="C223" s="35"/>
      <c r="D223" s="35"/>
      <c r="E223" s="35"/>
      <c r="F223" s="35"/>
      <c r="G223" s="35"/>
      <c r="H223" s="35"/>
      <c r="I223" s="35"/>
      <c r="J223" s="84" t="s">
        <v>445</v>
      </c>
      <c r="K223" s="110" t="s">
        <v>426</v>
      </c>
      <c r="L223" s="18" t="s">
        <v>426</v>
      </c>
      <c r="M223" s="18" t="str">
        <f>IF(mgmt_cl01_vds01_link_type_chosen="VDS Lag","This input is masked out as you have chosen to configure VDS LAG","")</f>
        <v/>
      </c>
      <c r="N223" s="41"/>
      <c r="O223" s="41"/>
      <c r="P223" s="41"/>
      <c r="Q223" s="41"/>
      <c r="R223" s="41"/>
      <c r="S223" s="41"/>
      <c r="T223" s="41"/>
      <c r="U223" s="41"/>
      <c r="V223" s="41"/>
      <c r="W223" s="41"/>
      <c r="X223" s="41"/>
      <c r="Y223" s="41"/>
      <c r="Z223" s="41"/>
    </row>
    <row r="224" ht="19.5" customHeight="1">
      <c r="A224" s="35"/>
      <c r="B224" s="35"/>
      <c r="C224" s="35"/>
      <c r="D224" s="35"/>
      <c r="E224" s="35"/>
      <c r="F224" s="35"/>
      <c r="G224" s="35"/>
      <c r="H224" s="35"/>
      <c r="I224" s="35"/>
      <c r="J224" s="84" t="s">
        <v>446</v>
      </c>
      <c r="K224" s="110" t="s">
        <v>426</v>
      </c>
      <c r="L224" s="18" t="s">
        <v>426</v>
      </c>
      <c r="M224" s="18" t="str">
        <f>IF(mgmt_cl01_vds01_link_type_chosen="VDS Lag","This input is masked out as you have chosen to configure VDS LAG","")</f>
        <v/>
      </c>
      <c r="N224" s="41"/>
      <c r="O224" s="41"/>
      <c r="P224" s="41"/>
      <c r="Q224" s="41"/>
      <c r="R224" s="41"/>
      <c r="S224" s="41"/>
      <c r="T224" s="41"/>
      <c r="U224" s="41"/>
      <c r="V224" s="41"/>
      <c r="W224" s="41"/>
      <c r="X224" s="41"/>
      <c r="Y224" s="41"/>
      <c r="Z224" s="41"/>
    </row>
    <row r="225" ht="19.5" customHeight="1">
      <c r="A225" s="35"/>
      <c r="B225" s="35"/>
      <c r="C225" s="35"/>
      <c r="D225" s="35"/>
      <c r="E225" s="35"/>
      <c r="F225" s="35"/>
      <c r="G225" s="35"/>
      <c r="H225" s="35"/>
      <c r="I225" s="35"/>
      <c r="J225" s="165" t="s">
        <v>447</v>
      </c>
      <c r="K225" s="166"/>
      <c r="L225" s="166"/>
      <c r="M225" s="167"/>
      <c r="N225" s="41"/>
      <c r="O225" s="41"/>
      <c r="P225" s="41"/>
      <c r="Q225" s="41"/>
      <c r="R225" s="41"/>
      <c r="S225" s="41"/>
      <c r="T225" s="41"/>
      <c r="U225" s="41"/>
      <c r="V225" s="41"/>
      <c r="W225" s="41"/>
      <c r="X225" s="41"/>
      <c r="Y225" s="41"/>
      <c r="Z225" s="41"/>
    </row>
    <row r="226" ht="19.5" customHeight="1">
      <c r="A226" s="35"/>
      <c r="B226" s="35"/>
      <c r="C226" s="35"/>
      <c r="D226" s="35"/>
      <c r="E226" s="35"/>
      <c r="F226" s="35"/>
      <c r="G226" s="35"/>
      <c r="H226" s="35"/>
      <c r="I226" s="35"/>
      <c r="J226" s="84" t="s">
        <v>441</v>
      </c>
      <c r="K226" s="110" t="str">
        <f>CONCATENATE(this_instance,"-m01-cl01-vds01-pg-vm-mgmt")</f>
        <v>lax-m01-cl01-vds01-pg-vm-mgmt</v>
      </c>
      <c r="L226" s="168"/>
      <c r="M226" s="18" t="str">
        <f>IF(mgmt_domain_existing_vcenter_chosen="Selected","Inputs are masked out as you have opted to import an existing vCenter Server","Portgroup will be created on Primary Distributed Switch")</f>
        <v>Portgroup will be created on Primary Distributed Switch</v>
      </c>
      <c r="N226" s="41"/>
      <c r="O226" s="41"/>
      <c r="P226" s="41"/>
      <c r="Q226" s="41"/>
      <c r="R226" s="41"/>
      <c r="S226" s="41"/>
      <c r="T226" s="41"/>
      <c r="U226" s="41"/>
      <c r="V226" s="41"/>
      <c r="W226" s="41"/>
      <c r="X226" s="41"/>
      <c r="Y226" s="41"/>
      <c r="Z226" s="41"/>
    </row>
    <row r="227" ht="19.5" customHeight="1">
      <c r="A227" s="35"/>
      <c r="B227" s="35"/>
      <c r="C227" s="35"/>
      <c r="D227" s="35"/>
      <c r="E227" s="35"/>
      <c r="F227" s="35"/>
      <c r="G227" s="35"/>
      <c r="H227" s="35"/>
      <c r="I227" s="35"/>
      <c r="J227" s="84" t="s">
        <v>442</v>
      </c>
      <c r="K227" s="110" t="s">
        <v>443</v>
      </c>
      <c r="L227" s="18" t="s">
        <v>443</v>
      </c>
      <c r="M227" s="18" t="str">
        <f>IF(mgmt_cl01_vds01_link_type_chosen="VDS Lag","This input is masked out as you have chosen to configure VDS LAG","")</f>
        <v/>
      </c>
      <c r="N227" s="41"/>
      <c r="O227" s="41"/>
      <c r="P227" s="41"/>
      <c r="Q227" s="41"/>
      <c r="R227" s="41"/>
      <c r="S227" s="41"/>
      <c r="T227" s="41"/>
      <c r="U227" s="41"/>
      <c r="V227" s="41"/>
      <c r="W227" s="41"/>
      <c r="X227" s="41"/>
      <c r="Y227" s="41"/>
      <c r="Z227" s="41"/>
    </row>
    <row r="228" ht="19.5" customHeight="1">
      <c r="A228" s="35"/>
      <c r="B228" s="35"/>
      <c r="C228" s="35"/>
      <c r="D228" s="35"/>
      <c r="E228" s="35"/>
      <c r="F228" s="35"/>
      <c r="G228" s="35"/>
      <c r="H228" s="35"/>
      <c r="I228" s="35"/>
      <c r="J228" s="84" t="s">
        <v>445</v>
      </c>
      <c r="K228" s="110" t="s">
        <v>426</v>
      </c>
      <c r="L228" s="18" t="s">
        <v>426</v>
      </c>
      <c r="M228" s="18" t="str">
        <f>IF(mgmt_cl01_vds01_link_type_chosen="VDS Lag","This input is masked out as you have chosen to configure VDS LAG","")</f>
        <v/>
      </c>
      <c r="N228" s="41"/>
      <c r="O228" s="41"/>
      <c r="P228" s="41"/>
      <c r="Q228" s="41"/>
      <c r="R228" s="41"/>
      <c r="S228" s="41"/>
      <c r="T228" s="41"/>
      <c r="U228" s="41"/>
      <c r="V228" s="41"/>
      <c r="W228" s="41"/>
      <c r="X228" s="41"/>
      <c r="Y228" s="41"/>
      <c r="Z228" s="41"/>
    </row>
    <row r="229" ht="19.5" customHeight="1">
      <c r="A229" s="35"/>
      <c r="B229" s="35"/>
      <c r="C229" s="35"/>
      <c r="D229" s="35"/>
      <c r="E229" s="35"/>
      <c r="F229" s="35"/>
      <c r="G229" s="35"/>
      <c r="H229" s="35"/>
      <c r="I229" s="35"/>
      <c r="J229" s="84" t="s">
        <v>446</v>
      </c>
      <c r="K229" s="110" t="s">
        <v>426</v>
      </c>
      <c r="L229" s="18" t="s">
        <v>426</v>
      </c>
      <c r="M229" s="18" t="str">
        <f>IF(mgmt_cl01_vds01_link_type_chosen="VDS Lag","This input is masked out as you have chosen to configure VDS LAG","")</f>
        <v/>
      </c>
      <c r="N229" s="41"/>
      <c r="O229" s="41"/>
      <c r="P229" s="41"/>
      <c r="Q229" s="41"/>
      <c r="R229" s="41"/>
      <c r="S229" s="41"/>
      <c r="T229" s="41"/>
      <c r="U229" s="41"/>
      <c r="V229" s="41"/>
      <c r="W229" s="41"/>
      <c r="X229" s="41"/>
      <c r="Y229" s="41"/>
      <c r="Z229" s="41"/>
    </row>
    <row r="230" ht="19.5" customHeight="1">
      <c r="A230" s="35"/>
      <c r="B230" s="35"/>
      <c r="C230" s="35"/>
      <c r="D230" s="35"/>
      <c r="E230" s="35"/>
      <c r="F230" s="35"/>
      <c r="G230" s="35"/>
      <c r="H230" s="35"/>
      <c r="I230" s="35"/>
      <c r="J230" s="165" t="s">
        <v>448</v>
      </c>
      <c r="K230" s="166"/>
      <c r="L230" s="166"/>
      <c r="M230" s="167"/>
      <c r="N230" s="41"/>
      <c r="O230" s="41"/>
      <c r="P230" s="41"/>
      <c r="Q230" s="41"/>
      <c r="R230" s="41"/>
      <c r="S230" s="41"/>
      <c r="T230" s="41"/>
      <c r="U230" s="41"/>
      <c r="V230" s="41"/>
      <c r="W230" s="41"/>
      <c r="X230" s="41"/>
      <c r="Y230" s="41"/>
      <c r="Z230" s="41"/>
    </row>
    <row r="231" ht="19.5" customHeight="1">
      <c r="A231" s="35"/>
      <c r="B231" s="35"/>
      <c r="C231" s="35"/>
      <c r="D231" s="35"/>
      <c r="E231" s="35"/>
      <c r="F231" s="35"/>
      <c r="G231" s="35"/>
      <c r="H231" s="35"/>
      <c r="I231" s="35"/>
      <c r="J231" s="84" t="s">
        <v>441</v>
      </c>
      <c r="K231" s="110" t="str">
        <f>CONCATENATE(this_instance,"-m01-cl01-vds01-pg-vmotion")</f>
        <v>lax-m01-cl01-vds01-pg-vmotion</v>
      </c>
      <c r="L231" s="18"/>
      <c r="M231" s="18" t="str">
        <f>IF(mgmt_domain_existing_vcenter_chosen="Selected","Inputs are masked out as you have opted to import an existing vCenter Server","Portgroup will be created on Primary Distributed Switch")</f>
        <v>Portgroup will be created on Primary Distributed Switch</v>
      </c>
      <c r="N231" s="41"/>
      <c r="O231" s="41"/>
      <c r="P231" s="41"/>
      <c r="Q231" s="41"/>
      <c r="R231" s="41"/>
      <c r="S231" s="41"/>
      <c r="T231" s="41"/>
      <c r="U231" s="41"/>
      <c r="V231" s="41"/>
      <c r="W231" s="41"/>
      <c r="X231" s="41"/>
      <c r="Y231" s="41"/>
      <c r="Z231" s="41"/>
    </row>
    <row r="232" ht="19.5" customHeight="1">
      <c r="A232" s="35"/>
      <c r="B232" s="35"/>
      <c r="C232" s="35"/>
      <c r="D232" s="35"/>
      <c r="E232" s="35"/>
      <c r="F232" s="35"/>
      <c r="G232" s="35"/>
      <c r="H232" s="35"/>
      <c r="I232" s="35"/>
      <c r="J232" s="84" t="s">
        <v>442</v>
      </c>
      <c r="K232" s="110" t="s">
        <v>443</v>
      </c>
      <c r="L232" s="18" t="s">
        <v>443</v>
      </c>
      <c r="M232" s="18" t="str">
        <f>IF(mgmt_cl01_vds01_link_type_chosen="VDS Lag","This input is masked out as you have chosen to configure VDS LAG","")</f>
        <v/>
      </c>
      <c r="N232" s="41"/>
      <c r="O232" s="41"/>
      <c r="P232" s="41"/>
      <c r="Q232" s="41"/>
      <c r="R232" s="41"/>
      <c r="S232" s="41"/>
      <c r="T232" s="41"/>
      <c r="U232" s="41"/>
      <c r="V232" s="41"/>
      <c r="W232" s="41"/>
      <c r="X232" s="41"/>
      <c r="Y232" s="41"/>
      <c r="Z232" s="41"/>
    </row>
    <row r="233" ht="19.5" customHeight="1">
      <c r="A233" s="35"/>
      <c r="B233" s="35"/>
      <c r="C233" s="35"/>
      <c r="D233" s="35"/>
      <c r="E233" s="35"/>
      <c r="F233" s="35"/>
      <c r="G233" s="35"/>
      <c r="H233" s="35"/>
      <c r="I233" s="35"/>
      <c r="J233" s="84" t="s">
        <v>445</v>
      </c>
      <c r="K233" s="110" t="s">
        <v>426</v>
      </c>
      <c r="L233" s="18" t="s">
        <v>426</v>
      </c>
      <c r="M233" s="18" t="str">
        <f>IF(mgmt_cl01_vds01_link_type_chosen="VDS Lag","This input is masked out as you have chosen to configure VDS LAG","")</f>
        <v/>
      </c>
      <c r="N233" s="41"/>
      <c r="O233" s="41"/>
      <c r="P233" s="41"/>
      <c r="Q233" s="41"/>
      <c r="R233" s="41"/>
      <c r="S233" s="41"/>
      <c r="T233" s="41"/>
      <c r="U233" s="41"/>
      <c r="V233" s="41"/>
      <c r="W233" s="41"/>
      <c r="X233" s="41"/>
      <c r="Y233" s="41"/>
      <c r="Z233" s="41"/>
    </row>
    <row r="234" ht="19.5" customHeight="1">
      <c r="A234" s="35"/>
      <c r="B234" s="35"/>
      <c r="C234" s="35"/>
      <c r="D234" s="35"/>
      <c r="E234" s="35"/>
      <c r="F234" s="35"/>
      <c r="G234" s="35"/>
      <c r="H234" s="35"/>
      <c r="I234" s="35"/>
      <c r="J234" s="84" t="s">
        <v>446</v>
      </c>
      <c r="K234" s="110" t="s">
        <v>426</v>
      </c>
      <c r="L234" s="18" t="s">
        <v>426</v>
      </c>
      <c r="M234" s="18" t="str">
        <f>IF(mgmt_cl01_vds01_link_type_chosen="VDS Lag","This input is masked out as you have chosen to configure VDS LAG","")</f>
        <v/>
      </c>
      <c r="N234" s="41"/>
      <c r="O234" s="41"/>
      <c r="P234" s="41"/>
      <c r="Q234" s="41"/>
      <c r="R234" s="41"/>
      <c r="S234" s="41"/>
      <c r="T234" s="41"/>
      <c r="U234" s="41"/>
      <c r="V234" s="41"/>
      <c r="W234" s="41"/>
      <c r="X234" s="41"/>
      <c r="Y234" s="41"/>
      <c r="Z234" s="41"/>
    </row>
    <row r="235" ht="19.5" customHeight="1">
      <c r="A235" s="35"/>
      <c r="B235" s="35"/>
      <c r="C235" s="35"/>
      <c r="D235" s="35"/>
      <c r="E235" s="35"/>
      <c r="F235" s="35"/>
      <c r="G235" s="35"/>
      <c r="H235" s="35"/>
      <c r="I235" s="35"/>
      <c r="J235" s="165" t="s">
        <v>449</v>
      </c>
      <c r="K235" s="166"/>
      <c r="L235" s="166"/>
      <c r="M235" s="167"/>
      <c r="N235" s="41"/>
      <c r="O235" s="41"/>
      <c r="P235" s="41"/>
      <c r="Q235" s="41"/>
      <c r="R235" s="41"/>
      <c r="S235" s="41"/>
      <c r="T235" s="41"/>
      <c r="U235" s="41"/>
      <c r="V235" s="41"/>
      <c r="W235" s="41"/>
      <c r="X235" s="41"/>
      <c r="Y235" s="41"/>
      <c r="Z235" s="41"/>
    </row>
    <row r="236" ht="19.5" customHeight="1">
      <c r="A236" s="35"/>
      <c r="B236" s="35"/>
      <c r="C236" s="35"/>
      <c r="D236" s="35"/>
      <c r="E236" s="35"/>
      <c r="F236" s="35"/>
      <c r="G236" s="35"/>
      <c r="H236" s="35"/>
      <c r="I236" s="35"/>
      <c r="J236" s="84" t="s">
        <v>441</v>
      </c>
      <c r="K236" s="110" t="str">
        <f>CONCATENATE(this_instance,"-m01-cl01-vds01-pg-vsan")</f>
        <v>lax-m01-cl01-vds01-pg-vsan</v>
      </c>
      <c r="L236" s="18"/>
      <c r="M236" s="18" t="str">
        <f>IF(mgmt_domain_existing_vcenter_chosen="Selected","Inputs are masked out as you have opted to import an existing vCenter Server",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Secondary Distributed Switch</v>
      </c>
      <c r="N236" s="41"/>
      <c r="O236" s="41"/>
      <c r="P236" s="41"/>
      <c r="Q236" s="41"/>
      <c r="R236" s="41"/>
      <c r="S236" s="41"/>
      <c r="T236" s="41"/>
      <c r="U236" s="41"/>
      <c r="V236" s="41"/>
      <c r="W236" s="41"/>
      <c r="X236" s="41"/>
      <c r="Y236" s="41"/>
      <c r="Z236" s="41"/>
    </row>
    <row r="237" ht="19.5" customHeight="1">
      <c r="A237" s="35"/>
      <c r="B237" s="35"/>
      <c r="C237" s="35"/>
      <c r="D237" s="35"/>
      <c r="E237" s="35"/>
      <c r="F237" s="35"/>
      <c r="G237" s="35"/>
      <c r="H237" s="35"/>
      <c r="I237" s="35"/>
      <c r="J237" s="84" t="s">
        <v>442</v>
      </c>
      <c r="K237" s="110" t="s">
        <v>443</v>
      </c>
      <c r="L237" s="18" t="s">
        <v>443</v>
      </c>
      <c r="M237" s="18"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c r="N237" s="41"/>
      <c r="O237" s="41"/>
      <c r="P237" s="41"/>
      <c r="Q237" s="41"/>
      <c r="R237" s="41"/>
      <c r="S237" s="41"/>
      <c r="T237" s="41"/>
      <c r="U237" s="41"/>
      <c r="V237" s="41"/>
      <c r="W237" s="41"/>
      <c r="X237" s="41"/>
      <c r="Y237" s="41"/>
      <c r="Z237" s="41"/>
    </row>
    <row r="238" ht="19.5" customHeight="1">
      <c r="A238" s="35"/>
      <c r="B238" s="35"/>
      <c r="C238" s="35"/>
      <c r="D238" s="35"/>
      <c r="E238" s="35"/>
      <c r="F238" s="35"/>
      <c r="G238" s="35"/>
      <c r="H238" s="35"/>
      <c r="I238" s="35"/>
      <c r="J238" s="84" t="s">
        <v>445</v>
      </c>
      <c r="K238" s="110" t="s">
        <v>426</v>
      </c>
      <c r="L238" s="18" t="s">
        <v>426</v>
      </c>
      <c r="M238" s="18"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c r="N238" s="41"/>
      <c r="O238" s="41"/>
      <c r="P238" s="41"/>
      <c r="Q238" s="41"/>
      <c r="R238" s="41"/>
      <c r="S238" s="41"/>
      <c r="T238" s="41"/>
      <c r="U238" s="41"/>
      <c r="V238" s="41"/>
      <c r="W238" s="41"/>
      <c r="X238" s="41"/>
      <c r="Y238" s="41"/>
      <c r="Z238" s="41"/>
    </row>
    <row r="239" ht="19.5" customHeight="1">
      <c r="A239" s="35"/>
      <c r="B239" s="35"/>
      <c r="C239" s="35"/>
      <c r="D239" s="35"/>
      <c r="E239" s="35"/>
      <c r="F239" s="35"/>
      <c r="G239" s="35"/>
      <c r="H239" s="35"/>
      <c r="I239" s="35"/>
      <c r="J239" s="84" t="s">
        <v>446</v>
      </c>
      <c r="K239" s="110" t="s">
        <v>426</v>
      </c>
      <c r="L239" s="18" t="s">
        <v>426</v>
      </c>
      <c r="M239" s="18"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c r="N239" s="41"/>
      <c r="O239" s="41"/>
      <c r="P239" s="41"/>
      <c r="Q239" s="41"/>
      <c r="R239" s="41"/>
      <c r="S239" s="41"/>
      <c r="T239" s="41"/>
      <c r="U239" s="41"/>
      <c r="V239" s="41"/>
      <c r="W239" s="41"/>
      <c r="X239" s="41"/>
      <c r="Y239" s="41"/>
      <c r="Z239" s="41"/>
    </row>
    <row r="240" ht="19.5" customHeight="1">
      <c r="A240" s="35"/>
      <c r="B240" s="35"/>
      <c r="C240" s="35"/>
      <c r="D240" s="35"/>
      <c r="E240" s="35"/>
      <c r="F240" s="35"/>
      <c r="G240" s="35"/>
      <c r="H240" s="35"/>
      <c r="I240" s="35"/>
      <c r="J240" s="165" t="s">
        <v>450</v>
      </c>
      <c r="K240" s="166"/>
      <c r="L240" s="166"/>
      <c r="M240" s="167"/>
      <c r="N240" s="41"/>
      <c r="O240" s="41"/>
      <c r="P240" s="41"/>
      <c r="Q240" s="41"/>
      <c r="R240" s="41"/>
      <c r="S240" s="41"/>
      <c r="T240" s="41"/>
      <c r="U240" s="41"/>
      <c r="V240" s="41"/>
      <c r="W240" s="41"/>
      <c r="X240" s="41"/>
      <c r="Y240" s="41"/>
      <c r="Z240" s="41"/>
    </row>
    <row r="241" ht="19.5" customHeight="1">
      <c r="A241" s="35"/>
      <c r="B241" s="35"/>
      <c r="C241" s="35"/>
      <c r="D241" s="35"/>
      <c r="E241" s="35"/>
      <c r="F241" s="35"/>
      <c r="G241" s="35"/>
      <c r="H241" s="35"/>
      <c r="I241" s="35"/>
      <c r="J241" s="84" t="s">
        <v>441</v>
      </c>
      <c r="K241" s="110" t="str">
        <f>CONCATENATE(this_instance,"-m01-cl01-vds01-pg-nfs")</f>
        <v>lax-m01-cl01-vds01-pg-nfs</v>
      </c>
      <c r="L241" s="18"/>
      <c r="M241" s="18" t="str">
        <f>IF(mgmt_domain_existing_vcenter_chosen="Selected","Inputs are masked out as you have opted to import an existing vCenter Server",IF(mgmt_principal_storage_chosen&lt;&gt;"NFSv3","This input is masked out and only required if configuring NFS Storage",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Secondary Distributed Switch</v>
      </c>
      <c r="N241" s="41"/>
      <c r="O241" s="41"/>
      <c r="P241" s="41"/>
      <c r="Q241" s="41"/>
      <c r="R241" s="41"/>
      <c r="S241" s="41"/>
      <c r="T241" s="41"/>
      <c r="U241" s="41"/>
      <c r="V241" s="41"/>
      <c r="W241" s="41"/>
      <c r="X241" s="41"/>
      <c r="Y241" s="41"/>
      <c r="Z241" s="41"/>
    </row>
    <row r="242" ht="19.5" customHeight="1">
      <c r="A242" s="35"/>
      <c r="B242" s="35"/>
      <c r="C242" s="35"/>
      <c r="D242" s="35"/>
      <c r="E242" s="35"/>
      <c r="F242" s="35"/>
      <c r="G242" s="35"/>
      <c r="H242" s="35"/>
      <c r="I242" s="35"/>
      <c r="J242" s="84" t="s">
        <v>442</v>
      </c>
      <c r="K242" s="110" t="s">
        <v>443</v>
      </c>
      <c r="L242" s="18" t="s">
        <v>443</v>
      </c>
      <c r="M242" s="18"/>
      <c r="N242" s="41"/>
      <c r="O242" s="41"/>
      <c r="P242" s="41"/>
      <c r="Q242" s="41"/>
      <c r="R242" s="41"/>
      <c r="S242" s="41"/>
      <c r="T242" s="41"/>
      <c r="U242" s="41"/>
      <c r="V242" s="41"/>
      <c r="W242" s="41"/>
      <c r="X242" s="41"/>
      <c r="Y242" s="41"/>
      <c r="Z242" s="41"/>
    </row>
    <row r="243" ht="19.5" customHeight="1">
      <c r="A243" s="35"/>
      <c r="B243" s="35"/>
      <c r="C243" s="35"/>
      <c r="D243" s="35"/>
      <c r="E243" s="35"/>
      <c r="F243" s="35"/>
      <c r="G243" s="35"/>
      <c r="H243" s="35"/>
      <c r="I243" s="35"/>
      <c r="J243" s="84" t="s">
        <v>445</v>
      </c>
      <c r="K243" s="110" t="s">
        <v>426</v>
      </c>
      <c r="L243" s="18" t="s">
        <v>426</v>
      </c>
      <c r="M243" s="18"/>
      <c r="N243" s="41"/>
      <c r="O243" s="41"/>
      <c r="P243" s="41"/>
      <c r="Q243" s="41"/>
      <c r="R243" s="41"/>
      <c r="S243" s="41"/>
      <c r="T243" s="41"/>
      <c r="U243" s="41"/>
      <c r="V243" s="41"/>
      <c r="W243" s="41"/>
      <c r="X243" s="41"/>
      <c r="Y243" s="41"/>
      <c r="Z243" s="41"/>
    </row>
    <row r="244" ht="19.5" customHeight="1">
      <c r="A244" s="35"/>
      <c r="B244" s="35"/>
      <c r="C244" s="35"/>
      <c r="D244" s="35"/>
      <c r="E244" s="35"/>
      <c r="F244" s="35"/>
      <c r="G244" s="35"/>
      <c r="H244" s="35"/>
      <c r="I244" s="35"/>
      <c r="J244" s="84" t="s">
        <v>446</v>
      </c>
      <c r="K244" s="110" t="s">
        <v>426</v>
      </c>
      <c r="L244" s="18" t="s">
        <v>426</v>
      </c>
      <c r="M244" s="18"/>
      <c r="N244" s="41"/>
      <c r="O244" s="41"/>
      <c r="P244" s="41"/>
      <c r="Q244" s="41"/>
      <c r="R244" s="41"/>
      <c r="S244" s="41"/>
      <c r="T244" s="41"/>
      <c r="U244" s="41"/>
      <c r="V244" s="41"/>
      <c r="W244" s="41"/>
      <c r="X244" s="41"/>
      <c r="Y244" s="41"/>
      <c r="Z244" s="41"/>
    </row>
    <row r="245" ht="19.5" customHeight="1">
      <c r="A245" s="35"/>
      <c r="B245" s="35"/>
      <c r="C245" s="35"/>
      <c r="D245" s="35"/>
      <c r="E245" s="35"/>
      <c r="F245" s="35"/>
      <c r="G245" s="35"/>
      <c r="H245" s="35"/>
      <c r="I245" s="35"/>
      <c r="J245" s="102" t="s">
        <v>451</v>
      </c>
      <c r="K245" s="13"/>
      <c r="L245" s="13"/>
      <c r="M245" s="14"/>
      <c r="N245" s="41"/>
      <c r="O245" s="41"/>
      <c r="P245" s="41"/>
      <c r="Q245" s="41"/>
      <c r="R245" s="41"/>
      <c r="S245" s="41"/>
      <c r="T245" s="41"/>
      <c r="U245" s="41"/>
      <c r="V245" s="41"/>
      <c r="W245" s="41"/>
      <c r="X245" s="41"/>
      <c r="Y245" s="41"/>
      <c r="Z245" s="41"/>
    </row>
    <row r="246" ht="19.5" customHeight="1">
      <c r="A246" s="35"/>
      <c r="B246" s="35"/>
      <c r="C246" s="35"/>
      <c r="D246" s="35"/>
      <c r="E246" s="35"/>
      <c r="F246" s="35"/>
      <c r="G246" s="35"/>
      <c r="H246" s="35"/>
      <c r="I246" s="35"/>
      <c r="J246" s="84" t="s">
        <v>452</v>
      </c>
      <c r="K246" s="110" t="s">
        <v>285</v>
      </c>
      <c r="L246" s="18" t="s">
        <v>284</v>
      </c>
      <c r="M246" s="18" t="s">
        <v>453</v>
      </c>
      <c r="N246" s="41"/>
      <c r="O246" s="41"/>
      <c r="P246" s="41"/>
      <c r="Q246" s="41"/>
      <c r="R246" s="41"/>
      <c r="S246" s="41"/>
      <c r="T246" s="41"/>
      <c r="U246" s="41"/>
      <c r="V246" s="41"/>
      <c r="W246" s="41"/>
      <c r="X246" s="41"/>
      <c r="Y246" s="41"/>
      <c r="Z246" s="41"/>
    </row>
    <row r="247" ht="19.5" customHeight="1">
      <c r="A247" s="35"/>
      <c r="B247" s="35"/>
      <c r="C247" s="35"/>
      <c r="D247" s="35"/>
      <c r="E247" s="35"/>
      <c r="F247" s="35"/>
      <c r="G247" s="35"/>
      <c r="H247" s="35"/>
      <c r="I247" s="35"/>
      <c r="J247" s="84" t="s">
        <v>454</v>
      </c>
      <c r="K247" s="110" t="s">
        <v>455</v>
      </c>
      <c r="L247" s="18" t="s">
        <v>455</v>
      </c>
      <c r="M247" s="18" t="str">
        <f>IF(mgmt_nsx_default_operation_mode_chosen="Selected","Inputs are masked out as you have opted to apply the default operational mode in NSX","")</f>
        <v/>
      </c>
      <c r="N247" s="41"/>
      <c r="O247" s="41"/>
      <c r="P247" s="41"/>
      <c r="Q247" s="41"/>
      <c r="R247" s="41"/>
      <c r="S247" s="41"/>
      <c r="T247" s="41"/>
      <c r="U247" s="41"/>
      <c r="V247" s="41"/>
      <c r="W247" s="41"/>
      <c r="X247" s="41"/>
      <c r="Y247" s="41"/>
      <c r="Z247" s="41"/>
    </row>
    <row r="248" ht="19.5" customHeight="1">
      <c r="A248" s="35"/>
      <c r="B248" s="35"/>
      <c r="C248" s="35"/>
      <c r="D248" s="35"/>
      <c r="E248" s="35"/>
      <c r="F248" s="35"/>
      <c r="G248" s="35"/>
      <c r="H248" s="35"/>
      <c r="I248" s="35"/>
      <c r="J248" s="84" t="s">
        <v>442</v>
      </c>
      <c r="K248" s="110" t="s">
        <v>456</v>
      </c>
      <c r="L248" s="18" t="s">
        <v>456</v>
      </c>
      <c r="M248" s="18"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c r="N248" s="41"/>
      <c r="O248" s="41"/>
      <c r="P248" s="41"/>
      <c r="Q248" s="41"/>
      <c r="R248" s="41"/>
      <c r="S248" s="41"/>
      <c r="T248" s="41"/>
      <c r="U248" s="41"/>
      <c r="V248" s="41"/>
      <c r="W248" s="41"/>
      <c r="X248" s="41"/>
      <c r="Y248" s="41"/>
      <c r="Z248" s="41"/>
    </row>
    <row r="249" ht="19.5" customHeight="1">
      <c r="A249" s="35"/>
      <c r="B249" s="35"/>
      <c r="C249" s="35"/>
      <c r="D249" s="35"/>
      <c r="E249" s="35"/>
      <c r="F249" s="35"/>
      <c r="G249" s="35"/>
      <c r="H249" s="35"/>
      <c r="I249" s="35"/>
      <c r="J249" s="84" t="s">
        <v>445</v>
      </c>
      <c r="K249" s="110" t="s">
        <v>426</v>
      </c>
      <c r="L249" s="18" t="s">
        <v>426</v>
      </c>
      <c r="M249" s="18"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c r="N249" s="41"/>
      <c r="O249" s="41"/>
      <c r="P249" s="41"/>
      <c r="Q249" s="41"/>
      <c r="R249" s="41"/>
      <c r="S249" s="41"/>
      <c r="T249" s="41"/>
      <c r="U249" s="41"/>
      <c r="V249" s="41"/>
      <c r="W249" s="41"/>
      <c r="X249" s="41"/>
      <c r="Y249" s="41"/>
      <c r="Z249" s="41"/>
    </row>
    <row r="250" ht="19.5" customHeight="1">
      <c r="A250" s="35"/>
      <c r="B250" s="35"/>
      <c r="C250" s="35"/>
      <c r="D250" s="35"/>
      <c r="E250" s="35"/>
      <c r="F250" s="35"/>
      <c r="G250" s="35"/>
      <c r="H250" s="35"/>
      <c r="I250" s="35"/>
      <c r="J250" s="84" t="s">
        <v>446</v>
      </c>
      <c r="K250" s="110" t="s">
        <v>426</v>
      </c>
      <c r="L250" s="18" t="s">
        <v>426</v>
      </c>
      <c r="M250" s="18"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c r="N250" s="41"/>
      <c r="O250" s="41"/>
      <c r="P250" s="41"/>
      <c r="Q250" s="41"/>
      <c r="R250" s="41"/>
      <c r="S250" s="41"/>
      <c r="T250" s="41"/>
      <c r="U250" s="41"/>
      <c r="V250" s="41"/>
      <c r="W250" s="41"/>
      <c r="X250" s="41"/>
      <c r="Y250" s="41"/>
      <c r="Z250" s="41"/>
    </row>
    <row r="251" ht="19.5" customHeight="1">
      <c r="A251" s="35"/>
      <c r="B251" s="35"/>
      <c r="C251" s="35"/>
      <c r="D251" s="35"/>
      <c r="E251" s="35"/>
      <c r="F251" s="35"/>
      <c r="G251" s="35"/>
      <c r="H251" s="35"/>
      <c r="I251" s="35"/>
      <c r="J251" s="102" t="s">
        <v>457</v>
      </c>
      <c r="K251" s="13"/>
      <c r="L251" s="13"/>
      <c r="M251" s="14"/>
      <c r="N251" s="41"/>
      <c r="O251" s="41"/>
      <c r="P251" s="41"/>
      <c r="Q251" s="41"/>
      <c r="R251" s="41"/>
      <c r="S251" s="41"/>
      <c r="T251" s="41"/>
      <c r="U251" s="41"/>
      <c r="V251" s="41"/>
      <c r="W251" s="41"/>
      <c r="X251" s="41"/>
      <c r="Y251" s="41"/>
      <c r="Z251" s="41"/>
    </row>
    <row r="252" ht="19.5" customHeight="1">
      <c r="A252" s="35"/>
      <c r="B252" s="35"/>
      <c r="C252" s="35"/>
      <c r="D252" s="35"/>
      <c r="E252" s="35"/>
      <c r="F252" s="35"/>
      <c r="G252" s="35"/>
      <c r="H252" s="35"/>
      <c r="I252" s="35"/>
      <c r="J252" s="84" t="s">
        <v>458</v>
      </c>
      <c r="K252" s="110" t="str">
        <f>CONCATENATE("overlay-tz-",this_instance,"-m01-nsx01")</f>
        <v>overlay-tz-lax-m01-nsx01</v>
      </c>
      <c r="L252" s="18"/>
      <c r="M252" s="18"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Primary Distributed Switch</v>
      </c>
      <c r="N252" s="41"/>
      <c r="O252" s="41"/>
      <c r="P252" s="41"/>
      <c r="Q252" s="41"/>
      <c r="R252" s="41"/>
      <c r="S252" s="41"/>
      <c r="T252" s="41"/>
      <c r="U252" s="41"/>
      <c r="V252" s="41"/>
      <c r="W252" s="41"/>
      <c r="X252" s="41"/>
      <c r="Y252" s="41"/>
      <c r="Z252" s="41"/>
    </row>
    <row r="253" ht="19.5" customHeight="1">
      <c r="A253" s="35"/>
      <c r="B253" s="35"/>
      <c r="C253" s="35"/>
      <c r="D253" s="35"/>
      <c r="E253" s="35"/>
      <c r="F253" s="35"/>
      <c r="G253" s="35"/>
      <c r="H253" s="35"/>
      <c r="I253" s="35"/>
      <c r="J253" s="84" t="s">
        <v>401</v>
      </c>
      <c r="K253" s="156" t="str">
        <f>CONCATENATE(prefix_mgmt_az1_vlan,"14")</f>
        <v>2114</v>
      </c>
      <c r="L253" s="18"/>
      <c r="M253" s="18"/>
      <c r="N253" s="41"/>
      <c r="O253" s="41"/>
      <c r="P253" s="41"/>
      <c r="Q253" s="41"/>
      <c r="R253" s="41"/>
      <c r="S253" s="41"/>
      <c r="T253" s="41"/>
      <c r="U253" s="41"/>
      <c r="V253" s="41"/>
      <c r="W253" s="41"/>
      <c r="X253" s="41"/>
      <c r="Y253" s="41"/>
      <c r="Z253" s="41"/>
    </row>
    <row r="254" ht="19.5" customHeight="1">
      <c r="A254" s="35"/>
      <c r="B254" s="35"/>
      <c r="C254" s="35"/>
      <c r="D254" s="35"/>
      <c r="E254" s="35"/>
      <c r="F254" s="35"/>
      <c r="G254" s="35"/>
      <c r="H254" s="35"/>
      <c r="I254" s="35"/>
      <c r="J254" s="84" t="s">
        <v>459</v>
      </c>
      <c r="K254" s="110" t="s">
        <v>460</v>
      </c>
      <c r="L254" s="18" t="s">
        <v>460</v>
      </c>
      <c r="M254" s="18"/>
      <c r="N254" s="41"/>
      <c r="O254" s="41"/>
      <c r="P254" s="41"/>
      <c r="Q254" s="41"/>
      <c r="R254" s="41"/>
      <c r="S254" s="41"/>
      <c r="T254" s="41"/>
      <c r="U254" s="41"/>
      <c r="V254" s="41"/>
      <c r="W254" s="41"/>
      <c r="X254" s="41"/>
      <c r="Y254" s="41"/>
      <c r="Z254" s="41"/>
    </row>
    <row r="255" ht="19.5" customHeight="1">
      <c r="A255" s="35"/>
      <c r="B255" s="35"/>
      <c r="C255" s="35"/>
      <c r="D255" s="35"/>
      <c r="E255" s="35"/>
      <c r="F255" s="35"/>
      <c r="G255" s="35"/>
      <c r="H255" s="35"/>
      <c r="I255" s="35"/>
      <c r="J255" s="84" t="s">
        <v>461</v>
      </c>
      <c r="K255" s="163" t="str">
        <f>CONCATENATE(this_instance,"01-m01","-r01-ip-pool01-host")</f>
        <v>lax01-m01-r01-ip-pool01-host</v>
      </c>
      <c r="L255" s="18"/>
      <c r="M255" s="84" t="str">
        <f>IF(mgmt_host_overlay_addressing_chosen&lt;&gt;"IP Pool","This input is masked out and only required if configuring IP Pools for Host Overlay","")</f>
        <v/>
      </c>
      <c r="N255" s="41"/>
      <c r="O255" s="41"/>
      <c r="P255" s="41"/>
      <c r="Q255" s="41"/>
      <c r="R255" s="41"/>
      <c r="S255" s="41"/>
      <c r="T255" s="41"/>
      <c r="U255" s="41"/>
      <c r="V255" s="41"/>
      <c r="W255" s="41"/>
      <c r="X255" s="41"/>
      <c r="Y255" s="41"/>
      <c r="Z255" s="41"/>
    </row>
    <row r="256" ht="19.5" customHeight="1">
      <c r="A256" s="35"/>
      <c r="B256" s="35"/>
      <c r="C256" s="35"/>
      <c r="D256" s="35"/>
      <c r="E256" s="35"/>
      <c r="F256" s="35"/>
      <c r="G256" s="35"/>
      <c r="H256" s="35"/>
      <c r="I256" s="35"/>
      <c r="J256" s="84" t="s">
        <v>462</v>
      </c>
      <c r="K256" s="156" t="s">
        <v>463</v>
      </c>
      <c r="L256" s="18"/>
      <c r="M256" s="84" t="str">
        <f>IF(mgmt_host_overlay_addressing_chosen&lt;&gt;"IP Pool","This input is masked out and only required if configuring IP Pools for Host Overlay","")</f>
        <v/>
      </c>
      <c r="N256" s="41"/>
      <c r="O256" s="41"/>
      <c r="P256" s="41"/>
      <c r="Q256" s="41"/>
      <c r="R256" s="41"/>
      <c r="S256" s="41"/>
      <c r="T256" s="41"/>
      <c r="U256" s="41"/>
      <c r="V256" s="41"/>
      <c r="W256" s="41"/>
      <c r="X256" s="41"/>
      <c r="Y256" s="41"/>
      <c r="Z256" s="41"/>
    </row>
    <row r="257" ht="19.5" customHeight="1">
      <c r="A257" s="35"/>
      <c r="B257" s="35"/>
      <c r="C257" s="35"/>
      <c r="D257" s="35"/>
      <c r="E257" s="35"/>
      <c r="F257" s="35"/>
      <c r="G257" s="35"/>
      <c r="H257" s="35"/>
      <c r="I257" s="35"/>
      <c r="J257" s="84" t="s">
        <v>464</v>
      </c>
      <c r="K257" s="156" t="str">
        <f>CONCATENATE(prefix_mgmt_az1_cidr,"14.0/24")</f>
        <v>10.21.14.0/24</v>
      </c>
      <c r="L257" s="18"/>
      <c r="M257" s="84" t="str">
        <f>IF(mgmt_host_overlay_addressing_chosen&lt;&gt;"IP Pool","This input is masked out and only required if configuring IP Pools for Host Overlay","")</f>
        <v/>
      </c>
      <c r="N257" s="41"/>
      <c r="O257" s="41"/>
      <c r="P257" s="41"/>
      <c r="Q257" s="41"/>
      <c r="R257" s="41"/>
      <c r="S257" s="41"/>
      <c r="T257" s="41"/>
      <c r="U257" s="41"/>
      <c r="V257" s="41"/>
      <c r="W257" s="41"/>
      <c r="X257" s="41"/>
      <c r="Y257" s="41"/>
      <c r="Z257" s="41"/>
    </row>
    <row r="258" ht="19.5" customHeight="1">
      <c r="A258" s="35"/>
      <c r="B258" s="35"/>
      <c r="C258" s="35"/>
      <c r="D258" s="35"/>
      <c r="E258" s="35"/>
      <c r="F258" s="35"/>
      <c r="G258" s="35"/>
      <c r="H258" s="35"/>
      <c r="I258" s="35"/>
      <c r="J258" s="84" t="s">
        <v>465</v>
      </c>
      <c r="K258" s="156" t="str">
        <f>CONCATENATE(prefix_mgmt_az1_cidr,"14.101")</f>
        <v>10.21.14.101</v>
      </c>
      <c r="L258" s="18"/>
      <c r="M258" s="84" t="str">
        <f>IF(mgmt_host_overlay_addressing_chosen&lt;&gt;"IP Pool","This input is masked out and only required if configuring IP Pools for Host Overlay","")</f>
        <v/>
      </c>
      <c r="N258" s="41"/>
      <c r="O258" s="41"/>
      <c r="P258" s="41"/>
      <c r="Q258" s="41"/>
      <c r="R258" s="41"/>
      <c r="S258" s="41"/>
      <c r="T258" s="41"/>
      <c r="U258" s="41"/>
      <c r="V258" s="41"/>
      <c r="W258" s="41"/>
      <c r="X258" s="41"/>
      <c r="Y258" s="41"/>
      <c r="Z258" s="41"/>
    </row>
    <row r="259" ht="19.5" customHeight="1">
      <c r="A259" s="35"/>
      <c r="B259" s="35"/>
      <c r="C259" s="35"/>
      <c r="D259" s="35"/>
      <c r="E259" s="35"/>
      <c r="F259" s="35"/>
      <c r="G259" s="35"/>
      <c r="H259" s="35"/>
      <c r="I259" s="35"/>
      <c r="J259" s="84" t="s">
        <v>466</v>
      </c>
      <c r="K259" s="156" t="str">
        <f>CONCATENATE(prefix_mgmt_az1_cidr,"14.132")</f>
        <v>10.21.14.132</v>
      </c>
      <c r="L259" s="18"/>
      <c r="M259" s="84" t="str">
        <f>IF(mgmt_host_overlay_addressing_chosen&lt;&gt;"IP Pool","This input is masked out and only required if configuring IP Pools for Host Overlay","")</f>
        <v/>
      </c>
      <c r="N259" s="41"/>
      <c r="O259" s="41"/>
      <c r="P259" s="41"/>
      <c r="Q259" s="41"/>
      <c r="R259" s="41"/>
      <c r="S259" s="41"/>
      <c r="T259" s="41"/>
      <c r="U259" s="41"/>
      <c r="V259" s="41"/>
      <c r="W259" s="41"/>
      <c r="X259" s="41"/>
      <c r="Y259" s="41"/>
      <c r="Z259" s="41"/>
    </row>
    <row r="260" ht="19.5" customHeight="1">
      <c r="A260" s="35"/>
      <c r="B260" s="35"/>
      <c r="C260" s="35"/>
      <c r="D260" s="35"/>
      <c r="E260" s="35"/>
      <c r="F260" s="35"/>
      <c r="G260" s="35"/>
      <c r="H260" s="35"/>
      <c r="I260" s="35"/>
      <c r="J260" s="84" t="s">
        <v>402</v>
      </c>
      <c r="K260" s="156" t="str">
        <f>CONCATENATE(prefix_mgmt_az1_cidr,"14.1")</f>
        <v>10.21.14.1</v>
      </c>
      <c r="L260" s="18"/>
      <c r="M260" s="84" t="str">
        <f>IF(mgmt_host_overlay_addressing_chosen&lt;&gt;"IP Pool","This input is masked out and only required if configuring IP Pools for Host Overlay","")</f>
        <v/>
      </c>
      <c r="N260" s="41"/>
      <c r="O260" s="41"/>
      <c r="P260" s="41"/>
      <c r="Q260" s="41"/>
      <c r="R260" s="41"/>
      <c r="S260" s="41"/>
      <c r="T260" s="41"/>
      <c r="U260" s="41"/>
      <c r="V260" s="41"/>
      <c r="W260" s="41"/>
      <c r="X260" s="41"/>
      <c r="Y260" s="41"/>
      <c r="Z260" s="41"/>
    </row>
    <row r="261" ht="19.5" customHeight="1">
      <c r="A261" s="41"/>
      <c r="B261" s="41"/>
      <c r="C261" s="41"/>
      <c r="D261" s="41"/>
      <c r="E261" s="35"/>
      <c r="F261" s="35"/>
      <c r="G261" s="35"/>
      <c r="H261" s="35"/>
      <c r="I261" s="35"/>
      <c r="J261" s="79"/>
      <c r="K261" s="74"/>
      <c r="L261" s="74"/>
      <c r="M261" s="74"/>
      <c r="N261" s="41"/>
      <c r="O261" s="41"/>
      <c r="P261" s="41"/>
      <c r="Q261" s="41"/>
      <c r="R261" s="41"/>
      <c r="S261" s="41"/>
      <c r="T261" s="41"/>
      <c r="U261" s="41"/>
      <c r="V261" s="41"/>
      <c r="W261" s="41"/>
      <c r="X261" s="41"/>
      <c r="Y261" s="41"/>
      <c r="Z261" s="41"/>
    </row>
    <row r="262" ht="33.75" customHeight="1">
      <c r="A262" s="35"/>
      <c r="B262" s="35"/>
      <c r="C262" s="35"/>
      <c r="D262" s="35"/>
      <c r="E262" s="35"/>
      <c r="F262" s="35"/>
      <c r="G262" s="35"/>
      <c r="H262" s="35"/>
      <c r="I262" s="35"/>
      <c r="J262" s="12" t="s">
        <v>146</v>
      </c>
      <c r="K262" s="13"/>
      <c r="L262" s="13"/>
      <c r="M262" s="14"/>
      <c r="N262" s="41"/>
      <c r="O262" s="41"/>
      <c r="P262" s="41"/>
      <c r="Q262" s="41"/>
      <c r="R262" s="41"/>
      <c r="S262" s="41"/>
      <c r="T262" s="41"/>
      <c r="U262" s="41"/>
      <c r="V262" s="41"/>
      <c r="W262" s="41"/>
      <c r="X262" s="41"/>
      <c r="Y262" s="41"/>
      <c r="Z262" s="41"/>
    </row>
    <row r="263" ht="19.5" customHeight="1">
      <c r="A263" s="35"/>
      <c r="B263" s="35"/>
      <c r="C263" s="35"/>
      <c r="D263" s="35"/>
      <c r="E263" s="35"/>
      <c r="F263" s="35"/>
      <c r="G263" s="35"/>
      <c r="H263" s="35"/>
      <c r="I263" s="35"/>
      <c r="J263" s="102" t="s">
        <v>467</v>
      </c>
      <c r="K263" s="13"/>
      <c r="L263" s="13"/>
      <c r="M263" s="14"/>
      <c r="N263" s="41"/>
      <c r="O263" s="41"/>
      <c r="P263" s="41"/>
      <c r="Q263" s="41"/>
      <c r="R263" s="41"/>
      <c r="S263" s="41"/>
      <c r="T263" s="41"/>
      <c r="U263" s="41"/>
      <c r="V263" s="41"/>
      <c r="W263" s="41"/>
      <c r="X263" s="41"/>
      <c r="Y263" s="41"/>
      <c r="Z263" s="41"/>
    </row>
    <row r="264" ht="19.5" customHeight="1">
      <c r="A264" s="35"/>
      <c r="B264" s="35"/>
      <c r="C264" s="35"/>
      <c r="D264" s="35"/>
      <c r="E264" s="35"/>
      <c r="F264" s="35"/>
      <c r="G264" s="35"/>
      <c r="H264" s="35"/>
      <c r="I264" s="35"/>
      <c r="J264" s="49" t="s">
        <v>37</v>
      </c>
      <c r="K264" s="49" t="s">
        <v>273</v>
      </c>
      <c r="L264" s="49" t="s">
        <v>274</v>
      </c>
      <c r="M264" s="49" t="s">
        <v>5</v>
      </c>
      <c r="N264" s="41"/>
      <c r="O264" s="41"/>
      <c r="P264" s="41"/>
      <c r="Q264" s="41"/>
      <c r="R264" s="41"/>
      <c r="S264" s="41"/>
      <c r="T264" s="41"/>
      <c r="U264" s="41"/>
      <c r="V264" s="41"/>
      <c r="W264" s="41"/>
      <c r="X264" s="41"/>
      <c r="Y264" s="41"/>
      <c r="Z264" s="41"/>
    </row>
    <row r="265" ht="19.5" customHeight="1">
      <c r="A265" s="35"/>
      <c r="B265" s="35"/>
      <c r="C265" s="35"/>
      <c r="D265" s="35"/>
      <c r="E265" s="35"/>
      <c r="F265" s="35"/>
      <c r="G265" s="35"/>
      <c r="H265" s="35"/>
      <c r="I265" s="35"/>
      <c r="J265" s="84" t="s">
        <v>468</v>
      </c>
      <c r="K265" s="163" t="s">
        <v>469</v>
      </c>
      <c r="L265" s="18" t="s">
        <v>469</v>
      </c>
      <c r="M265" s="84"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the VCF installer will be converted to the SDDC Manager Appliance</v>
      </c>
      <c r="N265" s="41"/>
      <c r="O265" s="41"/>
      <c r="P265" s="41"/>
      <c r="Q265" s="41"/>
      <c r="R265" s="41"/>
      <c r="S265" s="41"/>
      <c r="T265" s="41"/>
      <c r="U265" s="41"/>
      <c r="V265" s="41"/>
      <c r="W265" s="41"/>
      <c r="X265" s="41"/>
      <c r="Y265" s="41"/>
      <c r="Z265" s="41"/>
    </row>
    <row r="266" ht="19.5" customHeight="1">
      <c r="A266" s="35"/>
      <c r="B266" s="35"/>
      <c r="C266" s="35"/>
      <c r="D266" s="35"/>
      <c r="E266" s="35"/>
      <c r="F266" s="35"/>
      <c r="G266" s="35"/>
      <c r="H266" s="35"/>
      <c r="I266" s="35"/>
      <c r="J266" s="84" t="s">
        <v>336</v>
      </c>
      <c r="K266" s="160" t="str">
        <f>CONCATENATE(this_instance,"-vcf01",".",sample_child_dns_zone)</f>
        <v>lax-vcf01.lax.rainpole.io</v>
      </c>
      <c r="L266" s="18"/>
      <c r="M266" s="169" t="str">
        <f>IF(mgmt_vcf_installer_location_chosen="Deployed outside management domain","","Ensure this FQDN is used when setting the VCF Installer FQDN")</f>
        <v>Ensure this FQDN is used when setting the VCF Installer FQDN</v>
      </c>
      <c r="N266" s="41"/>
      <c r="O266" s="41"/>
      <c r="P266" s="41"/>
      <c r="Q266" s="41"/>
      <c r="R266" s="41"/>
      <c r="S266" s="41"/>
      <c r="T266" s="41"/>
      <c r="U266" s="41"/>
      <c r="V266" s="41"/>
      <c r="W266" s="41"/>
      <c r="X266" s="41"/>
      <c r="Y266" s="41"/>
      <c r="Z266" s="41"/>
    </row>
    <row r="267" ht="19.5" customHeight="1">
      <c r="A267" s="35"/>
      <c r="B267" s="35"/>
      <c r="C267" s="35"/>
      <c r="D267" s="35"/>
      <c r="E267" s="35"/>
      <c r="F267" s="35"/>
      <c r="G267" s="35"/>
      <c r="H267" s="35"/>
      <c r="I267" s="35"/>
      <c r="J267" s="84" t="s">
        <v>331</v>
      </c>
      <c r="K267" s="110" t="s">
        <v>297</v>
      </c>
      <c r="L267" s="18"/>
      <c r="M267" s="18" t="str">
        <f>IF(mgmt_domain_password_creation_chosen="Selected","Inputs are masked out as you have opted to deploy with system generated passwords","Minimum 12 Characters, 1 Uppercase, 1 Special")</f>
        <v>Minimum 12 Characters, 1 Uppercase, 1 Special</v>
      </c>
      <c r="N267" s="41"/>
      <c r="O267" s="41"/>
      <c r="P267" s="41"/>
      <c r="Q267" s="41"/>
      <c r="R267" s="41"/>
      <c r="S267" s="41"/>
      <c r="T267" s="41"/>
      <c r="U267" s="41"/>
      <c r="V267" s="41"/>
      <c r="W267" s="41"/>
      <c r="X267" s="41"/>
      <c r="Y267" s="41"/>
      <c r="Z267" s="41"/>
    </row>
    <row r="268" ht="19.5" customHeight="1">
      <c r="A268" s="35"/>
      <c r="B268" s="35"/>
      <c r="C268" s="35"/>
      <c r="D268" s="35"/>
      <c r="E268" s="35"/>
      <c r="F268" s="35"/>
      <c r="G268" s="35"/>
      <c r="H268" s="35"/>
      <c r="I268" s="35"/>
      <c r="J268" s="84" t="s">
        <v>470</v>
      </c>
      <c r="K268" s="110" t="s">
        <v>297</v>
      </c>
      <c r="L268" s="18"/>
      <c r="M268" s="18" t="str">
        <f>IF(mgmt_domain_password_creation_chosen="Selected","Inputs are masked out as you have opted to deploy with system generated passwords","Minimum 12 Characters, 1 Uppercase, 1 Special")</f>
        <v>Minimum 12 Characters, 1 Uppercase, 1 Special</v>
      </c>
      <c r="N268" s="41"/>
      <c r="O268" s="41"/>
      <c r="P268" s="41"/>
      <c r="Q268" s="41"/>
      <c r="R268" s="41"/>
      <c r="S268" s="41"/>
      <c r="T268" s="41"/>
      <c r="U268" s="41"/>
      <c r="V268" s="41"/>
      <c r="W268" s="41"/>
      <c r="X268" s="41"/>
      <c r="Y268" s="41"/>
      <c r="Z268" s="41"/>
    </row>
    <row r="269" ht="19.5" customHeight="1">
      <c r="A269" s="35"/>
      <c r="B269" s="35"/>
      <c r="C269" s="35"/>
      <c r="D269" s="35"/>
      <c r="E269" s="35"/>
      <c r="F269" s="35"/>
      <c r="G269" s="35"/>
      <c r="H269" s="35"/>
      <c r="I269" s="35"/>
      <c r="J269" s="84" t="s">
        <v>330</v>
      </c>
      <c r="K269" s="110" t="s">
        <v>297</v>
      </c>
      <c r="L269" s="18"/>
      <c r="M269" s="18" t="str">
        <f>IF(mgmt_domain_password_creation_chosen="Selected","Inputs are masked out as you have opted to deploy with system generated passwords","Minimum 12 Characters, 1 Uppercase, 1 Special")</f>
        <v>Minimum 12 Characters, 1 Uppercase, 1 Special</v>
      </c>
      <c r="N269" s="41"/>
      <c r="O269" s="41"/>
      <c r="P269" s="41"/>
      <c r="Q269" s="41"/>
      <c r="R269" s="41"/>
      <c r="S269" s="41"/>
      <c r="T269" s="41"/>
      <c r="U269" s="41"/>
      <c r="V269" s="41"/>
      <c r="W269" s="41"/>
      <c r="X269" s="41"/>
      <c r="Y269" s="41"/>
      <c r="Z269" s="41"/>
    </row>
    <row r="270" ht="15.75" customHeight="1">
      <c r="A270" s="35"/>
      <c r="B270" s="35"/>
      <c r="C270" s="35"/>
      <c r="D270" s="35"/>
      <c r="E270" s="35"/>
      <c r="F270" s="35"/>
      <c r="G270" s="35"/>
      <c r="H270" s="35"/>
      <c r="I270" s="35"/>
      <c r="J270" s="41"/>
      <c r="K270" s="1"/>
      <c r="L270" s="41"/>
      <c r="M270" s="1"/>
      <c r="N270" s="41"/>
      <c r="O270" s="41"/>
      <c r="P270" s="41"/>
      <c r="Q270" s="41"/>
      <c r="R270" s="41"/>
      <c r="S270" s="41"/>
      <c r="T270" s="41"/>
      <c r="U270" s="41"/>
      <c r="V270" s="41"/>
      <c r="W270" s="41"/>
      <c r="X270" s="41"/>
      <c r="Y270" s="41"/>
      <c r="Z270" s="41"/>
    </row>
    <row r="271" ht="33.75" customHeight="1">
      <c r="A271" s="35"/>
      <c r="B271" s="35"/>
      <c r="C271" s="35"/>
      <c r="D271" s="35"/>
      <c r="E271" s="35"/>
      <c r="F271" s="35"/>
      <c r="G271" s="35"/>
      <c r="H271" s="35"/>
      <c r="I271" s="35"/>
      <c r="J271" s="72" t="s">
        <v>471</v>
      </c>
      <c r="K271" s="72"/>
      <c r="L271" s="72"/>
      <c r="M271" s="72"/>
      <c r="N271" s="41"/>
      <c r="O271" s="41"/>
      <c r="P271" s="41"/>
      <c r="Q271" s="41"/>
      <c r="R271" s="41"/>
      <c r="S271" s="41"/>
      <c r="T271" s="41"/>
      <c r="U271" s="41"/>
      <c r="V271" s="41"/>
      <c r="W271" s="41"/>
      <c r="X271" s="41"/>
      <c r="Y271" s="41"/>
      <c r="Z271" s="41"/>
    </row>
    <row r="272" ht="19.5" customHeight="1">
      <c r="A272" s="35"/>
      <c r="B272" s="35"/>
      <c r="C272" s="35"/>
      <c r="D272" s="35"/>
      <c r="E272" s="35"/>
      <c r="F272" s="35"/>
      <c r="G272" s="35"/>
      <c r="H272" s="35"/>
      <c r="I272" s="35"/>
      <c r="J272" s="49" t="s">
        <v>37</v>
      </c>
      <c r="K272" s="49" t="s">
        <v>273</v>
      </c>
      <c r="L272" s="49" t="s">
        <v>274</v>
      </c>
      <c r="M272" s="49" t="s">
        <v>5</v>
      </c>
      <c r="N272" s="41"/>
      <c r="O272" s="41"/>
      <c r="P272" s="41"/>
      <c r="Q272" s="41"/>
      <c r="R272" s="41"/>
      <c r="S272" s="41"/>
      <c r="T272" s="41"/>
      <c r="U272" s="41"/>
      <c r="V272" s="41"/>
      <c r="W272" s="41"/>
      <c r="X272" s="41"/>
      <c r="Y272" s="41"/>
      <c r="Z272" s="41"/>
    </row>
    <row r="273" ht="19.5" customHeight="1">
      <c r="A273" s="35"/>
      <c r="B273" s="35"/>
      <c r="C273" s="35"/>
      <c r="D273" s="35"/>
      <c r="E273" s="35"/>
      <c r="F273" s="35"/>
      <c r="G273" s="35"/>
      <c r="H273" s="35"/>
      <c r="I273" s="35"/>
      <c r="J273" s="102" t="s">
        <v>400</v>
      </c>
      <c r="K273" s="13"/>
      <c r="L273" s="13"/>
      <c r="M273" s="14"/>
      <c r="N273" s="41"/>
      <c r="O273" s="41"/>
      <c r="P273" s="41"/>
      <c r="Q273" s="41"/>
      <c r="R273" s="41"/>
      <c r="S273" s="41"/>
      <c r="T273" s="41"/>
      <c r="U273" s="41"/>
      <c r="V273" s="41"/>
      <c r="W273" s="41"/>
      <c r="X273" s="41"/>
      <c r="Y273" s="41"/>
      <c r="Z273" s="41"/>
    </row>
    <row r="274" ht="19.5" customHeight="1">
      <c r="A274" s="35"/>
      <c r="B274" s="35"/>
      <c r="C274" s="35"/>
      <c r="D274" s="35"/>
      <c r="E274" s="1"/>
      <c r="F274" s="35"/>
      <c r="G274" s="35"/>
      <c r="H274" s="35"/>
      <c r="I274" s="35"/>
      <c r="J274" s="170" t="s">
        <v>401</v>
      </c>
      <c r="K274" s="110" t="str">
        <f>sample_mgmt_az1_mgmt_vlan</f>
        <v>2111</v>
      </c>
      <c r="L274" s="171" t="str">
        <f>mgmt_az1_mgmt_vlan</f>
        <v>Value Missing</v>
      </c>
      <c r="M274" s="18"/>
      <c r="N274" s="41"/>
      <c r="O274" s="41"/>
      <c r="P274" s="41"/>
      <c r="Q274" s="41"/>
      <c r="R274" s="41"/>
      <c r="S274" s="41"/>
      <c r="T274" s="41"/>
      <c r="U274" s="41"/>
      <c r="V274" s="41"/>
      <c r="W274" s="41"/>
      <c r="X274" s="41"/>
      <c r="Y274" s="41"/>
      <c r="Z274" s="41"/>
    </row>
    <row r="275" ht="19.5" customHeight="1">
      <c r="A275" s="35"/>
      <c r="B275" s="35"/>
      <c r="C275" s="35"/>
      <c r="D275" s="35"/>
      <c r="E275" s="35"/>
      <c r="F275" s="35"/>
      <c r="G275" s="35"/>
      <c r="H275" s="35"/>
      <c r="I275" s="35"/>
      <c r="J275" s="170" t="s">
        <v>402</v>
      </c>
      <c r="K275" s="110" t="str">
        <f>sample_mgmt_az1_mgmt_gateway_ip</f>
        <v>10.21.11.1</v>
      </c>
      <c r="L275" s="171" t="str">
        <f>mgmt_az1_mgmt_gateway_ip</f>
        <v>Value Missing</v>
      </c>
      <c r="M275" s="18"/>
      <c r="N275" s="41"/>
      <c r="O275" s="41"/>
      <c r="P275" s="41"/>
      <c r="Q275" s="41"/>
      <c r="R275" s="41"/>
      <c r="S275" s="41"/>
      <c r="T275" s="41"/>
      <c r="U275" s="41"/>
      <c r="V275" s="41"/>
      <c r="W275" s="41"/>
      <c r="X275" s="41"/>
      <c r="Y275" s="41"/>
      <c r="Z275" s="41"/>
    </row>
    <row r="276" ht="19.5" customHeight="1">
      <c r="A276" s="35"/>
      <c r="B276" s="35"/>
      <c r="C276" s="35"/>
      <c r="D276" s="35"/>
      <c r="E276" s="35"/>
      <c r="F276" s="35"/>
      <c r="G276" s="35"/>
      <c r="H276" s="35"/>
      <c r="I276" s="35"/>
      <c r="J276" s="170" t="s">
        <v>403</v>
      </c>
      <c r="K276" s="110" t="str">
        <f>sample_mgmt_az1_mgmt_cidr</f>
        <v>10.21.11.0/24</v>
      </c>
      <c r="L276" s="171" t="str">
        <f>mgmt_az1_mgmt_cidr</f>
        <v>Value Missing</v>
      </c>
      <c r="M276" s="18"/>
      <c r="N276" s="41"/>
      <c r="O276" s="41"/>
      <c r="P276" s="41"/>
      <c r="Q276" s="41"/>
      <c r="R276" s="41"/>
      <c r="S276" s="41"/>
      <c r="T276" s="41"/>
      <c r="U276" s="41"/>
      <c r="V276" s="41"/>
      <c r="W276" s="41"/>
      <c r="X276" s="41"/>
      <c r="Y276" s="41"/>
      <c r="Z276" s="41"/>
    </row>
    <row r="277" ht="19.5" customHeight="1">
      <c r="A277" s="35"/>
      <c r="B277" s="35"/>
      <c r="C277" s="35"/>
      <c r="D277" s="35"/>
      <c r="E277" s="35"/>
      <c r="F277" s="35"/>
      <c r="G277" s="35"/>
      <c r="H277" s="35"/>
      <c r="I277" s="35"/>
      <c r="J277" s="84" t="s">
        <v>404</v>
      </c>
      <c r="K277" s="110">
        <f>sample_mgmt_az1_mgmt_mtu</f>
        <v>1500</v>
      </c>
      <c r="L277" s="171" t="str">
        <f>mgmt_az1_mgmt_mtu</f>
        <v>Value Missing</v>
      </c>
      <c r="M277" s="18"/>
      <c r="N277" s="41"/>
      <c r="O277" s="41"/>
      <c r="P277" s="41"/>
      <c r="Q277" s="41"/>
      <c r="R277" s="41"/>
      <c r="S277" s="41"/>
      <c r="T277" s="41"/>
      <c r="U277" s="41"/>
      <c r="V277" s="41"/>
      <c r="W277" s="41"/>
      <c r="X277" s="41"/>
      <c r="Y277" s="41"/>
      <c r="Z277" s="41"/>
    </row>
    <row r="278" ht="19.5" customHeight="1">
      <c r="A278" s="35"/>
      <c r="B278" s="35"/>
      <c r="C278" s="35"/>
      <c r="D278" s="35"/>
      <c r="E278" s="35"/>
      <c r="F278" s="35"/>
      <c r="G278" s="35"/>
      <c r="H278" s="35"/>
      <c r="I278" s="35"/>
      <c r="J278" s="172" t="s">
        <v>405</v>
      </c>
      <c r="K278" s="13"/>
      <c r="L278" s="13"/>
      <c r="M278" s="14"/>
      <c r="N278" s="41"/>
      <c r="O278" s="41"/>
      <c r="P278" s="41"/>
      <c r="Q278" s="41"/>
      <c r="R278" s="41"/>
      <c r="S278" s="41"/>
      <c r="T278" s="41"/>
      <c r="U278" s="41"/>
      <c r="V278" s="41"/>
      <c r="W278" s="41"/>
      <c r="X278" s="41"/>
      <c r="Y278" s="41"/>
      <c r="Z278" s="41"/>
    </row>
    <row r="279" ht="19.5" customHeight="1">
      <c r="A279" s="35"/>
      <c r="B279" s="35"/>
      <c r="C279" s="35"/>
      <c r="D279" s="35"/>
      <c r="E279" s="35"/>
      <c r="F279" s="35"/>
      <c r="G279" s="35"/>
      <c r="H279" s="35"/>
      <c r="I279" s="35"/>
      <c r="J279" s="170" t="s">
        <v>401</v>
      </c>
      <c r="K279" s="156" t="str">
        <f>sample_mgmt_az1_mgmt_vm_vlan</f>
        <v>2110</v>
      </c>
      <c r="L279" s="18" t="str">
        <f>mgmt_az1_mgmt_vm_vlan</f>
        <v>Value Missing</v>
      </c>
      <c r="M279" s="68"/>
      <c r="N279" s="41"/>
      <c r="O279" s="41"/>
      <c r="P279" s="41"/>
      <c r="Q279" s="41"/>
      <c r="R279" s="41"/>
      <c r="S279" s="41"/>
      <c r="T279" s="41"/>
      <c r="U279" s="41"/>
      <c r="V279" s="41"/>
      <c r="W279" s="41"/>
      <c r="X279" s="41"/>
      <c r="Y279" s="41"/>
      <c r="Z279" s="41"/>
    </row>
    <row r="280" ht="19.5" customHeight="1">
      <c r="A280" s="35"/>
      <c r="B280" s="35"/>
      <c r="C280" s="35"/>
      <c r="D280" s="35"/>
      <c r="E280" s="35"/>
      <c r="F280" s="35"/>
      <c r="G280" s="35"/>
      <c r="H280" s="35"/>
      <c r="I280" s="35"/>
      <c r="J280" s="170" t="s">
        <v>402</v>
      </c>
      <c r="K280" s="156" t="str">
        <f>sample_mgmt_az1_mgmt_vm_gateway_ip</f>
        <v>10.21.10.1</v>
      </c>
      <c r="L280" s="18" t="str">
        <f>mgmt_az1_mgmt_vm_gateway_ip</f>
        <v>Value Missing</v>
      </c>
      <c r="M280" s="68"/>
      <c r="N280" s="41"/>
      <c r="O280" s="41"/>
      <c r="P280" s="41"/>
      <c r="Q280" s="41"/>
      <c r="R280" s="41"/>
      <c r="S280" s="41"/>
      <c r="T280" s="41"/>
      <c r="U280" s="41"/>
      <c r="V280" s="41"/>
      <c r="W280" s="41"/>
      <c r="X280" s="41"/>
      <c r="Y280" s="41"/>
      <c r="Z280" s="41"/>
    </row>
    <row r="281" ht="19.5" customHeight="1">
      <c r="A281" s="35"/>
      <c r="B281" s="35"/>
      <c r="C281" s="35"/>
      <c r="D281" s="35"/>
      <c r="E281" s="35"/>
      <c r="F281" s="35"/>
      <c r="G281" s="35"/>
      <c r="H281" s="35"/>
      <c r="I281" s="35"/>
      <c r="J281" s="170" t="s">
        <v>403</v>
      </c>
      <c r="K281" s="156" t="str">
        <f>sample_mgmt_az1_mgmt_vm_cidr</f>
        <v>10.21.10.0/24</v>
      </c>
      <c r="L281" s="18" t="str">
        <f>mgmt_az1_mgmt_vm_cidr</f>
        <v>Value Missing</v>
      </c>
      <c r="M281" s="68"/>
      <c r="N281" s="41"/>
      <c r="O281" s="41"/>
      <c r="P281" s="41"/>
      <c r="Q281" s="41"/>
      <c r="R281" s="41"/>
      <c r="S281" s="41"/>
      <c r="T281" s="41"/>
      <c r="U281" s="41"/>
      <c r="V281" s="41"/>
      <c r="W281" s="41"/>
      <c r="X281" s="41"/>
      <c r="Y281" s="41"/>
      <c r="Z281" s="41"/>
    </row>
    <row r="282" ht="19.5" customHeight="1">
      <c r="A282" s="35"/>
      <c r="B282" s="35"/>
      <c r="C282" s="35"/>
      <c r="D282" s="35"/>
      <c r="E282" s="35"/>
      <c r="F282" s="35"/>
      <c r="G282" s="35"/>
      <c r="H282" s="35"/>
      <c r="I282" s="35"/>
      <c r="J282" s="84" t="s">
        <v>404</v>
      </c>
      <c r="K282" s="156">
        <f>sample_mgmt_az1_mgmt_vm_mtu</f>
        <v>1500</v>
      </c>
      <c r="L282" s="18" t="str">
        <f>mgmt_az1_mgmt_vm_mtu</f>
        <v>Value Missing</v>
      </c>
      <c r="M282" s="68"/>
      <c r="N282" s="41"/>
      <c r="O282" s="41"/>
      <c r="P282" s="41"/>
      <c r="Q282" s="41"/>
      <c r="R282" s="41"/>
      <c r="S282" s="41"/>
      <c r="T282" s="41"/>
      <c r="U282" s="41"/>
      <c r="V282" s="41"/>
      <c r="W282" s="41"/>
      <c r="X282" s="41"/>
      <c r="Y282" s="41"/>
      <c r="Z282" s="41"/>
    </row>
    <row r="283" ht="19.5" customHeight="1">
      <c r="A283" s="35"/>
      <c r="B283" s="35"/>
      <c r="C283" s="35"/>
      <c r="D283" s="35"/>
      <c r="E283" s="35"/>
      <c r="F283" s="35"/>
      <c r="G283" s="35"/>
      <c r="H283" s="35"/>
      <c r="I283" s="35"/>
      <c r="J283" s="102" t="s">
        <v>407</v>
      </c>
      <c r="K283" s="13"/>
      <c r="L283" s="13"/>
      <c r="M283" s="14"/>
      <c r="N283" s="41"/>
      <c r="O283" s="41"/>
      <c r="P283" s="41"/>
      <c r="Q283" s="41"/>
      <c r="R283" s="41"/>
      <c r="S283" s="41"/>
      <c r="T283" s="41"/>
      <c r="U283" s="41"/>
      <c r="V283" s="41"/>
      <c r="W283" s="41"/>
      <c r="X283" s="41"/>
      <c r="Y283" s="41"/>
      <c r="Z283" s="41"/>
    </row>
    <row r="284" ht="19.5" customHeight="1">
      <c r="A284" s="35"/>
      <c r="B284" s="35"/>
      <c r="C284" s="35"/>
      <c r="D284" s="35"/>
      <c r="E284" s="35"/>
      <c r="F284" s="35"/>
      <c r="G284" s="35"/>
      <c r="H284" s="35"/>
      <c r="I284" s="35"/>
      <c r="J284" s="84" t="s">
        <v>401</v>
      </c>
      <c r="K284" s="156" t="str">
        <f>sample_mgmt_az1_vmotion_vlan</f>
        <v>2112</v>
      </c>
      <c r="L284" s="171" t="str">
        <f>mgmt_az1_vmotion_vlan</f>
        <v>Value Missing</v>
      </c>
      <c r="M284" s="84"/>
      <c r="N284" s="41"/>
      <c r="O284" s="41"/>
      <c r="P284" s="41"/>
      <c r="Q284" s="41"/>
      <c r="R284" s="41"/>
      <c r="S284" s="41"/>
      <c r="T284" s="41"/>
      <c r="U284" s="41"/>
      <c r="V284" s="41"/>
      <c r="W284" s="41"/>
      <c r="X284" s="41"/>
      <c r="Y284" s="41"/>
      <c r="Z284" s="41"/>
    </row>
    <row r="285" ht="19.5" customHeight="1">
      <c r="A285" s="35"/>
      <c r="B285" s="35"/>
      <c r="C285" s="35"/>
      <c r="D285" s="35"/>
      <c r="E285" s="35"/>
      <c r="F285" s="35"/>
      <c r="G285" s="35"/>
      <c r="H285" s="35"/>
      <c r="I285" s="35"/>
      <c r="J285" s="84" t="s">
        <v>402</v>
      </c>
      <c r="K285" s="156" t="str">
        <f>sample_mgmt_az1_vmotion_gateway_ip</f>
        <v>10.21.12.1</v>
      </c>
      <c r="L285" s="171" t="str">
        <f>mgmt_az1_vmotion_gateway_ip</f>
        <v>Value Missing</v>
      </c>
      <c r="M285" s="18"/>
      <c r="N285" s="41"/>
      <c r="O285" s="41"/>
      <c r="P285" s="41"/>
      <c r="Q285" s="41"/>
      <c r="R285" s="41"/>
      <c r="S285" s="41"/>
      <c r="T285" s="41"/>
      <c r="U285" s="41"/>
      <c r="V285" s="41"/>
      <c r="W285" s="41"/>
      <c r="X285" s="41"/>
      <c r="Y285" s="41"/>
      <c r="Z285" s="41"/>
    </row>
    <row r="286" ht="19.5" customHeight="1">
      <c r="A286" s="35"/>
      <c r="B286" s="35"/>
      <c r="C286" s="35"/>
      <c r="D286" s="35"/>
      <c r="E286" s="35"/>
      <c r="F286" s="35"/>
      <c r="G286" s="35"/>
      <c r="H286" s="35"/>
      <c r="I286" s="35"/>
      <c r="J286" s="84" t="s">
        <v>403</v>
      </c>
      <c r="K286" s="156" t="str">
        <f>sample_mgmt_az1_vmotion_cidr</f>
        <v>10.21.12.0/24</v>
      </c>
      <c r="L286" s="171" t="str">
        <f>mgmt_az1_vmotion_cidr</f>
        <v>Value Missing</v>
      </c>
      <c r="M286" s="18"/>
      <c r="N286" s="41"/>
      <c r="O286" s="41"/>
      <c r="P286" s="41"/>
      <c r="Q286" s="41"/>
      <c r="R286" s="41"/>
      <c r="S286" s="41"/>
      <c r="T286" s="41"/>
      <c r="U286" s="41"/>
      <c r="V286" s="41"/>
      <c r="W286" s="41"/>
      <c r="X286" s="41"/>
      <c r="Y286" s="41"/>
      <c r="Z286" s="41"/>
    </row>
    <row r="287" ht="19.5" customHeight="1">
      <c r="A287" s="35"/>
      <c r="B287" s="35"/>
      <c r="C287" s="35"/>
      <c r="D287" s="35"/>
      <c r="E287" s="35"/>
      <c r="F287" s="35"/>
      <c r="G287" s="35"/>
      <c r="H287" s="35"/>
      <c r="I287" s="35"/>
      <c r="J287" s="84" t="s">
        <v>404</v>
      </c>
      <c r="K287" s="156">
        <f>sample_mgmt_az1_vmotion_mtu</f>
        <v>9000</v>
      </c>
      <c r="L287" s="171" t="str">
        <f>mgmt_az1_vmotion_mtu</f>
        <v>Value Missing</v>
      </c>
      <c r="M287" s="18"/>
      <c r="N287" s="41"/>
      <c r="O287" s="41"/>
      <c r="P287" s="41"/>
      <c r="Q287" s="41"/>
      <c r="R287" s="41"/>
      <c r="S287" s="41"/>
      <c r="T287" s="41"/>
      <c r="U287" s="41"/>
      <c r="V287" s="41"/>
      <c r="W287" s="41"/>
      <c r="X287" s="41"/>
      <c r="Y287" s="41"/>
      <c r="Z287" s="41"/>
    </row>
    <row r="288" ht="19.5" customHeight="1">
      <c r="A288" s="35"/>
      <c r="B288" s="35"/>
      <c r="C288" s="35"/>
      <c r="D288" s="35"/>
      <c r="E288" s="35"/>
      <c r="F288" s="35"/>
      <c r="G288" s="35"/>
      <c r="H288" s="35"/>
      <c r="I288" s="35"/>
      <c r="J288" s="173" t="s">
        <v>465</v>
      </c>
      <c r="K288" s="156" t="str">
        <f>sample_mgmt_az1_vmotion_pool_start_ip</f>
        <v>10.21.12.101</v>
      </c>
      <c r="L288" s="171" t="str">
        <f>mgmt_az1_vmotion_pool_start_ip</f>
        <v>Value Missing</v>
      </c>
      <c r="M288" s="18"/>
      <c r="N288" s="41"/>
      <c r="O288" s="41"/>
      <c r="P288" s="41"/>
      <c r="Q288" s="41"/>
      <c r="R288" s="41"/>
      <c r="S288" s="41"/>
      <c r="T288" s="41"/>
      <c r="U288" s="41"/>
      <c r="V288" s="41"/>
      <c r="W288" s="41"/>
      <c r="X288" s="41"/>
      <c r="Y288" s="41"/>
      <c r="Z288" s="41"/>
    </row>
    <row r="289" ht="19.5" customHeight="1">
      <c r="A289" s="35"/>
      <c r="B289" s="35"/>
      <c r="C289" s="35"/>
      <c r="D289" s="35"/>
      <c r="E289" s="35"/>
      <c r="F289" s="35"/>
      <c r="G289" s="35"/>
      <c r="H289" s="35"/>
      <c r="I289" s="35"/>
      <c r="J289" s="173" t="s">
        <v>466</v>
      </c>
      <c r="K289" s="156" t="str">
        <f>sample_mgmt_az1_vmotion_pool_end_ip</f>
        <v>10.21.12.116</v>
      </c>
      <c r="L289" s="171" t="str">
        <f>mgmt_az1_vmotion_pool_end_ip</f>
        <v>Value Missing</v>
      </c>
      <c r="M289" s="18"/>
      <c r="N289" s="41"/>
      <c r="O289" s="41"/>
      <c r="P289" s="41"/>
      <c r="Q289" s="41"/>
      <c r="R289" s="41"/>
      <c r="S289" s="41"/>
      <c r="T289" s="41"/>
      <c r="U289" s="41"/>
      <c r="V289" s="41"/>
      <c r="W289" s="41"/>
      <c r="X289" s="41"/>
      <c r="Y289" s="41"/>
      <c r="Z289" s="41"/>
    </row>
    <row r="290" ht="19.5" customHeight="1">
      <c r="A290" s="35"/>
      <c r="B290" s="35"/>
      <c r="C290" s="35"/>
      <c r="D290" s="35"/>
      <c r="E290" s="35"/>
      <c r="F290" s="35"/>
      <c r="G290" s="35"/>
      <c r="H290" s="35"/>
      <c r="I290" s="35"/>
      <c r="J290" s="102" t="s">
        <v>410</v>
      </c>
      <c r="K290" s="13"/>
      <c r="L290" s="13"/>
      <c r="M290" s="14"/>
      <c r="N290" s="41"/>
      <c r="O290" s="41"/>
      <c r="P290" s="41"/>
      <c r="Q290" s="41"/>
      <c r="R290" s="41"/>
      <c r="S290" s="41"/>
      <c r="T290" s="41"/>
      <c r="U290" s="41"/>
      <c r="V290" s="41"/>
      <c r="W290" s="41"/>
      <c r="X290" s="41"/>
      <c r="Y290" s="41"/>
      <c r="Z290" s="41"/>
    </row>
    <row r="291" ht="19.5" customHeight="1">
      <c r="A291" s="35"/>
      <c r="B291" s="35"/>
      <c r="C291" s="35"/>
      <c r="D291" s="35"/>
      <c r="E291" s="35"/>
      <c r="F291" s="35"/>
      <c r="G291" s="35"/>
      <c r="H291" s="35"/>
      <c r="I291" s="35"/>
      <c r="J291" s="84" t="s">
        <v>401</v>
      </c>
      <c r="K291" s="156" t="str">
        <f>sample_mgmt_az1_vsan_vlan</f>
        <v>2113</v>
      </c>
      <c r="L291" s="171" t="str">
        <f>mgmt_az1_vsan_vlan</f>
        <v>Value Missing</v>
      </c>
      <c r="M291" s="68"/>
      <c r="N291" s="41"/>
      <c r="O291" s="41"/>
      <c r="P291" s="41"/>
      <c r="Q291" s="41"/>
      <c r="R291" s="41"/>
      <c r="S291" s="41"/>
      <c r="T291" s="41"/>
      <c r="U291" s="41"/>
      <c r="V291" s="41"/>
      <c r="W291" s="41"/>
      <c r="X291" s="41"/>
      <c r="Y291" s="41"/>
      <c r="Z291" s="41"/>
    </row>
    <row r="292" ht="19.5" customHeight="1">
      <c r="A292" s="35"/>
      <c r="B292" s="35"/>
      <c r="C292" s="35"/>
      <c r="D292" s="35"/>
      <c r="E292" s="35"/>
      <c r="F292" s="35"/>
      <c r="G292" s="35"/>
      <c r="H292" s="35"/>
      <c r="I292" s="35"/>
      <c r="J292" s="84" t="s">
        <v>402</v>
      </c>
      <c r="K292" s="156" t="str">
        <f>sample_mgmt_az1_vsan_gateway_ip</f>
        <v>10.21.13.1</v>
      </c>
      <c r="L292" s="171" t="str">
        <f>mgmt_az1_vsan_gateway_ip</f>
        <v>Value Missing</v>
      </c>
      <c r="M292" s="68" t="str">
        <f>IF(AND(mgmt_stretched_cluster_result="Included",mgmt_dpg_reuse_result="Excluded"),"Stretched L2","")</f>
        <v/>
      </c>
      <c r="N292" s="41"/>
      <c r="O292" s="41"/>
      <c r="P292" s="41"/>
      <c r="Q292" s="41"/>
      <c r="R292" s="41"/>
      <c r="S292" s="41"/>
      <c r="T292" s="41"/>
      <c r="U292" s="41"/>
      <c r="V292" s="41"/>
      <c r="W292" s="41"/>
      <c r="X292" s="41"/>
      <c r="Y292" s="41"/>
      <c r="Z292" s="41"/>
    </row>
    <row r="293" ht="19.5" customHeight="1">
      <c r="A293" s="35"/>
      <c r="B293" s="35"/>
      <c r="C293" s="35"/>
      <c r="D293" s="35"/>
      <c r="E293" s="35"/>
      <c r="F293" s="35"/>
      <c r="G293" s="35"/>
      <c r="H293" s="35"/>
      <c r="I293" s="35"/>
      <c r="J293" s="84" t="s">
        <v>403</v>
      </c>
      <c r="K293" s="156" t="str">
        <f>sample_mgmt_az1_vsan_cidr</f>
        <v>10.21.13.0/24</v>
      </c>
      <c r="L293" s="171" t="str">
        <f>mgmt_az1_vsan_cidr</f>
        <v>Value Missing</v>
      </c>
      <c r="M293" s="68"/>
      <c r="N293" s="41"/>
      <c r="O293" s="41"/>
      <c r="P293" s="41"/>
      <c r="Q293" s="41"/>
      <c r="R293" s="41"/>
      <c r="S293" s="41"/>
      <c r="T293" s="41"/>
      <c r="U293" s="41"/>
      <c r="V293" s="41"/>
      <c r="W293" s="41"/>
      <c r="X293" s="41"/>
      <c r="Y293" s="41"/>
      <c r="Z293" s="41"/>
    </row>
    <row r="294" ht="19.5" customHeight="1">
      <c r="A294" s="35"/>
      <c r="B294" s="35"/>
      <c r="C294" s="35"/>
      <c r="D294" s="35"/>
      <c r="E294" s="35"/>
      <c r="F294" s="35"/>
      <c r="G294" s="35"/>
      <c r="H294" s="35"/>
      <c r="I294" s="35"/>
      <c r="J294" s="84" t="s">
        <v>404</v>
      </c>
      <c r="K294" s="156">
        <f>sample_mgmt_az1_vsan_mtu</f>
        <v>9000</v>
      </c>
      <c r="L294" s="171" t="str">
        <f>mgmt_az1_vsan_mtu</f>
        <v>Value Missing</v>
      </c>
      <c r="M294" s="68"/>
      <c r="N294" s="41"/>
      <c r="O294" s="41"/>
      <c r="P294" s="41"/>
      <c r="Q294" s="41"/>
      <c r="R294" s="41"/>
      <c r="S294" s="41"/>
      <c r="T294" s="41"/>
      <c r="U294" s="41"/>
      <c r="V294" s="41"/>
      <c r="W294" s="41"/>
      <c r="X294" s="41"/>
      <c r="Y294" s="41"/>
      <c r="Z294" s="41"/>
    </row>
    <row r="295" ht="19.5" customHeight="1">
      <c r="A295" s="35"/>
      <c r="B295" s="35"/>
      <c r="C295" s="35"/>
      <c r="D295" s="35"/>
      <c r="E295" s="35"/>
      <c r="F295" s="35"/>
      <c r="G295" s="35"/>
      <c r="H295" s="35"/>
      <c r="I295" s="35"/>
      <c r="J295" s="173" t="s">
        <v>465</v>
      </c>
      <c r="K295" s="156" t="str">
        <f>sample_mgmt_az1_vsan_pool_start_ip</f>
        <v>10.21.13.101</v>
      </c>
      <c r="L295" s="171" t="str">
        <f>mgmt_az1_vsan_pool_start_ip</f>
        <v>Value Missing</v>
      </c>
      <c r="M295" s="68"/>
      <c r="N295" s="41"/>
      <c r="O295" s="41"/>
      <c r="P295" s="41"/>
      <c r="Q295" s="41"/>
      <c r="R295" s="41"/>
      <c r="S295" s="41"/>
      <c r="T295" s="41"/>
      <c r="U295" s="41"/>
      <c r="V295" s="41"/>
      <c r="W295" s="41"/>
      <c r="X295" s="41"/>
      <c r="Y295" s="41"/>
      <c r="Z295" s="41"/>
    </row>
    <row r="296" ht="19.5" customHeight="1">
      <c r="A296" s="35"/>
      <c r="B296" s="35"/>
      <c r="C296" s="35"/>
      <c r="D296" s="35"/>
      <c r="E296" s="35"/>
      <c r="F296" s="35"/>
      <c r="G296" s="35"/>
      <c r="H296" s="35"/>
      <c r="I296" s="35"/>
      <c r="J296" s="173" t="s">
        <v>466</v>
      </c>
      <c r="K296" s="156" t="str">
        <f>sample_mgmt_az1_vsan_pool_end_ip</f>
        <v>10.21.13.116</v>
      </c>
      <c r="L296" s="171" t="str">
        <f>mgmt_az1_vsan_pool_end_ip</f>
        <v>Value Missing</v>
      </c>
      <c r="M296" s="68"/>
      <c r="N296" s="41"/>
      <c r="O296" s="41"/>
      <c r="P296" s="41"/>
      <c r="Q296" s="41"/>
      <c r="R296" s="41"/>
      <c r="S296" s="41"/>
      <c r="T296" s="41"/>
      <c r="U296" s="41"/>
      <c r="V296" s="41"/>
      <c r="W296" s="41"/>
      <c r="X296" s="41"/>
      <c r="Y296" s="41"/>
      <c r="Z296" s="41"/>
    </row>
    <row r="297" ht="19.5" customHeight="1">
      <c r="A297" s="35"/>
      <c r="B297" s="35"/>
      <c r="C297" s="35"/>
      <c r="D297" s="35"/>
      <c r="E297" s="35"/>
      <c r="F297" s="35"/>
      <c r="G297" s="35"/>
      <c r="H297" s="35"/>
      <c r="I297" s="35"/>
      <c r="J297" s="102" t="s">
        <v>472</v>
      </c>
      <c r="K297" s="13"/>
      <c r="L297" s="13"/>
      <c r="M297" s="14"/>
      <c r="N297" s="41"/>
      <c r="O297" s="41"/>
      <c r="P297" s="41"/>
      <c r="Q297" s="41"/>
      <c r="R297" s="41"/>
      <c r="S297" s="41"/>
      <c r="T297" s="41"/>
      <c r="U297" s="41"/>
      <c r="V297" s="41"/>
      <c r="W297" s="41"/>
      <c r="X297" s="41"/>
      <c r="Y297" s="41"/>
      <c r="Z297" s="41"/>
    </row>
    <row r="298" ht="19.5" customHeight="1">
      <c r="A298" s="35"/>
      <c r="B298" s="35"/>
      <c r="C298" s="35"/>
      <c r="D298" s="35"/>
      <c r="E298" s="35"/>
      <c r="F298" s="35"/>
      <c r="G298" s="35"/>
      <c r="H298" s="35"/>
      <c r="I298" s="35"/>
      <c r="J298" s="84" t="s">
        <v>401</v>
      </c>
      <c r="K298" s="156" t="str">
        <f>sample_mgmt_az1_host_overlay_vlan</f>
        <v>2114</v>
      </c>
      <c r="L298" s="171" t="str">
        <f>mgmt_az1_host_overlay_vlan</f>
        <v>Value Missing</v>
      </c>
      <c r="M298" s="18"/>
      <c r="N298" s="41"/>
      <c r="O298" s="41"/>
      <c r="P298" s="41"/>
      <c r="Q298" s="41"/>
      <c r="R298" s="41"/>
      <c r="S298" s="41"/>
      <c r="T298" s="41"/>
      <c r="U298" s="41"/>
      <c r="V298" s="41"/>
      <c r="W298" s="41"/>
      <c r="X298" s="41"/>
      <c r="Y298" s="41"/>
      <c r="Z298" s="41"/>
    </row>
    <row r="299" ht="19.5" customHeight="1">
      <c r="A299" s="35"/>
      <c r="B299" s="35"/>
      <c r="C299" s="35"/>
      <c r="D299" s="35"/>
      <c r="E299" s="35"/>
      <c r="F299" s="35"/>
      <c r="G299" s="35"/>
      <c r="H299" s="35"/>
      <c r="I299" s="35"/>
      <c r="J299" s="84" t="s">
        <v>402</v>
      </c>
      <c r="K299" s="156" t="str">
        <f>sample_mgmt_az1_host_overlay_gateway_ip</f>
        <v>10.21.14.1</v>
      </c>
      <c r="L299" s="171" t="str">
        <f>mgmt_az1_host_overlay_gateway_ip</f>
        <v>Value Missing</v>
      </c>
      <c r="M299" s="18"/>
      <c r="N299" s="41"/>
      <c r="O299" s="41"/>
      <c r="P299" s="41"/>
      <c r="Q299" s="41"/>
      <c r="R299" s="41"/>
      <c r="S299" s="41"/>
      <c r="T299" s="41"/>
      <c r="U299" s="41"/>
      <c r="V299" s="41"/>
      <c r="W299" s="41"/>
      <c r="X299" s="41"/>
      <c r="Y299" s="41"/>
      <c r="Z299" s="41"/>
    </row>
    <row r="300" ht="19.5" customHeight="1">
      <c r="A300" s="35"/>
      <c r="B300" s="35"/>
      <c r="C300" s="35"/>
      <c r="D300" s="35"/>
      <c r="E300" s="35"/>
      <c r="F300" s="35"/>
      <c r="G300" s="35"/>
      <c r="H300" s="35"/>
      <c r="I300" s="35"/>
      <c r="J300" s="84" t="s">
        <v>403</v>
      </c>
      <c r="K300" s="156" t="str">
        <f>sample_mgmt_az1_host_overlay_cidr</f>
        <v>10.21.14.0/24</v>
      </c>
      <c r="L300" s="171" t="str">
        <f>mgmt_az1_host_overlay_cidr</f>
        <v>Value Missing</v>
      </c>
      <c r="M300" s="18"/>
      <c r="N300" s="41"/>
      <c r="O300" s="41"/>
      <c r="P300" s="41"/>
      <c r="Q300" s="41"/>
      <c r="R300" s="41"/>
      <c r="S300" s="41"/>
      <c r="T300" s="41"/>
      <c r="U300" s="41"/>
      <c r="V300" s="41"/>
      <c r="W300" s="41"/>
      <c r="X300" s="41"/>
      <c r="Y300" s="41"/>
      <c r="Z300" s="41"/>
    </row>
    <row r="301" ht="19.5" customHeight="1">
      <c r="A301" s="35"/>
      <c r="B301" s="35"/>
      <c r="C301" s="35"/>
      <c r="D301" s="35"/>
      <c r="E301" s="35"/>
      <c r="F301" s="35"/>
      <c r="G301" s="35"/>
      <c r="H301" s="35"/>
      <c r="I301" s="35"/>
      <c r="J301" s="84" t="s">
        <v>404</v>
      </c>
      <c r="K301" s="156">
        <v>9000.0</v>
      </c>
      <c r="L301" s="171"/>
      <c r="M301" s="18"/>
      <c r="N301" s="41"/>
      <c r="O301" s="41"/>
      <c r="P301" s="41"/>
      <c r="Q301" s="41"/>
      <c r="R301" s="41"/>
      <c r="S301" s="41"/>
      <c r="T301" s="41"/>
      <c r="U301" s="41"/>
      <c r="V301" s="41"/>
      <c r="W301" s="41"/>
      <c r="X301" s="41"/>
      <c r="Y301" s="41"/>
      <c r="Z301" s="41"/>
    </row>
    <row r="302" ht="19.5" customHeight="1">
      <c r="A302" s="35"/>
      <c r="B302" s="35"/>
      <c r="C302" s="35"/>
      <c r="D302" s="35"/>
      <c r="E302" s="35"/>
      <c r="F302" s="35"/>
      <c r="G302" s="35"/>
      <c r="H302" s="35"/>
      <c r="I302" s="35"/>
      <c r="J302" s="173" t="s">
        <v>465</v>
      </c>
      <c r="K302" s="156" t="str">
        <f>sample_mgmt_az1_host_overlay_pool_start_ip</f>
        <v>10.21.14.101</v>
      </c>
      <c r="L302" s="171" t="str">
        <f>mgmt_az1_host_overlay_pool_start_ip</f>
        <v>Value Missing</v>
      </c>
      <c r="M302" s="18"/>
      <c r="N302" s="41"/>
      <c r="O302" s="41"/>
      <c r="P302" s="41"/>
      <c r="Q302" s="41"/>
      <c r="R302" s="41"/>
      <c r="S302" s="41"/>
      <c r="T302" s="41"/>
      <c r="U302" s="41"/>
      <c r="V302" s="41"/>
      <c r="W302" s="41"/>
      <c r="X302" s="41"/>
      <c r="Y302" s="41"/>
      <c r="Z302" s="41"/>
    </row>
    <row r="303" ht="19.5" customHeight="1">
      <c r="A303" s="35"/>
      <c r="B303" s="35"/>
      <c r="C303" s="35"/>
      <c r="D303" s="35"/>
      <c r="E303" s="35"/>
      <c r="F303" s="35"/>
      <c r="G303" s="35"/>
      <c r="H303" s="35"/>
      <c r="I303" s="35"/>
      <c r="J303" s="173" t="s">
        <v>466</v>
      </c>
      <c r="K303" s="156" t="str">
        <f>sample_mgmt_az1_host_overlay_pool_end_ip</f>
        <v>10.21.14.132</v>
      </c>
      <c r="L303" s="171" t="str">
        <f>mgmt_az1_host_overlay_pool_end_ip</f>
        <v>Value Missing</v>
      </c>
      <c r="M303" s="18"/>
      <c r="N303" s="41"/>
      <c r="O303" s="41"/>
      <c r="P303" s="41"/>
      <c r="Q303" s="41"/>
      <c r="R303" s="41"/>
      <c r="S303" s="41"/>
      <c r="T303" s="41"/>
      <c r="U303" s="41"/>
      <c r="V303" s="41"/>
      <c r="W303" s="41"/>
      <c r="X303" s="41"/>
      <c r="Y303" s="41"/>
      <c r="Z303" s="41"/>
    </row>
    <row r="304" ht="19.5" customHeight="1">
      <c r="A304" s="35"/>
      <c r="B304" s="35"/>
      <c r="C304" s="35"/>
      <c r="D304" s="35"/>
      <c r="E304" s="35"/>
      <c r="F304" s="35"/>
      <c r="G304" s="35"/>
      <c r="H304" s="35"/>
      <c r="I304" s="35"/>
      <c r="J304" s="102" t="s">
        <v>473</v>
      </c>
      <c r="K304" s="13"/>
      <c r="L304" s="13"/>
      <c r="M304" s="14"/>
      <c r="N304" s="41"/>
      <c r="O304" s="41"/>
      <c r="P304" s="41"/>
      <c r="Q304" s="41"/>
      <c r="R304" s="41"/>
      <c r="S304" s="41"/>
      <c r="T304" s="41"/>
      <c r="U304" s="41"/>
      <c r="V304" s="41"/>
      <c r="W304" s="41"/>
      <c r="X304" s="41"/>
      <c r="Y304" s="41"/>
      <c r="Z304" s="41"/>
    </row>
    <row r="305" ht="19.5" customHeight="1">
      <c r="A305" s="35"/>
      <c r="B305" s="35"/>
      <c r="C305" s="35"/>
      <c r="D305" s="35"/>
      <c r="E305" s="35"/>
      <c r="F305" s="35"/>
      <c r="G305" s="35"/>
      <c r="H305" s="35"/>
      <c r="I305" s="35"/>
      <c r="J305" s="174" t="s">
        <v>474</v>
      </c>
      <c r="K305" s="49" t="s">
        <v>475</v>
      </c>
      <c r="L305" s="49" t="s">
        <v>476</v>
      </c>
      <c r="M305" s="49" t="s">
        <v>5</v>
      </c>
      <c r="N305" s="41"/>
      <c r="O305" s="41"/>
      <c r="P305" s="41"/>
      <c r="Q305" s="41"/>
      <c r="R305" s="41"/>
      <c r="S305" s="41"/>
      <c r="T305" s="41"/>
      <c r="U305" s="41"/>
      <c r="V305" s="41"/>
      <c r="W305" s="41"/>
      <c r="X305" s="41"/>
      <c r="Y305" s="41"/>
      <c r="Z305" s="41"/>
    </row>
    <row r="306" ht="19.5" customHeight="1">
      <c r="A306" s="35"/>
      <c r="B306" s="35"/>
      <c r="C306" s="35"/>
      <c r="D306" s="35"/>
      <c r="E306" s="35"/>
      <c r="F306" s="35"/>
      <c r="G306" s="35"/>
      <c r="H306" s="35"/>
      <c r="I306" s="35"/>
      <c r="J306" s="18" t="str">
        <f>xreg_vrslcm_fqdn</f>
        <v>Value Missing</v>
      </c>
      <c r="K306" s="175" t="str">
        <f>IF(mgmt_dpg_reuse_result="Included",CONCATENATE(prefix_mgmt_az1_cidr,"10.28"),CONCATENATE(prefix_mgmt_az1_cidr,"11.28"))</f>
        <v>10.21.10.28</v>
      </c>
      <c r="L306" s="18"/>
      <c r="M306" s="18" t="s">
        <v>474</v>
      </c>
      <c r="N306" s="41"/>
      <c r="O306" s="41"/>
      <c r="P306" s="41"/>
      <c r="Q306" s="41"/>
      <c r="R306" s="41"/>
      <c r="S306" s="41"/>
      <c r="T306" s="41"/>
      <c r="U306" s="41"/>
      <c r="V306" s="41"/>
      <c r="W306" s="41"/>
      <c r="X306" s="41"/>
      <c r="Y306" s="41"/>
      <c r="Z306" s="41"/>
    </row>
    <row r="307" ht="19.5" customHeight="1">
      <c r="A307" s="35"/>
      <c r="B307" s="35"/>
      <c r="C307" s="35"/>
      <c r="D307" s="35"/>
      <c r="E307" s="35"/>
      <c r="F307" s="35"/>
      <c r="G307" s="35"/>
      <c r="H307" s="35"/>
      <c r="I307" s="35"/>
      <c r="J307" s="49" t="s">
        <v>477</v>
      </c>
      <c r="K307" s="49" t="s">
        <v>475</v>
      </c>
      <c r="L307" s="49" t="s">
        <v>476</v>
      </c>
      <c r="M307" s="49" t="s">
        <v>5</v>
      </c>
      <c r="N307" s="41"/>
      <c r="O307" s="41"/>
      <c r="P307" s="41"/>
      <c r="Q307" s="41"/>
      <c r="R307" s="41"/>
      <c r="S307" s="41"/>
      <c r="T307" s="41"/>
      <c r="U307" s="41"/>
      <c r="V307" s="41"/>
      <c r="W307" s="41"/>
      <c r="X307" s="41"/>
      <c r="Y307" s="41"/>
      <c r="Z307" s="41"/>
    </row>
    <row r="308" ht="19.5" customHeight="1">
      <c r="A308" s="35"/>
      <c r="B308" s="35"/>
      <c r="C308" s="35"/>
      <c r="D308" s="35"/>
      <c r="E308" s="35"/>
      <c r="F308" s="35"/>
      <c r="G308" s="35"/>
      <c r="H308" s="35"/>
      <c r="I308" s="35"/>
      <c r="J308" s="18" t="str">
        <f>xreg_vrops_nodea_fqdn</f>
        <v>Value Missing</v>
      </c>
      <c r="K308" s="156" t="str">
        <f>IF(mgmt_vcf_management_network_chosen="Use VM management network",IF(mgmt_dpg_reuse_result="Included",CONCATENATE(prefix_mgmt_az1_cidr,"10.52"),CONCATENATE(prefix_mgmt_az1_cidr,"11.52")),CONCATENATE(prefix_flt_shared_cidr,".52"))</f>
        <v>10.21.10.52</v>
      </c>
      <c r="L308" s="18"/>
      <c r="M308" s="51" t="str">
        <f>IF(mgmt_domain_ops_automation_later_chosen="Selected","Inputs are masked out as you have opted to deploy VCF Ops and Automation post MGMT Domain deployment","Primary node of VCF Operations")</f>
        <v>Primary node of VCF Operations</v>
      </c>
      <c r="N308" s="41"/>
      <c r="O308" s="41"/>
      <c r="P308" s="41"/>
      <c r="Q308" s="41"/>
      <c r="R308" s="41"/>
      <c r="S308" s="41"/>
      <c r="T308" s="41"/>
      <c r="U308" s="41"/>
      <c r="V308" s="41"/>
      <c r="W308" s="41"/>
      <c r="X308" s="41"/>
      <c r="Y308" s="41"/>
      <c r="Z308" s="41"/>
    </row>
    <row r="309" ht="19.5" customHeight="1">
      <c r="A309" s="35"/>
      <c r="B309" s="35"/>
      <c r="C309" s="35"/>
      <c r="D309" s="35"/>
      <c r="E309" s="35"/>
      <c r="F309" s="35"/>
      <c r="G309" s="35"/>
      <c r="H309" s="35"/>
      <c r="I309" s="35"/>
      <c r="J309" s="18" t="str">
        <f>xreg_vrops_nodeb_fqdn</f>
        <v>Value Missing</v>
      </c>
      <c r="K309" s="156" t="str">
        <f>IF(mgmt_vcf_management_network_chosen="Use VM management network",IF(mgmt_dpg_reuse_result="Included",CONCATENATE(prefix_mgmt_az1_cidr,"10.53"),CONCATENATE(prefix_mgmt_az1_cidr,"11.53")),CONCATENATE(prefix_flt_shared_cidr,".53"))</f>
        <v>10.21.10.53</v>
      </c>
      <c r="L309" s="18"/>
      <c r="M309" s="51" t="str">
        <f>IF(mgmt_domain_ops_automation_later_chosen="Selected","Inputs are masked out as you have opted to deploy VCF Ops and Automation post MGMT Domain deployment","Primary replica node of VCF Operations")</f>
        <v>Primary replica node of VCF Operations</v>
      </c>
      <c r="N309" s="41"/>
      <c r="O309" s="41"/>
      <c r="P309" s="41"/>
      <c r="Q309" s="41"/>
      <c r="R309" s="41"/>
      <c r="S309" s="41"/>
      <c r="T309" s="41"/>
      <c r="U309" s="41"/>
      <c r="V309" s="41"/>
      <c r="W309" s="41"/>
      <c r="X309" s="41"/>
      <c r="Y309" s="41"/>
      <c r="Z309" s="41"/>
    </row>
    <row r="310" ht="19.5" customHeight="1">
      <c r="A310" s="35"/>
      <c r="B310" s="35"/>
      <c r="C310" s="35"/>
      <c r="D310" s="35"/>
      <c r="E310" s="35"/>
      <c r="F310" s="35"/>
      <c r="G310" s="35"/>
      <c r="H310" s="35"/>
      <c r="I310" s="35"/>
      <c r="J310" s="18" t="str">
        <f>xreg_vrops_nodec_fqdn</f>
        <v>Value Missing</v>
      </c>
      <c r="K310" s="156" t="str">
        <f>IF(mgmt_vcf_management_network_chosen="Use VM management network",IF(mgmt_dpg_reuse_result="Included",CONCATENATE(prefix_mgmt_az1_cidr,"10.54"),CONCATENATE(prefix_mgmt_az1_cidr,"11.54")),CONCATENATE(prefix_flt_shared_cidr,".54"))</f>
        <v>10.21.10.54</v>
      </c>
      <c r="L310" s="18"/>
      <c r="M310" s="51" t="str">
        <f>IF(mgmt_domain_ops_automation_later_chosen="Selected","Inputs are masked out as you have opted to deploy VCF Ops and Automation post MGMT Domain deployment","Data node 1 of VCF Operations")</f>
        <v>Data node 1 of VCF Operations</v>
      </c>
      <c r="N310" s="41"/>
      <c r="O310" s="41"/>
      <c r="P310" s="41"/>
      <c r="Q310" s="41"/>
      <c r="R310" s="41"/>
      <c r="S310" s="41"/>
      <c r="T310" s="41"/>
      <c r="U310" s="41"/>
      <c r="V310" s="41"/>
      <c r="W310" s="41"/>
      <c r="X310" s="41"/>
      <c r="Y310" s="41"/>
      <c r="Z310" s="41"/>
    </row>
    <row r="311" ht="19.5" customHeight="1">
      <c r="A311" s="35"/>
      <c r="B311" s="35"/>
      <c r="C311" s="35"/>
      <c r="D311" s="35"/>
      <c r="E311" s="35"/>
      <c r="F311" s="35"/>
      <c r="G311" s="35"/>
      <c r="H311" s="35"/>
      <c r="I311" s="35"/>
      <c r="J311" s="18" t="str">
        <f>xreg_vrops_collector_fqdn</f>
        <v>Value Missing</v>
      </c>
      <c r="K311" s="156" t="str">
        <f>IF(mgmt_dpg_reuse_result="Included",CONCATENATE(prefix_mgmt_az1_cidr,"10.12"),CONCATENATE(prefix_mgmt_az1_cidr,"11.12"))</f>
        <v>10.21.10.12</v>
      </c>
      <c r="L311" s="18"/>
      <c r="M311" s="51" t="str">
        <f>IF(mgmt_domain_ops_automation_later_chosen="Selected","Inputs are masked out as you have opted to deploy VCF Ops and Automation post MGMT Domain deployment","Operations Collector Appliance")</f>
        <v>Operations Collector Appliance</v>
      </c>
      <c r="N311" s="41"/>
      <c r="O311" s="41"/>
      <c r="P311" s="41"/>
      <c r="Q311" s="41"/>
      <c r="R311" s="41"/>
      <c r="S311" s="41"/>
      <c r="T311" s="41"/>
      <c r="U311" s="41"/>
      <c r="V311" s="41"/>
      <c r="W311" s="41"/>
      <c r="X311" s="41"/>
      <c r="Y311" s="41"/>
      <c r="Z311" s="41"/>
    </row>
    <row r="312" ht="19.5" customHeight="1">
      <c r="A312" s="35"/>
      <c r="B312" s="35"/>
      <c r="C312" s="35"/>
      <c r="D312" s="35"/>
      <c r="E312" s="35"/>
      <c r="F312" s="35"/>
      <c r="G312" s="35"/>
      <c r="H312" s="35"/>
      <c r="I312" s="35"/>
      <c r="J312" s="49" t="s">
        <v>332</v>
      </c>
      <c r="K312" s="49" t="s">
        <v>475</v>
      </c>
      <c r="L312" s="49" t="s">
        <v>476</v>
      </c>
      <c r="M312" s="49" t="s">
        <v>5</v>
      </c>
      <c r="N312" s="41"/>
      <c r="O312" s="41"/>
      <c r="P312" s="41"/>
      <c r="Q312" s="41"/>
      <c r="R312" s="41"/>
      <c r="S312" s="41"/>
      <c r="T312" s="41"/>
      <c r="U312" s="41"/>
      <c r="V312" s="41"/>
      <c r="W312" s="41"/>
      <c r="X312" s="41"/>
      <c r="Y312" s="41"/>
      <c r="Z312" s="41"/>
    </row>
    <row r="313" ht="19.5" customHeight="1">
      <c r="A313" s="35"/>
      <c r="B313" s="35"/>
      <c r="C313" s="35"/>
      <c r="D313" s="35"/>
      <c r="E313" s="35"/>
      <c r="F313" s="35"/>
      <c r="G313" s="35"/>
      <c r="H313" s="35"/>
      <c r="I313" s="35"/>
      <c r="J313" s="18" t="str">
        <f>xreg_vrops_virtual_fqdn</f>
        <v>Value Missing</v>
      </c>
      <c r="K313" s="156" t="str">
        <f>IF(mgmt_vcf_management_network_chosen="Use VM management network",IF(mgmt_dpg_reuse_result="Included",CONCATENATE(prefix_mgmt_az1_cidr,"10.21"),CONCATENATE(prefix_mgmt_az1_cidr,"11.21")),CONCATENATE(prefix_flt_shared_cidr,".21"))</f>
        <v>10.21.10.21</v>
      </c>
      <c r="L313" s="18"/>
      <c r="M313" s="18" t="str">
        <f>IF(mgmt_domain_ops_automation_later_chosen="Selected","Inputs are masked out as you have opted to deploy VCF Ops and Automation post MGMT Domain deployment","VCF Operations VIP - Optional: For a high availability deployment, you can connect an external load balancer")</f>
        <v>VCF Operations VIP - Optional: For a high availability deployment, you can connect an external load balancer</v>
      </c>
      <c r="N313" s="41"/>
      <c r="O313" s="41"/>
      <c r="P313" s="41"/>
      <c r="Q313" s="41"/>
      <c r="R313" s="41"/>
      <c r="S313" s="41"/>
      <c r="T313" s="41"/>
      <c r="U313" s="41"/>
      <c r="V313" s="41"/>
      <c r="W313" s="41"/>
      <c r="X313" s="41"/>
      <c r="Y313" s="41"/>
      <c r="Z313" s="41"/>
    </row>
    <row r="314" ht="19.5" customHeight="1">
      <c r="A314" s="35"/>
      <c r="B314" s="35"/>
      <c r="C314" s="35"/>
      <c r="D314" s="35"/>
      <c r="E314" s="35"/>
      <c r="F314" s="35"/>
      <c r="G314" s="35"/>
      <c r="H314" s="35"/>
      <c r="I314" s="35"/>
      <c r="J314" s="49" t="s">
        <v>189</v>
      </c>
      <c r="K314" s="49" t="s">
        <v>475</v>
      </c>
      <c r="L314" s="49" t="s">
        <v>476</v>
      </c>
      <c r="M314" s="49" t="s">
        <v>5</v>
      </c>
      <c r="N314" s="41"/>
      <c r="O314" s="41"/>
      <c r="P314" s="41"/>
      <c r="Q314" s="41"/>
      <c r="R314" s="41"/>
      <c r="S314" s="41"/>
      <c r="T314" s="41"/>
      <c r="U314" s="41"/>
      <c r="V314" s="41"/>
      <c r="W314" s="41"/>
      <c r="X314" s="41"/>
      <c r="Y314" s="41"/>
      <c r="Z314" s="41"/>
    </row>
    <row r="315" ht="19.5" customHeight="1">
      <c r="A315" s="35"/>
      <c r="B315" s="35"/>
      <c r="C315" s="35"/>
      <c r="D315" s="35"/>
      <c r="E315" s="35"/>
      <c r="F315" s="35"/>
      <c r="G315" s="35"/>
      <c r="H315" s="35"/>
      <c r="I315" s="35"/>
      <c r="J315" s="18" t="str">
        <f>xreg_vra_virtual_fqdn</f>
        <v>Value Missing</v>
      </c>
      <c r="K315" s="156" t="str">
        <f>IF(mgmt_vcf_management_network_chosen="Use VM management network",IF(mgmt_dpg_reuse_result="Included",CONCATENATE(prefix_mgmt_az1_cidr,"10.25"),CONCATENATE(prefix_mgmt_az1_cidr,"11.25")),CONCATENATE(prefix_flt_shared_cidr,".25"))</f>
        <v>10.21.10.25</v>
      </c>
      <c r="L315" s="18"/>
      <c r="M315" s="51" t="str">
        <f>IF(mgmt_domain_ops_automation_later_chosen="Selected","Inputs are masked out as you have opted to deploy VCF Ops and Automation post MGMT Domain deployment","")</f>
        <v/>
      </c>
      <c r="N315" s="41"/>
      <c r="O315" s="41"/>
      <c r="P315" s="41"/>
      <c r="Q315" s="41"/>
      <c r="R315" s="41"/>
      <c r="S315" s="41"/>
      <c r="T315" s="41"/>
      <c r="U315" s="41"/>
      <c r="V315" s="41"/>
      <c r="W315" s="41"/>
      <c r="X315" s="41"/>
      <c r="Y315" s="41"/>
      <c r="Z315" s="41"/>
    </row>
    <row r="316" ht="19.5" customHeight="1">
      <c r="A316" s="35"/>
      <c r="B316" s="35"/>
      <c r="C316" s="35"/>
      <c r="D316" s="35"/>
      <c r="E316" s="35"/>
      <c r="F316" s="35"/>
      <c r="G316" s="35"/>
      <c r="H316" s="35"/>
      <c r="I316" s="35"/>
      <c r="J316" s="18" t="s">
        <v>478</v>
      </c>
      <c r="K316" s="156" t="str">
        <f>IF(mgmt_vcf_management_network_chosen="Use VM management network",IF(mgmt_dpg_reuse_result="Included",CONCATENATE(prefix_mgmt_az1_cidr,"10.46"),CONCATENATE(prefix_mgmt_az1_cidr,"11.46")),CONCATENATE(prefix_flt_shared_cidr,".46"))</f>
        <v>10.21.10.46</v>
      </c>
      <c r="L316" s="18" t="str">
        <f>IF(ISBLANK(input_xreg_vra_nodea_ip),"Value Missing",input_xreg_vra_nodea_ip)</f>
        <v>Value Missing</v>
      </c>
      <c r="M316" s="51" t="str">
        <f>IF(mgmt_domain_ops_automation_later_chosen="Selected","Inputs are masked out as you have opted to deploy VCF Ops and Automation post MGMT Domain deployment","")</f>
        <v/>
      </c>
      <c r="N316" s="41"/>
      <c r="O316" s="41"/>
      <c r="P316" s="41"/>
      <c r="Q316" s="41"/>
      <c r="R316" s="41"/>
      <c r="S316" s="41"/>
      <c r="T316" s="41"/>
      <c r="U316" s="41"/>
      <c r="V316" s="41"/>
      <c r="W316" s="41"/>
      <c r="X316" s="41"/>
      <c r="Y316" s="41"/>
      <c r="Z316" s="41"/>
    </row>
    <row r="317" ht="19.5" customHeight="1">
      <c r="A317" s="35"/>
      <c r="B317" s="35"/>
      <c r="C317" s="35"/>
      <c r="D317" s="35"/>
      <c r="E317" s="35"/>
      <c r="F317" s="35"/>
      <c r="G317" s="35"/>
      <c r="H317" s="35"/>
      <c r="I317" s="35"/>
      <c r="J317" s="18" t="s">
        <v>478</v>
      </c>
      <c r="K317" s="156" t="str">
        <f>IF(mgmt_vcf_management_network_chosen="Use VM management network",IF(mgmt_dpg_reuse_result="Included",CONCATENATE(prefix_mgmt_az1_cidr,"10.47"),CONCATENATE(prefix_mgmt_az1_cidr,"11.47")),CONCATENATE(prefix_flt_shared_cidr,".47"))</f>
        <v>10.21.10.47</v>
      </c>
      <c r="L317" s="18" t="str">
        <f>IF(ISBLANK(input_xreg_vra_nodeb_ip),"Value Missing",input_xreg_vra_nodeb_ip)</f>
        <v>Value Missing</v>
      </c>
      <c r="M317" s="51" t="str">
        <f>IF(mgmt_domain_ops_automation_later_chosen="Selected","Inputs are masked out as you have opted to deploy VCF Ops and Automation post MGMT Domain deployment","")</f>
        <v/>
      </c>
      <c r="N317" s="41"/>
      <c r="O317" s="41"/>
      <c r="P317" s="41"/>
      <c r="Q317" s="41"/>
      <c r="R317" s="41"/>
      <c r="S317" s="41"/>
      <c r="T317" s="41"/>
      <c r="U317" s="41"/>
      <c r="V317" s="41"/>
      <c r="W317" s="41"/>
      <c r="X317" s="41"/>
      <c r="Y317" s="41"/>
      <c r="Z317" s="41"/>
    </row>
    <row r="318" ht="19.5" customHeight="1">
      <c r="A318" s="35"/>
      <c r="B318" s="35"/>
      <c r="C318" s="35"/>
      <c r="D318" s="35"/>
      <c r="E318" s="35"/>
      <c r="F318" s="35"/>
      <c r="G318" s="35"/>
      <c r="H318" s="35"/>
      <c r="I318" s="35"/>
      <c r="J318" s="18" t="s">
        <v>478</v>
      </c>
      <c r="K318" s="156" t="str">
        <f>IF(mgmt_vcf_management_network_chosen="Use VM management network",IF(mgmt_dpg_reuse_result="Included",CONCATENATE(prefix_mgmt_az1_cidr,"10.48"),CONCATENATE(prefix_mgmt_az1_cidr,"11.48")),CONCATENATE(prefix_flt_shared_cidr,".48"))</f>
        <v>10.21.10.48</v>
      </c>
      <c r="L318" s="18" t="str">
        <f>IF(ISBLANK(input_xreg_vra_nodec_ip),"Value Missing",input_xreg_vra_nodec_ip)</f>
        <v>Value Missing</v>
      </c>
      <c r="M318" s="51" t="str">
        <f>IF(mgmt_domain_ops_automation_later_chosen="Selected","Inputs are masked out as you have opted to deploy VCF Ops and Automation post MGMT Domain deployment","")</f>
        <v/>
      </c>
      <c r="N318" s="81"/>
      <c r="O318" s="41"/>
      <c r="P318" s="41"/>
      <c r="Q318" s="41"/>
      <c r="R318" s="41"/>
      <c r="S318" s="41"/>
      <c r="T318" s="41"/>
      <c r="U318" s="41"/>
      <c r="V318" s="41"/>
      <c r="W318" s="41"/>
      <c r="X318" s="41"/>
      <c r="Y318" s="41"/>
      <c r="Z318" s="41"/>
    </row>
    <row r="319" ht="19.5" customHeight="1">
      <c r="A319" s="35"/>
      <c r="B319" s="35"/>
      <c r="C319" s="35"/>
      <c r="D319" s="35"/>
      <c r="E319" s="35"/>
      <c r="F319" s="35"/>
      <c r="G319" s="35"/>
      <c r="H319" s="35"/>
      <c r="I319" s="35"/>
      <c r="J319" s="18" t="s">
        <v>478</v>
      </c>
      <c r="K319" s="156" t="str">
        <f>IF(mgmt_vcf_management_network_chosen="Use VM management network",IF(mgmt_dpg_reuse_result="Included",CONCATENATE(prefix_mgmt_az1_cidr,"10.49"),CONCATENATE(prefix_mgmt_az1_cidr,"11.49")),CONCATENATE(prefix_flt_shared_cidr,".49"))</f>
        <v>10.21.10.49</v>
      </c>
      <c r="L319" s="18" t="str">
        <f>IF(ISBLANK(input_xreg_vra_noded_ip),"Value Missing",input_xreg_vra_noded_ip)</f>
        <v>Value Missing</v>
      </c>
      <c r="M319" s="51" t="str">
        <f>IF(mgmt_domain_ops_automation_later_chosen="Selected","Inputs are masked out as you have opted to deploy VCF Ops and Automation post MGMT Domain deployment","")</f>
        <v/>
      </c>
      <c r="N319" s="1"/>
      <c r="O319" s="41"/>
      <c r="P319" s="41"/>
      <c r="Q319" s="41"/>
      <c r="R319" s="41"/>
      <c r="S319" s="41"/>
      <c r="T319" s="41"/>
      <c r="U319" s="41"/>
      <c r="V319" s="41"/>
      <c r="W319" s="41"/>
      <c r="X319" s="41"/>
      <c r="Y319" s="41"/>
      <c r="Z319" s="41"/>
    </row>
    <row r="320" ht="19.5" customHeight="1">
      <c r="A320" s="35"/>
      <c r="B320" s="35"/>
      <c r="C320" s="35"/>
      <c r="D320" s="35"/>
      <c r="E320" s="35"/>
      <c r="F320" s="35"/>
      <c r="G320" s="35"/>
      <c r="H320" s="35"/>
      <c r="I320" s="35"/>
      <c r="J320" s="49" t="s">
        <v>479</v>
      </c>
      <c r="K320" s="49" t="s">
        <v>475</v>
      </c>
      <c r="L320" s="49" t="s">
        <v>476</v>
      </c>
      <c r="M320" s="49" t="s">
        <v>5</v>
      </c>
      <c r="N320" s="1"/>
      <c r="O320" s="41"/>
      <c r="P320" s="41"/>
      <c r="Q320" s="41"/>
      <c r="R320" s="41"/>
      <c r="S320" s="41"/>
      <c r="T320" s="41"/>
      <c r="U320" s="41"/>
      <c r="V320" s="41"/>
      <c r="W320" s="41"/>
      <c r="X320" s="41"/>
      <c r="Y320" s="41"/>
      <c r="Z320" s="41"/>
    </row>
    <row r="321" ht="19.5" customHeight="1">
      <c r="A321" s="35"/>
      <c r="B321" s="35"/>
      <c r="C321" s="35"/>
      <c r="D321" s="35"/>
      <c r="E321" s="35"/>
      <c r="F321" s="35"/>
      <c r="G321" s="35"/>
      <c r="H321" s="35"/>
      <c r="I321" s="35"/>
      <c r="J321" s="31"/>
      <c r="K321" s="163" t="str">
        <f>IF(mgmt_dpg_reuse_result="Included",CONCATENATE(prefix_mgmt_az1_cidr,"10.9"),CONCATENATE(prefix_mgmt_az1_cidr,"11.9"))</f>
        <v>10.21.10.9</v>
      </c>
      <c r="L321" s="18"/>
      <c r="M321" s="95" t="str">
        <f>IF(mgmt_vcf_installer_location_chosen="Deployed on one of the hosts in the management domain","VCF Installer","")</f>
        <v>VCF Installer</v>
      </c>
      <c r="N321" s="1"/>
      <c r="O321" s="41"/>
      <c r="P321" s="41"/>
      <c r="Q321" s="41"/>
      <c r="R321" s="41"/>
      <c r="S321" s="41"/>
      <c r="T321" s="41"/>
      <c r="U321" s="41"/>
      <c r="V321" s="41"/>
      <c r="W321" s="41"/>
      <c r="X321" s="41"/>
      <c r="Y321" s="41"/>
      <c r="Z321" s="41"/>
    </row>
    <row r="322" ht="19.5" customHeight="1">
      <c r="A322" s="35"/>
      <c r="B322" s="35"/>
      <c r="C322" s="35"/>
      <c r="D322" s="35"/>
      <c r="E322" s="35"/>
      <c r="F322" s="35"/>
      <c r="G322" s="35"/>
      <c r="H322" s="35"/>
      <c r="I322" s="35"/>
      <c r="J322" s="31" t="str">
        <f>sddc_mgr_fqdn</f>
        <v>Value Missing</v>
      </c>
      <c r="K322" s="163" t="str">
        <f>IF(mgmt_dpg_reuse_result="Included",CONCATENATE(prefix_mgmt_az1_cidr,"10.13"),CONCATENATE(prefix_mgmt_az1_cidr,"11.13"))</f>
        <v>10.21.10.13</v>
      </c>
      <c r="L322" s="18"/>
      <c r="M322" s="95" t="str">
        <f>IF(mgmt_vcf_installer_location_chosen="Deployed outside management domain","SDDC Manager  Appliance",CONCATENATE("SDDC Manager  / Private Cloud Installer. ","Ensure this FQDN is used when setting the VCF Installer FQDN"))</f>
        <v>SDDC Manager  / Private Cloud Installer. Ensure this FQDN is used when setting the VCF Installer FQDN</v>
      </c>
      <c r="N322" s="41"/>
      <c r="O322" s="41"/>
      <c r="P322" s="41"/>
      <c r="Q322" s="41"/>
      <c r="R322" s="41"/>
      <c r="S322" s="41"/>
      <c r="T322" s="41"/>
      <c r="U322" s="41"/>
      <c r="V322" s="41"/>
      <c r="W322" s="41"/>
      <c r="X322" s="41"/>
      <c r="Y322" s="41"/>
      <c r="Z322" s="41"/>
    </row>
    <row r="323" ht="19.5" customHeight="1">
      <c r="A323" s="35"/>
      <c r="B323" s="35"/>
      <c r="C323" s="35"/>
      <c r="D323" s="35"/>
      <c r="E323" s="35"/>
      <c r="F323" s="35"/>
      <c r="G323" s="35"/>
      <c r="H323" s="35"/>
      <c r="I323" s="35"/>
      <c r="J323" s="31" t="str">
        <f>mgmt_vc_fqdn</f>
        <v>Value Missing</v>
      </c>
      <c r="K323" s="163" t="str">
        <f>IF(mgmt_dpg_reuse_result="Included",CONCATENATE(prefix_mgmt_az1_cidr,"10.70"),CONCATENATE(prefix_mgmt_az1_cidr,"11.70"))</f>
        <v>10.21.10.70</v>
      </c>
      <c r="L323" s="18"/>
      <c r="M323" s="95" t="s">
        <v>299</v>
      </c>
      <c r="N323" s="41"/>
      <c r="O323" s="41"/>
      <c r="P323" s="41"/>
      <c r="Q323" s="41"/>
      <c r="R323" s="41"/>
      <c r="S323" s="41"/>
      <c r="T323" s="41"/>
      <c r="U323" s="41"/>
      <c r="V323" s="41"/>
      <c r="W323" s="41"/>
      <c r="X323" s="41"/>
      <c r="Y323" s="41"/>
      <c r="Z323" s="41"/>
    </row>
    <row r="324" ht="19.5" customHeight="1">
      <c r="A324" s="35"/>
      <c r="B324" s="35"/>
      <c r="C324" s="35"/>
      <c r="D324" s="35"/>
      <c r="E324" s="35"/>
      <c r="F324" s="35"/>
      <c r="G324" s="35"/>
      <c r="H324" s="35"/>
      <c r="I324" s="35"/>
      <c r="J324" s="49" t="s">
        <v>480</v>
      </c>
      <c r="K324" s="49" t="s">
        <v>475</v>
      </c>
      <c r="L324" s="49" t="s">
        <v>476</v>
      </c>
      <c r="M324" s="49" t="s">
        <v>5</v>
      </c>
      <c r="N324" s="41"/>
      <c r="O324" s="41"/>
      <c r="P324" s="41"/>
      <c r="Q324" s="41"/>
      <c r="R324" s="41"/>
      <c r="S324" s="41"/>
      <c r="T324" s="41"/>
      <c r="U324" s="41"/>
      <c r="V324" s="41"/>
      <c r="W324" s="41"/>
      <c r="X324" s="41"/>
      <c r="Y324" s="41"/>
      <c r="Z324" s="41"/>
    </row>
    <row r="325" ht="19.5" customHeight="1">
      <c r="A325" s="35"/>
      <c r="B325" s="35"/>
      <c r="C325" s="35"/>
      <c r="D325" s="35"/>
      <c r="E325" s="35"/>
      <c r="F325" s="35"/>
      <c r="G325" s="35"/>
      <c r="H325" s="35"/>
      <c r="I325" s="35"/>
      <c r="J325" s="31" t="str">
        <f>mgmt_nsxt_vip_fqdn</f>
        <v>Value Missing</v>
      </c>
      <c r="K325" s="163" t="str">
        <f>IF(mgmt_dpg_reuse_result="Included",CONCATENATE(prefix_mgmt_az1_cidr,"10.71"),CONCATENATE(prefix_mgmt_az1_cidr,"11.71"))</f>
        <v>10.21.10.71</v>
      </c>
      <c r="L325" s="18"/>
      <c r="M325" s="95" t="str">
        <f>IF(mgmt_domain_existing_nsx_manager_chosen="Included","Existing NSX Manager / Local Manager VIP","NSX Manager / Local Manager VIP")</f>
        <v>NSX Manager / Local Manager VIP</v>
      </c>
      <c r="N325" s="41"/>
      <c r="O325" s="41"/>
      <c r="P325" s="41"/>
      <c r="Q325" s="41"/>
      <c r="R325" s="41"/>
      <c r="S325" s="41"/>
      <c r="T325" s="41"/>
      <c r="U325" s="41"/>
      <c r="V325" s="41"/>
      <c r="W325" s="41"/>
      <c r="X325" s="41"/>
      <c r="Y325" s="41"/>
      <c r="Z325" s="41"/>
    </row>
    <row r="326" ht="19.5" customHeight="1">
      <c r="A326" s="35"/>
      <c r="B326" s="35"/>
      <c r="C326" s="35"/>
      <c r="D326" s="35"/>
      <c r="E326" s="35"/>
      <c r="F326" s="35"/>
      <c r="G326" s="35"/>
      <c r="H326" s="35"/>
      <c r="I326" s="35"/>
      <c r="J326" s="31" t="str">
        <f>mgmt_nsxt_mgra_fqdn</f>
        <v>Value Missing</v>
      </c>
      <c r="K326" s="163" t="str">
        <f>IF(mgmt_dpg_reuse_result="Included",CONCATENATE(prefix_mgmt_az1_cidr,"10.72"),CONCATENATE(prefix_mgmt_az1_cidr,"11.72"))</f>
        <v>10.21.10.72</v>
      </c>
      <c r="L326" s="18"/>
      <c r="M326" s="95" t="str">
        <f>IF(mgmt_domain_existing_nsx_manager_chosen="Included","Existing NSX Manager / Local Manager Node A","NSX Manager / Local Manager Node A")</f>
        <v>NSX Manager / Local Manager Node A</v>
      </c>
      <c r="N326" s="41"/>
      <c r="O326" s="41"/>
      <c r="P326" s="41"/>
      <c r="Q326" s="41"/>
      <c r="R326" s="41"/>
      <c r="S326" s="41"/>
      <c r="T326" s="41"/>
      <c r="U326" s="41"/>
      <c r="V326" s="41"/>
      <c r="W326" s="41"/>
      <c r="X326" s="41"/>
      <c r="Y326" s="41"/>
      <c r="Z326" s="41"/>
    </row>
    <row r="327" ht="19.5" customHeight="1">
      <c r="A327" s="35"/>
      <c r="B327" s="35"/>
      <c r="C327" s="35"/>
      <c r="D327" s="35"/>
      <c r="E327" s="35"/>
      <c r="F327" s="35"/>
      <c r="G327" s="35"/>
      <c r="H327" s="35"/>
      <c r="I327" s="35"/>
      <c r="J327" s="31" t="str">
        <f>mgmt_nsxt_mgrb_fqdn</f>
        <v>Value Missing</v>
      </c>
      <c r="K327" s="163" t="str">
        <f>IF(mgmt_dpg_reuse_result="Included",CONCATENATE(prefix_mgmt_az1_cidr,"10.73"),CONCATENATE(prefix_mgmt_az1_cidr,"11.73"))</f>
        <v>10.21.10.73</v>
      </c>
      <c r="L327" s="18"/>
      <c r="M327" s="95" t="str">
        <f>IF(mgmt_domain_existing_nsx_manager_chosen="Included","Existing NSX Manager / Local Manager Node B","NSX Manager / Local Manager Node B")</f>
        <v>NSX Manager / Local Manager Node B</v>
      </c>
      <c r="N327" s="41"/>
      <c r="O327" s="41"/>
      <c r="P327" s="41"/>
      <c r="Q327" s="41"/>
      <c r="R327" s="41"/>
      <c r="S327" s="41"/>
      <c r="T327" s="41"/>
      <c r="U327" s="41"/>
      <c r="V327" s="41"/>
      <c r="W327" s="41"/>
      <c r="X327" s="41"/>
      <c r="Y327" s="41"/>
      <c r="Z327" s="41"/>
    </row>
    <row r="328" ht="19.5" customHeight="1">
      <c r="A328" s="35"/>
      <c r="B328" s="35"/>
      <c r="C328" s="35"/>
      <c r="D328" s="35"/>
      <c r="E328" s="35"/>
      <c r="F328" s="35"/>
      <c r="G328" s="35"/>
      <c r="H328" s="35"/>
      <c r="I328" s="35"/>
      <c r="J328" s="31" t="str">
        <f>mgmt_nsxt_mgrc_fqdn</f>
        <v>Value Missing</v>
      </c>
      <c r="K328" s="163" t="str">
        <f>IF(mgmt_dpg_reuse_result="Included",CONCATENATE(prefix_mgmt_az1_cidr,"10.74"),CONCATENATE(prefix_mgmt_az1_cidr,"11.74"))</f>
        <v>10.21.10.74</v>
      </c>
      <c r="L328" s="18"/>
      <c r="M328" s="95" t="str">
        <f>IF(mgmt_domain_existing_nsx_manager_chosen="Included","Existing NSX Manager / Local Manager Node C","NSX Manager / Local Manager Node C")</f>
        <v>NSX Manager / Local Manager Node C</v>
      </c>
      <c r="N328" s="41"/>
      <c r="O328" s="41"/>
      <c r="P328" s="41"/>
      <c r="Q328" s="41"/>
      <c r="R328" s="41"/>
      <c r="S328" s="41"/>
      <c r="T328" s="41"/>
      <c r="U328" s="41"/>
      <c r="V328" s="41"/>
      <c r="W328" s="41"/>
      <c r="X328" s="41"/>
      <c r="Y328" s="41"/>
      <c r="Z328" s="41"/>
    </row>
    <row r="329" ht="19.5" customHeight="1">
      <c r="A329" s="35"/>
      <c r="B329" s="35"/>
      <c r="C329" s="35"/>
      <c r="D329" s="35"/>
      <c r="E329" s="35"/>
      <c r="F329" s="35"/>
      <c r="G329" s="35"/>
      <c r="H329" s="35"/>
      <c r="I329" s="35"/>
      <c r="J329" s="49" t="s">
        <v>481</v>
      </c>
      <c r="K329" s="49" t="s">
        <v>475</v>
      </c>
      <c r="L329" s="49" t="s">
        <v>476</v>
      </c>
      <c r="M329" s="49" t="s">
        <v>5</v>
      </c>
      <c r="N329" s="41"/>
      <c r="O329" s="41"/>
      <c r="P329" s="41"/>
      <c r="Q329" s="41"/>
      <c r="R329" s="41"/>
      <c r="S329" s="41"/>
      <c r="T329" s="41"/>
      <c r="U329" s="41"/>
      <c r="V329" s="41"/>
      <c r="W329" s="41"/>
      <c r="X329" s="41"/>
      <c r="Y329" s="41"/>
      <c r="Z329" s="41"/>
    </row>
    <row r="330" ht="19.5" customHeight="1">
      <c r="A330" s="35"/>
      <c r="B330" s="35"/>
      <c r="C330" s="35"/>
      <c r="D330" s="35"/>
      <c r="E330" s="35"/>
      <c r="F330" s="35"/>
      <c r="G330" s="35"/>
      <c r="H330" s="35"/>
      <c r="I330" s="35"/>
      <c r="J330" s="31" t="str">
        <f t="array" ref="J330:J345">mgmt_az1_host_fqdns</f>
        <v>Value Missing</v>
      </c>
      <c r="K330" s="163" t="str">
        <f>CONCATENATE(prefix_mgmt_az1_cidr,"11.101")</f>
        <v>10.21.11.101</v>
      </c>
      <c r="L330" s="18"/>
      <c r="M330" s="95" t="s">
        <v>482</v>
      </c>
      <c r="N330" s="41"/>
      <c r="O330" s="41"/>
      <c r="P330" s="41"/>
      <c r="Q330" s="41"/>
      <c r="R330" s="41"/>
      <c r="S330" s="41"/>
      <c r="T330" s="41"/>
      <c r="U330" s="41"/>
      <c r="V330" s="41"/>
      <c r="W330" s="41"/>
      <c r="X330" s="41"/>
      <c r="Y330" s="41"/>
      <c r="Z330" s="41"/>
    </row>
    <row r="331" ht="19.5" customHeight="1">
      <c r="A331" s="35"/>
      <c r="B331" s="35"/>
      <c r="C331" s="35"/>
      <c r="D331" s="35"/>
      <c r="E331" s="35"/>
      <c r="F331" s="35"/>
      <c r="G331" s="35"/>
      <c r="H331" s="35"/>
      <c r="I331" s="35"/>
      <c r="J331" s="31" t="s">
        <v>483</v>
      </c>
      <c r="K331" s="163" t="str">
        <f>CONCATENATE(prefix_mgmt_az1_cidr,"11.102")</f>
        <v>10.21.11.102</v>
      </c>
      <c r="L331" s="18"/>
      <c r="M331" s="95" t="s">
        <v>484</v>
      </c>
      <c r="N331" s="41"/>
      <c r="O331" s="41"/>
      <c r="P331" s="41"/>
      <c r="Q331" s="41"/>
      <c r="R331" s="41"/>
      <c r="S331" s="41"/>
      <c r="T331" s="41"/>
      <c r="U331" s="41"/>
      <c r="V331" s="41"/>
      <c r="W331" s="41"/>
      <c r="X331" s="41"/>
      <c r="Y331" s="41"/>
      <c r="Z331" s="41"/>
    </row>
    <row r="332" ht="19.5" customHeight="1">
      <c r="A332" s="35"/>
      <c r="B332" s="35"/>
      <c r="C332" s="35"/>
      <c r="D332" s="35"/>
      <c r="E332" s="35"/>
      <c r="F332" s="35"/>
      <c r="G332" s="35"/>
      <c r="H332" s="35"/>
      <c r="I332" s="35"/>
      <c r="J332" s="31" t="s">
        <v>483</v>
      </c>
      <c r="K332" s="163" t="str">
        <f>CONCATENATE(prefix_mgmt_az1_cidr,"11.103")</f>
        <v>10.21.11.103</v>
      </c>
      <c r="L332" s="18"/>
      <c r="M332" s="95" t="s">
        <v>485</v>
      </c>
      <c r="N332" s="41"/>
      <c r="O332" s="41"/>
      <c r="P332" s="41"/>
      <c r="Q332" s="41"/>
      <c r="R332" s="41"/>
      <c r="S332" s="41"/>
      <c r="T332" s="41"/>
      <c r="U332" s="41"/>
      <c r="V332" s="41"/>
      <c r="W332" s="41"/>
      <c r="X332" s="41"/>
      <c r="Y332" s="41"/>
      <c r="Z332" s="41"/>
    </row>
    <row r="333" ht="19.5" customHeight="1">
      <c r="A333" s="35"/>
      <c r="B333" s="35"/>
      <c r="C333" s="35"/>
      <c r="D333" s="35"/>
      <c r="E333" s="35"/>
      <c r="F333" s="35"/>
      <c r="G333" s="35"/>
      <c r="H333" s="35"/>
      <c r="I333" s="35"/>
      <c r="J333" s="31" t="s">
        <v>483</v>
      </c>
      <c r="K333" s="163" t="str">
        <f>CONCATENATE(prefix_mgmt_az1_cidr,"11.104")</f>
        <v>10.21.11.104</v>
      </c>
      <c r="L333" s="18"/>
      <c r="M333" s="95" t="s">
        <v>486</v>
      </c>
      <c r="N333" s="41"/>
      <c r="O333" s="41"/>
      <c r="P333" s="41"/>
      <c r="Q333" s="41"/>
      <c r="R333" s="41"/>
      <c r="S333" s="41"/>
      <c r="T333" s="41"/>
      <c r="U333" s="41"/>
      <c r="V333" s="41"/>
      <c r="W333" s="41"/>
      <c r="X333" s="41"/>
      <c r="Y333" s="41"/>
      <c r="Z333" s="41"/>
    </row>
    <row r="334" ht="19.5" customHeight="1">
      <c r="A334" s="35"/>
      <c r="B334" s="35"/>
      <c r="C334" s="35"/>
      <c r="D334" s="35"/>
      <c r="E334" s="35"/>
      <c r="F334" s="35"/>
      <c r="G334" s="35"/>
      <c r="H334" s="35"/>
      <c r="I334" s="35"/>
      <c r="J334" s="31" t="s">
        <v>483</v>
      </c>
      <c r="K334" s="163" t="str">
        <f>CONCATENATE(prefix_mgmt_az1_cidr,"11.105")</f>
        <v>10.21.11.105</v>
      </c>
      <c r="L334" s="18"/>
      <c r="M334" s="95" t="s">
        <v>487</v>
      </c>
      <c r="N334" s="41"/>
      <c r="O334" s="41"/>
      <c r="P334" s="41"/>
      <c r="Q334" s="41"/>
      <c r="R334" s="41"/>
      <c r="S334" s="41"/>
      <c r="T334" s="41"/>
      <c r="U334" s="41"/>
      <c r="V334" s="41"/>
      <c r="W334" s="41"/>
      <c r="X334" s="41"/>
      <c r="Y334" s="41"/>
      <c r="Z334" s="41"/>
    </row>
    <row r="335" ht="19.5" customHeight="1">
      <c r="A335" s="35"/>
      <c r="B335" s="35"/>
      <c r="C335" s="35"/>
      <c r="D335" s="35"/>
      <c r="E335" s="35"/>
      <c r="F335" s="35"/>
      <c r="G335" s="35"/>
      <c r="H335" s="35"/>
      <c r="I335" s="35"/>
      <c r="J335" s="31" t="s">
        <v>483</v>
      </c>
      <c r="K335" s="163" t="str">
        <f>CONCATENATE(prefix_mgmt_az1_cidr,"11.106")</f>
        <v>10.21.11.106</v>
      </c>
      <c r="L335" s="18"/>
      <c r="M335" s="95" t="s">
        <v>488</v>
      </c>
      <c r="N335" s="41"/>
      <c r="O335" s="41"/>
      <c r="P335" s="41"/>
      <c r="Q335" s="41"/>
      <c r="R335" s="41"/>
      <c r="S335" s="41"/>
      <c r="T335" s="41"/>
      <c r="U335" s="41"/>
      <c r="V335" s="41"/>
      <c r="W335" s="41"/>
      <c r="X335" s="41"/>
      <c r="Y335" s="41"/>
      <c r="Z335" s="41"/>
    </row>
    <row r="336" ht="19.5" customHeight="1">
      <c r="A336" s="35"/>
      <c r="B336" s="35"/>
      <c r="C336" s="35"/>
      <c r="D336" s="35"/>
      <c r="E336" s="35"/>
      <c r="F336" s="35"/>
      <c r="G336" s="35"/>
      <c r="H336" s="35"/>
      <c r="I336" s="35"/>
      <c r="J336" s="31" t="s">
        <v>483</v>
      </c>
      <c r="K336" s="163" t="str">
        <f>CONCATENATE(prefix_mgmt_az1_cidr,"11.107")</f>
        <v>10.21.11.107</v>
      </c>
      <c r="L336" s="18"/>
      <c r="M336" s="95" t="s">
        <v>489</v>
      </c>
      <c r="N336" s="41"/>
      <c r="O336" s="41"/>
      <c r="P336" s="41"/>
      <c r="Q336" s="41"/>
      <c r="R336" s="41"/>
      <c r="S336" s="41"/>
      <c r="T336" s="41"/>
      <c r="U336" s="41"/>
      <c r="V336" s="41"/>
      <c r="W336" s="41"/>
      <c r="X336" s="41"/>
      <c r="Y336" s="41"/>
      <c r="Z336" s="41"/>
    </row>
    <row r="337" ht="19.5" customHeight="1">
      <c r="A337" s="35"/>
      <c r="B337" s="35"/>
      <c r="C337" s="35"/>
      <c r="D337" s="35"/>
      <c r="E337" s="35"/>
      <c r="F337" s="176"/>
      <c r="G337" s="35"/>
      <c r="H337" s="35"/>
      <c r="I337" s="35"/>
      <c r="J337" s="31" t="s">
        <v>483</v>
      </c>
      <c r="K337" s="163" t="str">
        <f>CONCATENATE(prefix_mgmt_az1_cidr,"11.108")</f>
        <v>10.21.11.108</v>
      </c>
      <c r="L337" s="18"/>
      <c r="M337" s="95" t="s">
        <v>490</v>
      </c>
      <c r="N337" s="41"/>
      <c r="O337" s="41"/>
      <c r="P337" s="41"/>
      <c r="Q337" s="41"/>
      <c r="R337" s="41"/>
      <c r="S337" s="41"/>
      <c r="T337" s="41"/>
      <c r="U337" s="41"/>
      <c r="V337" s="41"/>
      <c r="W337" s="41"/>
      <c r="X337" s="41"/>
      <c r="Y337" s="41"/>
      <c r="Z337" s="41"/>
    </row>
    <row r="338" ht="19.5" customHeight="1">
      <c r="A338" s="35"/>
      <c r="B338" s="35"/>
      <c r="C338" s="35"/>
      <c r="D338" s="35"/>
      <c r="E338" s="35"/>
      <c r="F338" s="35"/>
      <c r="G338" s="35"/>
      <c r="H338" s="35"/>
      <c r="I338" s="35"/>
      <c r="J338" s="31" t="s">
        <v>483</v>
      </c>
      <c r="K338" s="163" t="str">
        <f>CONCATENATE(prefix_mgmt_az1_cidr,"11.109")</f>
        <v>10.21.11.109</v>
      </c>
      <c r="L338" s="18"/>
      <c r="M338" s="95" t="s">
        <v>491</v>
      </c>
      <c r="N338" s="41"/>
      <c r="O338" s="41"/>
      <c r="P338" s="41"/>
      <c r="Q338" s="41"/>
      <c r="R338" s="41"/>
      <c r="S338" s="41"/>
      <c r="T338" s="41"/>
      <c r="U338" s="41"/>
      <c r="V338" s="41"/>
      <c r="W338" s="41"/>
      <c r="X338" s="41"/>
      <c r="Y338" s="41"/>
      <c r="Z338" s="41"/>
    </row>
    <row r="339" ht="19.5" customHeight="1">
      <c r="A339" s="35"/>
      <c r="B339" s="35"/>
      <c r="C339" s="35"/>
      <c r="D339" s="35"/>
      <c r="E339" s="35"/>
      <c r="F339" s="35"/>
      <c r="G339" s="35"/>
      <c r="H339" s="35"/>
      <c r="I339" s="35"/>
      <c r="J339" s="31" t="s">
        <v>483</v>
      </c>
      <c r="K339" s="163" t="str">
        <f>CONCATENATE(prefix_mgmt_az1_cidr,"11.110")</f>
        <v>10.21.11.110</v>
      </c>
      <c r="L339" s="18"/>
      <c r="M339" s="95" t="s">
        <v>492</v>
      </c>
      <c r="N339" s="41"/>
      <c r="O339" s="41"/>
      <c r="P339" s="41"/>
      <c r="Q339" s="41"/>
      <c r="R339" s="41"/>
      <c r="S339" s="41"/>
      <c r="T339" s="41"/>
      <c r="U339" s="41"/>
      <c r="V339" s="41"/>
      <c r="W339" s="41"/>
      <c r="X339" s="41"/>
      <c r="Y339" s="41"/>
      <c r="Z339" s="41"/>
    </row>
    <row r="340" ht="19.5" customHeight="1">
      <c r="A340" s="35"/>
      <c r="B340" s="35"/>
      <c r="C340" s="35"/>
      <c r="D340" s="35"/>
      <c r="E340" s="35"/>
      <c r="F340" s="35"/>
      <c r="G340" s="35"/>
      <c r="H340" s="35"/>
      <c r="I340" s="35"/>
      <c r="J340" s="31" t="s">
        <v>483</v>
      </c>
      <c r="K340" s="163" t="str">
        <f>CONCATENATE(prefix_mgmt_az1_cidr,"11.111")</f>
        <v>10.21.11.111</v>
      </c>
      <c r="L340" s="18"/>
      <c r="M340" s="95" t="s">
        <v>493</v>
      </c>
      <c r="N340" s="41"/>
      <c r="O340" s="41"/>
      <c r="P340" s="41"/>
      <c r="Q340" s="41"/>
      <c r="R340" s="41"/>
      <c r="S340" s="41"/>
      <c r="T340" s="41"/>
      <c r="U340" s="41"/>
      <c r="V340" s="41"/>
      <c r="W340" s="41"/>
      <c r="X340" s="41"/>
      <c r="Y340" s="41"/>
      <c r="Z340" s="41"/>
    </row>
    <row r="341" ht="19.5" customHeight="1">
      <c r="A341" s="35"/>
      <c r="B341" s="35"/>
      <c r="C341" s="35"/>
      <c r="D341" s="35"/>
      <c r="E341" s="35"/>
      <c r="F341" s="35"/>
      <c r="G341" s="35"/>
      <c r="H341" s="35"/>
      <c r="I341" s="35"/>
      <c r="J341" s="31" t="s">
        <v>483</v>
      </c>
      <c r="K341" s="163" t="str">
        <f>CONCATENATE(prefix_mgmt_az1_cidr,"11.112")</f>
        <v>10.21.11.112</v>
      </c>
      <c r="L341" s="18"/>
      <c r="M341" s="95" t="s">
        <v>494</v>
      </c>
      <c r="N341" s="41"/>
      <c r="O341" s="41"/>
      <c r="P341" s="41"/>
      <c r="Q341" s="41"/>
      <c r="R341" s="41"/>
      <c r="S341" s="41"/>
      <c r="T341" s="41"/>
      <c r="U341" s="41"/>
      <c r="V341" s="41"/>
      <c r="W341" s="41"/>
      <c r="X341" s="41"/>
      <c r="Y341" s="41"/>
      <c r="Z341" s="41"/>
    </row>
    <row r="342" ht="19.5" customHeight="1">
      <c r="A342" s="35"/>
      <c r="B342" s="35"/>
      <c r="C342" s="35"/>
      <c r="D342" s="35"/>
      <c r="E342" s="35"/>
      <c r="F342" s="35"/>
      <c r="G342" s="35"/>
      <c r="H342" s="35"/>
      <c r="I342" s="35"/>
      <c r="J342" s="31" t="s">
        <v>483</v>
      </c>
      <c r="K342" s="163" t="str">
        <f>CONCATENATE(prefix_mgmt_az1_cidr,"11.113")</f>
        <v>10.21.11.113</v>
      </c>
      <c r="L342" s="18"/>
      <c r="M342" s="95" t="s">
        <v>495</v>
      </c>
      <c r="N342" s="41"/>
      <c r="O342" s="41"/>
      <c r="P342" s="41"/>
      <c r="Q342" s="41"/>
      <c r="R342" s="41"/>
      <c r="S342" s="41"/>
      <c r="T342" s="41"/>
      <c r="U342" s="41"/>
      <c r="V342" s="41"/>
      <c r="W342" s="41"/>
      <c r="X342" s="41"/>
      <c r="Y342" s="41"/>
      <c r="Z342" s="41"/>
    </row>
    <row r="343" ht="19.5" customHeight="1">
      <c r="A343" s="35"/>
      <c r="B343" s="35"/>
      <c r="C343" s="35"/>
      <c r="D343" s="35"/>
      <c r="E343" s="35"/>
      <c r="F343" s="35"/>
      <c r="G343" s="35"/>
      <c r="H343" s="35"/>
      <c r="I343" s="35"/>
      <c r="J343" s="31" t="s">
        <v>483</v>
      </c>
      <c r="K343" s="163" t="str">
        <f>CONCATENATE(prefix_mgmt_az1_cidr,"11.114")</f>
        <v>10.21.11.114</v>
      </c>
      <c r="L343" s="18"/>
      <c r="M343" s="95" t="s">
        <v>496</v>
      </c>
      <c r="N343" s="41"/>
      <c r="O343" s="41"/>
      <c r="P343" s="41"/>
      <c r="Q343" s="41"/>
      <c r="R343" s="41"/>
      <c r="S343" s="41"/>
      <c r="T343" s="41"/>
      <c r="U343" s="41"/>
      <c r="V343" s="41"/>
      <c r="W343" s="41"/>
      <c r="X343" s="41"/>
      <c r="Y343" s="41"/>
      <c r="Z343" s="41"/>
    </row>
    <row r="344" ht="19.5" customHeight="1">
      <c r="A344" s="35"/>
      <c r="B344" s="35"/>
      <c r="C344" s="35"/>
      <c r="D344" s="35"/>
      <c r="E344" s="35"/>
      <c r="F344" s="35"/>
      <c r="G344" s="35"/>
      <c r="H344" s="35"/>
      <c r="I344" s="35"/>
      <c r="J344" s="31" t="s">
        <v>483</v>
      </c>
      <c r="K344" s="163" t="str">
        <f>CONCATENATE(prefix_mgmt_az1_cidr,"11.115")</f>
        <v>10.21.11.115</v>
      </c>
      <c r="L344" s="18"/>
      <c r="M344" s="95" t="s">
        <v>497</v>
      </c>
      <c r="N344" s="41"/>
      <c r="O344" s="41"/>
      <c r="P344" s="41"/>
      <c r="Q344" s="41"/>
      <c r="R344" s="41"/>
      <c r="S344" s="41"/>
      <c r="T344" s="41"/>
      <c r="U344" s="41"/>
      <c r="V344" s="41"/>
      <c r="W344" s="41"/>
      <c r="X344" s="41"/>
      <c r="Y344" s="41"/>
      <c r="Z344" s="41"/>
    </row>
    <row r="345" ht="19.5" customHeight="1">
      <c r="A345" s="35"/>
      <c r="B345" s="35"/>
      <c r="C345" s="35"/>
      <c r="D345" s="35"/>
      <c r="E345" s="35"/>
      <c r="F345" s="35"/>
      <c r="G345" s="35"/>
      <c r="H345" s="35"/>
      <c r="I345" s="35"/>
      <c r="J345" s="31" t="s">
        <v>483</v>
      </c>
      <c r="K345" s="163" t="str">
        <f>CONCATENATE(prefix_mgmt_az1_cidr,"11.116")</f>
        <v>10.21.11.116</v>
      </c>
      <c r="L345" s="18"/>
      <c r="M345" s="95" t="s">
        <v>498</v>
      </c>
      <c r="N345" s="41"/>
      <c r="O345" s="41"/>
      <c r="P345" s="41"/>
      <c r="Q345" s="41"/>
      <c r="R345" s="41"/>
      <c r="S345" s="41"/>
      <c r="T345" s="41"/>
      <c r="U345" s="41"/>
      <c r="V345" s="41"/>
      <c r="W345" s="41"/>
      <c r="X345" s="41"/>
      <c r="Y345" s="41"/>
      <c r="Z345" s="41"/>
    </row>
    <row r="346" ht="15.75" customHeight="1">
      <c r="A346" s="35"/>
      <c r="B346" s="35"/>
      <c r="C346" s="35"/>
      <c r="D346" s="35"/>
      <c r="E346" s="35"/>
      <c r="F346" s="35"/>
      <c r="G346" s="35"/>
      <c r="H346" s="35"/>
      <c r="I346" s="35"/>
      <c r="J346" s="41"/>
      <c r="K346" s="1"/>
      <c r="L346" s="41"/>
      <c r="M346" s="1"/>
      <c r="N346" s="41"/>
      <c r="O346" s="41"/>
      <c r="P346" s="41"/>
      <c r="Q346" s="41"/>
      <c r="R346" s="41"/>
      <c r="S346" s="41"/>
      <c r="T346" s="41"/>
      <c r="U346" s="41"/>
      <c r="V346" s="41"/>
      <c r="W346" s="41"/>
      <c r="X346" s="41"/>
      <c r="Y346" s="41"/>
      <c r="Z346" s="41"/>
    </row>
    <row r="347" ht="15.75" hidden="1" customHeight="1">
      <c r="A347" s="35"/>
      <c r="B347" s="35"/>
      <c r="C347" s="35"/>
      <c r="D347" s="35"/>
      <c r="E347" s="35"/>
      <c r="F347" s="35"/>
      <c r="G347" s="35"/>
      <c r="H347" s="35"/>
      <c r="I347" s="35"/>
      <c r="J347" s="72" t="s">
        <v>499</v>
      </c>
      <c r="K347" s="72"/>
      <c r="L347" s="72"/>
      <c r="M347" s="72"/>
      <c r="N347" s="41"/>
      <c r="O347" s="41"/>
      <c r="P347" s="41"/>
      <c r="Q347" s="41"/>
      <c r="R347" s="41"/>
      <c r="S347" s="41"/>
      <c r="T347" s="41"/>
      <c r="U347" s="41"/>
      <c r="V347" s="41"/>
      <c r="W347" s="41"/>
      <c r="X347" s="41"/>
      <c r="Y347" s="41"/>
      <c r="Z347" s="41"/>
    </row>
    <row r="348" ht="15.75" hidden="1" customHeight="1">
      <c r="A348" s="35"/>
      <c r="B348" s="35"/>
      <c r="C348" s="35"/>
      <c r="D348" s="35"/>
      <c r="E348" s="35"/>
      <c r="F348" s="35"/>
      <c r="G348" s="35"/>
      <c r="H348" s="35"/>
      <c r="I348" s="35"/>
      <c r="J348" s="84" t="s">
        <v>500</v>
      </c>
      <c r="K348" s="84"/>
      <c r="L348" s="84"/>
      <c r="M348" s="84"/>
      <c r="N348" s="41"/>
      <c r="O348" s="41"/>
      <c r="P348" s="41"/>
      <c r="Q348" s="41"/>
      <c r="R348" s="41"/>
      <c r="S348" s="41"/>
      <c r="T348" s="41"/>
      <c r="U348" s="41"/>
      <c r="V348" s="41"/>
      <c r="W348" s="41"/>
      <c r="X348" s="41"/>
      <c r="Y348" s="41"/>
      <c r="Z348" s="41"/>
    </row>
    <row r="349" ht="15.75" hidden="1" customHeight="1">
      <c r="A349" s="35"/>
      <c r="B349" s="35"/>
      <c r="C349" s="35"/>
      <c r="D349" s="35"/>
      <c r="E349" s="35"/>
      <c r="F349" s="35"/>
      <c r="G349" s="35"/>
      <c r="H349" s="35"/>
      <c r="I349" s="35"/>
      <c r="J349" s="84" t="s">
        <v>501</v>
      </c>
      <c r="K349" s="177" t="s">
        <v>502</v>
      </c>
      <c r="L349" s="14"/>
      <c r="M349" s="18" t="s">
        <v>502</v>
      </c>
      <c r="N349" s="41"/>
      <c r="O349" s="41"/>
      <c r="P349" s="41"/>
      <c r="Q349" s="41"/>
      <c r="R349" s="41"/>
      <c r="S349" s="41"/>
      <c r="T349" s="41"/>
      <c r="U349" s="41"/>
      <c r="V349" s="41"/>
      <c r="W349" s="41"/>
      <c r="X349" s="41"/>
      <c r="Y349" s="41"/>
      <c r="Z349" s="41"/>
    </row>
    <row r="350" ht="15.75" hidden="1" customHeight="1">
      <c r="A350" s="35"/>
      <c r="B350" s="35"/>
      <c r="C350" s="35"/>
      <c r="D350" s="35"/>
      <c r="E350" s="35"/>
      <c r="F350" s="35"/>
      <c r="G350" s="35"/>
      <c r="H350" s="35"/>
      <c r="I350" s="35"/>
      <c r="J350" s="84" t="s">
        <v>503</v>
      </c>
      <c r="K350" s="177" t="str">
        <f>CONCATENATE(this_instance,"-m01-cl01-rp-sddc-mgmt")</f>
        <v>lax-m01-cl01-rp-sddc-mgmt</v>
      </c>
      <c r="L350" s="14"/>
      <c r="M350" s="18"/>
      <c r="N350" s="41"/>
      <c r="O350" s="41"/>
      <c r="P350" s="41"/>
      <c r="Q350" s="41"/>
      <c r="R350" s="41"/>
      <c r="S350" s="41"/>
      <c r="T350" s="41"/>
      <c r="U350" s="41"/>
      <c r="V350" s="41"/>
      <c r="W350" s="41"/>
      <c r="X350" s="41"/>
      <c r="Y350" s="41"/>
      <c r="Z350" s="41"/>
    </row>
    <row r="351" ht="15.75" hidden="1" customHeight="1">
      <c r="A351" s="35"/>
      <c r="B351" s="35"/>
      <c r="C351" s="35"/>
      <c r="D351" s="35"/>
      <c r="E351" s="35"/>
      <c r="F351" s="35"/>
      <c r="G351" s="35"/>
      <c r="H351" s="35"/>
      <c r="I351" s="35"/>
      <c r="J351" s="84" t="s">
        <v>504</v>
      </c>
      <c r="K351" s="177" t="str">
        <f>CONCATENATE(this_instance,"-m01-cl01-rp-sddc-edge")</f>
        <v>lax-m01-cl01-rp-sddc-edge</v>
      </c>
      <c r="L351" s="14"/>
      <c r="M351" s="18"/>
      <c r="N351" s="41"/>
      <c r="O351" s="41"/>
      <c r="P351" s="41"/>
      <c r="Q351" s="41"/>
      <c r="R351" s="41"/>
      <c r="S351" s="41"/>
      <c r="T351" s="41"/>
      <c r="U351" s="41"/>
      <c r="V351" s="41"/>
      <c r="W351" s="41"/>
      <c r="X351" s="41"/>
      <c r="Y351" s="41"/>
      <c r="Z351" s="41"/>
    </row>
    <row r="352" ht="15.75" hidden="1" customHeight="1">
      <c r="A352" s="35"/>
      <c r="B352" s="35"/>
      <c r="C352" s="35"/>
      <c r="D352" s="35"/>
      <c r="E352" s="35"/>
      <c r="F352" s="35"/>
      <c r="G352" s="35"/>
      <c r="H352" s="35"/>
      <c r="I352" s="35"/>
      <c r="J352" s="84" t="s">
        <v>505</v>
      </c>
      <c r="K352" s="177" t="str">
        <f>CONCATENATE(this_instance,"-m01-cl01-rp-user-edge")</f>
        <v>lax-m01-cl01-rp-user-edge</v>
      </c>
      <c r="L352" s="14"/>
      <c r="M352" s="18"/>
      <c r="N352" s="41"/>
      <c r="O352" s="41"/>
      <c r="P352" s="41"/>
      <c r="Q352" s="41"/>
      <c r="R352" s="41"/>
      <c r="S352" s="41"/>
      <c r="T352" s="41"/>
      <c r="U352" s="41"/>
      <c r="V352" s="41"/>
      <c r="W352" s="41"/>
      <c r="X352" s="41"/>
      <c r="Y352" s="41"/>
      <c r="Z352" s="41"/>
    </row>
    <row r="353" ht="15.75" hidden="1" customHeight="1">
      <c r="A353" s="35"/>
      <c r="B353" s="35"/>
      <c r="C353" s="35"/>
      <c r="D353" s="35"/>
      <c r="E353" s="35"/>
      <c r="F353" s="35"/>
      <c r="G353" s="35"/>
      <c r="H353" s="35"/>
      <c r="I353" s="35"/>
      <c r="J353" s="84" t="s">
        <v>506</v>
      </c>
      <c r="K353" s="177" t="str">
        <f>CONCATENATE(this_instance,"-m01-cl01-rp-user-vm")</f>
        <v>lax-m01-cl01-rp-user-vm</v>
      </c>
      <c r="L353" s="14"/>
      <c r="M353" s="18"/>
      <c r="N353" s="41"/>
      <c r="O353" s="41"/>
      <c r="P353" s="41"/>
      <c r="Q353" s="41"/>
      <c r="R353" s="41"/>
      <c r="S353" s="41"/>
      <c r="T353" s="41"/>
      <c r="U353" s="41"/>
      <c r="V353" s="41"/>
      <c r="W353" s="41"/>
      <c r="X353" s="41"/>
      <c r="Y353" s="41"/>
      <c r="Z353" s="41"/>
    </row>
    <row r="354" ht="15.75" customHeight="1">
      <c r="A354" s="35"/>
      <c r="B354" s="35"/>
      <c r="C354" s="35"/>
      <c r="D354" s="35"/>
      <c r="E354" s="35"/>
      <c r="F354" s="35"/>
      <c r="G354" s="35"/>
      <c r="H354" s="35"/>
      <c r="I354" s="35"/>
      <c r="J354" s="41"/>
      <c r="K354" s="1"/>
      <c r="L354" s="41"/>
      <c r="M354" s="1"/>
      <c r="N354" s="41"/>
      <c r="O354" s="41"/>
      <c r="P354" s="41"/>
      <c r="Q354" s="41"/>
      <c r="R354" s="41"/>
      <c r="S354" s="41"/>
      <c r="T354" s="41"/>
      <c r="U354" s="41"/>
      <c r="V354" s="41"/>
      <c r="W354" s="41"/>
      <c r="X354" s="41"/>
      <c r="Y354" s="41"/>
      <c r="Z354" s="41"/>
    </row>
    <row r="355" ht="15.75" customHeight="1">
      <c r="A355" s="35"/>
      <c r="B355" s="35"/>
      <c r="C355" s="35"/>
      <c r="D355" s="35"/>
      <c r="E355" s="35"/>
      <c r="F355" s="35"/>
      <c r="G355" s="35"/>
      <c r="H355" s="35"/>
      <c r="I355" s="35"/>
      <c r="J355" s="41"/>
      <c r="K355" s="1"/>
      <c r="L355" s="41"/>
      <c r="M355" s="1"/>
      <c r="N355" s="41"/>
      <c r="O355" s="41"/>
      <c r="P355" s="41"/>
      <c r="Q355" s="41"/>
      <c r="R355" s="41"/>
      <c r="S355" s="41"/>
      <c r="T355" s="41"/>
      <c r="U355" s="41"/>
      <c r="V355" s="41"/>
      <c r="W355" s="41"/>
      <c r="X355" s="41"/>
      <c r="Y355" s="41"/>
      <c r="Z355" s="41"/>
    </row>
    <row r="356" ht="15.75" customHeight="1">
      <c r="A356" s="35"/>
      <c r="B356" s="35"/>
      <c r="C356" s="35"/>
      <c r="D356" s="35"/>
      <c r="E356" s="35"/>
      <c r="F356" s="35"/>
      <c r="G356" s="35"/>
      <c r="H356" s="35"/>
      <c r="I356" s="35"/>
      <c r="J356" s="41"/>
      <c r="K356" s="1"/>
      <c r="L356" s="41"/>
      <c r="M356" s="1"/>
      <c r="N356" s="41"/>
      <c r="O356" s="41"/>
      <c r="P356" s="41"/>
      <c r="Q356" s="41"/>
      <c r="R356" s="41"/>
      <c r="S356" s="41"/>
      <c r="T356" s="41"/>
      <c r="U356" s="41"/>
      <c r="V356" s="41"/>
      <c r="W356" s="41"/>
      <c r="X356" s="41"/>
      <c r="Y356" s="41"/>
      <c r="Z356" s="41"/>
    </row>
    <row r="357" ht="15.75" customHeight="1">
      <c r="A357" s="35"/>
      <c r="B357" s="35"/>
      <c r="C357" s="35"/>
      <c r="D357" s="35"/>
      <c r="E357" s="35"/>
      <c r="F357" s="35"/>
      <c r="G357" s="35"/>
      <c r="H357" s="35"/>
      <c r="I357" s="35"/>
      <c r="J357" s="41"/>
      <c r="K357" s="1"/>
      <c r="L357" s="41"/>
      <c r="M357" s="1"/>
      <c r="N357" s="41"/>
      <c r="O357" s="41"/>
      <c r="P357" s="41"/>
      <c r="Q357" s="41"/>
      <c r="R357" s="41"/>
      <c r="S357" s="41"/>
      <c r="T357" s="41"/>
      <c r="U357" s="41"/>
      <c r="V357" s="41"/>
      <c r="W357" s="41"/>
      <c r="X357" s="41"/>
      <c r="Y357" s="41"/>
      <c r="Z357" s="41"/>
    </row>
    <row r="358" ht="15.75" customHeight="1">
      <c r="A358" s="35"/>
      <c r="B358" s="35"/>
      <c r="C358" s="35"/>
      <c r="D358" s="35"/>
      <c r="E358" s="35"/>
      <c r="F358" s="35"/>
      <c r="G358" s="35"/>
      <c r="H358" s="35"/>
      <c r="I358" s="35"/>
      <c r="J358" s="41"/>
      <c r="K358" s="1"/>
      <c r="L358" s="41"/>
      <c r="M358" s="1"/>
      <c r="N358" s="41"/>
      <c r="O358" s="41"/>
      <c r="P358" s="41"/>
      <c r="Q358" s="41"/>
      <c r="R358" s="41"/>
      <c r="S358" s="41"/>
      <c r="T358" s="41"/>
      <c r="U358" s="41"/>
      <c r="V358" s="41"/>
      <c r="W358" s="41"/>
      <c r="X358" s="41"/>
      <c r="Y358" s="41"/>
      <c r="Z358" s="41"/>
    </row>
    <row r="359" ht="15.75" customHeight="1">
      <c r="A359" s="35"/>
      <c r="B359" s="35"/>
      <c r="C359" s="35"/>
      <c r="D359" s="35"/>
      <c r="E359" s="35"/>
      <c r="F359" s="35"/>
      <c r="G359" s="35"/>
      <c r="H359" s="35"/>
      <c r="I359" s="35"/>
      <c r="J359" s="41"/>
      <c r="K359" s="1"/>
      <c r="L359" s="41"/>
      <c r="M359" s="1"/>
      <c r="N359" s="41"/>
      <c r="O359" s="41"/>
      <c r="P359" s="41"/>
      <c r="Q359" s="41"/>
      <c r="R359" s="41"/>
      <c r="S359" s="41"/>
      <c r="T359" s="41"/>
      <c r="U359" s="41"/>
      <c r="V359" s="41"/>
      <c r="W359" s="41"/>
      <c r="X359" s="41"/>
      <c r="Y359" s="41"/>
      <c r="Z359" s="41"/>
    </row>
    <row r="360" ht="15.75" customHeight="1">
      <c r="A360" s="35"/>
      <c r="B360" s="35"/>
      <c r="C360" s="35"/>
      <c r="D360" s="35"/>
      <c r="E360" s="35"/>
      <c r="F360" s="35"/>
      <c r="G360" s="35"/>
      <c r="H360" s="35"/>
      <c r="I360" s="35"/>
      <c r="J360" s="41"/>
      <c r="K360" s="1"/>
      <c r="L360" s="41"/>
      <c r="M360" s="1"/>
      <c r="N360" s="41"/>
      <c r="O360" s="41"/>
      <c r="P360" s="41"/>
      <c r="Q360" s="41"/>
      <c r="R360" s="41"/>
      <c r="S360" s="41"/>
      <c r="T360" s="41"/>
      <c r="U360" s="41"/>
      <c r="V360" s="41"/>
      <c r="W360" s="41"/>
      <c r="X360" s="41"/>
      <c r="Y360" s="41"/>
      <c r="Z360" s="41"/>
    </row>
    <row r="361" ht="15.75" customHeight="1">
      <c r="A361" s="35"/>
      <c r="B361" s="35"/>
      <c r="C361" s="35"/>
      <c r="D361" s="35"/>
      <c r="E361" s="35"/>
      <c r="F361" s="35"/>
      <c r="G361" s="35"/>
      <c r="H361" s="35"/>
      <c r="I361" s="35"/>
      <c r="J361" s="41"/>
      <c r="K361" s="1"/>
      <c r="L361" s="41"/>
      <c r="M361" s="1"/>
      <c r="N361" s="41"/>
      <c r="O361" s="41"/>
      <c r="P361" s="41"/>
      <c r="Q361" s="41"/>
      <c r="R361" s="41"/>
      <c r="S361" s="41"/>
      <c r="T361" s="41"/>
      <c r="U361" s="41"/>
      <c r="V361" s="41"/>
      <c r="W361" s="41"/>
      <c r="X361" s="41"/>
      <c r="Y361" s="41"/>
      <c r="Z361" s="41"/>
    </row>
    <row r="362" ht="15.75" customHeight="1">
      <c r="A362" s="35"/>
      <c r="B362" s="35"/>
      <c r="C362" s="35"/>
      <c r="D362" s="35"/>
      <c r="E362" s="35"/>
      <c r="F362" s="35"/>
      <c r="G362" s="35"/>
      <c r="H362" s="35"/>
      <c r="I362" s="35"/>
      <c r="J362" s="41"/>
      <c r="K362" s="1"/>
      <c r="L362" s="41"/>
      <c r="M362" s="1"/>
      <c r="N362" s="41"/>
      <c r="O362" s="41"/>
      <c r="P362" s="41"/>
      <c r="Q362" s="41"/>
      <c r="R362" s="41"/>
      <c r="S362" s="41"/>
      <c r="T362" s="41"/>
      <c r="U362" s="41"/>
      <c r="V362" s="41"/>
      <c r="W362" s="41"/>
      <c r="X362" s="41"/>
      <c r="Y362" s="41"/>
      <c r="Z362" s="41"/>
    </row>
    <row r="363" ht="15.75" customHeight="1">
      <c r="A363" s="35"/>
      <c r="B363" s="35"/>
      <c r="C363" s="35"/>
      <c r="D363" s="35"/>
      <c r="E363" s="35"/>
      <c r="F363" s="35"/>
      <c r="G363" s="35"/>
      <c r="H363" s="35"/>
      <c r="I363" s="35"/>
      <c r="J363" s="41"/>
      <c r="K363" s="1"/>
      <c r="L363" s="41"/>
      <c r="M363" s="1"/>
      <c r="N363" s="41"/>
      <c r="O363" s="41"/>
      <c r="P363" s="41"/>
      <c r="Q363" s="41"/>
      <c r="R363" s="41"/>
      <c r="S363" s="41"/>
      <c r="T363" s="41"/>
      <c r="U363" s="41"/>
      <c r="V363" s="41"/>
      <c r="W363" s="41"/>
      <c r="X363" s="41"/>
      <c r="Y363" s="41"/>
      <c r="Z363" s="41"/>
    </row>
    <row r="364" ht="15.75" customHeight="1">
      <c r="A364" s="35"/>
      <c r="B364" s="35"/>
      <c r="C364" s="35"/>
      <c r="D364" s="35"/>
      <c r="E364" s="35"/>
      <c r="F364" s="35"/>
      <c r="G364" s="35"/>
      <c r="H364" s="35"/>
      <c r="I364" s="35"/>
      <c r="J364" s="41"/>
      <c r="K364" s="1"/>
      <c r="L364" s="41"/>
      <c r="M364" s="1"/>
      <c r="N364" s="41"/>
      <c r="O364" s="41"/>
      <c r="P364" s="41"/>
      <c r="Q364" s="41"/>
      <c r="R364" s="41"/>
      <c r="S364" s="41"/>
      <c r="T364" s="41"/>
      <c r="U364" s="41"/>
      <c r="V364" s="41"/>
      <c r="W364" s="41"/>
      <c r="X364" s="41"/>
      <c r="Y364" s="41"/>
      <c r="Z364" s="41"/>
    </row>
    <row r="365" ht="15.75" customHeight="1">
      <c r="A365" s="35"/>
      <c r="B365" s="35"/>
      <c r="C365" s="35"/>
      <c r="D365" s="35"/>
      <c r="E365" s="35"/>
      <c r="F365" s="35"/>
      <c r="G365" s="35"/>
      <c r="H365" s="35"/>
      <c r="I365" s="35"/>
      <c r="J365" s="41"/>
      <c r="K365" s="1"/>
      <c r="L365" s="41"/>
      <c r="M365" s="1"/>
      <c r="N365" s="41"/>
      <c r="O365" s="41"/>
      <c r="P365" s="41"/>
      <c r="Q365" s="41"/>
      <c r="R365" s="41"/>
      <c r="S365" s="41"/>
      <c r="T365" s="41"/>
      <c r="U365" s="41"/>
      <c r="V365" s="41"/>
      <c r="W365" s="41"/>
      <c r="X365" s="41"/>
      <c r="Y365" s="41"/>
      <c r="Z365" s="41"/>
    </row>
    <row r="366" ht="15.75" customHeight="1">
      <c r="A366" s="35"/>
      <c r="B366" s="35"/>
      <c r="C366" s="35"/>
      <c r="D366" s="35"/>
      <c r="E366" s="35"/>
      <c r="F366" s="35"/>
      <c r="G366" s="35"/>
      <c r="H366" s="35"/>
      <c r="I366" s="35"/>
      <c r="J366" s="41"/>
      <c r="K366" s="1"/>
      <c r="L366" s="41"/>
      <c r="M366" s="1"/>
      <c r="N366" s="41"/>
      <c r="O366" s="41"/>
      <c r="P366" s="41"/>
      <c r="Q366" s="41"/>
      <c r="R366" s="41"/>
      <c r="S366" s="41"/>
      <c r="T366" s="41"/>
      <c r="U366" s="41"/>
      <c r="V366" s="41"/>
      <c r="W366" s="41"/>
      <c r="X366" s="41"/>
      <c r="Y366" s="41"/>
      <c r="Z366" s="41"/>
    </row>
    <row r="367" ht="15.75" customHeight="1">
      <c r="A367" s="35"/>
      <c r="B367" s="35"/>
      <c r="C367" s="35"/>
      <c r="D367" s="35"/>
      <c r="E367" s="35"/>
      <c r="F367" s="35"/>
      <c r="G367" s="35"/>
      <c r="H367" s="35"/>
      <c r="I367" s="35"/>
      <c r="J367" s="41"/>
      <c r="K367" s="1"/>
      <c r="L367" s="41"/>
      <c r="M367" s="1"/>
      <c r="N367" s="41"/>
      <c r="O367" s="41"/>
      <c r="P367" s="41"/>
      <c r="Q367" s="41"/>
      <c r="R367" s="41"/>
      <c r="S367" s="41"/>
      <c r="T367" s="41"/>
      <c r="U367" s="41"/>
      <c r="V367" s="41"/>
      <c r="W367" s="41"/>
      <c r="X367" s="41"/>
      <c r="Y367" s="41"/>
      <c r="Z367" s="41"/>
    </row>
    <row r="368" ht="15.75" customHeight="1">
      <c r="A368" s="35"/>
      <c r="B368" s="35"/>
      <c r="C368" s="35"/>
      <c r="D368" s="35"/>
      <c r="E368" s="35"/>
      <c r="F368" s="35"/>
      <c r="G368" s="35"/>
      <c r="H368" s="35"/>
      <c r="I368" s="35"/>
      <c r="J368" s="41"/>
      <c r="K368" s="1"/>
      <c r="L368" s="41"/>
      <c r="M368" s="1"/>
      <c r="N368" s="41"/>
      <c r="O368" s="41"/>
      <c r="P368" s="41"/>
      <c r="Q368" s="41"/>
      <c r="R368" s="41"/>
      <c r="S368" s="41"/>
      <c r="T368" s="41"/>
      <c r="U368" s="41"/>
      <c r="V368" s="41"/>
      <c r="W368" s="41"/>
      <c r="X368" s="41"/>
      <c r="Y368" s="41"/>
      <c r="Z368" s="41"/>
    </row>
    <row r="369" ht="15.75" customHeight="1">
      <c r="A369" s="35"/>
      <c r="B369" s="35"/>
      <c r="C369" s="35"/>
      <c r="D369" s="35"/>
      <c r="E369" s="35"/>
      <c r="F369" s="35"/>
      <c r="G369" s="35"/>
      <c r="H369" s="35"/>
      <c r="I369" s="35"/>
      <c r="J369" s="41"/>
      <c r="K369" s="1"/>
      <c r="L369" s="41"/>
      <c r="M369" s="1"/>
      <c r="N369" s="41"/>
      <c r="O369" s="41"/>
      <c r="P369" s="41"/>
      <c r="Q369" s="41"/>
      <c r="R369" s="41"/>
      <c r="S369" s="41"/>
      <c r="T369" s="41"/>
      <c r="U369" s="41"/>
      <c r="V369" s="41"/>
      <c r="W369" s="41"/>
      <c r="X369" s="41"/>
      <c r="Y369" s="41"/>
      <c r="Z369" s="41"/>
    </row>
    <row r="370" ht="15.75" customHeight="1">
      <c r="A370" s="35"/>
      <c r="B370" s="35"/>
      <c r="C370" s="35"/>
      <c r="D370" s="35"/>
      <c r="E370" s="35"/>
      <c r="F370" s="35"/>
      <c r="G370" s="35"/>
      <c r="H370" s="35"/>
      <c r="I370" s="35"/>
      <c r="J370" s="41"/>
      <c r="K370" s="1"/>
      <c r="L370" s="41"/>
      <c r="M370" s="1"/>
      <c r="N370" s="41"/>
      <c r="O370" s="41"/>
      <c r="P370" s="41"/>
      <c r="Q370" s="41"/>
      <c r="R370" s="41"/>
      <c r="S370" s="41"/>
      <c r="T370" s="41"/>
      <c r="U370" s="41"/>
      <c r="V370" s="41"/>
      <c r="W370" s="41"/>
      <c r="X370" s="41"/>
      <c r="Y370" s="41"/>
      <c r="Z370" s="41"/>
    </row>
    <row r="371" ht="15.75" customHeight="1">
      <c r="A371" s="35"/>
      <c r="B371" s="35"/>
      <c r="C371" s="35"/>
      <c r="D371" s="35"/>
      <c r="E371" s="35"/>
      <c r="F371" s="35"/>
      <c r="G371" s="35"/>
      <c r="H371" s="35"/>
      <c r="I371" s="35"/>
      <c r="J371" s="41"/>
      <c r="K371" s="1"/>
      <c r="L371" s="41"/>
      <c r="M371" s="1"/>
      <c r="N371" s="41"/>
      <c r="O371" s="41"/>
      <c r="P371" s="41"/>
      <c r="Q371" s="41"/>
      <c r="R371" s="41"/>
      <c r="S371" s="41"/>
      <c r="T371" s="41"/>
      <c r="U371" s="41"/>
      <c r="V371" s="41"/>
      <c r="W371" s="41"/>
      <c r="X371" s="41"/>
      <c r="Y371" s="41"/>
      <c r="Z371" s="41"/>
    </row>
    <row r="372" ht="15.75" customHeight="1">
      <c r="A372" s="35"/>
      <c r="B372" s="35"/>
      <c r="C372" s="35"/>
      <c r="D372" s="35"/>
      <c r="E372" s="35"/>
      <c r="F372" s="35"/>
      <c r="G372" s="35"/>
      <c r="H372" s="35"/>
      <c r="I372" s="35"/>
      <c r="J372" s="41"/>
      <c r="K372" s="1"/>
      <c r="L372" s="41"/>
      <c r="M372" s="1"/>
      <c r="N372" s="41"/>
      <c r="O372" s="41"/>
      <c r="P372" s="41"/>
      <c r="Q372" s="41"/>
      <c r="R372" s="41"/>
      <c r="S372" s="41"/>
      <c r="T372" s="41"/>
      <c r="U372" s="41"/>
      <c r="V372" s="41"/>
      <c r="W372" s="41"/>
      <c r="X372" s="41"/>
      <c r="Y372" s="41"/>
      <c r="Z372" s="41"/>
    </row>
    <row r="373" ht="15.75" customHeight="1">
      <c r="A373" s="35"/>
      <c r="B373" s="35"/>
      <c r="C373" s="35"/>
      <c r="D373" s="35"/>
      <c r="E373" s="35"/>
      <c r="F373" s="35"/>
      <c r="G373" s="35"/>
      <c r="H373" s="35"/>
      <c r="I373" s="35"/>
      <c r="J373" s="41"/>
      <c r="K373" s="1"/>
      <c r="L373" s="41"/>
      <c r="M373" s="1"/>
      <c r="N373" s="41"/>
      <c r="O373" s="41"/>
      <c r="P373" s="41"/>
      <c r="Q373" s="41"/>
      <c r="R373" s="41"/>
      <c r="S373" s="41"/>
      <c r="T373" s="41"/>
      <c r="U373" s="41"/>
      <c r="V373" s="41"/>
      <c r="W373" s="41"/>
      <c r="X373" s="41"/>
      <c r="Y373" s="41"/>
      <c r="Z373" s="41"/>
    </row>
    <row r="374" ht="15.75" customHeight="1">
      <c r="A374" s="35"/>
      <c r="B374" s="35"/>
      <c r="C374" s="35"/>
      <c r="D374" s="35"/>
      <c r="E374" s="35"/>
      <c r="F374" s="35"/>
      <c r="G374" s="35"/>
      <c r="H374" s="35"/>
      <c r="I374" s="35"/>
      <c r="J374" s="41"/>
      <c r="K374" s="1"/>
      <c r="L374" s="41"/>
      <c r="M374" s="1"/>
      <c r="N374" s="41"/>
      <c r="O374" s="41"/>
      <c r="P374" s="41"/>
      <c r="Q374" s="41"/>
      <c r="R374" s="41"/>
      <c r="S374" s="41"/>
      <c r="T374" s="41"/>
      <c r="U374" s="41"/>
      <c r="V374" s="41"/>
      <c r="W374" s="41"/>
      <c r="X374" s="41"/>
      <c r="Y374" s="41"/>
      <c r="Z374" s="41"/>
    </row>
    <row r="375" ht="15.75" customHeight="1">
      <c r="A375" s="35"/>
      <c r="B375" s="35"/>
      <c r="C375" s="35"/>
      <c r="D375" s="35"/>
      <c r="E375" s="35"/>
      <c r="F375" s="35"/>
      <c r="G375" s="35"/>
      <c r="H375" s="35"/>
      <c r="I375" s="35"/>
      <c r="J375" s="41"/>
      <c r="K375" s="1"/>
      <c r="L375" s="41"/>
      <c r="M375" s="1"/>
      <c r="N375" s="41"/>
      <c r="O375" s="41"/>
      <c r="P375" s="41"/>
      <c r="Q375" s="41"/>
      <c r="R375" s="41"/>
      <c r="S375" s="41"/>
      <c r="T375" s="41"/>
      <c r="U375" s="41"/>
      <c r="V375" s="41"/>
      <c r="W375" s="41"/>
      <c r="X375" s="41"/>
      <c r="Y375" s="41"/>
      <c r="Z375" s="41"/>
    </row>
    <row r="376" ht="15.75" customHeight="1">
      <c r="A376" s="35"/>
      <c r="B376" s="35"/>
      <c r="C376" s="35"/>
      <c r="D376" s="35"/>
      <c r="E376" s="35"/>
      <c r="F376" s="35"/>
      <c r="G376" s="35"/>
      <c r="H376" s="35"/>
      <c r="I376" s="35"/>
      <c r="J376" s="41"/>
      <c r="K376" s="1"/>
      <c r="L376" s="41"/>
      <c r="M376" s="1"/>
      <c r="N376" s="41"/>
      <c r="O376" s="41"/>
      <c r="P376" s="41"/>
      <c r="Q376" s="41"/>
      <c r="R376" s="41"/>
      <c r="S376" s="41"/>
      <c r="T376" s="41"/>
      <c r="U376" s="41"/>
      <c r="V376" s="41"/>
      <c r="W376" s="41"/>
      <c r="X376" s="41"/>
      <c r="Y376" s="41"/>
      <c r="Z376" s="41"/>
    </row>
    <row r="377" ht="15.75" customHeight="1">
      <c r="A377" s="35"/>
      <c r="B377" s="35"/>
      <c r="C377" s="35"/>
      <c r="D377" s="35"/>
      <c r="E377" s="35"/>
      <c r="F377" s="35"/>
      <c r="G377" s="35"/>
      <c r="H377" s="35"/>
      <c r="I377" s="35"/>
      <c r="J377" s="41"/>
      <c r="K377" s="1"/>
      <c r="L377" s="41"/>
      <c r="M377" s="1"/>
      <c r="N377" s="41"/>
      <c r="O377" s="41"/>
      <c r="P377" s="41"/>
      <c r="Q377" s="41"/>
      <c r="R377" s="41"/>
      <c r="S377" s="41"/>
      <c r="T377" s="41"/>
      <c r="U377" s="41"/>
      <c r="V377" s="41"/>
      <c r="W377" s="41"/>
      <c r="X377" s="41"/>
      <c r="Y377" s="41"/>
      <c r="Z377" s="41"/>
    </row>
    <row r="378" ht="15.75" customHeight="1">
      <c r="A378" s="35"/>
      <c r="B378" s="35"/>
      <c r="C378" s="35"/>
      <c r="D378" s="35"/>
      <c r="E378" s="35"/>
      <c r="F378" s="35"/>
      <c r="G378" s="35"/>
      <c r="H378" s="35"/>
      <c r="I378" s="35"/>
      <c r="J378" s="41"/>
      <c r="K378" s="1"/>
      <c r="L378" s="41">
        <v>1.0</v>
      </c>
      <c r="M378" s="1"/>
      <c r="N378" s="41"/>
      <c r="O378" s="41"/>
      <c r="P378" s="41"/>
      <c r="Q378" s="41"/>
      <c r="R378" s="41"/>
      <c r="S378" s="41"/>
      <c r="T378" s="41"/>
      <c r="U378" s="41"/>
      <c r="V378" s="41"/>
      <c r="W378" s="41"/>
      <c r="X378" s="41"/>
      <c r="Y378" s="41"/>
      <c r="Z378" s="41"/>
    </row>
    <row r="379" ht="15.75" customHeight="1">
      <c r="A379" s="35"/>
      <c r="B379" s="35"/>
      <c r="C379" s="35"/>
      <c r="D379" s="35"/>
      <c r="E379" s="35"/>
      <c r="F379" s="35"/>
      <c r="G379" s="35"/>
      <c r="H379" s="35"/>
      <c r="I379" s="35"/>
      <c r="J379" s="41"/>
      <c r="K379" s="1"/>
      <c r="L379" s="41"/>
      <c r="M379" s="1"/>
      <c r="N379" s="41"/>
      <c r="O379" s="41"/>
      <c r="P379" s="41"/>
      <c r="Q379" s="41"/>
      <c r="R379" s="41"/>
      <c r="S379" s="41"/>
      <c r="T379" s="41"/>
      <c r="U379" s="41"/>
      <c r="V379" s="41"/>
      <c r="W379" s="41"/>
      <c r="X379" s="41"/>
      <c r="Y379" s="41"/>
      <c r="Z379" s="41"/>
    </row>
    <row r="380" ht="15.75" customHeight="1">
      <c r="A380" s="35"/>
      <c r="B380" s="35"/>
      <c r="C380" s="35"/>
      <c r="D380" s="35"/>
      <c r="E380" s="35"/>
      <c r="F380" s="35"/>
      <c r="G380" s="35"/>
      <c r="H380" s="35"/>
      <c r="I380" s="35"/>
      <c r="J380" s="41"/>
      <c r="K380" s="1"/>
      <c r="L380" s="41"/>
      <c r="M380" s="1"/>
      <c r="N380" s="41"/>
      <c r="O380" s="41"/>
      <c r="P380" s="41"/>
      <c r="Q380" s="41"/>
      <c r="R380" s="41"/>
      <c r="S380" s="41"/>
      <c r="T380" s="41"/>
      <c r="U380" s="41"/>
      <c r="V380" s="41"/>
      <c r="W380" s="41"/>
      <c r="X380" s="41"/>
      <c r="Y380" s="41"/>
      <c r="Z380" s="41"/>
    </row>
    <row r="381" ht="15.75" customHeight="1">
      <c r="A381" s="35"/>
      <c r="B381" s="35"/>
      <c r="C381" s="35"/>
      <c r="D381" s="35"/>
      <c r="E381" s="35"/>
      <c r="F381" s="35"/>
      <c r="G381" s="35"/>
      <c r="H381" s="35"/>
      <c r="I381" s="35"/>
      <c r="J381" s="41"/>
      <c r="K381" s="1"/>
      <c r="L381" s="41"/>
      <c r="M381" s="1"/>
      <c r="N381" s="41"/>
      <c r="O381" s="41"/>
      <c r="P381" s="41"/>
      <c r="Q381" s="41"/>
      <c r="R381" s="41"/>
      <c r="S381" s="41"/>
      <c r="T381" s="41"/>
      <c r="U381" s="41"/>
      <c r="V381" s="41"/>
      <c r="W381" s="41"/>
      <c r="X381" s="41"/>
      <c r="Y381" s="41"/>
      <c r="Z381" s="41"/>
    </row>
    <row r="382" ht="15.75" customHeight="1">
      <c r="A382" s="35"/>
      <c r="B382" s="35"/>
      <c r="C382" s="35"/>
      <c r="D382" s="35"/>
      <c r="E382" s="35"/>
      <c r="F382" s="35"/>
      <c r="G382" s="35"/>
      <c r="H382" s="35"/>
      <c r="I382" s="35"/>
      <c r="J382" s="41"/>
      <c r="K382" s="1"/>
      <c r="L382" s="41"/>
      <c r="M382" s="1"/>
      <c r="N382" s="41"/>
      <c r="O382" s="41"/>
      <c r="P382" s="41"/>
      <c r="Q382" s="41"/>
      <c r="R382" s="41"/>
      <c r="S382" s="41"/>
      <c r="T382" s="41"/>
      <c r="U382" s="41"/>
      <c r="V382" s="41"/>
      <c r="W382" s="41"/>
      <c r="X382" s="41"/>
      <c r="Y382" s="41"/>
      <c r="Z382" s="41"/>
    </row>
    <row r="383" ht="15.75" customHeight="1">
      <c r="A383" s="35"/>
      <c r="B383" s="35"/>
      <c r="C383" s="35"/>
      <c r="D383" s="35"/>
      <c r="E383" s="35"/>
      <c r="F383" s="35"/>
      <c r="G383" s="35"/>
      <c r="H383" s="35"/>
      <c r="I383" s="35"/>
      <c r="J383" s="41"/>
      <c r="K383" s="1"/>
      <c r="L383" s="41"/>
      <c r="M383" s="1"/>
      <c r="N383" s="41"/>
      <c r="O383" s="41"/>
      <c r="P383" s="41"/>
      <c r="Q383" s="41"/>
      <c r="R383" s="41"/>
      <c r="S383" s="41"/>
      <c r="T383" s="41"/>
      <c r="U383" s="41"/>
      <c r="V383" s="41"/>
      <c r="W383" s="41"/>
      <c r="X383" s="41"/>
      <c r="Y383" s="41"/>
      <c r="Z383" s="41"/>
    </row>
    <row r="384" ht="15.75" customHeight="1">
      <c r="A384" s="35"/>
      <c r="B384" s="35"/>
      <c r="C384" s="35"/>
      <c r="D384" s="35"/>
      <c r="E384" s="35"/>
      <c r="F384" s="35"/>
      <c r="G384" s="35"/>
      <c r="H384" s="35"/>
      <c r="I384" s="35"/>
      <c r="J384" s="41"/>
      <c r="K384" s="1"/>
      <c r="L384" s="41"/>
      <c r="M384" s="1"/>
      <c r="N384" s="41"/>
      <c r="O384" s="41"/>
      <c r="P384" s="41"/>
      <c r="Q384" s="41"/>
      <c r="R384" s="41"/>
      <c r="S384" s="41"/>
      <c r="T384" s="41"/>
      <c r="U384" s="41"/>
      <c r="V384" s="41"/>
      <c r="W384" s="41"/>
      <c r="X384" s="41"/>
      <c r="Y384" s="41"/>
      <c r="Z384" s="41"/>
    </row>
    <row r="385" ht="15.75" customHeight="1">
      <c r="A385" s="35"/>
      <c r="B385" s="35"/>
      <c r="C385" s="35"/>
      <c r="D385" s="35"/>
      <c r="E385" s="35"/>
      <c r="F385" s="35"/>
      <c r="G385" s="35"/>
      <c r="H385" s="35"/>
      <c r="I385" s="35"/>
      <c r="J385" s="41"/>
      <c r="K385" s="1"/>
      <c r="L385" s="41"/>
      <c r="M385" s="1"/>
      <c r="N385" s="41"/>
      <c r="O385" s="41"/>
      <c r="P385" s="41"/>
      <c r="Q385" s="41"/>
      <c r="R385" s="41"/>
      <c r="S385" s="41"/>
      <c r="T385" s="41"/>
      <c r="U385" s="41"/>
      <c r="V385" s="41"/>
      <c r="W385" s="41"/>
      <c r="X385" s="41"/>
      <c r="Y385" s="41"/>
      <c r="Z385" s="41"/>
    </row>
    <row r="386" ht="15.75" customHeight="1">
      <c r="A386" s="35"/>
      <c r="B386" s="35"/>
      <c r="C386" s="35"/>
      <c r="D386" s="35"/>
      <c r="E386" s="35"/>
      <c r="F386" s="35"/>
      <c r="G386" s="35"/>
      <c r="H386" s="35"/>
      <c r="I386" s="35"/>
      <c r="J386" s="41"/>
      <c r="K386" s="1"/>
      <c r="L386" s="41"/>
      <c r="M386" s="1"/>
      <c r="N386" s="41"/>
      <c r="O386" s="41"/>
      <c r="P386" s="41"/>
      <c r="Q386" s="41"/>
      <c r="R386" s="41"/>
      <c r="S386" s="41"/>
      <c r="T386" s="41"/>
      <c r="U386" s="41"/>
      <c r="V386" s="41"/>
      <c r="W386" s="41"/>
      <c r="X386" s="41"/>
      <c r="Y386" s="41"/>
      <c r="Z386" s="41"/>
    </row>
    <row r="387" ht="15.75" customHeight="1">
      <c r="A387" s="35"/>
      <c r="B387" s="35"/>
      <c r="C387" s="35"/>
      <c r="D387" s="35"/>
      <c r="E387" s="35"/>
      <c r="F387" s="35"/>
      <c r="G387" s="35"/>
      <c r="H387" s="35"/>
      <c r="I387" s="35"/>
      <c r="J387" s="41"/>
      <c r="K387" s="1"/>
      <c r="L387" s="41"/>
      <c r="M387" s="1"/>
      <c r="N387" s="41"/>
      <c r="O387" s="41"/>
      <c r="P387" s="41"/>
      <c r="Q387" s="41"/>
      <c r="R387" s="41"/>
      <c r="S387" s="41"/>
      <c r="T387" s="41"/>
      <c r="U387" s="41"/>
      <c r="V387" s="41"/>
      <c r="W387" s="41"/>
      <c r="X387" s="41"/>
      <c r="Y387" s="41"/>
      <c r="Z387" s="41"/>
    </row>
    <row r="388" ht="15.75" customHeight="1">
      <c r="A388" s="35"/>
      <c r="B388" s="35"/>
      <c r="C388" s="35"/>
      <c r="D388" s="35"/>
      <c r="E388" s="35"/>
      <c r="F388" s="35"/>
      <c r="G388" s="35"/>
      <c r="H388" s="35"/>
      <c r="I388" s="35"/>
      <c r="J388" s="41"/>
      <c r="K388" s="1"/>
      <c r="L388" s="41"/>
      <c r="M388" s="1"/>
      <c r="N388" s="41"/>
      <c r="O388" s="41"/>
      <c r="P388" s="41"/>
      <c r="Q388" s="41"/>
      <c r="R388" s="41"/>
      <c r="S388" s="41"/>
      <c r="T388" s="41"/>
      <c r="U388" s="41"/>
      <c r="V388" s="41"/>
      <c r="W388" s="41"/>
      <c r="X388" s="41"/>
      <c r="Y388" s="41"/>
      <c r="Z388" s="41"/>
    </row>
    <row r="389" ht="15.75" customHeight="1">
      <c r="A389" s="35"/>
      <c r="B389" s="35"/>
      <c r="C389" s="35"/>
      <c r="D389" s="35"/>
      <c r="E389" s="35"/>
      <c r="F389" s="35"/>
      <c r="G389" s="35"/>
      <c r="H389" s="35"/>
      <c r="I389" s="35"/>
      <c r="J389" s="41"/>
      <c r="K389" s="1"/>
      <c r="L389" s="41"/>
      <c r="M389" s="1"/>
      <c r="N389" s="41"/>
      <c r="O389" s="41"/>
      <c r="P389" s="41"/>
      <c r="Q389" s="41"/>
      <c r="R389" s="41"/>
      <c r="S389" s="41"/>
      <c r="T389" s="41"/>
      <c r="U389" s="41"/>
      <c r="V389" s="41"/>
      <c r="W389" s="41"/>
      <c r="X389" s="41"/>
      <c r="Y389" s="41"/>
      <c r="Z389" s="41"/>
    </row>
    <row r="390" ht="15.75" customHeight="1">
      <c r="A390" s="35"/>
      <c r="B390" s="35"/>
      <c r="C390" s="35"/>
      <c r="D390" s="35"/>
      <c r="E390" s="35"/>
      <c r="F390" s="35"/>
      <c r="G390" s="35"/>
      <c r="H390" s="35"/>
      <c r="I390" s="35"/>
      <c r="J390" s="41"/>
      <c r="K390" s="1"/>
      <c r="L390" s="41"/>
      <c r="M390" s="1"/>
      <c r="N390" s="41"/>
      <c r="O390" s="41"/>
      <c r="P390" s="41"/>
      <c r="Q390" s="41"/>
      <c r="R390" s="41"/>
      <c r="S390" s="41"/>
      <c r="T390" s="41"/>
      <c r="U390" s="41"/>
      <c r="V390" s="41"/>
      <c r="W390" s="41"/>
      <c r="X390" s="41"/>
      <c r="Y390" s="41"/>
      <c r="Z390" s="41"/>
    </row>
    <row r="391" ht="15.75" customHeight="1">
      <c r="A391" s="35"/>
      <c r="B391" s="35"/>
      <c r="C391" s="35"/>
      <c r="D391" s="35"/>
      <c r="E391" s="35"/>
      <c r="F391" s="35"/>
      <c r="G391" s="35"/>
      <c r="H391" s="35"/>
      <c r="I391" s="35"/>
      <c r="J391" s="41"/>
      <c r="K391" s="1"/>
      <c r="L391" s="41"/>
      <c r="M391" s="1"/>
      <c r="N391" s="41"/>
      <c r="O391" s="41"/>
      <c r="P391" s="41"/>
      <c r="Q391" s="41"/>
      <c r="R391" s="41"/>
      <c r="S391" s="41"/>
      <c r="T391" s="41"/>
      <c r="U391" s="41"/>
      <c r="V391" s="41"/>
      <c r="W391" s="41"/>
      <c r="X391" s="41"/>
      <c r="Y391" s="41"/>
      <c r="Z391" s="41"/>
    </row>
    <row r="392" ht="15.75" customHeight="1">
      <c r="A392" s="35"/>
      <c r="B392" s="35"/>
      <c r="C392" s="35"/>
      <c r="D392" s="35"/>
      <c r="E392" s="35"/>
      <c r="F392" s="35"/>
      <c r="G392" s="35"/>
      <c r="H392" s="35"/>
      <c r="I392" s="35"/>
      <c r="J392" s="41"/>
      <c r="K392" s="1"/>
      <c r="L392" s="41"/>
      <c r="M392" s="1"/>
      <c r="N392" s="41"/>
      <c r="O392" s="41"/>
      <c r="P392" s="41"/>
      <c r="Q392" s="41"/>
      <c r="R392" s="41"/>
      <c r="S392" s="41"/>
      <c r="T392" s="41"/>
      <c r="U392" s="41"/>
      <c r="V392" s="41"/>
      <c r="W392" s="41"/>
      <c r="X392" s="41"/>
      <c r="Y392" s="41"/>
      <c r="Z392" s="41"/>
    </row>
    <row r="393" ht="15.75" customHeight="1">
      <c r="A393" s="35"/>
      <c r="B393" s="35"/>
      <c r="C393" s="35"/>
      <c r="D393" s="35"/>
      <c r="E393" s="35"/>
      <c r="F393" s="35"/>
      <c r="G393" s="35"/>
      <c r="H393" s="35"/>
      <c r="I393" s="35"/>
      <c r="J393" s="41"/>
      <c r="K393" s="1"/>
      <c r="L393" s="41"/>
      <c r="M393" s="1"/>
      <c r="N393" s="41"/>
      <c r="O393" s="41"/>
      <c r="P393" s="41"/>
      <c r="Q393" s="41"/>
      <c r="R393" s="41"/>
      <c r="S393" s="41"/>
      <c r="T393" s="41"/>
      <c r="U393" s="41"/>
      <c r="V393" s="41"/>
      <c r="W393" s="41"/>
      <c r="X393" s="41"/>
      <c r="Y393" s="41"/>
      <c r="Z393" s="41"/>
    </row>
    <row r="394" ht="15.75" customHeight="1">
      <c r="A394" s="35"/>
      <c r="B394" s="35"/>
      <c r="C394" s="35"/>
      <c r="D394" s="35"/>
      <c r="E394" s="35"/>
      <c r="F394" s="35"/>
      <c r="G394" s="35"/>
      <c r="H394" s="35"/>
      <c r="I394" s="35"/>
      <c r="J394" s="41"/>
      <c r="K394" s="1"/>
      <c r="L394" s="41"/>
      <c r="M394" s="1"/>
      <c r="N394" s="41"/>
      <c r="O394" s="41"/>
      <c r="P394" s="41"/>
      <c r="Q394" s="41"/>
      <c r="R394" s="41"/>
      <c r="S394" s="41"/>
      <c r="T394" s="41"/>
      <c r="U394" s="41"/>
      <c r="V394" s="41"/>
      <c r="W394" s="41"/>
      <c r="X394" s="41"/>
      <c r="Y394" s="41"/>
      <c r="Z394" s="41"/>
    </row>
    <row r="395" ht="15.75" customHeight="1">
      <c r="A395" s="35"/>
      <c r="B395" s="35"/>
      <c r="C395" s="35"/>
      <c r="D395" s="35"/>
      <c r="E395" s="35"/>
      <c r="F395" s="35"/>
      <c r="G395" s="35"/>
      <c r="H395" s="35"/>
      <c r="I395" s="35"/>
      <c r="J395" s="41"/>
      <c r="K395" s="1"/>
      <c r="L395" s="41"/>
      <c r="M395" s="1"/>
      <c r="N395" s="41"/>
      <c r="O395" s="41"/>
      <c r="P395" s="41"/>
      <c r="Q395" s="41"/>
      <c r="R395" s="41"/>
      <c r="S395" s="41"/>
      <c r="T395" s="41"/>
      <c r="U395" s="41"/>
      <c r="V395" s="41"/>
      <c r="W395" s="41"/>
      <c r="X395" s="41"/>
      <c r="Y395" s="41"/>
      <c r="Z395" s="41"/>
    </row>
    <row r="396" ht="15.75" customHeight="1">
      <c r="A396" s="35"/>
      <c r="B396" s="35"/>
      <c r="C396" s="35"/>
      <c r="D396" s="35"/>
      <c r="E396" s="35"/>
      <c r="F396" s="35"/>
      <c r="G396" s="35"/>
      <c r="H396" s="35"/>
      <c r="I396" s="35"/>
      <c r="J396" s="41"/>
      <c r="K396" s="1"/>
      <c r="L396" s="41"/>
      <c r="M396" s="1"/>
      <c r="N396" s="41"/>
      <c r="O396" s="41"/>
      <c r="P396" s="41"/>
      <c r="Q396" s="41"/>
      <c r="R396" s="41"/>
      <c r="S396" s="41"/>
      <c r="T396" s="41"/>
      <c r="U396" s="41"/>
      <c r="V396" s="41"/>
      <c r="W396" s="41"/>
      <c r="X396" s="41"/>
      <c r="Y396" s="41"/>
      <c r="Z396" s="41"/>
    </row>
    <row r="397" ht="15.75" customHeight="1">
      <c r="A397" s="35"/>
      <c r="B397" s="35"/>
      <c r="C397" s="35"/>
      <c r="D397" s="35"/>
      <c r="E397" s="35"/>
      <c r="F397" s="35"/>
      <c r="G397" s="35"/>
      <c r="H397" s="35"/>
      <c r="I397" s="35"/>
      <c r="J397" s="41"/>
      <c r="K397" s="1"/>
      <c r="L397" s="41"/>
      <c r="M397" s="1"/>
      <c r="N397" s="41"/>
      <c r="O397" s="41"/>
      <c r="P397" s="41"/>
      <c r="Q397" s="41"/>
      <c r="R397" s="41"/>
      <c r="S397" s="41"/>
      <c r="T397" s="41"/>
      <c r="U397" s="41"/>
      <c r="V397" s="41"/>
      <c r="W397" s="41"/>
      <c r="X397" s="41"/>
      <c r="Y397" s="41"/>
      <c r="Z397" s="41"/>
    </row>
    <row r="398" ht="15.75" customHeight="1">
      <c r="A398" s="35"/>
      <c r="B398" s="35"/>
      <c r="C398" s="35"/>
      <c r="D398" s="35"/>
      <c r="E398" s="35"/>
      <c r="F398" s="35"/>
      <c r="G398" s="35"/>
      <c r="H398" s="35"/>
      <c r="I398" s="35"/>
      <c r="J398" s="41"/>
      <c r="K398" s="1"/>
      <c r="L398" s="41"/>
      <c r="M398" s="1"/>
      <c r="N398" s="41"/>
      <c r="O398" s="41"/>
      <c r="P398" s="41"/>
      <c r="Q398" s="41"/>
      <c r="R398" s="41"/>
      <c r="S398" s="41"/>
      <c r="T398" s="41"/>
      <c r="U398" s="41"/>
      <c r="V398" s="41"/>
      <c r="W398" s="41"/>
      <c r="X398" s="41"/>
      <c r="Y398" s="41"/>
      <c r="Z398" s="41"/>
    </row>
    <row r="399" ht="15.75" customHeight="1">
      <c r="A399" s="35"/>
      <c r="B399" s="35"/>
      <c r="C399" s="35"/>
      <c r="D399" s="35"/>
      <c r="E399" s="35"/>
      <c r="F399" s="35"/>
      <c r="G399" s="35"/>
      <c r="H399" s="35"/>
      <c r="I399" s="35"/>
      <c r="J399" s="41"/>
      <c r="K399" s="1"/>
      <c r="L399" s="41"/>
      <c r="M399" s="1"/>
      <c r="N399" s="41"/>
      <c r="O399" s="41"/>
      <c r="P399" s="41"/>
      <c r="Q399" s="41"/>
      <c r="R399" s="41"/>
      <c r="S399" s="41"/>
      <c r="T399" s="41"/>
      <c r="U399" s="41"/>
      <c r="V399" s="41"/>
      <c r="W399" s="41"/>
      <c r="X399" s="41"/>
      <c r="Y399" s="41"/>
      <c r="Z399" s="41"/>
    </row>
    <row r="400" ht="15.75" customHeight="1">
      <c r="A400" s="35"/>
      <c r="B400" s="35"/>
      <c r="C400" s="35"/>
      <c r="D400" s="35"/>
      <c r="E400" s="35"/>
      <c r="F400" s="35"/>
      <c r="G400" s="35"/>
      <c r="H400" s="35"/>
      <c r="I400" s="35"/>
      <c r="J400" s="41"/>
      <c r="K400" s="1"/>
      <c r="L400" s="41"/>
      <c r="M400" s="1"/>
      <c r="N400" s="41"/>
      <c r="O400" s="41"/>
      <c r="P400" s="41"/>
      <c r="Q400" s="41"/>
      <c r="R400" s="41"/>
      <c r="S400" s="41"/>
      <c r="T400" s="41"/>
      <c r="U400" s="41"/>
      <c r="V400" s="41"/>
      <c r="W400" s="41"/>
      <c r="X400" s="41"/>
      <c r="Y400" s="41"/>
      <c r="Z400" s="41"/>
    </row>
    <row r="401" ht="15.75" customHeight="1">
      <c r="A401" s="35"/>
      <c r="B401" s="35"/>
      <c r="C401" s="35"/>
      <c r="D401" s="35"/>
      <c r="E401" s="35"/>
      <c r="F401" s="35"/>
      <c r="G401" s="35"/>
      <c r="H401" s="35"/>
      <c r="I401" s="35"/>
      <c r="J401" s="41"/>
      <c r="K401" s="1"/>
      <c r="L401" s="41"/>
      <c r="M401" s="1"/>
      <c r="N401" s="41"/>
      <c r="O401" s="41"/>
      <c r="P401" s="41"/>
      <c r="Q401" s="41"/>
      <c r="R401" s="41"/>
      <c r="S401" s="41"/>
      <c r="T401" s="41"/>
      <c r="U401" s="41"/>
      <c r="V401" s="41"/>
      <c r="W401" s="41"/>
      <c r="X401" s="41"/>
      <c r="Y401" s="41"/>
      <c r="Z401" s="41"/>
    </row>
    <row r="402" ht="15.75" customHeight="1">
      <c r="A402" s="35"/>
      <c r="B402" s="35"/>
      <c r="C402" s="35"/>
      <c r="D402" s="35"/>
      <c r="E402" s="35"/>
      <c r="F402" s="35"/>
      <c r="G402" s="35"/>
      <c r="H402" s="35"/>
      <c r="I402" s="35"/>
      <c r="J402" s="41"/>
      <c r="K402" s="1"/>
      <c r="L402" s="41"/>
      <c r="M402" s="1"/>
      <c r="N402" s="41"/>
      <c r="O402" s="41"/>
      <c r="P402" s="41"/>
      <c r="Q402" s="41"/>
      <c r="R402" s="41"/>
      <c r="S402" s="41"/>
      <c r="T402" s="41"/>
      <c r="U402" s="41"/>
      <c r="V402" s="41"/>
      <c r="W402" s="41"/>
      <c r="X402" s="41"/>
      <c r="Y402" s="41"/>
      <c r="Z402" s="41"/>
    </row>
    <row r="403" ht="15.75" customHeight="1">
      <c r="A403" s="35"/>
      <c r="B403" s="35"/>
      <c r="C403" s="35"/>
      <c r="D403" s="35"/>
      <c r="E403" s="35"/>
      <c r="F403" s="35"/>
      <c r="G403" s="35"/>
      <c r="H403" s="35"/>
      <c r="I403" s="35"/>
      <c r="J403" s="41"/>
      <c r="K403" s="1"/>
      <c r="L403" s="41"/>
      <c r="M403" s="1"/>
      <c r="N403" s="41"/>
      <c r="O403" s="41"/>
      <c r="P403" s="41"/>
      <c r="Q403" s="41"/>
      <c r="R403" s="41"/>
      <c r="S403" s="41"/>
      <c r="T403" s="41"/>
      <c r="U403" s="41"/>
      <c r="V403" s="41"/>
      <c r="W403" s="41"/>
      <c r="X403" s="41"/>
      <c r="Y403" s="41"/>
      <c r="Z403" s="41"/>
    </row>
    <row r="404" ht="15.75" customHeight="1">
      <c r="A404" s="35"/>
      <c r="B404" s="35"/>
      <c r="C404" s="35"/>
      <c r="D404" s="35"/>
      <c r="E404" s="35"/>
      <c r="F404" s="35"/>
      <c r="G404" s="35"/>
      <c r="H404" s="35"/>
      <c r="I404" s="35"/>
      <c r="J404" s="41"/>
      <c r="K404" s="1"/>
      <c r="L404" s="41"/>
      <c r="M404" s="1"/>
      <c r="N404" s="41"/>
      <c r="O404" s="41"/>
      <c r="P404" s="41"/>
      <c r="Q404" s="41"/>
      <c r="R404" s="41"/>
      <c r="S404" s="41"/>
      <c r="T404" s="41"/>
      <c r="U404" s="41"/>
      <c r="V404" s="41"/>
      <c r="W404" s="41"/>
      <c r="X404" s="41"/>
      <c r="Y404" s="41"/>
      <c r="Z404" s="41"/>
    </row>
    <row r="405" ht="15.75" customHeight="1">
      <c r="A405" s="35"/>
      <c r="B405" s="35"/>
      <c r="C405" s="35"/>
      <c r="D405" s="35"/>
      <c r="E405" s="35"/>
      <c r="F405" s="35"/>
      <c r="G405" s="35"/>
      <c r="H405" s="35"/>
      <c r="I405" s="35"/>
      <c r="J405" s="41"/>
      <c r="K405" s="1"/>
      <c r="L405" s="41"/>
      <c r="M405" s="1"/>
      <c r="N405" s="41"/>
      <c r="O405" s="41"/>
      <c r="P405" s="41"/>
      <c r="Q405" s="41"/>
      <c r="R405" s="41"/>
      <c r="S405" s="41"/>
      <c r="T405" s="41"/>
      <c r="U405" s="41"/>
      <c r="V405" s="41"/>
      <c r="W405" s="41"/>
      <c r="X405" s="41"/>
      <c r="Y405" s="41"/>
      <c r="Z405" s="41"/>
    </row>
    <row r="406" ht="15.75" customHeight="1">
      <c r="A406" s="35"/>
      <c r="B406" s="35"/>
      <c r="C406" s="35"/>
      <c r="D406" s="35"/>
      <c r="E406" s="35"/>
      <c r="F406" s="35"/>
      <c r="G406" s="35"/>
      <c r="H406" s="35"/>
      <c r="I406" s="35"/>
      <c r="J406" s="41"/>
      <c r="K406" s="1"/>
      <c r="L406" s="41"/>
      <c r="M406" s="1"/>
      <c r="N406" s="41"/>
      <c r="O406" s="41"/>
      <c r="P406" s="41"/>
      <c r="Q406" s="41"/>
      <c r="R406" s="41"/>
      <c r="S406" s="41"/>
      <c r="T406" s="41"/>
      <c r="U406" s="41"/>
      <c r="V406" s="41"/>
      <c r="W406" s="41"/>
      <c r="X406" s="41"/>
      <c r="Y406" s="41"/>
      <c r="Z406" s="41"/>
    </row>
    <row r="407" ht="15.75" customHeight="1">
      <c r="A407" s="35"/>
      <c r="B407" s="35"/>
      <c r="C407" s="35"/>
      <c r="D407" s="35"/>
      <c r="E407" s="35"/>
      <c r="F407" s="35"/>
      <c r="G407" s="35"/>
      <c r="H407" s="35"/>
      <c r="I407" s="35"/>
      <c r="J407" s="41"/>
      <c r="K407" s="1"/>
      <c r="L407" s="41"/>
      <c r="M407" s="1"/>
      <c r="N407" s="41"/>
      <c r="O407" s="41"/>
      <c r="P407" s="41"/>
      <c r="Q407" s="41"/>
      <c r="R407" s="41"/>
      <c r="S407" s="41"/>
      <c r="T407" s="41"/>
      <c r="U407" s="41"/>
      <c r="V407" s="41"/>
      <c r="W407" s="41"/>
      <c r="X407" s="41"/>
      <c r="Y407" s="41"/>
      <c r="Z407" s="41"/>
    </row>
    <row r="408" ht="15.75" customHeight="1">
      <c r="A408" s="35"/>
      <c r="B408" s="35"/>
      <c r="C408" s="35"/>
      <c r="D408" s="35"/>
      <c r="E408" s="35"/>
      <c r="F408" s="35"/>
      <c r="G408" s="35"/>
      <c r="H408" s="35"/>
      <c r="I408" s="35"/>
      <c r="J408" s="41"/>
      <c r="K408" s="1"/>
      <c r="L408" s="41"/>
      <c r="M408" s="1"/>
      <c r="N408" s="41"/>
      <c r="O408" s="41"/>
      <c r="P408" s="41"/>
      <c r="Q408" s="41"/>
      <c r="R408" s="41"/>
      <c r="S408" s="41"/>
      <c r="T408" s="41"/>
      <c r="U408" s="41"/>
      <c r="V408" s="41"/>
      <c r="W408" s="41"/>
      <c r="X408" s="41"/>
      <c r="Y408" s="41"/>
      <c r="Z408" s="41"/>
    </row>
    <row r="409" ht="15.75" customHeight="1">
      <c r="A409" s="35"/>
      <c r="B409" s="35"/>
      <c r="C409" s="35"/>
      <c r="D409" s="35"/>
      <c r="E409" s="35"/>
      <c r="F409" s="35"/>
      <c r="G409" s="35"/>
      <c r="H409" s="35"/>
      <c r="I409" s="35"/>
      <c r="J409" s="41"/>
      <c r="K409" s="1"/>
      <c r="L409" s="41"/>
      <c r="M409" s="1"/>
      <c r="N409" s="41"/>
      <c r="O409" s="41"/>
      <c r="P409" s="41"/>
      <c r="Q409" s="41"/>
      <c r="R409" s="41"/>
      <c r="S409" s="41"/>
      <c r="T409" s="41"/>
      <c r="U409" s="41"/>
      <c r="V409" s="41"/>
      <c r="W409" s="41"/>
      <c r="X409" s="41"/>
      <c r="Y409" s="41"/>
      <c r="Z409" s="41"/>
    </row>
    <row r="410" ht="15.75" customHeight="1">
      <c r="A410" s="35"/>
      <c r="B410" s="35"/>
      <c r="C410" s="35"/>
      <c r="D410" s="35"/>
      <c r="E410" s="35"/>
      <c r="F410" s="35"/>
      <c r="G410" s="35"/>
      <c r="H410" s="35"/>
      <c r="I410" s="35"/>
      <c r="J410" s="41"/>
      <c r="K410" s="1"/>
      <c r="L410" s="41"/>
      <c r="M410" s="1"/>
      <c r="N410" s="41"/>
      <c r="O410" s="41"/>
      <c r="P410" s="41"/>
      <c r="Q410" s="41"/>
      <c r="R410" s="41"/>
      <c r="S410" s="41"/>
      <c r="T410" s="41"/>
      <c r="U410" s="41"/>
      <c r="V410" s="41"/>
      <c r="W410" s="41"/>
      <c r="X410" s="41"/>
      <c r="Y410" s="41"/>
      <c r="Z410" s="41"/>
    </row>
    <row r="411" ht="15.75" customHeight="1">
      <c r="A411" s="35"/>
      <c r="B411" s="35"/>
      <c r="C411" s="35"/>
      <c r="D411" s="35"/>
      <c r="E411" s="35"/>
      <c r="F411" s="35"/>
      <c r="G411" s="35"/>
      <c r="H411" s="35"/>
      <c r="I411" s="35"/>
      <c r="J411" s="41"/>
      <c r="K411" s="1"/>
      <c r="L411" s="41"/>
      <c r="M411" s="1"/>
      <c r="N411" s="41"/>
      <c r="O411" s="41"/>
      <c r="P411" s="41"/>
      <c r="Q411" s="41"/>
      <c r="R411" s="41"/>
      <c r="S411" s="41"/>
      <c r="T411" s="41"/>
      <c r="U411" s="41"/>
      <c r="V411" s="41"/>
      <c r="W411" s="41"/>
      <c r="X411" s="41"/>
      <c r="Y411" s="41"/>
      <c r="Z411" s="41"/>
    </row>
    <row r="412" ht="15.75" customHeight="1">
      <c r="A412" s="35"/>
      <c r="B412" s="35"/>
      <c r="C412" s="35"/>
      <c r="D412" s="35"/>
      <c r="E412" s="35"/>
      <c r="F412" s="35"/>
      <c r="G412" s="35"/>
      <c r="H412" s="35"/>
      <c r="I412" s="35"/>
      <c r="J412" s="41"/>
      <c r="K412" s="1"/>
      <c r="L412" s="41"/>
      <c r="M412" s="1"/>
      <c r="N412" s="41"/>
      <c r="O412" s="41"/>
      <c r="P412" s="41"/>
      <c r="Q412" s="41"/>
      <c r="R412" s="41"/>
      <c r="S412" s="41"/>
      <c r="T412" s="41"/>
      <c r="U412" s="41"/>
      <c r="V412" s="41"/>
      <c r="W412" s="41"/>
      <c r="X412" s="41"/>
      <c r="Y412" s="41"/>
      <c r="Z412" s="41"/>
    </row>
    <row r="413" ht="15.75" customHeight="1">
      <c r="A413" s="35"/>
      <c r="B413" s="35"/>
      <c r="C413" s="35"/>
      <c r="D413" s="35"/>
      <c r="E413" s="35"/>
      <c r="F413" s="35"/>
      <c r="G413" s="35"/>
      <c r="H413" s="35"/>
      <c r="I413" s="35"/>
      <c r="J413" s="41"/>
      <c r="K413" s="1"/>
      <c r="L413" s="41"/>
      <c r="M413" s="1"/>
      <c r="N413" s="41"/>
      <c r="O413" s="41"/>
      <c r="P413" s="41"/>
      <c r="Q413" s="41"/>
      <c r="R413" s="41"/>
      <c r="S413" s="41"/>
      <c r="T413" s="41"/>
      <c r="U413" s="41"/>
      <c r="V413" s="41"/>
      <c r="W413" s="41"/>
      <c r="X413" s="41"/>
      <c r="Y413" s="41"/>
      <c r="Z413" s="41"/>
    </row>
    <row r="414" ht="15.75" customHeight="1">
      <c r="A414" s="35"/>
      <c r="B414" s="35"/>
      <c r="C414" s="35"/>
      <c r="D414" s="35"/>
      <c r="E414" s="35"/>
      <c r="F414" s="35"/>
      <c r="G414" s="35"/>
      <c r="H414" s="35"/>
      <c r="I414" s="35"/>
      <c r="J414" s="41"/>
      <c r="K414" s="1"/>
      <c r="L414" s="41"/>
      <c r="M414" s="1"/>
      <c r="N414" s="41"/>
      <c r="O414" s="41"/>
      <c r="P414" s="41"/>
      <c r="Q414" s="41"/>
      <c r="R414" s="41"/>
      <c r="S414" s="41"/>
      <c r="T414" s="41"/>
      <c r="U414" s="41"/>
      <c r="V414" s="41"/>
      <c r="W414" s="41"/>
      <c r="X414" s="41"/>
      <c r="Y414" s="41"/>
      <c r="Z414" s="41"/>
    </row>
    <row r="415" ht="15.75" customHeight="1">
      <c r="A415" s="35"/>
      <c r="B415" s="35"/>
      <c r="C415" s="35"/>
      <c r="D415" s="35"/>
      <c r="E415" s="35"/>
      <c r="F415" s="35"/>
      <c r="G415" s="35"/>
      <c r="H415" s="35"/>
      <c r="I415" s="35"/>
      <c r="J415" s="41"/>
      <c r="K415" s="1"/>
      <c r="L415" s="41"/>
      <c r="M415" s="1"/>
      <c r="N415" s="41"/>
      <c r="O415" s="41"/>
      <c r="P415" s="41"/>
      <c r="Q415" s="41"/>
      <c r="R415" s="41"/>
      <c r="S415" s="41"/>
      <c r="T415" s="41"/>
      <c r="U415" s="41"/>
      <c r="V415" s="41"/>
      <c r="W415" s="41"/>
      <c r="X415" s="41"/>
      <c r="Y415" s="41"/>
      <c r="Z415" s="41"/>
    </row>
    <row r="416" ht="15.75" customHeight="1">
      <c r="A416" s="35"/>
      <c r="B416" s="35"/>
      <c r="C416" s="35"/>
      <c r="D416" s="35"/>
      <c r="E416" s="35"/>
      <c r="F416" s="35"/>
      <c r="G416" s="35"/>
      <c r="H416" s="35"/>
      <c r="I416" s="35"/>
      <c r="J416" s="41"/>
      <c r="K416" s="1"/>
      <c r="L416" s="41"/>
      <c r="M416" s="1"/>
      <c r="N416" s="41"/>
      <c r="O416" s="41"/>
      <c r="P416" s="41"/>
      <c r="Q416" s="41"/>
      <c r="R416" s="41"/>
      <c r="S416" s="41"/>
      <c r="T416" s="41"/>
      <c r="U416" s="41"/>
      <c r="V416" s="41"/>
      <c r="W416" s="41"/>
      <c r="X416" s="41"/>
      <c r="Y416" s="41"/>
      <c r="Z416" s="41"/>
    </row>
    <row r="417" ht="15.75" customHeight="1">
      <c r="A417" s="35"/>
      <c r="B417" s="35"/>
      <c r="C417" s="35"/>
      <c r="D417" s="35"/>
      <c r="E417" s="35"/>
      <c r="F417" s="35"/>
      <c r="G417" s="35"/>
      <c r="H417" s="35"/>
      <c r="I417" s="35"/>
      <c r="J417" s="41"/>
      <c r="K417" s="1"/>
      <c r="L417" s="41"/>
      <c r="M417" s="1"/>
      <c r="N417" s="41"/>
      <c r="O417" s="41"/>
      <c r="P417" s="41"/>
      <c r="Q417" s="41"/>
      <c r="R417" s="41"/>
      <c r="S417" s="41"/>
      <c r="T417" s="41"/>
      <c r="U417" s="41"/>
      <c r="V417" s="41"/>
      <c r="W417" s="41"/>
      <c r="X417" s="41"/>
      <c r="Y417" s="41"/>
      <c r="Z417" s="41"/>
    </row>
    <row r="418" ht="15.75" customHeight="1">
      <c r="A418" s="35"/>
      <c r="B418" s="35"/>
      <c r="C418" s="35"/>
      <c r="D418" s="35"/>
      <c r="E418" s="35"/>
      <c r="F418" s="35"/>
      <c r="G418" s="35"/>
      <c r="H418" s="35"/>
      <c r="I418" s="35"/>
      <c r="J418" s="41"/>
      <c r="K418" s="1"/>
      <c r="L418" s="41"/>
      <c r="M418" s="1"/>
      <c r="N418" s="41"/>
      <c r="O418" s="41"/>
      <c r="P418" s="41"/>
      <c r="Q418" s="41"/>
      <c r="R418" s="41"/>
      <c r="S418" s="41"/>
      <c r="T418" s="41"/>
      <c r="U418" s="41"/>
      <c r="V418" s="41"/>
      <c r="W418" s="41"/>
      <c r="X418" s="41"/>
      <c r="Y418" s="41"/>
      <c r="Z418" s="41"/>
    </row>
    <row r="419" ht="15.75" customHeight="1">
      <c r="A419" s="35"/>
      <c r="B419" s="35"/>
      <c r="C419" s="35"/>
      <c r="D419" s="35"/>
      <c r="E419" s="35"/>
      <c r="F419" s="35"/>
      <c r="G419" s="35"/>
      <c r="H419" s="35"/>
      <c r="I419" s="35"/>
      <c r="J419" s="41"/>
      <c r="K419" s="1"/>
      <c r="L419" s="41"/>
      <c r="M419" s="1"/>
      <c r="N419" s="41"/>
      <c r="O419" s="41"/>
      <c r="P419" s="41"/>
      <c r="Q419" s="41"/>
      <c r="R419" s="41"/>
      <c r="S419" s="41"/>
      <c r="T419" s="41"/>
      <c r="U419" s="41"/>
      <c r="V419" s="41"/>
      <c r="W419" s="41"/>
      <c r="X419" s="41"/>
      <c r="Y419" s="41"/>
      <c r="Z419" s="41"/>
    </row>
    <row r="420" ht="15.75" customHeight="1">
      <c r="A420" s="35"/>
      <c r="B420" s="35"/>
      <c r="C420" s="35"/>
      <c r="D420" s="35"/>
      <c r="E420" s="35"/>
      <c r="F420" s="35"/>
      <c r="G420" s="35"/>
      <c r="H420" s="35"/>
      <c r="I420" s="35"/>
      <c r="J420" s="41"/>
      <c r="K420" s="1"/>
      <c r="L420" s="41"/>
      <c r="M420" s="1"/>
      <c r="N420" s="41"/>
      <c r="O420" s="41"/>
      <c r="P420" s="41"/>
      <c r="Q420" s="41"/>
      <c r="R420" s="41"/>
      <c r="S420" s="41"/>
      <c r="T420" s="41"/>
      <c r="U420" s="41"/>
      <c r="V420" s="41"/>
      <c r="W420" s="41"/>
      <c r="X420" s="41"/>
      <c r="Y420" s="41"/>
      <c r="Z420" s="41"/>
    </row>
    <row r="421" ht="15.75" customHeight="1">
      <c r="A421" s="35"/>
      <c r="B421" s="35"/>
      <c r="C421" s="35"/>
      <c r="D421" s="35"/>
      <c r="E421" s="35"/>
      <c r="F421" s="35"/>
      <c r="G421" s="35"/>
      <c r="H421" s="35"/>
      <c r="I421" s="35"/>
      <c r="J421" s="41"/>
      <c r="K421" s="1"/>
      <c r="L421" s="41"/>
      <c r="M421" s="1"/>
      <c r="N421" s="41"/>
      <c r="O421" s="41"/>
      <c r="P421" s="41"/>
      <c r="Q421" s="41"/>
      <c r="R421" s="41"/>
      <c r="S421" s="41"/>
      <c r="T421" s="41"/>
      <c r="U421" s="41"/>
      <c r="V421" s="41"/>
      <c r="W421" s="41"/>
      <c r="X421" s="41"/>
      <c r="Y421" s="41"/>
      <c r="Z421" s="41"/>
    </row>
    <row r="422" ht="15.75" customHeight="1">
      <c r="A422" s="35"/>
      <c r="B422" s="35"/>
      <c r="C422" s="35"/>
      <c r="D422" s="35"/>
      <c r="E422" s="35"/>
      <c r="F422" s="35"/>
      <c r="G422" s="35"/>
      <c r="H422" s="35"/>
      <c r="I422" s="35"/>
      <c r="J422" s="41"/>
      <c r="K422" s="1"/>
      <c r="L422" s="41"/>
      <c r="M422" s="1"/>
      <c r="N422" s="41"/>
      <c r="O422" s="41"/>
      <c r="P422" s="41"/>
      <c r="Q422" s="41"/>
      <c r="R422" s="41"/>
      <c r="S422" s="41"/>
      <c r="T422" s="41"/>
      <c r="U422" s="41"/>
      <c r="V422" s="41"/>
      <c r="W422" s="41"/>
      <c r="X422" s="41"/>
      <c r="Y422" s="41"/>
      <c r="Z422" s="41"/>
    </row>
    <row r="423" ht="15.75" customHeight="1">
      <c r="A423" s="35"/>
      <c r="B423" s="35"/>
      <c r="C423" s="35"/>
      <c r="D423" s="35"/>
      <c r="E423" s="35"/>
      <c r="F423" s="35"/>
      <c r="G423" s="35"/>
      <c r="H423" s="35"/>
      <c r="I423" s="35"/>
      <c r="J423" s="41"/>
      <c r="K423" s="1"/>
      <c r="L423" s="41"/>
      <c r="M423" s="1"/>
      <c r="N423" s="41"/>
      <c r="O423" s="41"/>
      <c r="P423" s="41"/>
      <c r="Q423" s="41"/>
      <c r="R423" s="41"/>
      <c r="S423" s="41"/>
      <c r="T423" s="41"/>
      <c r="U423" s="41"/>
      <c r="V423" s="41"/>
      <c r="W423" s="41"/>
      <c r="X423" s="41"/>
      <c r="Y423" s="41"/>
      <c r="Z423" s="41"/>
    </row>
    <row r="424" ht="15.75" customHeight="1">
      <c r="A424" s="35"/>
      <c r="B424" s="35"/>
      <c r="C424" s="35"/>
      <c r="D424" s="35"/>
      <c r="E424" s="35"/>
      <c r="F424" s="35"/>
      <c r="G424" s="35"/>
      <c r="H424" s="35"/>
      <c r="I424" s="35"/>
      <c r="J424" s="41"/>
      <c r="K424" s="1"/>
      <c r="L424" s="41"/>
      <c r="M424" s="1"/>
      <c r="N424" s="41"/>
      <c r="O424" s="41"/>
      <c r="P424" s="41"/>
      <c r="Q424" s="41"/>
      <c r="R424" s="41"/>
      <c r="S424" s="41"/>
      <c r="T424" s="41"/>
      <c r="U424" s="41"/>
      <c r="V424" s="41"/>
      <c r="W424" s="41"/>
      <c r="X424" s="41"/>
      <c r="Y424" s="41"/>
      <c r="Z424" s="41"/>
    </row>
    <row r="425" ht="15.75" customHeight="1">
      <c r="A425" s="35"/>
      <c r="B425" s="35"/>
      <c r="C425" s="35"/>
      <c r="D425" s="35"/>
      <c r="E425" s="35"/>
      <c r="F425" s="35"/>
      <c r="G425" s="35"/>
      <c r="H425" s="35"/>
      <c r="I425" s="35"/>
      <c r="J425" s="41"/>
      <c r="K425" s="1"/>
      <c r="L425" s="41"/>
      <c r="M425" s="1"/>
      <c r="N425" s="41"/>
      <c r="O425" s="41"/>
      <c r="P425" s="41"/>
      <c r="Q425" s="41"/>
      <c r="R425" s="41"/>
      <c r="S425" s="41"/>
      <c r="T425" s="41"/>
      <c r="U425" s="41"/>
      <c r="V425" s="41"/>
      <c r="W425" s="41"/>
      <c r="X425" s="41"/>
      <c r="Y425" s="41"/>
      <c r="Z425" s="41"/>
    </row>
    <row r="426" ht="15.75" customHeight="1">
      <c r="A426" s="35"/>
      <c r="B426" s="35"/>
      <c r="C426" s="35"/>
      <c r="D426" s="35"/>
      <c r="E426" s="35"/>
      <c r="F426" s="35"/>
      <c r="G426" s="35"/>
      <c r="H426" s="35"/>
      <c r="I426" s="35"/>
      <c r="J426" s="41"/>
      <c r="K426" s="1"/>
      <c r="L426" s="41"/>
      <c r="M426" s="1"/>
      <c r="N426" s="41"/>
      <c r="O426" s="41"/>
      <c r="P426" s="41"/>
      <c r="Q426" s="41"/>
      <c r="R426" s="41"/>
      <c r="S426" s="41"/>
      <c r="T426" s="41"/>
      <c r="U426" s="41"/>
      <c r="V426" s="41"/>
      <c r="W426" s="41"/>
      <c r="X426" s="41"/>
      <c r="Y426" s="41"/>
      <c r="Z426" s="41"/>
    </row>
    <row r="427" ht="15.75" customHeight="1">
      <c r="A427" s="35"/>
      <c r="B427" s="35"/>
      <c r="C427" s="35"/>
      <c r="D427" s="35"/>
      <c r="E427" s="35"/>
      <c r="F427" s="35"/>
      <c r="G427" s="35"/>
      <c r="H427" s="35"/>
      <c r="I427" s="35"/>
      <c r="J427" s="41"/>
      <c r="K427" s="1"/>
      <c r="L427" s="41"/>
      <c r="M427" s="1"/>
      <c r="N427" s="41"/>
      <c r="O427" s="41"/>
      <c r="P427" s="41"/>
      <c r="Q427" s="41"/>
      <c r="R427" s="41"/>
      <c r="S427" s="41"/>
      <c r="T427" s="41"/>
      <c r="U427" s="41"/>
      <c r="V427" s="41"/>
      <c r="W427" s="41"/>
      <c r="X427" s="41"/>
      <c r="Y427" s="41"/>
      <c r="Z427" s="41"/>
    </row>
    <row r="428" ht="15.75" customHeight="1">
      <c r="A428" s="35"/>
      <c r="B428" s="35"/>
      <c r="C428" s="35"/>
      <c r="D428" s="35"/>
      <c r="E428" s="35"/>
      <c r="F428" s="35"/>
      <c r="G428" s="35"/>
      <c r="H428" s="35"/>
      <c r="I428" s="35"/>
      <c r="J428" s="41"/>
      <c r="K428" s="1"/>
      <c r="L428" s="41"/>
      <c r="M428" s="1"/>
      <c r="N428" s="41"/>
      <c r="O428" s="41"/>
      <c r="P428" s="41"/>
      <c r="Q428" s="41"/>
      <c r="R428" s="41"/>
      <c r="S428" s="41"/>
      <c r="T428" s="41"/>
      <c r="U428" s="41"/>
      <c r="V428" s="41"/>
      <c r="W428" s="41"/>
      <c r="X428" s="41"/>
      <c r="Y428" s="41"/>
      <c r="Z428" s="41"/>
    </row>
    <row r="429" ht="15.75" customHeight="1">
      <c r="A429" s="35"/>
      <c r="B429" s="35"/>
      <c r="C429" s="35"/>
      <c r="D429" s="35"/>
      <c r="E429" s="35"/>
      <c r="F429" s="35"/>
      <c r="G429" s="35"/>
      <c r="H429" s="35"/>
      <c r="I429" s="35"/>
      <c r="J429" s="41"/>
      <c r="K429" s="1"/>
      <c r="L429" s="41"/>
      <c r="M429" s="1"/>
      <c r="N429" s="41"/>
      <c r="O429" s="41"/>
      <c r="P429" s="41"/>
      <c r="Q429" s="41"/>
      <c r="R429" s="41"/>
      <c r="S429" s="41"/>
      <c r="T429" s="41"/>
      <c r="U429" s="41"/>
      <c r="V429" s="41"/>
      <c r="W429" s="41"/>
      <c r="X429" s="41"/>
      <c r="Y429" s="41"/>
      <c r="Z429" s="41"/>
    </row>
    <row r="430" ht="15.75" customHeight="1">
      <c r="A430" s="35"/>
      <c r="B430" s="35"/>
      <c r="C430" s="35"/>
      <c r="D430" s="35"/>
      <c r="E430" s="35"/>
      <c r="F430" s="35"/>
      <c r="G430" s="35"/>
      <c r="H430" s="35"/>
      <c r="I430" s="35"/>
      <c r="J430" s="41"/>
      <c r="K430" s="1"/>
      <c r="L430" s="41"/>
      <c r="M430" s="1"/>
      <c r="N430" s="41"/>
      <c r="O430" s="41"/>
      <c r="P430" s="41"/>
      <c r="Q430" s="41"/>
      <c r="R430" s="41"/>
      <c r="S430" s="41"/>
      <c r="T430" s="41"/>
      <c r="U430" s="41"/>
      <c r="V430" s="41"/>
      <c r="W430" s="41"/>
      <c r="X430" s="41"/>
      <c r="Y430" s="41"/>
      <c r="Z430" s="41"/>
    </row>
    <row r="431" ht="15.75" customHeight="1">
      <c r="A431" s="35"/>
      <c r="B431" s="35"/>
      <c r="C431" s="35"/>
      <c r="D431" s="35"/>
      <c r="E431" s="35"/>
      <c r="F431" s="35"/>
      <c r="G431" s="35"/>
      <c r="H431" s="35"/>
      <c r="I431" s="35"/>
      <c r="J431" s="41"/>
      <c r="K431" s="1"/>
      <c r="L431" s="41"/>
      <c r="M431" s="1"/>
      <c r="N431" s="41"/>
      <c r="O431" s="41"/>
      <c r="P431" s="41"/>
      <c r="Q431" s="41"/>
      <c r="R431" s="41"/>
      <c r="S431" s="41"/>
      <c r="T431" s="41"/>
      <c r="U431" s="41"/>
      <c r="V431" s="41"/>
      <c r="W431" s="41"/>
      <c r="X431" s="41"/>
      <c r="Y431" s="41"/>
      <c r="Z431" s="41"/>
    </row>
    <row r="432" ht="15.75" customHeight="1">
      <c r="A432" s="35"/>
      <c r="B432" s="35"/>
      <c r="C432" s="35"/>
      <c r="D432" s="35"/>
      <c r="E432" s="35"/>
      <c r="F432" s="35"/>
      <c r="G432" s="35"/>
      <c r="H432" s="35"/>
      <c r="I432" s="35"/>
      <c r="J432" s="41"/>
      <c r="K432" s="1"/>
      <c r="L432" s="41"/>
      <c r="M432" s="1"/>
      <c r="N432" s="41"/>
      <c r="O432" s="41"/>
      <c r="P432" s="41"/>
      <c r="Q432" s="41"/>
      <c r="R432" s="41"/>
      <c r="S432" s="41"/>
      <c r="T432" s="41"/>
      <c r="U432" s="41"/>
      <c r="V432" s="41"/>
      <c r="W432" s="41"/>
      <c r="X432" s="41"/>
      <c r="Y432" s="41"/>
      <c r="Z432" s="41"/>
    </row>
    <row r="433" ht="15.75" customHeight="1">
      <c r="A433" s="35"/>
      <c r="B433" s="35"/>
      <c r="C433" s="35"/>
      <c r="D433" s="35"/>
      <c r="E433" s="35"/>
      <c r="F433" s="35"/>
      <c r="G433" s="35"/>
      <c r="H433" s="35"/>
      <c r="I433" s="35"/>
      <c r="J433" s="41"/>
      <c r="K433" s="1"/>
      <c r="L433" s="41"/>
      <c r="M433" s="1"/>
      <c r="N433" s="41"/>
      <c r="O433" s="41"/>
      <c r="P433" s="41"/>
      <c r="Q433" s="41"/>
      <c r="R433" s="41"/>
      <c r="S433" s="41"/>
      <c r="T433" s="41"/>
      <c r="U433" s="41"/>
      <c r="V433" s="41"/>
      <c r="W433" s="41"/>
      <c r="X433" s="41"/>
      <c r="Y433" s="41"/>
      <c r="Z433" s="41"/>
    </row>
    <row r="434" ht="15.75" customHeight="1">
      <c r="A434" s="35"/>
      <c r="B434" s="35"/>
      <c r="C434" s="35"/>
      <c r="D434" s="35"/>
      <c r="E434" s="35"/>
      <c r="F434" s="35"/>
      <c r="G434" s="35"/>
      <c r="H434" s="35"/>
      <c r="I434" s="35"/>
      <c r="J434" s="41"/>
      <c r="K434" s="1"/>
      <c r="L434" s="41"/>
      <c r="M434" s="1"/>
      <c r="N434" s="41"/>
      <c r="O434" s="41"/>
      <c r="P434" s="41"/>
      <c r="Q434" s="41"/>
      <c r="R434" s="41"/>
      <c r="S434" s="41"/>
      <c r="T434" s="41"/>
      <c r="U434" s="41"/>
      <c r="V434" s="41"/>
      <c r="W434" s="41"/>
      <c r="X434" s="41"/>
      <c r="Y434" s="41"/>
      <c r="Z434" s="41"/>
    </row>
    <row r="435" ht="15.75" customHeight="1">
      <c r="A435" s="35"/>
      <c r="B435" s="35"/>
      <c r="C435" s="35"/>
      <c r="D435" s="35"/>
      <c r="E435" s="35"/>
      <c r="F435" s="35"/>
      <c r="G435" s="35"/>
      <c r="H435" s="35"/>
      <c r="I435" s="35"/>
      <c r="J435" s="41"/>
      <c r="K435" s="1"/>
      <c r="L435" s="41"/>
      <c r="M435" s="1"/>
      <c r="N435" s="41"/>
      <c r="O435" s="41"/>
      <c r="P435" s="41"/>
      <c r="Q435" s="41"/>
      <c r="R435" s="41"/>
      <c r="S435" s="41"/>
      <c r="T435" s="41"/>
      <c r="U435" s="41"/>
      <c r="V435" s="41"/>
      <c r="W435" s="41"/>
      <c r="X435" s="41"/>
      <c r="Y435" s="41"/>
      <c r="Z435" s="41"/>
    </row>
    <row r="436" ht="15.75" customHeight="1">
      <c r="A436" s="35"/>
      <c r="B436" s="35"/>
      <c r="C436" s="35"/>
      <c r="D436" s="35"/>
      <c r="E436" s="35"/>
      <c r="F436" s="35"/>
      <c r="G436" s="35"/>
      <c r="H436" s="35"/>
      <c r="I436" s="35"/>
      <c r="J436" s="41"/>
      <c r="K436" s="1"/>
      <c r="L436" s="41"/>
      <c r="M436" s="1"/>
      <c r="N436" s="41"/>
      <c r="O436" s="41"/>
      <c r="P436" s="41"/>
      <c r="Q436" s="41"/>
      <c r="R436" s="41"/>
      <c r="S436" s="41"/>
      <c r="T436" s="41"/>
      <c r="U436" s="41"/>
      <c r="V436" s="41"/>
      <c r="W436" s="41"/>
      <c r="X436" s="41"/>
      <c r="Y436" s="41"/>
      <c r="Z436" s="41"/>
    </row>
    <row r="437" ht="15.75" customHeight="1">
      <c r="A437" s="35"/>
      <c r="B437" s="35"/>
      <c r="C437" s="35"/>
      <c r="D437" s="35"/>
      <c r="E437" s="35"/>
      <c r="F437" s="35"/>
      <c r="G437" s="35"/>
      <c r="H437" s="35"/>
      <c r="I437" s="35"/>
      <c r="J437" s="41"/>
      <c r="K437" s="1"/>
      <c r="L437" s="41"/>
      <c r="M437" s="1"/>
      <c r="N437" s="41"/>
      <c r="O437" s="41"/>
      <c r="P437" s="41"/>
      <c r="Q437" s="41"/>
      <c r="R437" s="41"/>
      <c r="S437" s="41"/>
      <c r="T437" s="41"/>
      <c r="U437" s="41"/>
      <c r="V437" s="41"/>
      <c r="W437" s="41"/>
      <c r="X437" s="41"/>
      <c r="Y437" s="41"/>
      <c r="Z437" s="41"/>
    </row>
    <row r="438" ht="15.75" customHeight="1">
      <c r="A438" s="35"/>
      <c r="B438" s="35"/>
      <c r="C438" s="35"/>
      <c r="D438" s="35"/>
      <c r="E438" s="35"/>
      <c r="F438" s="35"/>
      <c r="G438" s="35"/>
      <c r="H438" s="35"/>
      <c r="I438" s="35"/>
      <c r="J438" s="41"/>
      <c r="K438" s="1"/>
      <c r="L438" s="41"/>
      <c r="M438" s="1"/>
      <c r="N438" s="41"/>
      <c r="O438" s="41"/>
      <c r="P438" s="41"/>
      <c r="Q438" s="41"/>
      <c r="R438" s="41"/>
      <c r="S438" s="41"/>
      <c r="T438" s="41"/>
      <c r="U438" s="41"/>
      <c r="V438" s="41"/>
      <c r="W438" s="41"/>
      <c r="X438" s="41"/>
      <c r="Y438" s="41"/>
      <c r="Z438" s="41"/>
    </row>
    <row r="439" ht="15.75" customHeight="1">
      <c r="A439" s="35"/>
      <c r="B439" s="35"/>
      <c r="C439" s="35"/>
      <c r="D439" s="35"/>
      <c r="E439" s="35"/>
      <c r="F439" s="35"/>
      <c r="G439" s="35"/>
      <c r="H439" s="35"/>
      <c r="I439" s="35"/>
      <c r="J439" s="41"/>
      <c r="K439" s="1"/>
      <c r="L439" s="41"/>
      <c r="M439" s="1"/>
      <c r="N439" s="41"/>
      <c r="O439" s="41"/>
      <c r="P439" s="41"/>
      <c r="Q439" s="41"/>
      <c r="R439" s="41"/>
      <c r="S439" s="41"/>
      <c r="T439" s="41"/>
      <c r="U439" s="41"/>
      <c r="V439" s="41"/>
      <c r="W439" s="41"/>
      <c r="X439" s="41"/>
      <c r="Y439" s="41"/>
      <c r="Z439" s="41"/>
    </row>
    <row r="440" ht="15.75" customHeight="1">
      <c r="A440" s="35"/>
      <c r="B440" s="35"/>
      <c r="C440" s="35"/>
      <c r="D440" s="35"/>
      <c r="E440" s="35"/>
      <c r="F440" s="35"/>
      <c r="G440" s="35"/>
      <c r="H440" s="35"/>
      <c r="I440" s="35"/>
      <c r="J440" s="41"/>
      <c r="K440" s="1"/>
      <c r="L440" s="41"/>
      <c r="M440" s="1"/>
      <c r="N440" s="41"/>
      <c r="O440" s="41"/>
      <c r="P440" s="41"/>
      <c r="Q440" s="41"/>
      <c r="R440" s="41"/>
      <c r="S440" s="41"/>
      <c r="T440" s="41"/>
      <c r="U440" s="41"/>
      <c r="V440" s="41"/>
      <c r="W440" s="41"/>
      <c r="X440" s="41"/>
      <c r="Y440" s="41"/>
      <c r="Z440" s="41"/>
    </row>
    <row r="441" ht="15.75" customHeight="1">
      <c r="A441" s="35"/>
      <c r="B441" s="35"/>
      <c r="C441" s="35"/>
      <c r="D441" s="35"/>
      <c r="E441" s="35"/>
      <c r="F441" s="35"/>
      <c r="G441" s="35"/>
      <c r="H441" s="35"/>
      <c r="I441" s="35"/>
      <c r="J441" s="41"/>
      <c r="K441" s="1"/>
      <c r="L441" s="41"/>
      <c r="M441" s="1"/>
      <c r="N441" s="41"/>
      <c r="O441" s="41"/>
      <c r="P441" s="41"/>
      <c r="Q441" s="41"/>
      <c r="R441" s="41"/>
      <c r="S441" s="41"/>
      <c r="T441" s="41"/>
      <c r="U441" s="41"/>
      <c r="V441" s="41"/>
      <c r="W441" s="41"/>
      <c r="X441" s="41"/>
      <c r="Y441" s="41"/>
      <c r="Z441" s="41"/>
    </row>
    <row r="442" ht="15.75" customHeight="1">
      <c r="A442" s="35"/>
      <c r="B442" s="35"/>
      <c r="C442" s="35"/>
      <c r="D442" s="35"/>
      <c r="E442" s="35"/>
      <c r="F442" s="35"/>
      <c r="G442" s="35"/>
      <c r="H442" s="35"/>
      <c r="I442" s="35"/>
      <c r="J442" s="41"/>
      <c r="K442" s="1"/>
      <c r="L442" s="41"/>
      <c r="M442" s="1"/>
      <c r="N442" s="41"/>
      <c r="O442" s="41"/>
      <c r="P442" s="41"/>
      <c r="Q442" s="41"/>
      <c r="R442" s="41"/>
      <c r="S442" s="41"/>
      <c r="T442" s="41"/>
      <c r="U442" s="41"/>
      <c r="V442" s="41"/>
      <c r="W442" s="41"/>
      <c r="X442" s="41"/>
      <c r="Y442" s="41"/>
      <c r="Z442" s="41"/>
    </row>
    <row r="443" ht="15.75" customHeight="1">
      <c r="A443" s="35"/>
      <c r="B443" s="35"/>
      <c r="C443" s="35"/>
      <c r="D443" s="35"/>
      <c r="E443" s="35"/>
      <c r="F443" s="35"/>
      <c r="G443" s="35"/>
      <c r="H443" s="35"/>
      <c r="I443" s="35"/>
      <c r="J443" s="41"/>
      <c r="K443" s="1"/>
      <c r="L443" s="41"/>
      <c r="M443" s="1"/>
      <c r="N443" s="41"/>
      <c r="O443" s="41"/>
      <c r="P443" s="41"/>
      <c r="Q443" s="41"/>
      <c r="R443" s="41"/>
      <c r="S443" s="41"/>
      <c r="T443" s="41"/>
      <c r="U443" s="41"/>
      <c r="V443" s="41"/>
      <c r="W443" s="41"/>
      <c r="X443" s="41"/>
      <c r="Y443" s="41"/>
      <c r="Z443" s="41"/>
    </row>
    <row r="444" ht="15.75" customHeight="1">
      <c r="A444" s="35"/>
      <c r="B444" s="35"/>
      <c r="C444" s="35"/>
      <c r="D444" s="35"/>
      <c r="E444" s="35"/>
      <c r="F444" s="35"/>
      <c r="G444" s="35"/>
      <c r="H444" s="35"/>
      <c r="I444" s="35"/>
      <c r="J444" s="41"/>
      <c r="K444" s="1"/>
      <c r="L444" s="41"/>
      <c r="M444" s="1"/>
      <c r="N444" s="41"/>
      <c r="O444" s="41"/>
      <c r="P444" s="41"/>
      <c r="Q444" s="41"/>
      <c r="R444" s="41"/>
      <c r="S444" s="41"/>
      <c r="T444" s="41"/>
      <c r="U444" s="41"/>
      <c r="V444" s="41"/>
      <c r="W444" s="41"/>
      <c r="X444" s="41"/>
      <c r="Y444" s="41"/>
      <c r="Z444" s="41"/>
    </row>
    <row r="445" ht="15.75" customHeight="1">
      <c r="A445" s="35"/>
      <c r="B445" s="35"/>
      <c r="C445" s="35"/>
      <c r="D445" s="35"/>
      <c r="E445" s="35"/>
      <c r="F445" s="35"/>
      <c r="G445" s="35"/>
      <c r="H445" s="35"/>
      <c r="I445" s="35"/>
      <c r="J445" s="41"/>
      <c r="K445" s="1"/>
      <c r="L445" s="41"/>
      <c r="M445" s="1"/>
      <c r="N445" s="41"/>
      <c r="O445" s="41"/>
      <c r="P445" s="41"/>
      <c r="Q445" s="41"/>
      <c r="R445" s="41"/>
      <c r="S445" s="41"/>
      <c r="T445" s="41"/>
      <c r="U445" s="41"/>
      <c r="V445" s="41"/>
      <c r="W445" s="41"/>
      <c r="X445" s="41"/>
      <c r="Y445" s="41"/>
      <c r="Z445" s="41"/>
    </row>
    <row r="446" ht="15.75" customHeight="1">
      <c r="A446" s="35"/>
      <c r="B446" s="35"/>
      <c r="C446" s="35"/>
      <c r="D446" s="35"/>
      <c r="E446" s="35"/>
      <c r="F446" s="35"/>
      <c r="G446" s="35"/>
      <c r="H446" s="35"/>
      <c r="I446" s="35"/>
      <c r="J446" s="41"/>
      <c r="K446" s="1"/>
      <c r="L446" s="41"/>
      <c r="M446" s="1"/>
      <c r="N446" s="41"/>
      <c r="O446" s="41"/>
      <c r="P446" s="41"/>
      <c r="Q446" s="41"/>
      <c r="R446" s="41"/>
      <c r="S446" s="41"/>
      <c r="T446" s="41"/>
      <c r="U446" s="41"/>
      <c r="V446" s="41"/>
      <c r="W446" s="41"/>
      <c r="X446" s="41"/>
      <c r="Y446" s="41"/>
      <c r="Z446" s="41"/>
    </row>
    <row r="447" ht="15.75" customHeight="1">
      <c r="A447" s="35"/>
      <c r="B447" s="35"/>
      <c r="C447" s="35"/>
      <c r="D447" s="35"/>
      <c r="E447" s="35"/>
      <c r="F447" s="35"/>
      <c r="G447" s="35"/>
      <c r="H447" s="35"/>
      <c r="I447" s="35"/>
      <c r="J447" s="41"/>
      <c r="K447" s="1"/>
      <c r="L447" s="41"/>
      <c r="M447" s="1"/>
      <c r="N447" s="41"/>
      <c r="O447" s="41"/>
      <c r="P447" s="41"/>
      <c r="Q447" s="41"/>
      <c r="R447" s="41"/>
      <c r="S447" s="41"/>
      <c r="T447" s="41"/>
      <c r="U447" s="41"/>
      <c r="V447" s="41"/>
      <c r="W447" s="41"/>
      <c r="X447" s="41"/>
      <c r="Y447" s="41"/>
      <c r="Z447" s="41"/>
    </row>
    <row r="448" ht="15.75" customHeight="1">
      <c r="A448" s="35"/>
      <c r="B448" s="35"/>
      <c r="C448" s="35"/>
      <c r="D448" s="35"/>
      <c r="E448" s="35"/>
      <c r="F448" s="35"/>
      <c r="G448" s="35"/>
      <c r="H448" s="35"/>
      <c r="I448" s="35"/>
      <c r="J448" s="41"/>
      <c r="K448" s="1"/>
      <c r="L448" s="41"/>
      <c r="M448" s="1"/>
      <c r="N448" s="41"/>
      <c r="O448" s="41"/>
      <c r="P448" s="41"/>
      <c r="Q448" s="41"/>
      <c r="R448" s="41"/>
      <c r="S448" s="41"/>
      <c r="T448" s="41"/>
      <c r="U448" s="41"/>
      <c r="V448" s="41"/>
      <c r="W448" s="41"/>
      <c r="X448" s="41"/>
      <c r="Y448" s="41"/>
      <c r="Z448" s="41"/>
    </row>
    <row r="449" ht="15.75" customHeight="1">
      <c r="A449" s="35"/>
      <c r="B449" s="35"/>
      <c r="C449" s="35"/>
      <c r="D449" s="35"/>
      <c r="E449" s="35"/>
      <c r="F449" s="35"/>
      <c r="G449" s="35"/>
      <c r="H449" s="35"/>
      <c r="I449" s="35"/>
      <c r="J449" s="41"/>
      <c r="K449" s="1"/>
      <c r="L449" s="41"/>
      <c r="M449" s="1"/>
      <c r="N449" s="41"/>
      <c r="O449" s="41"/>
      <c r="P449" s="41"/>
      <c r="Q449" s="41"/>
      <c r="R449" s="41"/>
      <c r="S449" s="41"/>
      <c r="T449" s="41"/>
      <c r="U449" s="41"/>
      <c r="V449" s="41"/>
      <c r="W449" s="41"/>
      <c r="X449" s="41"/>
      <c r="Y449" s="41"/>
      <c r="Z449" s="41"/>
    </row>
    <row r="450" ht="15.75" customHeight="1">
      <c r="A450" s="35"/>
      <c r="B450" s="35"/>
      <c r="C450" s="35"/>
      <c r="D450" s="35"/>
      <c r="E450" s="35"/>
      <c r="F450" s="35"/>
      <c r="G450" s="35"/>
      <c r="H450" s="35"/>
      <c r="I450" s="35"/>
      <c r="J450" s="41"/>
      <c r="K450" s="1"/>
      <c r="L450" s="41"/>
      <c r="M450" s="1"/>
      <c r="N450" s="41"/>
      <c r="O450" s="41"/>
      <c r="P450" s="41"/>
      <c r="Q450" s="41"/>
      <c r="R450" s="41"/>
      <c r="S450" s="41"/>
      <c r="T450" s="41"/>
      <c r="U450" s="41"/>
      <c r="V450" s="41"/>
      <c r="W450" s="41"/>
      <c r="X450" s="41"/>
      <c r="Y450" s="41"/>
      <c r="Z450" s="41"/>
    </row>
    <row r="451" ht="15.75" customHeight="1">
      <c r="A451" s="35"/>
      <c r="B451" s="35"/>
      <c r="C451" s="35"/>
      <c r="D451" s="35"/>
      <c r="E451" s="35"/>
      <c r="F451" s="35"/>
      <c r="G451" s="35"/>
      <c r="H451" s="35"/>
      <c r="I451" s="35"/>
      <c r="J451" s="41"/>
      <c r="K451" s="1"/>
      <c r="L451" s="41"/>
      <c r="M451" s="1"/>
      <c r="N451" s="41"/>
      <c r="O451" s="41"/>
      <c r="P451" s="41"/>
      <c r="Q451" s="41"/>
      <c r="R451" s="41"/>
      <c r="S451" s="41"/>
      <c r="T451" s="41"/>
      <c r="U451" s="41"/>
      <c r="V451" s="41"/>
      <c r="W451" s="41"/>
      <c r="X451" s="41"/>
      <c r="Y451" s="41"/>
      <c r="Z451" s="41"/>
    </row>
    <row r="452" ht="15.75" customHeight="1">
      <c r="A452" s="35"/>
      <c r="B452" s="35"/>
      <c r="C452" s="35"/>
      <c r="D452" s="35"/>
      <c r="E452" s="35"/>
      <c r="F452" s="35"/>
      <c r="G452" s="35"/>
      <c r="H452" s="35"/>
      <c r="I452" s="35"/>
      <c r="J452" s="41"/>
      <c r="K452" s="1"/>
      <c r="L452" s="41"/>
      <c r="M452" s="1"/>
      <c r="N452" s="41"/>
      <c r="O452" s="41"/>
      <c r="P452" s="41"/>
      <c r="Q452" s="41"/>
      <c r="R452" s="41"/>
      <c r="S452" s="41"/>
      <c r="T452" s="41"/>
      <c r="U452" s="41"/>
      <c r="V452" s="41"/>
      <c r="W452" s="41"/>
      <c r="X452" s="41"/>
      <c r="Y452" s="41"/>
      <c r="Z452" s="41"/>
    </row>
    <row r="453" ht="15.75" customHeight="1">
      <c r="A453" s="35"/>
      <c r="B453" s="35"/>
      <c r="C453" s="35"/>
      <c r="D453" s="35"/>
      <c r="E453" s="35"/>
      <c r="F453" s="35"/>
      <c r="G453" s="35"/>
      <c r="H453" s="35"/>
      <c r="I453" s="35"/>
      <c r="J453" s="41"/>
      <c r="K453" s="1"/>
      <c r="L453" s="41"/>
      <c r="M453" s="1"/>
      <c r="N453" s="41"/>
      <c r="O453" s="41"/>
      <c r="P453" s="41"/>
      <c r="Q453" s="41"/>
      <c r="R453" s="41"/>
      <c r="S453" s="41"/>
      <c r="T453" s="41"/>
      <c r="U453" s="41"/>
      <c r="V453" s="41"/>
      <c r="W453" s="41"/>
      <c r="X453" s="41"/>
      <c r="Y453" s="41"/>
      <c r="Z453" s="41"/>
    </row>
    <row r="454" ht="15.75" customHeight="1">
      <c r="A454" s="35"/>
      <c r="B454" s="35"/>
      <c r="C454" s="35"/>
      <c r="D454" s="35"/>
      <c r="E454" s="35"/>
      <c r="F454" s="35"/>
      <c r="G454" s="35"/>
      <c r="H454" s="35"/>
      <c r="I454" s="35"/>
      <c r="J454" s="41"/>
      <c r="K454" s="1"/>
      <c r="L454" s="41"/>
      <c r="M454" s="1"/>
      <c r="N454" s="41"/>
      <c r="O454" s="41"/>
      <c r="P454" s="41"/>
      <c r="Q454" s="41"/>
      <c r="R454" s="41"/>
      <c r="S454" s="41"/>
      <c r="T454" s="41"/>
      <c r="U454" s="41"/>
      <c r="V454" s="41"/>
      <c r="W454" s="41"/>
      <c r="X454" s="41"/>
      <c r="Y454" s="41"/>
      <c r="Z454" s="41"/>
    </row>
    <row r="455" ht="15.75" customHeight="1">
      <c r="A455" s="35"/>
      <c r="B455" s="35"/>
      <c r="C455" s="35"/>
      <c r="D455" s="35"/>
      <c r="E455" s="35"/>
      <c r="F455" s="35"/>
      <c r="G455" s="35"/>
      <c r="H455" s="35"/>
      <c r="I455" s="35"/>
      <c r="J455" s="41"/>
      <c r="K455" s="1"/>
      <c r="L455" s="41"/>
      <c r="M455" s="1"/>
      <c r="N455" s="41"/>
      <c r="O455" s="41"/>
      <c r="P455" s="41"/>
      <c r="Q455" s="41"/>
      <c r="R455" s="41"/>
      <c r="S455" s="41"/>
      <c r="T455" s="41"/>
      <c r="U455" s="41"/>
      <c r="V455" s="41"/>
      <c r="W455" s="41"/>
      <c r="X455" s="41"/>
      <c r="Y455" s="41"/>
      <c r="Z455" s="41"/>
    </row>
    <row r="456" ht="15.75" customHeight="1">
      <c r="A456" s="35"/>
      <c r="B456" s="35"/>
      <c r="C456" s="35"/>
      <c r="D456" s="35"/>
      <c r="E456" s="35"/>
      <c r="F456" s="35"/>
      <c r="G456" s="35"/>
      <c r="H456" s="35"/>
      <c r="I456" s="35"/>
      <c r="J456" s="41"/>
      <c r="K456" s="1"/>
      <c r="L456" s="41"/>
      <c r="M456" s="1"/>
      <c r="N456" s="41"/>
      <c r="O456" s="41"/>
      <c r="P456" s="41"/>
      <c r="Q456" s="41"/>
      <c r="R456" s="41"/>
      <c r="S456" s="41"/>
      <c r="T456" s="41"/>
      <c r="U456" s="41"/>
      <c r="V456" s="41"/>
      <c r="W456" s="41"/>
      <c r="X456" s="41"/>
      <c r="Y456" s="41"/>
      <c r="Z456" s="41"/>
    </row>
    <row r="457" ht="15.75" customHeight="1">
      <c r="A457" s="35"/>
      <c r="B457" s="35"/>
      <c r="C457" s="35"/>
      <c r="D457" s="35"/>
      <c r="E457" s="35"/>
      <c r="F457" s="35"/>
      <c r="G457" s="35"/>
      <c r="H457" s="35"/>
      <c r="I457" s="35"/>
      <c r="J457" s="41"/>
      <c r="K457" s="1"/>
      <c r="L457" s="41"/>
      <c r="M457" s="1"/>
      <c r="N457" s="41"/>
      <c r="O457" s="41"/>
      <c r="P457" s="41"/>
      <c r="Q457" s="41"/>
      <c r="R457" s="41"/>
      <c r="S457" s="41"/>
      <c r="T457" s="41"/>
      <c r="U457" s="41"/>
      <c r="V457" s="41"/>
      <c r="W457" s="41"/>
      <c r="X457" s="41"/>
      <c r="Y457" s="41"/>
      <c r="Z457" s="41"/>
    </row>
    <row r="458" ht="15.75" customHeight="1">
      <c r="A458" s="35"/>
      <c r="B458" s="35"/>
      <c r="C458" s="35"/>
      <c r="D458" s="35"/>
      <c r="E458" s="35"/>
      <c r="F458" s="35"/>
      <c r="G458" s="35"/>
      <c r="H458" s="35"/>
      <c r="I458" s="35"/>
      <c r="J458" s="41"/>
      <c r="K458" s="1"/>
      <c r="L458" s="41"/>
      <c r="M458" s="1"/>
      <c r="N458" s="41"/>
      <c r="O458" s="41"/>
      <c r="P458" s="41"/>
      <c r="Q458" s="41"/>
      <c r="R458" s="41"/>
      <c r="S458" s="41"/>
      <c r="T458" s="41"/>
      <c r="U458" s="41"/>
      <c r="V458" s="41"/>
      <c r="W458" s="41"/>
      <c r="X458" s="41"/>
      <c r="Y458" s="41"/>
      <c r="Z458" s="41"/>
    </row>
    <row r="459" ht="15.75" customHeight="1">
      <c r="A459" s="35"/>
      <c r="B459" s="35"/>
      <c r="C459" s="35"/>
      <c r="D459" s="35"/>
      <c r="E459" s="35"/>
      <c r="F459" s="35"/>
      <c r="G459" s="35"/>
      <c r="H459" s="35"/>
      <c r="I459" s="35"/>
      <c r="J459" s="41"/>
      <c r="K459" s="1"/>
      <c r="L459" s="41"/>
      <c r="M459" s="1"/>
      <c r="N459" s="41"/>
      <c r="O459" s="41"/>
      <c r="P459" s="41"/>
      <c r="Q459" s="41"/>
      <c r="R459" s="41"/>
      <c r="S459" s="41"/>
      <c r="T459" s="41"/>
      <c r="U459" s="41"/>
      <c r="V459" s="41"/>
      <c r="W459" s="41"/>
      <c r="X459" s="41"/>
      <c r="Y459" s="41"/>
      <c r="Z459" s="41"/>
    </row>
    <row r="460" ht="15.75" customHeight="1">
      <c r="A460" s="35"/>
      <c r="B460" s="35"/>
      <c r="C460" s="35"/>
      <c r="D460" s="35"/>
      <c r="E460" s="35"/>
      <c r="F460" s="35"/>
      <c r="G460" s="35"/>
      <c r="H460" s="35"/>
      <c r="I460" s="35"/>
      <c r="J460" s="41"/>
      <c r="K460" s="1"/>
      <c r="L460" s="41"/>
      <c r="M460" s="1"/>
      <c r="N460" s="41"/>
      <c r="O460" s="41"/>
      <c r="P460" s="41"/>
      <c r="Q460" s="41"/>
      <c r="R460" s="41"/>
      <c r="S460" s="41"/>
      <c r="T460" s="41"/>
      <c r="U460" s="41"/>
      <c r="V460" s="41"/>
      <c r="W460" s="41"/>
      <c r="X460" s="41"/>
      <c r="Y460" s="41"/>
      <c r="Z460" s="41"/>
    </row>
    <row r="461" ht="15.75" customHeight="1">
      <c r="A461" s="35"/>
      <c r="B461" s="35"/>
      <c r="C461" s="35"/>
      <c r="D461" s="35"/>
      <c r="E461" s="35"/>
      <c r="F461" s="35"/>
      <c r="G461" s="35"/>
      <c r="H461" s="35"/>
      <c r="I461" s="35"/>
      <c r="J461" s="41"/>
      <c r="K461" s="1"/>
      <c r="L461" s="41"/>
      <c r="M461" s="1"/>
      <c r="N461" s="41"/>
      <c r="O461" s="41"/>
      <c r="P461" s="41"/>
      <c r="Q461" s="41"/>
      <c r="R461" s="41"/>
      <c r="S461" s="41"/>
      <c r="T461" s="41"/>
      <c r="U461" s="41"/>
      <c r="V461" s="41"/>
      <c r="W461" s="41"/>
      <c r="X461" s="41"/>
      <c r="Y461" s="41"/>
      <c r="Z461" s="41"/>
    </row>
    <row r="462" ht="15.75" customHeight="1">
      <c r="A462" s="35"/>
      <c r="B462" s="35"/>
      <c r="C462" s="35"/>
      <c r="D462" s="35"/>
      <c r="E462" s="35"/>
      <c r="F462" s="35"/>
      <c r="G462" s="35"/>
      <c r="H462" s="35"/>
      <c r="I462" s="35"/>
      <c r="J462" s="41"/>
      <c r="K462" s="1"/>
      <c r="L462" s="41"/>
      <c r="M462" s="1"/>
      <c r="N462" s="41"/>
      <c r="O462" s="41"/>
      <c r="P462" s="41"/>
      <c r="Q462" s="41"/>
      <c r="R462" s="41"/>
      <c r="S462" s="41"/>
      <c r="T462" s="41"/>
      <c r="U462" s="41"/>
      <c r="V462" s="41"/>
      <c r="W462" s="41"/>
      <c r="X462" s="41"/>
      <c r="Y462" s="41"/>
      <c r="Z462" s="41"/>
    </row>
    <row r="463" ht="15.75" customHeight="1">
      <c r="A463" s="35"/>
      <c r="B463" s="35"/>
      <c r="C463" s="35"/>
      <c r="D463" s="35"/>
      <c r="E463" s="35"/>
      <c r="F463" s="35"/>
      <c r="G463" s="35"/>
      <c r="H463" s="35"/>
      <c r="I463" s="35"/>
      <c r="J463" s="41"/>
      <c r="K463" s="1"/>
      <c r="L463" s="41"/>
      <c r="M463" s="1"/>
      <c r="N463" s="41"/>
      <c r="O463" s="41"/>
      <c r="P463" s="41"/>
      <c r="Q463" s="41"/>
      <c r="R463" s="41"/>
      <c r="S463" s="41"/>
      <c r="T463" s="41"/>
      <c r="U463" s="41"/>
      <c r="V463" s="41"/>
      <c r="W463" s="41"/>
      <c r="X463" s="41"/>
      <c r="Y463" s="41"/>
      <c r="Z463" s="41"/>
    </row>
    <row r="464" ht="15.75" customHeight="1">
      <c r="A464" s="35"/>
      <c r="B464" s="35"/>
      <c r="C464" s="35"/>
      <c r="D464" s="35"/>
      <c r="E464" s="35"/>
      <c r="F464" s="35"/>
      <c r="G464" s="35"/>
      <c r="H464" s="35"/>
      <c r="I464" s="35"/>
      <c r="J464" s="41"/>
      <c r="K464" s="1"/>
      <c r="L464" s="41"/>
      <c r="M464" s="1"/>
      <c r="N464" s="41"/>
      <c r="O464" s="41"/>
      <c r="P464" s="41"/>
      <c r="Q464" s="41"/>
      <c r="R464" s="41"/>
      <c r="S464" s="41"/>
      <c r="T464" s="41"/>
      <c r="U464" s="41"/>
      <c r="V464" s="41"/>
      <c r="W464" s="41"/>
      <c r="X464" s="41"/>
      <c r="Y464" s="41"/>
      <c r="Z464" s="41"/>
    </row>
    <row r="465" ht="15.75" customHeight="1">
      <c r="A465" s="35"/>
      <c r="B465" s="35"/>
      <c r="C465" s="35"/>
      <c r="D465" s="35"/>
      <c r="E465" s="35"/>
      <c r="F465" s="35"/>
      <c r="G465" s="35"/>
      <c r="H465" s="35"/>
      <c r="I465" s="35"/>
      <c r="J465" s="41"/>
      <c r="K465" s="1"/>
      <c r="L465" s="41"/>
      <c r="M465" s="1"/>
      <c r="N465" s="41"/>
      <c r="O465" s="41"/>
      <c r="P465" s="41"/>
      <c r="Q465" s="41"/>
      <c r="R465" s="41"/>
      <c r="S465" s="41"/>
      <c r="T465" s="41"/>
      <c r="U465" s="41"/>
      <c r="V465" s="41"/>
      <c r="W465" s="41"/>
      <c r="X465" s="41"/>
      <c r="Y465" s="41"/>
      <c r="Z465" s="41"/>
    </row>
    <row r="466" ht="15.75" customHeight="1">
      <c r="A466" s="35"/>
      <c r="B466" s="35"/>
      <c r="C466" s="35"/>
      <c r="D466" s="35"/>
      <c r="E466" s="35"/>
      <c r="F466" s="35"/>
      <c r="G466" s="35"/>
      <c r="H466" s="35"/>
      <c r="I466" s="35"/>
      <c r="J466" s="41"/>
      <c r="K466" s="1"/>
      <c r="L466" s="41"/>
      <c r="M466" s="1"/>
      <c r="N466" s="41"/>
      <c r="O466" s="41"/>
      <c r="P466" s="41"/>
      <c r="Q466" s="41"/>
      <c r="R466" s="41"/>
      <c r="S466" s="41"/>
      <c r="T466" s="41"/>
      <c r="U466" s="41"/>
      <c r="V466" s="41"/>
      <c r="W466" s="41"/>
      <c r="X466" s="41"/>
      <c r="Y466" s="41"/>
      <c r="Z466" s="41"/>
    </row>
    <row r="467" ht="15.75" customHeight="1">
      <c r="A467" s="35"/>
      <c r="B467" s="35"/>
      <c r="C467" s="35"/>
      <c r="D467" s="35"/>
      <c r="E467" s="35"/>
      <c r="F467" s="35"/>
      <c r="G467" s="35"/>
      <c r="H467" s="35"/>
      <c r="I467" s="35"/>
      <c r="J467" s="41"/>
      <c r="K467" s="1"/>
      <c r="L467" s="41"/>
      <c r="M467" s="1"/>
      <c r="N467" s="41"/>
      <c r="O467" s="41"/>
      <c r="P467" s="41"/>
      <c r="Q467" s="41"/>
      <c r="R467" s="41"/>
      <c r="S467" s="41"/>
      <c r="T467" s="41"/>
      <c r="U467" s="41"/>
      <c r="V467" s="41"/>
      <c r="W467" s="41"/>
      <c r="X467" s="41"/>
      <c r="Y467" s="41"/>
      <c r="Z467" s="41"/>
    </row>
    <row r="468" ht="15.75" customHeight="1">
      <c r="A468" s="35"/>
      <c r="B468" s="35"/>
      <c r="C468" s="35"/>
      <c r="D468" s="35"/>
      <c r="E468" s="35"/>
      <c r="F468" s="35"/>
      <c r="G468" s="35"/>
      <c r="H468" s="35"/>
      <c r="I468" s="35"/>
      <c r="J468" s="41"/>
      <c r="K468" s="1"/>
      <c r="L468" s="41"/>
      <c r="M468" s="1"/>
      <c r="N468" s="41"/>
      <c r="O468" s="41"/>
      <c r="P468" s="41"/>
      <c r="Q468" s="41"/>
      <c r="R468" s="41"/>
      <c r="S468" s="41"/>
      <c r="T468" s="41"/>
      <c r="U468" s="41"/>
      <c r="V468" s="41"/>
      <c r="W468" s="41"/>
      <c r="X468" s="41"/>
      <c r="Y468" s="41"/>
      <c r="Z468" s="41"/>
    </row>
    <row r="469" ht="15.75" customHeight="1">
      <c r="A469" s="35"/>
      <c r="B469" s="35"/>
      <c r="C469" s="35"/>
      <c r="D469" s="35"/>
      <c r="E469" s="35"/>
      <c r="F469" s="35"/>
      <c r="G469" s="35"/>
      <c r="H469" s="35"/>
      <c r="I469" s="35"/>
      <c r="J469" s="41"/>
      <c r="K469" s="1"/>
      <c r="L469" s="41"/>
      <c r="M469" s="1"/>
      <c r="N469" s="41"/>
      <c r="O469" s="41"/>
      <c r="P469" s="41"/>
      <c r="Q469" s="41"/>
      <c r="R469" s="41"/>
      <c r="S469" s="41"/>
      <c r="T469" s="41"/>
      <c r="U469" s="41"/>
      <c r="V469" s="41"/>
      <c r="W469" s="41"/>
      <c r="X469" s="41"/>
      <c r="Y469" s="41"/>
      <c r="Z469" s="41"/>
    </row>
    <row r="470" ht="15.75" customHeight="1">
      <c r="A470" s="35"/>
      <c r="B470" s="35"/>
      <c r="C470" s="35"/>
      <c r="D470" s="35"/>
      <c r="E470" s="35"/>
      <c r="F470" s="35"/>
      <c r="G470" s="35"/>
      <c r="H470" s="35"/>
      <c r="I470" s="35"/>
      <c r="J470" s="41"/>
      <c r="K470" s="1"/>
      <c r="L470" s="41"/>
      <c r="M470" s="1"/>
      <c r="N470" s="41"/>
      <c r="O470" s="41"/>
      <c r="P470" s="41"/>
      <c r="Q470" s="41"/>
      <c r="R470" s="41"/>
      <c r="S470" s="41"/>
      <c r="T470" s="41"/>
      <c r="U470" s="41"/>
      <c r="V470" s="41"/>
      <c r="W470" s="41"/>
      <c r="X470" s="41"/>
      <c r="Y470" s="41"/>
      <c r="Z470" s="41"/>
    </row>
    <row r="471" ht="15.75" customHeight="1">
      <c r="A471" s="35"/>
      <c r="B471" s="35"/>
      <c r="C471" s="35"/>
      <c r="D471" s="35"/>
      <c r="E471" s="35"/>
      <c r="F471" s="35"/>
      <c r="G471" s="35"/>
      <c r="H471" s="35"/>
      <c r="I471" s="35"/>
      <c r="J471" s="41"/>
      <c r="K471" s="1"/>
      <c r="L471" s="41"/>
      <c r="M471" s="1"/>
      <c r="N471" s="41"/>
      <c r="O471" s="41"/>
      <c r="P471" s="41"/>
      <c r="Q471" s="41"/>
      <c r="R471" s="41"/>
      <c r="S471" s="41"/>
      <c r="T471" s="41"/>
      <c r="U471" s="41"/>
      <c r="V471" s="41"/>
      <c r="W471" s="41"/>
      <c r="X471" s="41"/>
      <c r="Y471" s="41"/>
      <c r="Z471" s="41"/>
    </row>
    <row r="472" ht="15.75" customHeight="1">
      <c r="A472" s="35"/>
      <c r="B472" s="35"/>
      <c r="C472" s="35"/>
      <c r="D472" s="35"/>
      <c r="E472" s="35"/>
      <c r="F472" s="35"/>
      <c r="G472" s="35"/>
      <c r="H472" s="35"/>
      <c r="I472" s="35"/>
      <c r="J472" s="41"/>
      <c r="K472" s="1"/>
      <c r="L472" s="41"/>
      <c r="M472" s="1"/>
      <c r="N472" s="41"/>
      <c r="O472" s="41"/>
      <c r="P472" s="41"/>
      <c r="Q472" s="41"/>
      <c r="R472" s="41"/>
      <c r="S472" s="41"/>
      <c r="T472" s="41"/>
      <c r="U472" s="41"/>
      <c r="V472" s="41"/>
      <c r="W472" s="41"/>
      <c r="X472" s="41"/>
      <c r="Y472" s="41"/>
      <c r="Z472" s="41"/>
    </row>
    <row r="473" ht="15.75" customHeight="1">
      <c r="A473" s="35"/>
      <c r="B473" s="35"/>
      <c r="C473" s="35"/>
      <c r="D473" s="35"/>
      <c r="E473" s="35"/>
      <c r="F473" s="35"/>
      <c r="G473" s="35"/>
      <c r="H473" s="35"/>
      <c r="I473" s="35"/>
      <c r="J473" s="41"/>
      <c r="K473" s="1"/>
      <c r="L473" s="41"/>
      <c r="M473" s="1"/>
      <c r="N473" s="41"/>
      <c r="O473" s="41"/>
      <c r="P473" s="41"/>
      <c r="Q473" s="41"/>
      <c r="R473" s="41"/>
      <c r="S473" s="41"/>
      <c r="T473" s="41"/>
      <c r="U473" s="41"/>
      <c r="V473" s="41"/>
      <c r="W473" s="41"/>
      <c r="X473" s="41"/>
      <c r="Y473" s="41"/>
      <c r="Z473" s="41"/>
    </row>
    <row r="474" ht="15.75" customHeight="1">
      <c r="A474" s="35"/>
      <c r="B474" s="35"/>
      <c r="C474" s="35"/>
      <c r="D474" s="35"/>
      <c r="E474" s="35"/>
      <c r="F474" s="35"/>
      <c r="G474" s="35"/>
      <c r="H474" s="35"/>
      <c r="I474" s="35"/>
      <c r="J474" s="41"/>
      <c r="K474" s="1"/>
      <c r="L474" s="41"/>
      <c r="M474" s="1"/>
      <c r="N474" s="41"/>
      <c r="O474" s="41"/>
      <c r="P474" s="41"/>
      <c r="Q474" s="41"/>
      <c r="R474" s="41"/>
      <c r="S474" s="41"/>
      <c r="T474" s="41"/>
      <c r="U474" s="41"/>
      <c r="V474" s="41"/>
      <c r="W474" s="41"/>
      <c r="X474" s="41"/>
      <c r="Y474" s="41"/>
      <c r="Z474" s="41"/>
    </row>
    <row r="475" ht="15.75" customHeight="1">
      <c r="A475" s="35"/>
      <c r="B475" s="35"/>
      <c r="C475" s="35"/>
      <c r="D475" s="35"/>
      <c r="E475" s="35"/>
      <c r="F475" s="35"/>
      <c r="G475" s="35"/>
      <c r="H475" s="35"/>
      <c r="I475" s="35"/>
      <c r="J475" s="41"/>
      <c r="K475" s="1"/>
      <c r="L475" s="41"/>
      <c r="M475" s="1"/>
      <c r="N475" s="41"/>
      <c r="O475" s="41"/>
      <c r="P475" s="41"/>
      <c r="Q475" s="41"/>
      <c r="R475" s="41"/>
      <c r="S475" s="41"/>
      <c r="T475" s="41"/>
      <c r="U475" s="41"/>
      <c r="V475" s="41"/>
      <c r="W475" s="41"/>
      <c r="X475" s="41"/>
      <c r="Y475" s="41"/>
      <c r="Z475" s="41"/>
    </row>
    <row r="476" ht="15.75" customHeight="1">
      <c r="A476" s="35"/>
      <c r="B476" s="35"/>
      <c r="C476" s="35"/>
      <c r="D476" s="35"/>
      <c r="E476" s="35"/>
      <c r="F476" s="35"/>
      <c r="G476" s="35"/>
      <c r="H476" s="35"/>
      <c r="I476" s="35"/>
      <c r="J476" s="41"/>
      <c r="K476" s="1"/>
      <c r="L476" s="41"/>
      <c r="M476" s="1"/>
      <c r="N476" s="41"/>
      <c r="O476" s="41"/>
      <c r="P476" s="41"/>
      <c r="Q476" s="41"/>
      <c r="R476" s="41"/>
      <c r="S476" s="41"/>
      <c r="T476" s="41"/>
      <c r="U476" s="41"/>
      <c r="V476" s="41"/>
      <c r="W476" s="41"/>
      <c r="X476" s="41"/>
      <c r="Y476" s="41"/>
      <c r="Z476" s="41"/>
    </row>
    <row r="477" ht="15.75" customHeight="1">
      <c r="A477" s="35"/>
      <c r="B477" s="35"/>
      <c r="C477" s="35"/>
      <c r="D477" s="35"/>
      <c r="E477" s="35"/>
      <c r="F477" s="35"/>
      <c r="G477" s="35"/>
      <c r="H477" s="35"/>
      <c r="I477" s="35"/>
      <c r="J477" s="41"/>
      <c r="K477" s="1"/>
      <c r="L477" s="41"/>
      <c r="M477" s="1"/>
      <c r="N477" s="41"/>
      <c r="O477" s="41"/>
      <c r="P477" s="41"/>
      <c r="Q477" s="41"/>
      <c r="R477" s="41"/>
      <c r="S477" s="41"/>
      <c r="T477" s="41"/>
      <c r="U477" s="41"/>
      <c r="V477" s="41"/>
      <c r="W477" s="41"/>
      <c r="X477" s="41"/>
      <c r="Y477" s="41"/>
      <c r="Z477" s="41"/>
    </row>
    <row r="478" ht="15.75" customHeight="1">
      <c r="A478" s="35"/>
      <c r="B478" s="35"/>
      <c r="C478" s="35"/>
      <c r="D478" s="35"/>
      <c r="E478" s="35"/>
      <c r="F478" s="35"/>
      <c r="G478" s="35"/>
      <c r="H478" s="35"/>
      <c r="I478" s="35"/>
      <c r="J478" s="41"/>
      <c r="K478" s="1"/>
      <c r="L478" s="41"/>
      <c r="M478" s="1"/>
      <c r="N478" s="41"/>
      <c r="O478" s="41"/>
      <c r="P478" s="41"/>
      <c r="Q478" s="41"/>
      <c r="R478" s="41"/>
      <c r="S478" s="41"/>
      <c r="T478" s="41"/>
      <c r="U478" s="41"/>
      <c r="V478" s="41"/>
      <c r="W478" s="41"/>
      <c r="X478" s="41"/>
      <c r="Y478" s="41"/>
      <c r="Z478" s="41"/>
    </row>
    <row r="479" ht="15.75" customHeight="1">
      <c r="A479" s="35"/>
      <c r="B479" s="35"/>
      <c r="C479" s="35"/>
      <c r="D479" s="35"/>
      <c r="E479" s="35"/>
      <c r="F479" s="35"/>
      <c r="G479" s="35"/>
      <c r="H479" s="35"/>
      <c r="I479" s="35"/>
      <c r="J479" s="41"/>
      <c r="K479" s="1"/>
      <c r="L479" s="41"/>
      <c r="M479" s="1"/>
      <c r="N479" s="41"/>
      <c r="O479" s="41"/>
      <c r="P479" s="41"/>
      <c r="Q479" s="41"/>
      <c r="R479" s="41"/>
      <c r="S479" s="41"/>
      <c r="T479" s="41"/>
      <c r="U479" s="41"/>
      <c r="V479" s="41"/>
      <c r="W479" s="41"/>
      <c r="X479" s="41"/>
      <c r="Y479" s="41"/>
      <c r="Z479" s="41"/>
    </row>
    <row r="480" ht="15.75" customHeight="1">
      <c r="A480" s="35"/>
      <c r="B480" s="35"/>
      <c r="C480" s="35"/>
      <c r="D480" s="35"/>
      <c r="E480" s="35"/>
      <c r="F480" s="35"/>
      <c r="G480" s="35"/>
      <c r="H480" s="35"/>
      <c r="I480" s="35"/>
      <c r="J480" s="41"/>
      <c r="K480" s="1"/>
      <c r="L480" s="41"/>
      <c r="M480" s="1"/>
      <c r="N480" s="41"/>
      <c r="O480" s="41"/>
      <c r="P480" s="41"/>
      <c r="Q480" s="41"/>
      <c r="R480" s="41"/>
      <c r="S480" s="41"/>
      <c r="T480" s="41"/>
      <c r="U480" s="41"/>
      <c r="V480" s="41"/>
      <c r="W480" s="41"/>
      <c r="X480" s="41"/>
      <c r="Y480" s="41"/>
      <c r="Z480" s="41"/>
    </row>
    <row r="481" ht="15.75" customHeight="1">
      <c r="A481" s="35"/>
      <c r="B481" s="35"/>
      <c r="C481" s="35"/>
      <c r="D481" s="35"/>
      <c r="E481" s="35"/>
      <c r="F481" s="35"/>
      <c r="G481" s="35"/>
      <c r="H481" s="35"/>
      <c r="I481" s="35"/>
      <c r="J481" s="41"/>
      <c r="K481" s="1"/>
      <c r="L481" s="41"/>
      <c r="M481" s="1"/>
      <c r="N481" s="41"/>
      <c r="O481" s="41"/>
      <c r="P481" s="41"/>
      <c r="Q481" s="41"/>
      <c r="R481" s="41"/>
      <c r="S481" s="41"/>
      <c r="T481" s="41"/>
      <c r="U481" s="41"/>
      <c r="V481" s="41"/>
      <c r="W481" s="41"/>
      <c r="X481" s="41"/>
      <c r="Y481" s="41"/>
      <c r="Z481" s="41"/>
    </row>
    <row r="482" ht="15.75" customHeight="1">
      <c r="A482" s="35"/>
      <c r="B482" s="35"/>
      <c r="C482" s="35"/>
      <c r="D482" s="35"/>
      <c r="E482" s="35"/>
      <c r="F482" s="35"/>
      <c r="G482" s="35"/>
      <c r="H482" s="35"/>
      <c r="I482" s="35"/>
      <c r="J482" s="41"/>
      <c r="K482" s="1"/>
      <c r="L482" s="41"/>
      <c r="M482" s="1"/>
      <c r="N482" s="41"/>
      <c r="O482" s="41"/>
      <c r="P482" s="41"/>
      <c r="Q482" s="41"/>
      <c r="R482" s="41"/>
      <c r="S482" s="41"/>
      <c r="T482" s="41"/>
      <c r="U482" s="41"/>
      <c r="V482" s="41"/>
      <c r="W482" s="41"/>
      <c r="X482" s="41"/>
      <c r="Y482" s="41"/>
      <c r="Z482" s="41"/>
    </row>
    <row r="483" ht="15.75" customHeight="1">
      <c r="A483" s="35"/>
      <c r="B483" s="35"/>
      <c r="C483" s="35"/>
      <c r="D483" s="35"/>
      <c r="E483" s="35"/>
      <c r="F483" s="35"/>
      <c r="G483" s="35"/>
      <c r="H483" s="35"/>
      <c r="I483" s="35"/>
      <c r="J483" s="41"/>
      <c r="K483" s="1"/>
      <c r="L483" s="41"/>
      <c r="M483" s="1"/>
      <c r="N483" s="41"/>
      <c r="O483" s="41"/>
      <c r="P483" s="41"/>
      <c r="Q483" s="41"/>
      <c r="R483" s="41"/>
      <c r="S483" s="41"/>
      <c r="T483" s="41"/>
      <c r="U483" s="41"/>
      <c r="V483" s="41"/>
      <c r="W483" s="41"/>
      <c r="X483" s="41"/>
      <c r="Y483" s="41"/>
      <c r="Z483" s="41"/>
    </row>
    <row r="484" ht="15.75" customHeight="1">
      <c r="A484" s="35"/>
      <c r="B484" s="35"/>
      <c r="C484" s="35"/>
      <c r="D484" s="35"/>
      <c r="E484" s="35"/>
      <c r="F484" s="35"/>
      <c r="G484" s="35"/>
      <c r="H484" s="35"/>
      <c r="I484" s="35"/>
      <c r="J484" s="41"/>
      <c r="K484" s="1"/>
      <c r="L484" s="41"/>
      <c r="M484" s="1"/>
      <c r="N484" s="41"/>
      <c r="O484" s="41"/>
      <c r="P484" s="41"/>
      <c r="Q484" s="41"/>
      <c r="R484" s="41"/>
      <c r="S484" s="41"/>
      <c r="T484" s="41"/>
      <c r="U484" s="41"/>
      <c r="V484" s="41"/>
      <c r="W484" s="41"/>
      <c r="X484" s="41"/>
      <c r="Y484" s="41"/>
      <c r="Z484" s="41"/>
    </row>
    <row r="485" ht="15.75" customHeight="1">
      <c r="A485" s="35"/>
      <c r="B485" s="35"/>
      <c r="C485" s="35"/>
      <c r="D485" s="35"/>
      <c r="E485" s="35"/>
      <c r="F485" s="35"/>
      <c r="G485" s="35"/>
      <c r="H485" s="35"/>
      <c r="I485" s="35"/>
      <c r="J485" s="41"/>
      <c r="K485" s="1"/>
      <c r="L485" s="41"/>
      <c r="M485" s="1"/>
      <c r="N485" s="41"/>
      <c r="O485" s="41"/>
      <c r="P485" s="41"/>
      <c r="Q485" s="41"/>
      <c r="R485" s="41"/>
      <c r="S485" s="41"/>
      <c r="T485" s="41"/>
      <c r="U485" s="41"/>
      <c r="V485" s="41"/>
      <c r="W485" s="41"/>
      <c r="X485" s="41"/>
      <c r="Y485" s="41"/>
      <c r="Z485" s="41"/>
    </row>
    <row r="486" ht="15.75" customHeight="1">
      <c r="A486" s="35"/>
      <c r="B486" s="35"/>
      <c r="C486" s="35"/>
      <c r="D486" s="35"/>
      <c r="E486" s="35"/>
      <c r="F486" s="35"/>
      <c r="G486" s="35"/>
      <c r="H486" s="35"/>
      <c r="I486" s="35"/>
      <c r="J486" s="41"/>
      <c r="K486" s="1"/>
      <c r="L486" s="41"/>
      <c r="M486" s="1"/>
      <c r="N486" s="41"/>
      <c r="O486" s="41"/>
      <c r="P486" s="41"/>
      <c r="Q486" s="41"/>
      <c r="R486" s="41"/>
      <c r="S486" s="41"/>
      <c r="T486" s="41"/>
      <c r="U486" s="41"/>
      <c r="V486" s="41"/>
      <c r="W486" s="41"/>
      <c r="X486" s="41"/>
      <c r="Y486" s="41"/>
      <c r="Z486" s="41"/>
    </row>
    <row r="487" ht="15.75" customHeight="1">
      <c r="A487" s="35"/>
      <c r="B487" s="35"/>
      <c r="C487" s="35"/>
      <c r="D487" s="35"/>
      <c r="E487" s="35"/>
      <c r="F487" s="35"/>
      <c r="G487" s="35"/>
      <c r="H487" s="35"/>
      <c r="I487" s="35"/>
      <c r="J487" s="41"/>
      <c r="K487" s="1"/>
      <c r="L487" s="41"/>
      <c r="M487" s="1"/>
      <c r="N487" s="41"/>
      <c r="O487" s="41"/>
      <c r="P487" s="41"/>
      <c r="Q487" s="41"/>
      <c r="R487" s="41"/>
      <c r="S487" s="41"/>
      <c r="T487" s="41"/>
      <c r="U487" s="41"/>
      <c r="V487" s="41"/>
      <c r="W487" s="41"/>
      <c r="X487" s="41"/>
      <c r="Y487" s="41"/>
      <c r="Z487" s="41"/>
    </row>
    <row r="488" ht="15.75" customHeight="1">
      <c r="A488" s="35"/>
      <c r="B488" s="35"/>
      <c r="C488" s="35"/>
      <c r="D488" s="35"/>
      <c r="E488" s="35"/>
      <c r="F488" s="35"/>
      <c r="G488" s="35"/>
      <c r="H488" s="35"/>
      <c r="I488" s="35"/>
      <c r="J488" s="41"/>
      <c r="K488" s="1"/>
      <c r="L488" s="41"/>
      <c r="M488" s="1"/>
      <c r="N488" s="41"/>
      <c r="O488" s="41"/>
      <c r="P488" s="41"/>
      <c r="Q488" s="41"/>
      <c r="R488" s="41"/>
      <c r="S488" s="41"/>
      <c r="T488" s="41"/>
      <c r="U488" s="41"/>
      <c r="V488" s="41"/>
      <c r="W488" s="41"/>
      <c r="X488" s="41"/>
      <c r="Y488" s="41"/>
      <c r="Z488" s="41"/>
    </row>
    <row r="489" ht="15.75" customHeight="1">
      <c r="A489" s="35"/>
      <c r="B489" s="35"/>
      <c r="C489" s="35"/>
      <c r="D489" s="35"/>
      <c r="E489" s="35"/>
      <c r="F489" s="35"/>
      <c r="G489" s="35"/>
      <c r="H489" s="35"/>
      <c r="I489" s="35"/>
      <c r="J489" s="41"/>
      <c r="K489" s="1"/>
      <c r="L489" s="41"/>
      <c r="M489" s="1"/>
      <c r="N489" s="41"/>
      <c r="O489" s="41"/>
      <c r="P489" s="41"/>
      <c r="Q489" s="41"/>
      <c r="R489" s="41"/>
      <c r="S489" s="41"/>
      <c r="T489" s="41"/>
      <c r="U489" s="41"/>
      <c r="V489" s="41"/>
      <c r="W489" s="41"/>
      <c r="X489" s="41"/>
      <c r="Y489" s="41"/>
      <c r="Z489" s="41"/>
    </row>
    <row r="490" ht="15.75" customHeight="1">
      <c r="A490" s="35"/>
      <c r="B490" s="35"/>
      <c r="C490" s="35"/>
      <c r="D490" s="35"/>
      <c r="E490" s="35"/>
      <c r="F490" s="35"/>
      <c r="G490" s="35"/>
      <c r="H490" s="35"/>
      <c r="I490" s="35"/>
      <c r="J490" s="41"/>
      <c r="K490" s="1"/>
      <c r="L490" s="41"/>
      <c r="M490" s="1"/>
      <c r="N490" s="41"/>
      <c r="O490" s="41"/>
      <c r="P490" s="41"/>
      <c r="Q490" s="41"/>
      <c r="R490" s="41"/>
      <c r="S490" s="41"/>
      <c r="T490" s="41"/>
      <c r="U490" s="41"/>
      <c r="V490" s="41"/>
      <c r="W490" s="41"/>
      <c r="X490" s="41"/>
      <c r="Y490" s="41"/>
      <c r="Z490" s="41"/>
    </row>
    <row r="491" ht="15.75" customHeight="1">
      <c r="A491" s="35"/>
      <c r="B491" s="35"/>
      <c r="C491" s="35"/>
      <c r="D491" s="35"/>
      <c r="E491" s="35"/>
      <c r="F491" s="35"/>
      <c r="G491" s="35"/>
      <c r="H491" s="35"/>
      <c r="I491" s="35"/>
      <c r="J491" s="41"/>
      <c r="K491" s="1"/>
      <c r="L491" s="41"/>
      <c r="M491" s="1"/>
      <c r="N491" s="41"/>
      <c r="O491" s="41"/>
      <c r="P491" s="41"/>
      <c r="Q491" s="41"/>
      <c r="R491" s="41"/>
      <c r="S491" s="41"/>
      <c r="T491" s="41"/>
      <c r="U491" s="41"/>
      <c r="V491" s="41"/>
      <c r="W491" s="41"/>
      <c r="X491" s="41"/>
      <c r="Y491" s="41"/>
      <c r="Z491" s="41"/>
    </row>
    <row r="492" ht="15.75" customHeight="1">
      <c r="A492" s="35"/>
      <c r="B492" s="35"/>
      <c r="C492" s="35"/>
      <c r="D492" s="35"/>
      <c r="E492" s="35"/>
      <c r="F492" s="35"/>
      <c r="G492" s="35"/>
      <c r="H492" s="35"/>
      <c r="I492" s="35"/>
      <c r="J492" s="41"/>
      <c r="K492" s="1"/>
      <c r="L492" s="41"/>
      <c r="M492" s="1"/>
      <c r="N492" s="41"/>
      <c r="O492" s="41"/>
      <c r="P492" s="41"/>
      <c r="Q492" s="41"/>
      <c r="R492" s="41"/>
      <c r="S492" s="41"/>
      <c r="T492" s="41"/>
      <c r="U492" s="41"/>
      <c r="V492" s="41"/>
      <c r="W492" s="41"/>
      <c r="X492" s="41"/>
      <c r="Y492" s="41"/>
      <c r="Z492" s="41"/>
    </row>
    <row r="493" ht="15.75" customHeight="1">
      <c r="A493" s="35"/>
      <c r="B493" s="35"/>
      <c r="C493" s="35"/>
      <c r="D493" s="35"/>
      <c r="E493" s="35"/>
      <c r="F493" s="35"/>
      <c r="G493" s="35"/>
      <c r="H493" s="35"/>
      <c r="I493" s="35"/>
      <c r="J493" s="41"/>
      <c r="K493" s="1"/>
      <c r="L493" s="41"/>
      <c r="M493" s="1"/>
      <c r="N493" s="41"/>
      <c r="O493" s="41"/>
      <c r="P493" s="41"/>
      <c r="Q493" s="41"/>
      <c r="R493" s="41"/>
      <c r="S493" s="41"/>
      <c r="T493" s="41"/>
      <c r="U493" s="41"/>
      <c r="V493" s="41"/>
      <c r="W493" s="41"/>
      <c r="X493" s="41"/>
      <c r="Y493" s="41"/>
      <c r="Z493" s="41"/>
    </row>
    <row r="494" ht="15.75" customHeight="1">
      <c r="A494" s="35"/>
      <c r="B494" s="35"/>
      <c r="C494" s="35"/>
      <c r="D494" s="35"/>
      <c r="E494" s="35"/>
      <c r="F494" s="35"/>
      <c r="G494" s="35"/>
      <c r="H494" s="35"/>
      <c r="I494" s="35"/>
      <c r="J494" s="41"/>
      <c r="K494" s="1"/>
      <c r="L494" s="41"/>
      <c r="M494" s="1"/>
      <c r="N494" s="41"/>
      <c r="O494" s="41"/>
      <c r="P494" s="41"/>
      <c r="Q494" s="41"/>
      <c r="R494" s="41"/>
      <c r="S494" s="41"/>
      <c r="T494" s="41"/>
      <c r="U494" s="41"/>
      <c r="V494" s="41"/>
      <c r="W494" s="41"/>
      <c r="X494" s="41"/>
      <c r="Y494" s="41"/>
      <c r="Z494" s="41"/>
    </row>
    <row r="495" ht="15.75" customHeight="1">
      <c r="A495" s="35"/>
      <c r="B495" s="35"/>
      <c r="C495" s="35"/>
      <c r="D495" s="35"/>
      <c r="E495" s="35"/>
      <c r="F495" s="35"/>
      <c r="G495" s="35"/>
      <c r="H495" s="35"/>
      <c r="I495" s="35"/>
      <c r="J495" s="41"/>
      <c r="K495" s="1"/>
      <c r="L495" s="41"/>
      <c r="M495" s="1"/>
      <c r="N495" s="41"/>
      <c r="O495" s="41"/>
      <c r="P495" s="41"/>
      <c r="Q495" s="41"/>
      <c r="R495" s="41"/>
      <c r="S495" s="41"/>
      <c r="T495" s="41"/>
      <c r="U495" s="41"/>
      <c r="V495" s="41"/>
      <c r="W495" s="41"/>
      <c r="X495" s="41"/>
      <c r="Y495" s="41"/>
      <c r="Z495" s="41"/>
    </row>
    <row r="496" ht="15.75" customHeight="1">
      <c r="A496" s="35"/>
      <c r="B496" s="35"/>
      <c r="C496" s="35"/>
      <c r="D496" s="35"/>
      <c r="E496" s="35"/>
      <c r="F496" s="35"/>
      <c r="G496" s="35"/>
      <c r="H496" s="35"/>
      <c r="I496" s="35"/>
      <c r="J496" s="41"/>
      <c r="K496" s="1"/>
      <c r="L496" s="41"/>
      <c r="M496" s="1"/>
      <c r="N496" s="41"/>
      <c r="O496" s="41"/>
      <c r="P496" s="41"/>
      <c r="Q496" s="41"/>
      <c r="R496" s="41"/>
      <c r="S496" s="41"/>
      <c r="T496" s="41"/>
      <c r="U496" s="41"/>
      <c r="V496" s="41"/>
      <c r="W496" s="41"/>
      <c r="X496" s="41"/>
      <c r="Y496" s="41"/>
      <c r="Z496" s="41"/>
    </row>
    <row r="497" ht="15.75" customHeight="1">
      <c r="A497" s="35"/>
      <c r="B497" s="35"/>
      <c r="C497" s="35"/>
      <c r="D497" s="35"/>
      <c r="E497" s="35"/>
      <c r="F497" s="35"/>
      <c r="G497" s="35"/>
      <c r="H497" s="35"/>
      <c r="I497" s="35"/>
      <c r="J497" s="41"/>
      <c r="K497" s="1"/>
      <c r="L497" s="41"/>
      <c r="M497" s="1"/>
      <c r="N497" s="41"/>
      <c r="O497" s="41"/>
      <c r="P497" s="41"/>
      <c r="Q497" s="41"/>
      <c r="R497" s="41"/>
      <c r="S497" s="41"/>
      <c r="T497" s="41"/>
      <c r="U497" s="41"/>
      <c r="V497" s="41"/>
      <c r="W497" s="41"/>
      <c r="X497" s="41"/>
      <c r="Y497" s="41"/>
      <c r="Z497" s="41"/>
    </row>
    <row r="498" ht="15.75" customHeight="1">
      <c r="A498" s="35"/>
      <c r="B498" s="35"/>
      <c r="C498" s="35"/>
      <c r="D498" s="35"/>
      <c r="E498" s="35"/>
      <c r="F498" s="35"/>
      <c r="G498" s="35"/>
      <c r="H498" s="35"/>
      <c r="I498" s="35"/>
      <c r="J498" s="41"/>
      <c r="K498" s="1"/>
      <c r="L498" s="41"/>
      <c r="M498" s="1"/>
      <c r="N498" s="41"/>
      <c r="O498" s="41"/>
      <c r="P498" s="41"/>
      <c r="Q498" s="41"/>
      <c r="R498" s="41"/>
      <c r="S498" s="41"/>
      <c r="T498" s="41"/>
      <c r="U498" s="41"/>
      <c r="V498" s="41"/>
      <c r="W498" s="41"/>
      <c r="X498" s="41"/>
      <c r="Y498" s="41"/>
      <c r="Z498" s="41"/>
    </row>
    <row r="499" ht="15.75" customHeight="1">
      <c r="A499" s="35"/>
      <c r="B499" s="35"/>
      <c r="C499" s="35"/>
      <c r="D499" s="35"/>
      <c r="E499" s="35"/>
      <c r="F499" s="35"/>
      <c r="G499" s="35"/>
      <c r="H499" s="35"/>
      <c r="I499" s="35"/>
      <c r="J499" s="41"/>
      <c r="K499" s="1"/>
      <c r="L499" s="41"/>
      <c r="M499" s="1"/>
      <c r="N499" s="41"/>
      <c r="O499" s="41"/>
      <c r="P499" s="41"/>
      <c r="Q499" s="41"/>
      <c r="R499" s="41"/>
      <c r="S499" s="41"/>
      <c r="T499" s="41"/>
      <c r="U499" s="41"/>
      <c r="V499" s="41"/>
      <c r="W499" s="41"/>
      <c r="X499" s="41"/>
      <c r="Y499" s="41"/>
      <c r="Z499" s="41"/>
    </row>
    <row r="500" ht="15.75" customHeight="1">
      <c r="A500" s="35"/>
      <c r="B500" s="35"/>
      <c r="C500" s="35"/>
      <c r="D500" s="35"/>
      <c r="E500" s="35"/>
      <c r="F500" s="35"/>
      <c r="G500" s="35"/>
      <c r="H500" s="35"/>
      <c r="I500" s="35"/>
      <c r="J500" s="41"/>
      <c r="K500" s="1"/>
      <c r="L500" s="41"/>
      <c r="M500" s="1"/>
      <c r="N500" s="41"/>
      <c r="O500" s="41"/>
      <c r="P500" s="41"/>
      <c r="Q500" s="41"/>
      <c r="R500" s="41"/>
      <c r="S500" s="41"/>
      <c r="T500" s="41"/>
      <c r="U500" s="41"/>
      <c r="V500" s="41"/>
      <c r="W500" s="41"/>
      <c r="X500" s="41"/>
      <c r="Y500" s="41"/>
      <c r="Z500" s="41"/>
    </row>
    <row r="501" ht="15.75" customHeight="1">
      <c r="A501" s="35"/>
      <c r="B501" s="35"/>
      <c r="C501" s="35"/>
      <c r="D501" s="35"/>
      <c r="E501" s="35"/>
      <c r="F501" s="35"/>
      <c r="G501" s="35"/>
      <c r="H501" s="35"/>
      <c r="I501" s="35"/>
      <c r="J501" s="41"/>
      <c r="K501" s="1"/>
      <c r="L501" s="41"/>
      <c r="M501" s="1"/>
      <c r="N501" s="41"/>
      <c r="O501" s="41"/>
      <c r="P501" s="41"/>
      <c r="Q501" s="41"/>
      <c r="R501" s="41"/>
      <c r="S501" s="41"/>
      <c r="T501" s="41"/>
      <c r="U501" s="41"/>
      <c r="V501" s="41"/>
      <c r="W501" s="41"/>
      <c r="X501" s="41"/>
      <c r="Y501" s="41"/>
      <c r="Z501" s="41"/>
    </row>
    <row r="502" ht="15.75" customHeight="1">
      <c r="A502" s="35"/>
      <c r="B502" s="35"/>
      <c r="C502" s="35"/>
      <c r="D502" s="35"/>
      <c r="E502" s="35"/>
      <c r="F502" s="35"/>
      <c r="G502" s="35"/>
      <c r="H502" s="35"/>
      <c r="I502" s="35"/>
      <c r="J502" s="41"/>
      <c r="K502" s="1"/>
      <c r="L502" s="41"/>
      <c r="M502" s="1"/>
      <c r="N502" s="41"/>
      <c r="O502" s="41"/>
      <c r="P502" s="41"/>
      <c r="Q502" s="41"/>
      <c r="R502" s="41"/>
      <c r="S502" s="41"/>
      <c r="T502" s="41"/>
      <c r="U502" s="41"/>
      <c r="V502" s="41"/>
      <c r="W502" s="41"/>
      <c r="X502" s="41"/>
      <c r="Y502" s="41"/>
      <c r="Z502" s="41"/>
    </row>
    <row r="503" ht="15.75" customHeight="1">
      <c r="A503" s="35"/>
      <c r="B503" s="35"/>
      <c r="C503" s="35"/>
      <c r="D503" s="35"/>
      <c r="E503" s="35"/>
      <c r="F503" s="35"/>
      <c r="G503" s="35"/>
      <c r="H503" s="35"/>
      <c r="I503" s="35"/>
      <c r="J503" s="41"/>
      <c r="K503" s="1"/>
      <c r="L503" s="41"/>
      <c r="M503" s="1"/>
      <c r="N503" s="41"/>
      <c r="O503" s="41"/>
      <c r="P503" s="41"/>
      <c r="Q503" s="41"/>
      <c r="R503" s="41"/>
      <c r="S503" s="41"/>
      <c r="T503" s="41"/>
      <c r="U503" s="41"/>
      <c r="V503" s="41"/>
      <c r="W503" s="41"/>
      <c r="X503" s="41"/>
      <c r="Y503" s="41"/>
      <c r="Z503" s="41"/>
    </row>
    <row r="504" ht="15.75" customHeight="1">
      <c r="A504" s="35"/>
      <c r="B504" s="35"/>
      <c r="C504" s="35"/>
      <c r="D504" s="35"/>
      <c r="E504" s="35"/>
      <c r="F504" s="35"/>
      <c r="G504" s="35"/>
      <c r="H504" s="35"/>
      <c r="I504" s="35"/>
      <c r="J504" s="41"/>
      <c r="K504" s="1"/>
      <c r="L504" s="41"/>
      <c r="M504" s="1"/>
      <c r="N504" s="41"/>
      <c r="O504" s="41"/>
      <c r="P504" s="41"/>
      <c r="Q504" s="41"/>
      <c r="R504" s="41"/>
      <c r="S504" s="41"/>
      <c r="T504" s="41"/>
      <c r="U504" s="41"/>
      <c r="V504" s="41"/>
      <c r="W504" s="41"/>
      <c r="X504" s="41"/>
      <c r="Y504" s="41"/>
      <c r="Z504" s="41"/>
    </row>
    <row r="505" ht="15.75" customHeight="1">
      <c r="A505" s="35"/>
      <c r="B505" s="35"/>
      <c r="C505" s="35"/>
      <c r="D505" s="35"/>
      <c r="E505" s="35"/>
      <c r="F505" s="35"/>
      <c r="G505" s="35"/>
      <c r="H505" s="35"/>
      <c r="I505" s="35"/>
      <c r="J505" s="41"/>
      <c r="K505" s="1"/>
      <c r="L505" s="41"/>
      <c r="M505" s="1"/>
      <c r="N505" s="41"/>
      <c r="O505" s="41"/>
      <c r="P505" s="41"/>
      <c r="Q505" s="41"/>
      <c r="R505" s="41"/>
      <c r="S505" s="41"/>
      <c r="T505" s="41"/>
      <c r="U505" s="41"/>
      <c r="V505" s="41"/>
      <c r="W505" s="41"/>
      <c r="X505" s="41"/>
      <c r="Y505" s="41"/>
      <c r="Z505" s="41"/>
    </row>
    <row r="506" ht="15.75" customHeight="1">
      <c r="A506" s="35"/>
      <c r="B506" s="35"/>
      <c r="C506" s="35"/>
      <c r="D506" s="35"/>
      <c r="E506" s="35"/>
      <c r="F506" s="35"/>
      <c r="G506" s="35"/>
      <c r="H506" s="35"/>
      <c r="I506" s="35"/>
      <c r="J506" s="41"/>
      <c r="K506" s="1"/>
      <c r="L506" s="41"/>
      <c r="M506" s="1"/>
      <c r="N506" s="41"/>
      <c r="O506" s="41"/>
      <c r="P506" s="41"/>
      <c r="Q506" s="41"/>
      <c r="R506" s="41"/>
      <c r="S506" s="41"/>
      <c r="T506" s="41"/>
      <c r="U506" s="41"/>
      <c r="V506" s="41"/>
      <c r="W506" s="41"/>
      <c r="X506" s="41"/>
      <c r="Y506" s="41"/>
      <c r="Z506" s="41"/>
    </row>
    <row r="507" ht="15.75" customHeight="1">
      <c r="A507" s="35"/>
      <c r="B507" s="35"/>
      <c r="C507" s="35"/>
      <c r="D507" s="35"/>
      <c r="E507" s="35"/>
      <c r="F507" s="35"/>
      <c r="G507" s="35"/>
      <c r="H507" s="35"/>
      <c r="I507" s="35"/>
      <c r="J507" s="41"/>
      <c r="K507" s="1"/>
      <c r="L507" s="41"/>
      <c r="M507" s="1"/>
      <c r="N507" s="41"/>
      <c r="O507" s="41"/>
      <c r="P507" s="41"/>
      <c r="Q507" s="41"/>
      <c r="R507" s="41"/>
      <c r="S507" s="41"/>
      <c r="T507" s="41"/>
      <c r="U507" s="41"/>
      <c r="V507" s="41"/>
      <c r="W507" s="41"/>
      <c r="X507" s="41"/>
      <c r="Y507" s="41"/>
      <c r="Z507" s="41"/>
    </row>
    <row r="508" ht="15.75" customHeight="1">
      <c r="A508" s="35"/>
      <c r="B508" s="35"/>
      <c r="C508" s="35"/>
      <c r="D508" s="35"/>
      <c r="E508" s="35"/>
      <c r="F508" s="35"/>
      <c r="G508" s="35"/>
      <c r="H508" s="35"/>
      <c r="I508" s="35"/>
      <c r="J508" s="41"/>
      <c r="K508" s="1"/>
      <c r="L508" s="41"/>
      <c r="M508" s="1"/>
      <c r="N508" s="41"/>
      <c r="O508" s="41"/>
      <c r="P508" s="41"/>
      <c r="Q508" s="41"/>
      <c r="R508" s="41"/>
      <c r="S508" s="41"/>
      <c r="T508" s="41"/>
      <c r="U508" s="41"/>
      <c r="V508" s="41"/>
      <c r="W508" s="41"/>
      <c r="X508" s="41"/>
      <c r="Y508" s="41"/>
      <c r="Z508" s="41"/>
    </row>
    <row r="509" ht="15.75" customHeight="1">
      <c r="A509" s="35"/>
      <c r="B509" s="35"/>
      <c r="C509" s="35"/>
      <c r="D509" s="35"/>
      <c r="E509" s="35"/>
      <c r="F509" s="35"/>
      <c r="G509" s="35"/>
      <c r="H509" s="35"/>
      <c r="I509" s="35"/>
      <c r="J509" s="41"/>
      <c r="K509" s="1"/>
      <c r="L509" s="41"/>
      <c r="M509" s="1"/>
      <c r="N509" s="41"/>
      <c r="O509" s="41"/>
      <c r="P509" s="41"/>
      <c r="Q509" s="41"/>
      <c r="R509" s="41"/>
      <c r="S509" s="41"/>
      <c r="T509" s="41"/>
      <c r="U509" s="41"/>
      <c r="V509" s="41"/>
      <c r="W509" s="41"/>
      <c r="X509" s="41"/>
      <c r="Y509" s="41"/>
      <c r="Z509" s="41"/>
    </row>
    <row r="510" ht="15.75" customHeight="1">
      <c r="A510" s="35"/>
      <c r="B510" s="35"/>
      <c r="C510" s="35"/>
      <c r="D510" s="35"/>
      <c r="E510" s="35"/>
      <c r="F510" s="35"/>
      <c r="G510" s="35"/>
      <c r="H510" s="35"/>
      <c r="I510" s="35"/>
      <c r="J510" s="41"/>
      <c r="K510" s="1"/>
      <c r="L510" s="41"/>
      <c r="M510" s="1"/>
      <c r="N510" s="41"/>
      <c r="O510" s="41"/>
      <c r="P510" s="41"/>
      <c r="Q510" s="41"/>
      <c r="R510" s="41"/>
      <c r="S510" s="41"/>
      <c r="T510" s="41"/>
      <c r="U510" s="41"/>
      <c r="V510" s="41"/>
      <c r="W510" s="41"/>
      <c r="X510" s="41"/>
      <c r="Y510" s="41"/>
      <c r="Z510" s="41"/>
    </row>
    <row r="511" ht="15.75" customHeight="1">
      <c r="A511" s="35"/>
      <c r="B511" s="35"/>
      <c r="C511" s="35"/>
      <c r="D511" s="35"/>
      <c r="E511" s="35"/>
      <c r="F511" s="35"/>
      <c r="G511" s="35"/>
      <c r="H511" s="35"/>
      <c r="I511" s="35"/>
      <c r="J511" s="41"/>
      <c r="K511" s="1"/>
      <c r="L511" s="41"/>
      <c r="M511" s="1"/>
      <c r="N511" s="41"/>
      <c r="O511" s="41"/>
      <c r="P511" s="41"/>
      <c r="Q511" s="41"/>
      <c r="R511" s="41"/>
      <c r="S511" s="41"/>
      <c r="T511" s="41"/>
      <c r="U511" s="41"/>
      <c r="V511" s="41"/>
      <c r="W511" s="41"/>
      <c r="X511" s="41"/>
      <c r="Y511" s="41"/>
      <c r="Z511" s="41"/>
    </row>
    <row r="512" ht="15.75" customHeight="1">
      <c r="A512" s="35"/>
      <c r="B512" s="35"/>
      <c r="C512" s="35"/>
      <c r="D512" s="35"/>
      <c r="E512" s="35"/>
      <c r="F512" s="35"/>
      <c r="G512" s="35"/>
      <c r="H512" s="35"/>
      <c r="I512" s="35"/>
      <c r="J512" s="41"/>
      <c r="K512" s="1"/>
      <c r="L512" s="41"/>
      <c r="M512" s="1"/>
      <c r="N512" s="41"/>
      <c r="O512" s="41"/>
      <c r="P512" s="41"/>
      <c r="Q512" s="41"/>
      <c r="R512" s="41"/>
      <c r="S512" s="41"/>
      <c r="T512" s="41"/>
      <c r="U512" s="41"/>
      <c r="V512" s="41"/>
      <c r="W512" s="41"/>
      <c r="X512" s="41"/>
      <c r="Y512" s="41"/>
      <c r="Z512" s="41"/>
    </row>
    <row r="513" ht="15.75" customHeight="1">
      <c r="A513" s="35"/>
      <c r="B513" s="35"/>
      <c r="C513" s="35"/>
      <c r="D513" s="35"/>
      <c r="E513" s="35"/>
      <c r="F513" s="35"/>
      <c r="G513" s="35"/>
      <c r="H513" s="35"/>
      <c r="I513" s="35"/>
      <c r="J513" s="41"/>
      <c r="K513" s="1"/>
      <c r="L513" s="41"/>
      <c r="M513" s="1"/>
      <c r="N513" s="41"/>
      <c r="O513" s="41"/>
      <c r="P513" s="41"/>
      <c r="Q513" s="41"/>
      <c r="R513" s="41"/>
      <c r="S513" s="41"/>
      <c r="T513" s="41"/>
      <c r="U513" s="41"/>
      <c r="V513" s="41"/>
      <c r="W513" s="41"/>
      <c r="X513" s="41"/>
      <c r="Y513" s="41"/>
      <c r="Z513" s="41"/>
    </row>
    <row r="514" ht="15.75" customHeight="1">
      <c r="A514" s="35"/>
      <c r="B514" s="35"/>
      <c r="C514" s="35"/>
      <c r="D514" s="35"/>
      <c r="E514" s="35"/>
      <c r="F514" s="35"/>
      <c r="G514" s="35"/>
      <c r="H514" s="35"/>
      <c r="I514" s="35"/>
      <c r="J514" s="41"/>
      <c r="K514" s="1"/>
      <c r="L514" s="41"/>
      <c r="M514" s="1"/>
      <c r="N514" s="41"/>
      <c r="O514" s="41"/>
      <c r="P514" s="41"/>
      <c r="Q514" s="41"/>
      <c r="R514" s="41"/>
      <c r="S514" s="41"/>
      <c r="T514" s="41"/>
      <c r="U514" s="41"/>
      <c r="V514" s="41"/>
      <c r="W514" s="41"/>
      <c r="X514" s="41"/>
      <c r="Y514" s="41"/>
      <c r="Z514" s="41"/>
    </row>
    <row r="515" ht="15.75" customHeight="1">
      <c r="A515" s="35"/>
      <c r="B515" s="35"/>
      <c r="C515" s="35"/>
      <c r="D515" s="35"/>
      <c r="E515" s="35"/>
      <c r="F515" s="35"/>
      <c r="G515" s="35"/>
      <c r="H515" s="35"/>
      <c r="I515" s="35"/>
      <c r="J515" s="41"/>
      <c r="K515" s="1"/>
      <c r="L515" s="41"/>
      <c r="M515" s="1"/>
      <c r="N515" s="41"/>
      <c r="O515" s="41"/>
      <c r="P515" s="41"/>
      <c r="Q515" s="41"/>
      <c r="R515" s="41"/>
      <c r="S515" s="41"/>
      <c r="T515" s="41"/>
      <c r="U515" s="41"/>
      <c r="V515" s="41"/>
      <c r="W515" s="41"/>
      <c r="X515" s="41"/>
      <c r="Y515" s="41"/>
      <c r="Z515" s="41"/>
    </row>
    <row r="516" ht="15.75" customHeight="1">
      <c r="A516" s="35"/>
      <c r="B516" s="35"/>
      <c r="C516" s="35"/>
      <c r="D516" s="35"/>
      <c r="E516" s="35"/>
      <c r="F516" s="35"/>
      <c r="G516" s="35"/>
      <c r="H516" s="35"/>
      <c r="I516" s="35"/>
      <c r="J516" s="41"/>
      <c r="K516" s="1"/>
      <c r="L516" s="41"/>
      <c r="M516" s="1"/>
      <c r="N516" s="41"/>
      <c r="O516" s="41"/>
      <c r="P516" s="41"/>
      <c r="Q516" s="41"/>
      <c r="R516" s="41"/>
      <c r="S516" s="41"/>
      <c r="T516" s="41"/>
      <c r="U516" s="41"/>
      <c r="V516" s="41"/>
      <c r="W516" s="41"/>
      <c r="X516" s="41"/>
      <c r="Y516" s="41"/>
      <c r="Z516" s="41"/>
    </row>
    <row r="517" ht="15.75" customHeight="1">
      <c r="A517" s="35"/>
      <c r="B517" s="35"/>
      <c r="C517" s="35"/>
      <c r="D517" s="35"/>
      <c r="E517" s="35"/>
      <c r="F517" s="35"/>
      <c r="G517" s="35"/>
      <c r="H517" s="35"/>
      <c r="I517" s="35"/>
      <c r="J517" s="41"/>
      <c r="K517" s="1"/>
      <c r="L517" s="41"/>
      <c r="M517" s="1"/>
      <c r="N517" s="41"/>
      <c r="O517" s="41"/>
      <c r="P517" s="41"/>
      <c r="Q517" s="41"/>
      <c r="R517" s="41"/>
      <c r="S517" s="41"/>
      <c r="T517" s="41"/>
      <c r="U517" s="41"/>
      <c r="V517" s="41"/>
      <c r="W517" s="41"/>
      <c r="X517" s="41"/>
      <c r="Y517" s="41"/>
      <c r="Z517" s="41"/>
    </row>
    <row r="518" ht="15.75" customHeight="1">
      <c r="A518" s="35"/>
      <c r="B518" s="35"/>
      <c r="C518" s="35"/>
      <c r="D518" s="35"/>
      <c r="E518" s="35"/>
      <c r="F518" s="35"/>
      <c r="G518" s="35"/>
      <c r="H518" s="35"/>
      <c r="I518" s="35"/>
      <c r="J518" s="41"/>
      <c r="K518" s="1"/>
      <c r="L518" s="41"/>
      <c r="M518" s="1"/>
      <c r="N518" s="41"/>
      <c r="O518" s="41"/>
      <c r="P518" s="41"/>
      <c r="Q518" s="41"/>
      <c r="R518" s="41"/>
      <c r="S518" s="41"/>
      <c r="T518" s="41"/>
      <c r="U518" s="41"/>
      <c r="V518" s="41"/>
      <c r="W518" s="41"/>
      <c r="X518" s="41"/>
      <c r="Y518" s="41"/>
      <c r="Z518" s="41"/>
    </row>
    <row r="519" ht="15.75" customHeight="1">
      <c r="A519" s="35"/>
      <c r="B519" s="35"/>
      <c r="C519" s="35"/>
      <c r="D519" s="35"/>
      <c r="E519" s="35"/>
      <c r="F519" s="35"/>
      <c r="G519" s="35"/>
      <c r="H519" s="35"/>
      <c r="I519" s="35"/>
      <c r="J519" s="41"/>
      <c r="K519" s="1"/>
      <c r="L519" s="41"/>
      <c r="M519" s="1"/>
      <c r="N519" s="41"/>
      <c r="O519" s="41"/>
      <c r="P519" s="41"/>
      <c r="Q519" s="41"/>
      <c r="R519" s="41"/>
      <c r="S519" s="41"/>
      <c r="T519" s="41"/>
      <c r="U519" s="41"/>
      <c r="V519" s="41"/>
      <c r="W519" s="41"/>
      <c r="X519" s="41"/>
      <c r="Y519" s="41"/>
      <c r="Z519" s="41"/>
    </row>
    <row r="520" ht="15.75" customHeight="1">
      <c r="A520" s="35"/>
      <c r="B520" s="35"/>
      <c r="C520" s="35"/>
      <c r="D520" s="35"/>
      <c r="E520" s="35"/>
      <c r="F520" s="35"/>
      <c r="G520" s="35"/>
      <c r="H520" s="35"/>
      <c r="I520" s="35"/>
      <c r="J520" s="41"/>
      <c r="K520" s="1"/>
      <c r="L520" s="41"/>
      <c r="M520" s="1"/>
      <c r="N520" s="41"/>
      <c r="O520" s="41"/>
      <c r="P520" s="41"/>
      <c r="Q520" s="41"/>
      <c r="R520" s="41"/>
      <c r="S520" s="41"/>
      <c r="T520" s="41"/>
      <c r="U520" s="41"/>
      <c r="V520" s="41"/>
      <c r="W520" s="41"/>
      <c r="X520" s="41"/>
      <c r="Y520" s="41"/>
      <c r="Z520" s="41"/>
    </row>
    <row r="521" ht="15.75" customHeight="1">
      <c r="A521" s="35"/>
      <c r="B521" s="35"/>
      <c r="C521" s="35"/>
      <c r="D521" s="35"/>
      <c r="E521" s="35"/>
      <c r="F521" s="35"/>
      <c r="G521" s="35"/>
      <c r="H521" s="35"/>
      <c r="I521" s="35"/>
      <c r="J521" s="41"/>
      <c r="K521" s="1"/>
      <c r="L521" s="41"/>
      <c r="M521" s="1"/>
      <c r="N521" s="41"/>
      <c r="O521" s="41"/>
      <c r="P521" s="41"/>
      <c r="Q521" s="41"/>
      <c r="R521" s="41"/>
      <c r="S521" s="41"/>
      <c r="T521" s="41"/>
      <c r="U521" s="41"/>
      <c r="V521" s="41"/>
      <c r="W521" s="41"/>
      <c r="X521" s="41"/>
      <c r="Y521" s="41"/>
      <c r="Z521" s="41"/>
    </row>
    <row r="522" ht="15.75" customHeight="1">
      <c r="A522" s="35"/>
      <c r="B522" s="35"/>
      <c r="C522" s="35"/>
      <c r="D522" s="35"/>
      <c r="E522" s="35"/>
      <c r="F522" s="35"/>
      <c r="G522" s="35"/>
      <c r="H522" s="35"/>
      <c r="I522" s="35"/>
      <c r="J522" s="41"/>
      <c r="K522" s="1"/>
      <c r="L522" s="41"/>
      <c r="M522" s="1"/>
      <c r="N522" s="41"/>
      <c r="O522" s="41"/>
      <c r="P522" s="41"/>
      <c r="Q522" s="41"/>
      <c r="R522" s="41"/>
      <c r="S522" s="41"/>
      <c r="T522" s="41"/>
      <c r="U522" s="41"/>
      <c r="V522" s="41"/>
      <c r="W522" s="41"/>
      <c r="X522" s="41"/>
      <c r="Y522" s="41"/>
      <c r="Z522" s="41"/>
    </row>
    <row r="523" ht="15.75" customHeight="1">
      <c r="A523" s="35"/>
      <c r="B523" s="35"/>
      <c r="C523" s="35"/>
      <c r="D523" s="35"/>
      <c r="E523" s="35"/>
      <c r="F523" s="35"/>
      <c r="G523" s="35"/>
      <c r="H523" s="35"/>
      <c r="I523" s="35"/>
      <c r="J523" s="41"/>
      <c r="K523" s="1"/>
      <c r="L523" s="41"/>
      <c r="M523" s="1"/>
      <c r="N523" s="41"/>
      <c r="O523" s="41"/>
      <c r="P523" s="41"/>
      <c r="Q523" s="41"/>
      <c r="R523" s="41"/>
      <c r="S523" s="41"/>
      <c r="T523" s="41"/>
      <c r="U523" s="41"/>
      <c r="V523" s="41"/>
      <c r="W523" s="41"/>
      <c r="X523" s="41"/>
      <c r="Y523" s="41"/>
      <c r="Z523" s="41"/>
    </row>
    <row r="524" ht="15.75" customHeight="1">
      <c r="A524" s="35"/>
      <c r="B524" s="35"/>
      <c r="C524" s="35"/>
      <c r="D524" s="35"/>
      <c r="E524" s="35"/>
      <c r="F524" s="35"/>
      <c r="G524" s="35"/>
      <c r="H524" s="35"/>
      <c r="I524" s="35"/>
      <c r="J524" s="41"/>
      <c r="K524" s="1"/>
      <c r="L524" s="41"/>
      <c r="M524" s="1"/>
      <c r="N524" s="41"/>
      <c r="O524" s="41"/>
      <c r="P524" s="41"/>
      <c r="Q524" s="41"/>
      <c r="R524" s="41"/>
      <c r="S524" s="41"/>
      <c r="T524" s="41"/>
      <c r="U524" s="41"/>
      <c r="V524" s="41"/>
      <c r="W524" s="41"/>
      <c r="X524" s="41"/>
      <c r="Y524" s="41"/>
      <c r="Z524" s="41"/>
    </row>
    <row r="525" ht="15.75" customHeight="1">
      <c r="A525" s="35"/>
      <c r="B525" s="35"/>
      <c r="C525" s="35"/>
      <c r="D525" s="35"/>
      <c r="E525" s="35"/>
      <c r="F525" s="35"/>
      <c r="G525" s="35"/>
      <c r="H525" s="35"/>
      <c r="I525" s="35"/>
      <c r="J525" s="41"/>
      <c r="K525" s="1"/>
      <c r="L525" s="41"/>
      <c r="M525" s="1"/>
      <c r="N525" s="41"/>
      <c r="O525" s="41"/>
      <c r="P525" s="41"/>
      <c r="Q525" s="41"/>
      <c r="R525" s="41"/>
      <c r="S525" s="41"/>
      <c r="T525" s="41"/>
      <c r="U525" s="41"/>
      <c r="V525" s="41"/>
      <c r="W525" s="41"/>
      <c r="X525" s="41"/>
      <c r="Y525" s="41"/>
      <c r="Z525" s="41"/>
    </row>
    <row r="526" ht="15.75" customHeight="1">
      <c r="A526" s="35"/>
      <c r="B526" s="35"/>
      <c r="C526" s="35"/>
      <c r="D526" s="35"/>
      <c r="E526" s="35"/>
      <c r="F526" s="35"/>
      <c r="G526" s="35"/>
      <c r="H526" s="35"/>
      <c r="I526" s="35"/>
      <c r="J526" s="41"/>
      <c r="K526" s="1"/>
      <c r="L526" s="41"/>
      <c r="M526" s="1"/>
      <c r="N526" s="41"/>
      <c r="O526" s="41"/>
      <c r="P526" s="41"/>
      <c r="Q526" s="41"/>
      <c r="R526" s="41"/>
      <c r="S526" s="41"/>
      <c r="T526" s="41"/>
      <c r="U526" s="41"/>
      <c r="V526" s="41"/>
      <c r="W526" s="41"/>
      <c r="X526" s="41"/>
      <c r="Y526" s="41"/>
      <c r="Z526" s="41"/>
    </row>
    <row r="527" ht="15.75" customHeight="1">
      <c r="A527" s="35"/>
      <c r="B527" s="35"/>
      <c r="C527" s="35"/>
      <c r="D527" s="35"/>
      <c r="E527" s="35"/>
      <c r="F527" s="35"/>
      <c r="G527" s="35"/>
      <c r="H527" s="35"/>
      <c r="I527" s="35"/>
      <c r="J527" s="41"/>
      <c r="K527" s="1"/>
      <c r="L527" s="41"/>
      <c r="M527" s="1"/>
      <c r="N527" s="41"/>
      <c r="O527" s="41"/>
      <c r="P527" s="41"/>
      <c r="Q527" s="41"/>
      <c r="R527" s="41"/>
      <c r="S527" s="41"/>
      <c r="T527" s="41"/>
      <c r="U527" s="41"/>
      <c r="V527" s="41"/>
      <c r="W527" s="41"/>
      <c r="X527" s="41"/>
      <c r="Y527" s="41"/>
      <c r="Z527" s="41"/>
    </row>
    <row r="528" ht="15.75" customHeight="1">
      <c r="A528" s="35"/>
      <c r="B528" s="35"/>
      <c r="C528" s="35"/>
      <c r="D528" s="35"/>
      <c r="E528" s="35"/>
      <c r="F528" s="35"/>
      <c r="G528" s="35"/>
      <c r="H528" s="35"/>
      <c r="I528" s="35"/>
      <c r="J528" s="41"/>
      <c r="K528" s="1"/>
      <c r="L528" s="41"/>
      <c r="M528" s="1"/>
      <c r="N528" s="41"/>
      <c r="O528" s="41"/>
      <c r="P528" s="41"/>
      <c r="Q528" s="41"/>
      <c r="R528" s="41"/>
      <c r="S528" s="41"/>
      <c r="T528" s="41"/>
      <c r="U528" s="41"/>
      <c r="V528" s="41"/>
      <c r="W528" s="41"/>
      <c r="X528" s="41"/>
      <c r="Y528" s="41"/>
      <c r="Z528" s="41"/>
    </row>
    <row r="529" ht="15.75" customHeight="1">
      <c r="A529" s="35"/>
      <c r="B529" s="35"/>
      <c r="C529" s="35"/>
      <c r="D529" s="35"/>
      <c r="E529" s="35"/>
      <c r="F529" s="35"/>
      <c r="G529" s="35"/>
      <c r="H529" s="35"/>
      <c r="I529" s="35"/>
      <c r="J529" s="41"/>
      <c r="K529" s="1"/>
      <c r="L529" s="41"/>
      <c r="M529" s="1"/>
      <c r="N529" s="41"/>
      <c r="O529" s="41"/>
      <c r="P529" s="41"/>
      <c r="Q529" s="41"/>
      <c r="R529" s="41"/>
      <c r="S529" s="41"/>
      <c r="T529" s="41"/>
      <c r="U529" s="41"/>
      <c r="V529" s="41"/>
      <c r="W529" s="41"/>
      <c r="X529" s="41"/>
      <c r="Y529" s="41"/>
      <c r="Z529" s="41"/>
    </row>
    <row r="530" ht="15.75" customHeight="1">
      <c r="A530" s="35"/>
      <c r="B530" s="35"/>
      <c r="C530" s="35"/>
      <c r="D530" s="35"/>
      <c r="E530" s="35"/>
      <c r="F530" s="35"/>
      <c r="G530" s="35"/>
      <c r="H530" s="35"/>
      <c r="I530" s="35"/>
      <c r="J530" s="41"/>
      <c r="K530" s="1"/>
      <c r="L530" s="41"/>
      <c r="M530" s="1"/>
      <c r="N530" s="41"/>
      <c r="O530" s="41"/>
      <c r="P530" s="41"/>
      <c r="Q530" s="41"/>
      <c r="R530" s="41"/>
      <c r="S530" s="41"/>
      <c r="T530" s="41"/>
      <c r="U530" s="41"/>
      <c r="V530" s="41"/>
      <c r="W530" s="41"/>
      <c r="X530" s="41"/>
      <c r="Y530" s="41"/>
      <c r="Z530" s="41"/>
    </row>
    <row r="531" ht="15.75" customHeight="1">
      <c r="A531" s="35"/>
      <c r="B531" s="35"/>
      <c r="C531" s="35"/>
      <c r="D531" s="35"/>
      <c r="E531" s="35"/>
      <c r="F531" s="35"/>
      <c r="G531" s="35"/>
      <c r="H531" s="35"/>
      <c r="I531" s="35"/>
      <c r="J531" s="41"/>
      <c r="K531" s="1"/>
      <c r="L531" s="41"/>
      <c r="M531" s="1"/>
      <c r="N531" s="41"/>
      <c r="O531" s="41"/>
      <c r="P531" s="41"/>
      <c r="Q531" s="41"/>
      <c r="R531" s="41"/>
      <c r="S531" s="41"/>
      <c r="T531" s="41"/>
      <c r="U531" s="41"/>
      <c r="V531" s="41"/>
      <c r="W531" s="41"/>
      <c r="X531" s="41"/>
      <c r="Y531" s="41"/>
      <c r="Z531" s="41"/>
    </row>
    <row r="532" ht="15.75" customHeight="1">
      <c r="A532" s="35"/>
      <c r="B532" s="35"/>
      <c r="C532" s="35"/>
      <c r="D532" s="35"/>
      <c r="E532" s="35"/>
      <c r="F532" s="35"/>
      <c r="G532" s="35"/>
      <c r="H532" s="35"/>
      <c r="I532" s="35"/>
      <c r="J532" s="41"/>
      <c r="K532" s="1"/>
      <c r="L532" s="41"/>
      <c r="M532" s="1"/>
      <c r="N532" s="41"/>
      <c r="O532" s="41"/>
      <c r="P532" s="41"/>
      <c r="Q532" s="41"/>
      <c r="R532" s="41"/>
      <c r="S532" s="41"/>
      <c r="T532" s="41"/>
      <c r="U532" s="41"/>
      <c r="V532" s="41"/>
      <c r="W532" s="41"/>
      <c r="X532" s="41"/>
      <c r="Y532" s="41"/>
      <c r="Z532" s="41"/>
    </row>
    <row r="533" ht="15.75" customHeight="1">
      <c r="A533" s="35"/>
      <c r="B533" s="35"/>
      <c r="C533" s="35"/>
      <c r="D533" s="35"/>
      <c r="E533" s="35"/>
      <c r="F533" s="35"/>
      <c r="G533" s="35"/>
      <c r="H533" s="35"/>
      <c r="I533" s="35"/>
      <c r="J533" s="41"/>
      <c r="K533" s="1"/>
      <c r="L533" s="41"/>
      <c r="M533" s="1"/>
      <c r="N533" s="41"/>
      <c r="O533" s="41"/>
      <c r="P533" s="41"/>
      <c r="Q533" s="41"/>
      <c r="R533" s="41"/>
      <c r="S533" s="41"/>
      <c r="T533" s="41"/>
      <c r="U533" s="41"/>
      <c r="V533" s="41"/>
      <c r="W533" s="41"/>
      <c r="X533" s="41"/>
      <c r="Y533" s="41"/>
      <c r="Z533" s="41"/>
    </row>
    <row r="534" ht="15.75" customHeight="1">
      <c r="A534" s="35"/>
      <c r="B534" s="35"/>
      <c r="C534" s="35"/>
      <c r="D534" s="35"/>
      <c r="E534" s="35"/>
      <c r="F534" s="35"/>
      <c r="G534" s="35"/>
      <c r="H534" s="35"/>
      <c r="I534" s="35"/>
      <c r="J534" s="41"/>
      <c r="K534" s="1"/>
      <c r="L534" s="41"/>
      <c r="M534" s="1"/>
      <c r="N534" s="41"/>
      <c r="O534" s="41"/>
      <c r="P534" s="41"/>
      <c r="Q534" s="41"/>
      <c r="R534" s="41"/>
      <c r="S534" s="41"/>
      <c r="T534" s="41"/>
      <c r="U534" s="41"/>
      <c r="V534" s="41"/>
      <c r="W534" s="41"/>
      <c r="X534" s="41"/>
      <c r="Y534" s="41"/>
      <c r="Z534" s="41"/>
    </row>
    <row r="535" ht="15.75" customHeight="1">
      <c r="A535" s="35"/>
      <c r="B535" s="35"/>
      <c r="C535" s="35"/>
      <c r="D535" s="35"/>
      <c r="E535" s="35"/>
      <c r="F535" s="35"/>
      <c r="G535" s="35"/>
      <c r="H535" s="35"/>
      <c r="I535" s="35"/>
      <c r="J535" s="41"/>
      <c r="K535" s="1"/>
      <c r="L535" s="41"/>
      <c r="M535" s="1"/>
      <c r="N535" s="41"/>
      <c r="O535" s="41"/>
      <c r="P535" s="41"/>
      <c r="Q535" s="41"/>
      <c r="R535" s="41"/>
      <c r="S535" s="41"/>
      <c r="T535" s="41"/>
      <c r="U535" s="41"/>
      <c r="V535" s="41"/>
      <c r="W535" s="41"/>
      <c r="X535" s="41"/>
      <c r="Y535" s="41"/>
      <c r="Z535" s="41"/>
    </row>
    <row r="536" ht="15.75" customHeight="1">
      <c r="A536" s="35"/>
      <c r="B536" s="35"/>
      <c r="C536" s="35"/>
      <c r="D536" s="35"/>
      <c r="E536" s="35"/>
      <c r="F536" s="35"/>
      <c r="G536" s="35"/>
      <c r="H536" s="35"/>
      <c r="I536" s="35"/>
      <c r="J536" s="41"/>
      <c r="K536" s="1"/>
      <c r="L536" s="41"/>
      <c r="M536" s="1"/>
      <c r="N536" s="41"/>
      <c r="O536" s="41"/>
      <c r="P536" s="41"/>
      <c r="Q536" s="41"/>
      <c r="R536" s="41"/>
      <c r="S536" s="41"/>
      <c r="T536" s="41"/>
      <c r="U536" s="41"/>
      <c r="V536" s="41"/>
      <c r="W536" s="41"/>
      <c r="X536" s="41"/>
      <c r="Y536" s="41"/>
      <c r="Z536" s="41"/>
    </row>
    <row r="537" ht="15.75" customHeight="1">
      <c r="A537" s="35"/>
      <c r="B537" s="35"/>
      <c r="C537" s="35"/>
      <c r="D537" s="35"/>
      <c r="E537" s="35"/>
      <c r="F537" s="35"/>
      <c r="G537" s="35"/>
      <c r="H537" s="35"/>
      <c r="I537" s="35"/>
      <c r="J537" s="41"/>
      <c r="K537" s="1"/>
      <c r="L537" s="41"/>
      <c r="M537" s="1"/>
      <c r="N537" s="41"/>
      <c r="O537" s="41"/>
      <c r="P537" s="41"/>
      <c r="Q537" s="41"/>
      <c r="R537" s="41"/>
      <c r="S537" s="41"/>
      <c r="T537" s="41"/>
      <c r="U537" s="41"/>
      <c r="V537" s="41"/>
      <c r="W537" s="41"/>
      <c r="X537" s="41"/>
      <c r="Y537" s="41"/>
      <c r="Z537" s="41"/>
    </row>
    <row r="538" ht="15.75" customHeight="1">
      <c r="A538" s="35"/>
      <c r="B538" s="35"/>
      <c r="C538" s="35"/>
      <c r="D538" s="35"/>
      <c r="E538" s="35"/>
      <c r="F538" s="35"/>
      <c r="G538" s="35"/>
      <c r="H538" s="35"/>
      <c r="I538" s="35"/>
      <c r="J538" s="41"/>
      <c r="K538" s="1"/>
      <c r="L538" s="41"/>
      <c r="M538" s="1"/>
      <c r="N538" s="41"/>
      <c r="O538" s="41"/>
      <c r="P538" s="41"/>
      <c r="Q538" s="41"/>
      <c r="R538" s="41"/>
      <c r="S538" s="41"/>
      <c r="T538" s="41"/>
      <c r="U538" s="41"/>
      <c r="V538" s="41"/>
      <c r="W538" s="41"/>
      <c r="X538" s="41"/>
      <c r="Y538" s="41"/>
      <c r="Z538" s="41"/>
    </row>
    <row r="539" ht="15.75" customHeight="1">
      <c r="A539" s="35"/>
      <c r="B539" s="35"/>
      <c r="C539" s="35"/>
      <c r="D539" s="35"/>
      <c r="E539" s="35"/>
      <c r="F539" s="35"/>
      <c r="G539" s="35"/>
      <c r="H539" s="35"/>
      <c r="I539" s="35"/>
      <c r="J539" s="41"/>
      <c r="K539" s="1"/>
      <c r="L539" s="41"/>
      <c r="M539" s="1"/>
      <c r="N539" s="41"/>
      <c r="O539" s="41"/>
      <c r="P539" s="41"/>
      <c r="Q539" s="41"/>
      <c r="R539" s="41"/>
      <c r="S539" s="41"/>
      <c r="T539" s="41"/>
      <c r="U539" s="41"/>
      <c r="V539" s="41"/>
      <c r="W539" s="41"/>
      <c r="X539" s="41"/>
      <c r="Y539" s="41"/>
      <c r="Z539" s="41"/>
    </row>
    <row r="540" ht="15.75" customHeight="1">
      <c r="A540" s="35"/>
      <c r="B540" s="35"/>
      <c r="C540" s="35"/>
      <c r="D540" s="35"/>
      <c r="E540" s="35"/>
      <c r="F540" s="35"/>
      <c r="G540" s="35"/>
      <c r="H540" s="35"/>
      <c r="I540" s="35"/>
      <c r="J540" s="41"/>
      <c r="K540" s="1"/>
      <c r="L540" s="41"/>
      <c r="M540" s="1"/>
      <c r="N540" s="41"/>
      <c r="O540" s="41"/>
      <c r="P540" s="41"/>
      <c r="Q540" s="41"/>
      <c r="R540" s="41"/>
      <c r="S540" s="41"/>
      <c r="T540" s="41"/>
      <c r="U540" s="41"/>
      <c r="V540" s="41"/>
      <c r="W540" s="41"/>
      <c r="X540" s="41"/>
      <c r="Y540" s="41"/>
      <c r="Z540" s="41"/>
    </row>
    <row r="541" ht="15.75" customHeight="1">
      <c r="A541" s="35"/>
      <c r="B541" s="35"/>
      <c r="C541" s="35"/>
      <c r="D541" s="35"/>
      <c r="E541" s="35"/>
      <c r="F541" s="35"/>
      <c r="G541" s="35"/>
      <c r="H541" s="35"/>
      <c r="I541" s="35"/>
      <c r="J541" s="41"/>
      <c r="K541" s="1"/>
      <c r="L541" s="41"/>
      <c r="M541" s="1"/>
      <c r="N541" s="41"/>
      <c r="O541" s="41"/>
      <c r="P541" s="41"/>
      <c r="Q541" s="41"/>
      <c r="R541" s="41"/>
      <c r="S541" s="41"/>
      <c r="T541" s="41"/>
      <c r="U541" s="41"/>
      <c r="V541" s="41"/>
      <c r="W541" s="41"/>
      <c r="X541" s="41"/>
      <c r="Y541" s="41"/>
      <c r="Z541" s="41"/>
    </row>
    <row r="542" ht="15.75" customHeight="1">
      <c r="A542" s="35"/>
      <c r="B542" s="35"/>
      <c r="C542" s="35"/>
      <c r="D542" s="35"/>
      <c r="E542" s="35"/>
      <c r="F542" s="35"/>
      <c r="G542" s="35"/>
      <c r="H542" s="35"/>
      <c r="I542" s="35"/>
      <c r="J542" s="41"/>
      <c r="K542" s="1"/>
      <c r="L542" s="41"/>
      <c r="M542" s="1"/>
      <c r="N542" s="41"/>
      <c r="O542" s="41"/>
      <c r="P542" s="41"/>
      <c r="Q542" s="41"/>
      <c r="R542" s="41"/>
      <c r="S542" s="41"/>
      <c r="T542" s="41"/>
      <c r="U542" s="41"/>
      <c r="V542" s="41"/>
      <c r="W542" s="41"/>
      <c r="X542" s="41"/>
      <c r="Y542" s="41"/>
      <c r="Z542" s="41"/>
    </row>
    <row r="543" ht="15.75" customHeight="1">
      <c r="A543" s="35"/>
      <c r="B543" s="35"/>
      <c r="C543" s="35"/>
      <c r="D543" s="35"/>
      <c r="E543" s="35"/>
      <c r="F543" s="35"/>
      <c r="G543" s="35"/>
      <c r="H543" s="35"/>
      <c r="I543" s="35"/>
      <c r="J543" s="41"/>
      <c r="K543" s="1"/>
      <c r="L543" s="41"/>
      <c r="M543" s="1"/>
      <c r="N543" s="41"/>
      <c r="O543" s="41"/>
      <c r="P543" s="41"/>
      <c r="Q543" s="41"/>
      <c r="R543" s="41"/>
      <c r="S543" s="41"/>
      <c r="T543" s="41"/>
      <c r="U543" s="41"/>
      <c r="V543" s="41"/>
      <c r="W543" s="41"/>
      <c r="X543" s="41"/>
      <c r="Y543" s="41"/>
      <c r="Z543" s="41"/>
    </row>
    <row r="544" ht="15.75" customHeight="1">
      <c r="A544" s="35"/>
      <c r="B544" s="35"/>
      <c r="C544" s="35"/>
      <c r="D544" s="35"/>
      <c r="E544" s="35"/>
      <c r="F544" s="35"/>
      <c r="G544" s="35"/>
      <c r="H544" s="35"/>
      <c r="I544" s="35"/>
      <c r="J544" s="41"/>
      <c r="K544" s="1"/>
      <c r="L544" s="41"/>
      <c r="M544" s="1"/>
      <c r="N544" s="41"/>
      <c r="O544" s="41"/>
      <c r="P544" s="41"/>
      <c r="Q544" s="41"/>
      <c r="R544" s="41"/>
      <c r="S544" s="41"/>
      <c r="T544" s="41"/>
      <c r="U544" s="41"/>
      <c r="V544" s="41"/>
      <c r="W544" s="41"/>
      <c r="X544" s="41"/>
      <c r="Y544" s="41"/>
      <c r="Z544" s="41"/>
    </row>
    <row r="545" ht="15.75" customHeight="1">
      <c r="A545" s="35"/>
      <c r="B545" s="35"/>
      <c r="C545" s="35"/>
      <c r="D545" s="35"/>
      <c r="E545" s="35"/>
      <c r="F545" s="35"/>
      <c r="G545" s="35"/>
      <c r="H545" s="35"/>
      <c r="I545" s="35"/>
      <c r="J545" s="41"/>
      <c r="K545" s="1"/>
      <c r="L545" s="41"/>
      <c r="M545" s="1"/>
      <c r="N545" s="41"/>
      <c r="O545" s="41"/>
      <c r="P545" s="41"/>
      <c r="Q545" s="41"/>
      <c r="R545" s="41"/>
      <c r="S545" s="41"/>
      <c r="T545" s="41"/>
      <c r="U545" s="41"/>
      <c r="V545" s="41"/>
      <c r="W545" s="41"/>
      <c r="X545" s="41"/>
      <c r="Y545" s="41"/>
      <c r="Z545" s="41"/>
    </row>
    <row r="546" ht="15.75" customHeight="1">
      <c r="A546" s="35"/>
      <c r="B546" s="35"/>
      <c r="C546" s="35"/>
      <c r="D546" s="35"/>
      <c r="E546" s="35"/>
      <c r="F546" s="35"/>
      <c r="G546" s="35"/>
      <c r="H546" s="35"/>
      <c r="I546" s="35"/>
      <c r="J546" s="41"/>
      <c r="K546" s="1"/>
      <c r="L546" s="41"/>
      <c r="M546" s="1"/>
      <c r="N546" s="41"/>
      <c r="O546" s="41"/>
      <c r="P546" s="41"/>
      <c r="Q546" s="41"/>
      <c r="R546" s="41"/>
      <c r="S546" s="41"/>
      <c r="T546" s="41"/>
      <c r="U546" s="41"/>
      <c r="V546" s="41"/>
      <c r="W546" s="41"/>
      <c r="X546" s="41"/>
      <c r="Y546" s="41"/>
      <c r="Z546" s="41"/>
    </row>
    <row r="547" ht="15.75" customHeight="1">
      <c r="A547" s="35"/>
      <c r="B547" s="35"/>
      <c r="C547" s="35"/>
      <c r="D547" s="35"/>
      <c r="E547" s="35"/>
      <c r="F547" s="35"/>
      <c r="G547" s="35"/>
      <c r="H547" s="35"/>
      <c r="I547" s="35"/>
      <c r="J547" s="41"/>
      <c r="K547" s="1"/>
      <c r="L547" s="41"/>
      <c r="M547" s="1"/>
      <c r="N547" s="41"/>
      <c r="O547" s="41"/>
      <c r="P547" s="41"/>
      <c r="Q547" s="41"/>
      <c r="R547" s="41"/>
      <c r="S547" s="41"/>
      <c r="T547" s="41"/>
      <c r="U547" s="41"/>
      <c r="V547" s="41"/>
      <c r="W547" s="41"/>
      <c r="X547" s="41"/>
      <c r="Y547" s="41"/>
      <c r="Z547" s="41"/>
    </row>
    <row r="548" ht="15.75" customHeight="1">
      <c r="A548" s="35"/>
      <c r="B548" s="35"/>
      <c r="C548" s="35"/>
      <c r="D548" s="35"/>
      <c r="E548" s="35"/>
      <c r="F548" s="35"/>
      <c r="G548" s="35"/>
      <c r="H548" s="35"/>
      <c r="I548" s="35"/>
      <c r="J548" s="41"/>
      <c r="K548" s="1"/>
      <c r="L548" s="41"/>
      <c r="M548" s="1"/>
      <c r="N548" s="41"/>
      <c r="O548" s="41"/>
      <c r="P548" s="41"/>
      <c r="Q548" s="41"/>
      <c r="R548" s="41"/>
      <c r="S548" s="41"/>
      <c r="T548" s="41"/>
      <c r="U548" s="41"/>
      <c r="V548" s="41"/>
      <c r="W548" s="41"/>
      <c r="X548" s="41"/>
      <c r="Y548" s="41"/>
      <c r="Z548" s="41"/>
    </row>
    <row r="549" ht="15.75" customHeight="1">
      <c r="A549" s="35"/>
      <c r="B549" s="35"/>
      <c r="C549" s="35"/>
      <c r="D549" s="35"/>
      <c r="E549" s="35"/>
      <c r="F549" s="35"/>
      <c r="G549" s="35"/>
      <c r="H549" s="35"/>
      <c r="I549" s="35"/>
      <c r="J549" s="41"/>
      <c r="K549" s="1"/>
      <c r="L549" s="41"/>
      <c r="M549" s="1"/>
      <c r="N549" s="41"/>
      <c r="O549" s="41"/>
      <c r="P549" s="41"/>
      <c r="Q549" s="41"/>
      <c r="R549" s="41"/>
      <c r="S549" s="41"/>
      <c r="T549" s="41"/>
      <c r="U549" s="41"/>
      <c r="V549" s="41"/>
      <c r="W549" s="41"/>
      <c r="X549" s="41"/>
      <c r="Y549" s="41"/>
      <c r="Z549" s="41"/>
    </row>
    <row r="550" ht="15.75" customHeight="1">
      <c r="A550" s="35"/>
      <c r="B550" s="35"/>
      <c r="C550" s="35"/>
      <c r="D550" s="35"/>
      <c r="E550" s="35"/>
      <c r="F550" s="35"/>
      <c r="G550" s="35"/>
      <c r="H550" s="35"/>
      <c r="I550" s="35"/>
      <c r="J550" s="41"/>
      <c r="K550" s="1"/>
      <c r="L550" s="41"/>
      <c r="M550" s="1"/>
      <c r="N550" s="41"/>
      <c r="O550" s="41"/>
      <c r="P550" s="41"/>
      <c r="Q550" s="41"/>
      <c r="R550" s="41"/>
      <c r="S550" s="41"/>
      <c r="T550" s="41"/>
      <c r="U550" s="41"/>
      <c r="V550" s="41"/>
      <c r="W550" s="41"/>
      <c r="X550" s="41"/>
      <c r="Y550" s="41"/>
      <c r="Z550" s="41"/>
    </row>
    <row r="551" ht="15.75" customHeight="1">
      <c r="A551" s="35"/>
      <c r="B551" s="35"/>
      <c r="C551" s="35"/>
      <c r="D551" s="35"/>
      <c r="E551" s="35"/>
      <c r="F551" s="35"/>
      <c r="G551" s="35"/>
      <c r="H551" s="35"/>
      <c r="I551" s="35"/>
      <c r="J551" s="41"/>
      <c r="K551" s="1"/>
      <c r="L551" s="41"/>
      <c r="M551" s="1"/>
      <c r="N551" s="41"/>
      <c r="O551" s="41"/>
      <c r="P551" s="41"/>
      <c r="Q551" s="41"/>
      <c r="R551" s="41"/>
      <c r="S551" s="41"/>
      <c r="T551" s="41"/>
      <c r="U551" s="41"/>
      <c r="V551" s="41"/>
      <c r="W551" s="41"/>
      <c r="X551" s="41"/>
      <c r="Y551" s="41"/>
      <c r="Z551" s="41"/>
    </row>
    <row r="552" ht="15.75" customHeight="1">
      <c r="A552" s="35"/>
      <c r="B552" s="35"/>
      <c r="C552" s="35"/>
      <c r="D552" s="35"/>
      <c r="E552" s="35"/>
      <c r="F552" s="35"/>
      <c r="G552" s="35"/>
      <c r="H552" s="35"/>
      <c r="I552" s="35"/>
      <c r="J552" s="41"/>
      <c r="K552" s="1"/>
      <c r="L552" s="41"/>
      <c r="M552" s="1"/>
      <c r="N552" s="41"/>
      <c r="O552" s="41"/>
      <c r="P552" s="41"/>
      <c r="Q552" s="41"/>
      <c r="R552" s="41"/>
      <c r="S552" s="41"/>
      <c r="T552" s="41"/>
      <c r="U552" s="41"/>
      <c r="V552" s="41"/>
      <c r="W552" s="41"/>
      <c r="X552" s="41"/>
      <c r="Y552" s="41"/>
      <c r="Z552" s="41"/>
    </row>
    <row r="553" ht="15.75" customHeight="1">
      <c r="A553" s="35"/>
      <c r="B553" s="35"/>
      <c r="C553" s="35"/>
      <c r="D553" s="35"/>
      <c r="E553" s="35"/>
      <c r="F553" s="35"/>
      <c r="G553" s="35"/>
      <c r="H553" s="35"/>
      <c r="I553" s="35"/>
      <c r="J553" s="41"/>
      <c r="K553" s="1"/>
      <c r="L553" s="41"/>
      <c r="M553" s="1"/>
      <c r="N553" s="41"/>
      <c r="O553" s="41"/>
      <c r="P553" s="41"/>
      <c r="Q553" s="41"/>
      <c r="R553" s="41"/>
      <c r="S553" s="41"/>
      <c r="T553" s="41"/>
      <c r="U553" s="41"/>
      <c r="V553" s="41"/>
      <c r="W553" s="41"/>
      <c r="X553" s="41"/>
      <c r="Y553" s="41"/>
      <c r="Z553" s="41"/>
    </row>
    <row r="554" ht="15.75" customHeight="1">
      <c r="A554" s="35"/>
      <c r="B554" s="35"/>
      <c r="C554" s="35"/>
      <c r="D554" s="35"/>
      <c r="E554" s="35"/>
      <c r="F554" s="35"/>
      <c r="G554" s="35"/>
      <c r="H554" s="35"/>
      <c r="I554" s="35"/>
      <c r="J554" s="41"/>
      <c r="K554" s="1"/>
      <c r="L554" s="41"/>
      <c r="M554" s="1"/>
      <c r="N554" s="41"/>
      <c r="O554" s="41"/>
      <c r="P554" s="41"/>
      <c r="Q554" s="41"/>
      <c r="R554" s="41"/>
      <c r="S554" s="41"/>
      <c r="T554" s="41"/>
      <c r="U554" s="41"/>
      <c r="V554" s="41"/>
      <c r="W554" s="41"/>
      <c r="X554" s="41"/>
      <c r="Y554" s="41"/>
      <c r="Z554" s="41"/>
    </row>
    <row r="555" ht="15.75" customHeight="1">
      <c r="A555" s="35"/>
      <c r="B555" s="35"/>
      <c r="C555" s="35"/>
      <c r="D555" s="35"/>
      <c r="E555" s="35"/>
      <c r="F555" s="35"/>
      <c r="G555" s="35"/>
      <c r="H555" s="35"/>
      <c r="I555" s="35"/>
      <c r="J555" s="41"/>
      <c r="K555" s="1"/>
      <c r="L555" s="41"/>
      <c r="M555" s="1"/>
      <c r="N555" s="41"/>
      <c r="O555" s="41"/>
      <c r="P555" s="41"/>
      <c r="Q555" s="41"/>
      <c r="R555" s="41"/>
      <c r="S555" s="41"/>
      <c r="T555" s="41"/>
      <c r="U555" s="41"/>
      <c r="V555" s="41"/>
      <c r="W555" s="41"/>
      <c r="X555" s="41"/>
      <c r="Y555" s="41"/>
      <c r="Z555" s="41"/>
    </row>
    <row r="556" ht="15.75" customHeight="1">
      <c r="A556" s="35"/>
      <c r="B556" s="35"/>
      <c r="C556" s="35"/>
      <c r="D556" s="35"/>
      <c r="E556" s="35"/>
      <c r="F556" s="35"/>
      <c r="G556" s="35"/>
      <c r="H556" s="35"/>
      <c r="I556" s="35"/>
      <c r="J556" s="41"/>
      <c r="K556" s="1"/>
      <c r="L556" s="41"/>
      <c r="M556" s="1"/>
      <c r="N556" s="41"/>
      <c r="O556" s="41"/>
      <c r="P556" s="41"/>
      <c r="Q556" s="41"/>
      <c r="R556" s="41"/>
      <c r="S556" s="41"/>
      <c r="T556" s="41"/>
      <c r="U556" s="41"/>
      <c r="V556" s="41"/>
      <c r="W556" s="41"/>
      <c r="X556" s="41"/>
      <c r="Y556" s="41"/>
      <c r="Z556" s="41"/>
    </row>
    <row r="557" ht="15.75" customHeight="1">
      <c r="A557" s="35"/>
      <c r="B557" s="35"/>
      <c r="C557" s="35"/>
      <c r="D557" s="35"/>
      <c r="E557" s="35"/>
      <c r="F557" s="35"/>
      <c r="G557" s="35"/>
      <c r="H557" s="35"/>
      <c r="I557" s="35"/>
      <c r="J557" s="41"/>
      <c r="K557" s="1"/>
      <c r="L557" s="41"/>
      <c r="M557" s="1"/>
      <c r="N557" s="41"/>
      <c r="O557" s="41"/>
      <c r="P557" s="41"/>
      <c r="Q557" s="41"/>
      <c r="R557" s="41"/>
      <c r="S557" s="41"/>
      <c r="T557" s="41"/>
      <c r="U557" s="41"/>
      <c r="V557" s="41"/>
      <c r="W557" s="41"/>
      <c r="X557" s="41"/>
      <c r="Y557" s="41"/>
      <c r="Z557" s="41"/>
    </row>
    <row r="558" ht="15.75" customHeight="1">
      <c r="A558" s="35"/>
      <c r="B558" s="35"/>
      <c r="C558" s="35"/>
      <c r="D558" s="35"/>
      <c r="E558" s="35"/>
      <c r="F558" s="35"/>
      <c r="G558" s="35"/>
      <c r="H558" s="35"/>
      <c r="I558" s="35"/>
      <c r="J558" s="41"/>
      <c r="K558" s="1"/>
      <c r="L558" s="41"/>
      <c r="M558" s="1"/>
      <c r="N558" s="41"/>
      <c r="O558" s="41"/>
      <c r="P558" s="41"/>
      <c r="Q558" s="41"/>
      <c r="R558" s="41"/>
      <c r="S558" s="41"/>
      <c r="T558" s="41"/>
      <c r="U558" s="41"/>
      <c r="V558" s="41"/>
      <c r="W558" s="41"/>
      <c r="X558" s="41"/>
      <c r="Y558" s="41"/>
      <c r="Z558" s="41"/>
    </row>
    <row r="559" ht="15.75" customHeight="1">
      <c r="A559" s="35"/>
      <c r="B559" s="35"/>
      <c r="C559" s="35"/>
      <c r="D559" s="35"/>
      <c r="E559" s="35"/>
      <c r="F559" s="35"/>
      <c r="G559" s="35"/>
      <c r="H559" s="35"/>
      <c r="I559" s="35"/>
      <c r="J559" s="41"/>
      <c r="K559" s="1"/>
      <c r="L559" s="41"/>
      <c r="M559" s="1"/>
      <c r="N559" s="41"/>
      <c r="O559" s="41"/>
      <c r="P559" s="41"/>
      <c r="Q559" s="41"/>
      <c r="R559" s="41"/>
      <c r="S559" s="41"/>
      <c r="T559" s="41"/>
      <c r="U559" s="41"/>
      <c r="V559" s="41"/>
      <c r="W559" s="41"/>
      <c r="X559" s="41"/>
      <c r="Y559" s="41"/>
      <c r="Z559" s="41"/>
    </row>
    <row r="560" ht="15.75" customHeight="1">
      <c r="A560" s="35"/>
      <c r="B560" s="35"/>
      <c r="C560" s="35"/>
      <c r="D560" s="35"/>
      <c r="E560" s="35"/>
      <c r="F560" s="35"/>
      <c r="G560" s="35"/>
      <c r="H560" s="35"/>
      <c r="I560" s="35"/>
      <c r="J560" s="41"/>
      <c r="K560" s="1"/>
      <c r="L560" s="41"/>
      <c r="M560" s="1"/>
      <c r="N560" s="41"/>
      <c r="O560" s="41"/>
      <c r="P560" s="41"/>
      <c r="Q560" s="41"/>
      <c r="R560" s="41"/>
      <c r="S560" s="41"/>
      <c r="T560" s="41"/>
      <c r="U560" s="41"/>
      <c r="V560" s="41"/>
      <c r="W560" s="41"/>
      <c r="X560" s="41"/>
      <c r="Y560" s="41"/>
      <c r="Z560" s="41"/>
    </row>
    <row r="561" ht="15.75" customHeight="1">
      <c r="A561" s="35"/>
      <c r="B561" s="35"/>
      <c r="C561" s="35"/>
      <c r="D561" s="35"/>
      <c r="E561" s="35"/>
      <c r="F561" s="35"/>
      <c r="G561" s="35"/>
      <c r="H561" s="35"/>
      <c r="I561" s="35"/>
      <c r="J561" s="41"/>
      <c r="K561" s="1"/>
      <c r="L561" s="41"/>
      <c r="M561" s="1"/>
      <c r="N561" s="41"/>
      <c r="O561" s="41"/>
      <c r="P561" s="41"/>
      <c r="Q561" s="41"/>
      <c r="R561" s="41"/>
      <c r="S561" s="41"/>
      <c r="T561" s="41"/>
      <c r="U561" s="41"/>
      <c r="V561" s="41"/>
      <c r="W561" s="41"/>
      <c r="X561" s="41"/>
      <c r="Y561" s="41"/>
      <c r="Z561" s="41"/>
    </row>
    <row r="562" ht="15.75" customHeight="1">
      <c r="A562" s="35"/>
      <c r="B562" s="35"/>
      <c r="C562" s="35"/>
      <c r="D562" s="35"/>
      <c r="E562" s="35"/>
      <c r="F562" s="35"/>
      <c r="G562" s="35"/>
      <c r="H562" s="35"/>
      <c r="I562" s="35"/>
      <c r="J562" s="41"/>
      <c r="K562" s="1"/>
      <c r="L562" s="41"/>
      <c r="M562" s="1"/>
      <c r="N562" s="41"/>
      <c r="O562" s="41"/>
      <c r="P562" s="41"/>
      <c r="Q562" s="41"/>
      <c r="R562" s="41"/>
      <c r="S562" s="41"/>
      <c r="T562" s="41"/>
      <c r="U562" s="41"/>
      <c r="V562" s="41"/>
      <c r="W562" s="41"/>
      <c r="X562" s="41"/>
      <c r="Y562" s="41"/>
      <c r="Z562" s="41"/>
    </row>
    <row r="563" ht="15.75" customHeight="1">
      <c r="A563" s="35"/>
      <c r="B563" s="35"/>
      <c r="C563" s="35"/>
      <c r="D563" s="35"/>
      <c r="E563" s="35"/>
      <c r="F563" s="35"/>
      <c r="G563" s="35"/>
      <c r="H563" s="35"/>
      <c r="I563" s="35"/>
      <c r="J563" s="41"/>
      <c r="K563" s="1"/>
      <c r="L563" s="41"/>
      <c r="M563" s="1"/>
      <c r="N563" s="41"/>
      <c r="O563" s="41"/>
      <c r="P563" s="41"/>
      <c r="Q563" s="41"/>
      <c r="R563" s="41"/>
      <c r="S563" s="41"/>
      <c r="T563" s="41"/>
      <c r="U563" s="41"/>
      <c r="V563" s="41"/>
      <c r="W563" s="41"/>
      <c r="X563" s="41"/>
      <c r="Y563" s="41"/>
      <c r="Z563" s="41"/>
    </row>
    <row r="564" ht="15.75" customHeight="1">
      <c r="A564" s="35"/>
      <c r="B564" s="35"/>
      <c r="C564" s="35"/>
      <c r="D564" s="35"/>
      <c r="E564" s="35"/>
      <c r="F564" s="35"/>
      <c r="G564" s="35"/>
      <c r="H564" s="35"/>
      <c r="I564" s="35"/>
      <c r="J564" s="41"/>
      <c r="K564" s="1"/>
      <c r="L564" s="41"/>
      <c r="M564" s="1"/>
      <c r="N564" s="41"/>
      <c r="O564" s="41"/>
      <c r="P564" s="41"/>
      <c r="Q564" s="41"/>
      <c r="R564" s="41"/>
      <c r="S564" s="41"/>
      <c r="T564" s="41"/>
      <c r="U564" s="41"/>
      <c r="V564" s="41"/>
      <c r="W564" s="41"/>
      <c r="X564" s="41"/>
      <c r="Y564" s="41"/>
      <c r="Z564" s="41"/>
    </row>
    <row r="565" ht="15.75" customHeight="1">
      <c r="A565" s="35"/>
      <c r="B565" s="35"/>
      <c r="C565" s="35"/>
      <c r="D565" s="35"/>
      <c r="E565" s="35"/>
      <c r="F565" s="35"/>
      <c r="G565" s="35"/>
      <c r="H565" s="35"/>
      <c r="I565" s="35"/>
      <c r="J565" s="41"/>
      <c r="K565" s="1"/>
      <c r="L565" s="41"/>
      <c r="M565" s="1"/>
      <c r="N565" s="41"/>
      <c r="O565" s="41"/>
      <c r="P565" s="41"/>
      <c r="Q565" s="41"/>
      <c r="R565" s="41"/>
      <c r="S565" s="41"/>
      <c r="T565" s="41"/>
      <c r="U565" s="41"/>
      <c r="V565" s="41"/>
      <c r="W565" s="41"/>
      <c r="X565" s="41"/>
      <c r="Y565" s="41"/>
      <c r="Z565" s="41"/>
    </row>
    <row r="566" ht="15.75" customHeight="1">
      <c r="A566" s="35"/>
      <c r="B566" s="35"/>
      <c r="C566" s="35"/>
      <c r="D566" s="35"/>
      <c r="E566" s="35"/>
      <c r="F566" s="35"/>
      <c r="G566" s="35"/>
      <c r="H566" s="35"/>
      <c r="I566" s="35"/>
      <c r="J566" s="41"/>
      <c r="K566" s="1"/>
      <c r="L566" s="41"/>
      <c r="M566" s="1"/>
      <c r="N566" s="41"/>
      <c r="O566" s="41"/>
      <c r="P566" s="41"/>
      <c r="Q566" s="41"/>
      <c r="R566" s="41"/>
      <c r="S566" s="41"/>
      <c r="T566" s="41"/>
      <c r="U566" s="41"/>
      <c r="V566" s="41"/>
      <c r="W566" s="41"/>
      <c r="X566" s="41"/>
      <c r="Y566" s="41"/>
      <c r="Z566" s="41"/>
    </row>
    <row r="567" ht="15.75" customHeight="1">
      <c r="A567" s="35"/>
      <c r="B567" s="35"/>
      <c r="C567" s="35"/>
      <c r="D567" s="35"/>
      <c r="E567" s="35"/>
      <c r="F567" s="35"/>
      <c r="G567" s="35"/>
      <c r="H567" s="35"/>
      <c r="I567" s="35"/>
      <c r="J567" s="41"/>
      <c r="K567" s="1"/>
      <c r="L567" s="41"/>
      <c r="M567" s="1"/>
      <c r="N567" s="41"/>
      <c r="O567" s="41"/>
      <c r="P567" s="41"/>
      <c r="Q567" s="41"/>
      <c r="R567" s="41"/>
      <c r="S567" s="41"/>
      <c r="T567" s="41"/>
      <c r="U567" s="41"/>
      <c r="V567" s="41"/>
      <c r="W567" s="41"/>
      <c r="X567" s="41"/>
      <c r="Y567" s="41"/>
      <c r="Z567" s="41"/>
    </row>
    <row r="568" ht="15.75" customHeight="1">
      <c r="A568" s="35"/>
      <c r="B568" s="35"/>
      <c r="C568" s="35"/>
      <c r="D568" s="35"/>
      <c r="E568" s="35"/>
      <c r="F568" s="35"/>
      <c r="G568" s="35"/>
      <c r="H568" s="35"/>
      <c r="I568" s="35"/>
      <c r="J568" s="41"/>
      <c r="K568" s="1"/>
      <c r="L568" s="41"/>
      <c r="M568" s="1"/>
      <c r="N568" s="41"/>
      <c r="O568" s="41"/>
      <c r="P568" s="41"/>
      <c r="Q568" s="41"/>
      <c r="R568" s="41"/>
      <c r="S568" s="41"/>
      <c r="T568" s="41"/>
      <c r="U568" s="41"/>
      <c r="V568" s="41"/>
      <c r="W568" s="41"/>
      <c r="X568" s="41"/>
      <c r="Y568" s="41"/>
      <c r="Z568" s="41"/>
    </row>
    <row r="569" ht="15.75" customHeight="1">
      <c r="A569" s="35"/>
      <c r="B569" s="35"/>
      <c r="C569" s="35"/>
      <c r="D569" s="35"/>
      <c r="E569" s="35"/>
      <c r="F569" s="35"/>
      <c r="G569" s="35"/>
      <c r="H569" s="35"/>
      <c r="I569" s="35"/>
      <c r="J569" s="41"/>
      <c r="K569" s="1"/>
      <c r="L569" s="41"/>
      <c r="M569" s="1"/>
      <c r="N569" s="41"/>
      <c r="O569" s="41"/>
      <c r="P569" s="41"/>
      <c r="Q569" s="41"/>
      <c r="R569" s="41"/>
      <c r="S569" s="41"/>
      <c r="T569" s="41"/>
      <c r="U569" s="41"/>
      <c r="V569" s="41"/>
      <c r="W569" s="41"/>
      <c r="X569" s="41"/>
      <c r="Y569" s="41"/>
      <c r="Z569" s="41"/>
    </row>
    <row r="570" ht="15.75" customHeight="1">
      <c r="A570" s="35"/>
      <c r="B570" s="35"/>
      <c r="C570" s="35"/>
      <c r="D570" s="35"/>
      <c r="E570" s="35"/>
      <c r="F570" s="35"/>
      <c r="G570" s="35"/>
      <c r="H570" s="35"/>
      <c r="I570" s="35"/>
      <c r="J570" s="41"/>
      <c r="K570" s="1"/>
      <c r="L570" s="41"/>
      <c r="M570" s="1"/>
      <c r="N570" s="41"/>
      <c r="O570" s="41"/>
      <c r="P570" s="41"/>
      <c r="Q570" s="41"/>
      <c r="R570" s="41"/>
      <c r="S570" s="41"/>
      <c r="T570" s="41"/>
      <c r="U570" s="41"/>
      <c r="V570" s="41"/>
      <c r="W570" s="41"/>
      <c r="X570" s="41"/>
      <c r="Y570" s="41"/>
      <c r="Z570" s="41"/>
    </row>
    <row r="571" ht="15.75" customHeight="1">
      <c r="A571" s="35"/>
      <c r="B571" s="35"/>
      <c r="C571" s="35"/>
      <c r="D571" s="35"/>
      <c r="E571" s="35"/>
      <c r="F571" s="35"/>
      <c r="G571" s="35"/>
      <c r="H571" s="35"/>
      <c r="I571" s="35"/>
      <c r="J571" s="41"/>
      <c r="K571" s="1"/>
      <c r="L571" s="41"/>
      <c r="M571" s="1"/>
      <c r="N571" s="41"/>
      <c r="O571" s="41"/>
      <c r="P571" s="41"/>
      <c r="Q571" s="41"/>
      <c r="R571" s="41"/>
      <c r="S571" s="41"/>
      <c r="T571" s="41"/>
      <c r="U571" s="41"/>
      <c r="V571" s="41"/>
      <c r="W571" s="41"/>
      <c r="X571" s="41"/>
      <c r="Y571" s="41"/>
      <c r="Z571" s="41"/>
    </row>
    <row r="572" ht="15.75" customHeight="1">
      <c r="A572" s="35"/>
      <c r="B572" s="35"/>
      <c r="C572" s="35"/>
      <c r="D572" s="35"/>
      <c r="E572" s="35"/>
      <c r="F572" s="35"/>
      <c r="G572" s="35"/>
      <c r="H572" s="35"/>
      <c r="I572" s="35"/>
      <c r="J572" s="41"/>
      <c r="K572" s="1"/>
      <c r="L572" s="41"/>
      <c r="M572" s="1"/>
      <c r="N572" s="41"/>
      <c r="O572" s="41"/>
      <c r="P572" s="41"/>
      <c r="Q572" s="41"/>
      <c r="R572" s="41"/>
      <c r="S572" s="41"/>
      <c r="T572" s="41"/>
      <c r="U572" s="41"/>
      <c r="V572" s="41"/>
      <c r="W572" s="41"/>
      <c r="X572" s="41"/>
      <c r="Y572" s="41"/>
      <c r="Z572" s="41"/>
    </row>
    <row r="573" ht="15.75" customHeight="1">
      <c r="A573" s="35"/>
      <c r="B573" s="35"/>
      <c r="C573" s="35"/>
      <c r="D573" s="35"/>
      <c r="E573" s="35"/>
      <c r="F573" s="35"/>
      <c r="G573" s="35"/>
      <c r="H573" s="35"/>
      <c r="I573" s="35"/>
      <c r="J573" s="41"/>
      <c r="K573" s="1"/>
      <c r="L573" s="41"/>
      <c r="M573" s="1"/>
      <c r="N573" s="41"/>
      <c r="O573" s="41"/>
      <c r="P573" s="41"/>
      <c r="Q573" s="41"/>
      <c r="R573" s="41"/>
      <c r="S573" s="41"/>
      <c r="T573" s="41"/>
      <c r="U573" s="41"/>
      <c r="V573" s="41"/>
      <c r="W573" s="41"/>
      <c r="X573" s="41"/>
      <c r="Y573" s="41"/>
      <c r="Z573" s="41"/>
    </row>
    <row r="574" ht="15.75" customHeight="1">
      <c r="A574" s="35"/>
      <c r="B574" s="35"/>
      <c r="C574" s="35"/>
      <c r="D574" s="35"/>
      <c r="E574" s="35"/>
      <c r="F574" s="35"/>
      <c r="G574" s="35"/>
      <c r="H574" s="35"/>
      <c r="I574" s="35"/>
      <c r="J574" s="41"/>
      <c r="K574" s="1"/>
      <c r="L574" s="41"/>
      <c r="M574" s="1"/>
      <c r="N574" s="41"/>
      <c r="O574" s="41"/>
      <c r="P574" s="41"/>
      <c r="Q574" s="41"/>
      <c r="R574" s="41"/>
      <c r="S574" s="41"/>
      <c r="T574" s="41"/>
      <c r="U574" s="41"/>
      <c r="V574" s="41"/>
      <c r="W574" s="41"/>
      <c r="X574" s="41"/>
      <c r="Y574" s="41"/>
      <c r="Z574" s="41"/>
    </row>
    <row r="575" ht="15.75" customHeight="1">
      <c r="A575" s="35"/>
      <c r="B575" s="35"/>
      <c r="C575" s="35"/>
      <c r="D575" s="35"/>
      <c r="E575" s="35"/>
      <c r="F575" s="35"/>
      <c r="G575" s="35"/>
      <c r="H575" s="35"/>
      <c r="I575" s="35"/>
      <c r="J575" s="41"/>
      <c r="K575" s="1"/>
      <c r="L575" s="41"/>
      <c r="M575" s="1"/>
      <c r="N575" s="41"/>
      <c r="O575" s="41"/>
      <c r="P575" s="41"/>
      <c r="Q575" s="41"/>
      <c r="R575" s="41"/>
      <c r="S575" s="41"/>
      <c r="T575" s="41"/>
      <c r="U575" s="41"/>
      <c r="V575" s="41"/>
      <c r="W575" s="41"/>
      <c r="X575" s="41"/>
      <c r="Y575" s="41"/>
      <c r="Z575" s="41"/>
    </row>
    <row r="576" ht="15.75" customHeight="1">
      <c r="A576" s="35"/>
      <c r="B576" s="35"/>
      <c r="C576" s="35"/>
      <c r="D576" s="35"/>
      <c r="E576" s="35"/>
      <c r="F576" s="35"/>
      <c r="G576" s="35"/>
      <c r="H576" s="35"/>
      <c r="I576" s="35"/>
      <c r="J576" s="41"/>
      <c r="K576" s="1"/>
      <c r="L576" s="41"/>
      <c r="M576" s="1"/>
      <c r="N576" s="41"/>
      <c r="O576" s="41"/>
      <c r="P576" s="41"/>
      <c r="Q576" s="41"/>
      <c r="R576" s="41"/>
      <c r="S576" s="41"/>
      <c r="T576" s="41"/>
      <c r="U576" s="41"/>
      <c r="V576" s="41"/>
      <c r="W576" s="41"/>
      <c r="X576" s="41"/>
      <c r="Y576" s="41"/>
      <c r="Z576" s="41"/>
    </row>
    <row r="577" ht="15.75" customHeight="1">
      <c r="A577" s="35"/>
      <c r="B577" s="35"/>
      <c r="C577" s="35"/>
      <c r="D577" s="35"/>
      <c r="E577" s="35"/>
      <c r="F577" s="35"/>
      <c r="G577" s="35"/>
      <c r="H577" s="35"/>
      <c r="I577" s="35"/>
      <c r="J577" s="41"/>
      <c r="K577" s="1"/>
      <c r="L577" s="41"/>
      <c r="M577" s="1"/>
      <c r="N577" s="41"/>
      <c r="O577" s="41"/>
      <c r="P577" s="41"/>
      <c r="Q577" s="41"/>
      <c r="R577" s="41"/>
      <c r="S577" s="41"/>
      <c r="T577" s="41"/>
      <c r="U577" s="41"/>
      <c r="V577" s="41"/>
      <c r="W577" s="41"/>
      <c r="X577" s="41"/>
      <c r="Y577" s="41"/>
      <c r="Z577" s="41"/>
    </row>
    <row r="578" ht="15.75" customHeight="1">
      <c r="A578" s="35"/>
      <c r="B578" s="35"/>
      <c r="C578" s="35"/>
      <c r="D578" s="35"/>
      <c r="E578" s="35"/>
      <c r="F578" s="35"/>
      <c r="G578" s="35"/>
      <c r="H578" s="35"/>
      <c r="I578" s="35"/>
      <c r="J578" s="41"/>
      <c r="K578" s="1"/>
      <c r="L578" s="41"/>
      <c r="M578" s="1"/>
      <c r="N578" s="41"/>
      <c r="O578" s="41"/>
      <c r="P578" s="41"/>
      <c r="Q578" s="41"/>
      <c r="R578" s="41"/>
      <c r="S578" s="41"/>
      <c r="T578" s="41"/>
      <c r="U578" s="41"/>
      <c r="V578" s="41"/>
      <c r="W578" s="41"/>
      <c r="X578" s="41"/>
      <c r="Y578" s="41"/>
      <c r="Z578" s="41"/>
    </row>
    <row r="579" ht="15.75" customHeight="1">
      <c r="A579" s="35"/>
      <c r="B579" s="35"/>
      <c r="C579" s="35"/>
      <c r="D579" s="35"/>
      <c r="E579" s="1"/>
      <c r="F579" s="1"/>
      <c r="G579" s="1"/>
      <c r="H579" s="1"/>
      <c r="I579" s="1"/>
      <c r="J579" s="41"/>
      <c r="K579" s="1"/>
      <c r="L579" s="41"/>
      <c r="M579" s="1"/>
      <c r="N579" s="41"/>
      <c r="O579" s="41"/>
      <c r="P579" s="41"/>
      <c r="Q579" s="41"/>
      <c r="R579" s="41"/>
      <c r="S579" s="41"/>
      <c r="T579" s="41"/>
      <c r="U579" s="41"/>
      <c r="V579" s="41"/>
      <c r="W579" s="41"/>
      <c r="X579" s="41"/>
      <c r="Y579" s="41"/>
      <c r="Z579" s="41"/>
    </row>
    <row r="580" ht="15.75" customHeight="1">
      <c r="A580" s="35"/>
      <c r="B580" s="35"/>
      <c r="C580" s="35"/>
      <c r="D580" s="35"/>
      <c r="E580" s="1"/>
      <c r="F580" s="1"/>
      <c r="G580" s="1"/>
      <c r="H580" s="1"/>
      <c r="I580" s="1"/>
      <c r="J580" s="41"/>
      <c r="K580" s="1"/>
      <c r="L580" s="41"/>
      <c r="M580" s="1"/>
      <c r="N580" s="41"/>
      <c r="O580" s="41"/>
      <c r="P580" s="41"/>
      <c r="Q580" s="41"/>
      <c r="R580" s="41"/>
      <c r="S580" s="41"/>
      <c r="T580" s="41"/>
      <c r="U580" s="41"/>
      <c r="V580" s="41"/>
      <c r="W580" s="41"/>
      <c r="X580" s="41"/>
      <c r="Y580" s="41"/>
      <c r="Z580" s="41"/>
    </row>
    <row r="581" ht="15.75" customHeight="1">
      <c r="A581" s="35"/>
      <c r="B581" s="35"/>
      <c r="C581" s="35"/>
      <c r="D581" s="35"/>
      <c r="E581" s="1"/>
      <c r="F581" s="1"/>
      <c r="G581" s="1"/>
      <c r="H581" s="1"/>
      <c r="I581" s="1"/>
      <c r="J581" s="41"/>
      <c r="K581" s="1"/>
      <c r="L581" s="41"/>
      <c r="M581" s="1"/>
      <c r="N581" s="41"/>
      <c r="O581" s="41"/>
      <c r="P581" s="41"/>
      <c r="Q581" s="41"/>
      <c r="R581" s="41"/>
      <c r="S581" s="41"/>
      <c r="T581" s="41"/>
      <c r="U581" s="41"/>
      <c r="V581" s="41"/>
      <c r="W581" s="41"/>
      <c r="X581" s="41"/>
      <c r="Y581" s="41"/>
      <c r="Z581" s="41"/>
    </row>
    <row r="582" ht="15.75" customHeight="1">
      <c r="A582" s="35"/>
      <c r="B582" s="35"/>
      <c r="C582" s="35"/>
      <c r="D582" s="35"/>
      <c r="E582" s="1"/>
      <c r="F582" s="1"/>
      <c r="G582" s="1"/>
      <c r="H582" s="1"/>
      <c r="I582" s="1"/>
      <c r="J582" s="41"/>
      <c r="K582" s="1"/>
      <c r="L582" s="41"/>
      <c r="M582" s="1"/>
      <c r="N582" s="41"/>
      <c r="O582" s="41"/>
      <c r="P582" s="41"/>
      <c r="Q582" s="41"/>
      <c r="R582" s="41"/>
      <c r="S582" s="41"/>
      <c r="T582" s="41"/>
      <c r="U582" s="41"/>
      <c r="V582" s="41"/>
      <c r="W582" s="41"/>
      <c r="X582" s="41"/>
      <c r="Y582" s="41"/>
      <c r="Z582" s="41"/>
    </row>
    <row r="583" ht="15.75" customHeight="1">
      <c r="A583" s="35"/>
      <c r="B583" s="35"/>
      <c r="C583" s="35"/>
      <c r="D583" s="35"/>
      <c r="E583" s="1"/>
      <c r="F583" s="1"/>
      <c r="G583" s="1"/>
      <c r="H583" s="1"/>
      <c r="I583" s="1"/>
      <c r="J583" s="41"/>
      <c r="K583" s="1"/>
      <c r="L583" s="41"/>
      <c r="M583" s="1"/>
      <c r="N583" s="41"/>
      <c r="O583" s="41"/>
      <c r="P583" s="41"/>
      <c r="Q583" s="41"/>
      <c r="R583" s="41"/>
      <c r="S583" s="41"/>
      <c r="T583" s="41"/>
      <c r="U583" s="41"/>
      <c r="V583" s="41"/>
      <c r="W583" s="41"/>
      <c r="X583" s="41"/>
      <c r="Y583" s="41"/>
      <c r="Z583" s="41"/>
    </row>
    <row r="584" ht="15.75" customHeight="1">
      <c r="A584" s="35"/>
      <c r="B584" s="35"/>
      <c r="C584" s="35"/>
      <c r="D584" s="35"/>
      <c r="E584" s="1"/>
      <c r="F584" s="1"/>
      <c r="G584" s="1"/>
      <c r="H584" s="1"/>
      <c r="I584" s="1"/>
      <c r="J584" s="41"/>
      <c r="K584" s="1"/>
      <c r="L584" s="41"/>
      <c r="M584" s="1"/>
      <c r="N584" s="41"/>
      <c r="O584" s="41"/>
      <c r="P584" s="41"/>
      <c r="Q584" s="41"/>
      <c r="R584" s="41"/>
      <c r="S584" s="41"/>
      <c r="T584" s="41"/>
      <c r="U584" s="41"/>
      <c r="V584" s="41"/>
      <c r="W584" s="41"/>
      <c r="X584" s="41"/>
      <c r="Y584" s="41"/>
      <c r="Z584" s="41"/>
    </row>
    <row r="585" ht="15.75" customHeight="1">
      <c r="A585" s="35"/>
      <c r="B585" s="35"/>
      <c r="C585" s="35"/>
      <c r="D585" s="35"/>
      <c r="E585" s="1"/>
      <c r="F585" s="1"/>
      <c r="G585" s="1"/>
      <c r="H585" s="1"/>
      <c r="I585" s="1"/>
      <c r="J585" s="41"/>
      <c r="K585" s="1"/>
      <c r="L585" s="41"/>
      <c r="M585" s="1"/>
      <c r="N585" s="41"/>
      <c r="O585" s="41"/>
      <c r="P585" s="41"/>
      <c r="Q585" s="41"/>
      <c r="R585" s="41"/>
      <c r="S585" s="41"/>
      <c r="T585" s="41"/>
      <c r="U585" s="41"/>
      <c r="V585" s="41"/>
      <c r="W585" s="41"/>
      <c r="X585" s="41"/>
      <c r="Y585" s="41"/>
      <c r="Z585" s="41"/>
    </row>
    <row r="586" ht="15.75" customHeight="1">
      <c r="A586" s="35"/>
      <c r="B586" s="35"/>
      <c r="C586" s="35"/>
      <c r="D586" s="35"/>
      <c r="E586" s="1"/>
      <c r="F586" s="1"/>
      <c r="G586" s="1"/>
      <c r="H586" s="1"/>
      <c r="I586" s="1"/>
      <c r="J586" s="41"/>
      <c r="K586" s="1"/>
      <c r="L586" s="41"/>
      <c r="M586" s="1"/>
      <c r="N586" s="41"/>
      <c r="O586" s="41"/>
      <c r="P586" s="41"/>
      <c r="Q586" s="41"/>
      <c r="R586" s="41"/>
      <c r="S586" s="41"/>
      <c r="T586" s="41"/>
      <c r="U586" s="41"/>
      <c r="V586" s="41"/>
      <c r="W586" s="41"/>
      <c r="X586" s="41"/>
      <c r="Y586" s="41"/>
      <c r="Z586" s="41"/>
    </row>
    <row r="587" ht="15.75" customHeight="1">
      <c r="A587" s="35"/>
      <c r="B587" s="35"/>
      <c r="C587" s="35"/>
      <c r="D587" s="35"/>
      <c r="E587" s="1"/>
      <c r="F587" s="1"/>
      <c r="G587" s="1"/>
      <c r="H587" s="1"/>
      <c r="I587" s="1"/>
      <c r="J587" s="41"/>
      <c r="K587" s="1"/>
      <c r="L587" s="41"/>
      <c r="M587" s="1"/>
      <c r="N587" s="41"/>
      <c r="O587" s="41"/>
      <c r="P587" s="41"/>
      <c r="Q587" s="41"/>
      <c r="R587" s="41"/>
      <c r="S587" s="41"/>
      <c r="T587" s="41"/>
      <c r="U587" s="41"/>
      <c r="V587" s="41"/>
      <c r="W587" s="41"/>
      <c r="X587" s="41"/>
      <c r="Y587" s="41"/>
      <c r="Z587" s="41"/>
    </row>
    <row r="588" ht="15.75" customHeight="1">
      <c r="A588" s="35"/>
      <c r="B588" s="35"/>
      <c r="C588" s="35"/>
      <c r="D588" s="35"/>
      <c r="E588" s="1"/>
      <c r="F588" s="1"/>
      <c r="G588" s="1"/>
      <c r="H588" s="1"/>
      <c r="I588" s="1"/>
      <c r="J588" s="41"/>
      <c r="K588" s="1"/>
      <c r="L588" s="41"/>
      <c r="M588" s="1"/>
      <c r="N588" s="41"/>
      <c r="O588" s="41"/>
      <c r="P588" s="41"/>
      <c r="Q588" s="41"/>
      <c r="R588" s="41"/>
      <c r="S588" s="41"/>
      <c r="T588" s="41"/>
      <c r="U588" s="41"/>
      <c r="V588" s="41"/>
      <c r="W588" s="41"/>
      <c r="X588" s="41"/>
      <c r="Y588" s="41"/>
      <c r="Z588" s="41"/>
    </row>
    <row r="589" ht="15.75" customHeight="1">
      <c r="A589" s="35"/>
      <c r="B589" s="35"/>
      <c r="C589" s="35"/>
      <c r="D589" s="35"/>
      <c r="E589" s="1"/>
      <c r="F589" s="1"/>
      <c r="G589" s="1"/>
      <c r="H589" s="1"/>
      <c r="I589" s="1"/>
      <c r="J589" s="41"/>
      <c r="K589" s="1"/>
      <c r="L589" s="41"/>
      <c r="M589" s="1"/>
      <c r="N589" s="41"/>
      <c r="O589" s="41"/>
      <c r="P589" s="41"/>
      <c r="Q589" s="41"/>
      <c r="R589" s="41"/>
      <c r="S589" s="41"/>
      <c r="T589" s="41"/>
      <c r="U589" s="41"/>
      <c r="V589" s="41"/>
      <c r="W589" s="41"/>
      <c r="X589" s="41"/>
      <c r="Y589" s="41"/>
      <c r="Z589" s="41"/>
    </row>
    <row r="590" ht="15.75" customHeight="1">
      <c r="A590" s="35"/>
      <c r="B590" s="35"/>
      <c r="C590" s="35"/>
      <c r="D590" s="35"/>
      <c r="E590" s="1"/>
      <c r="F590" s="1"/>
      <c r="G590" s="1"/>
      <c r="H590" s="1"/>
      <c r="I590" s="1"/>
      <c r="J590" s="41"/>
      <c r="K590" s="1"/>
      <c r="L590" s="41"/>
      <c r="M590" s="1"/>
      <c r="N590" s="41"/>
      <c r="O590" s="41"/>
      <c r="P590" s="41"/>
      <c r="Q590" s="41"/>
      <c r="R590" s="41"/>
      <c r="S590" s="41"/>
      <c r="T590" s="41"/>
      <c r="U590" s="41"/>
      <c r="V590" s="41"/>
      <c r="W590" s="41"/>
      <c r="X590" s="41"/>
      <c r="Y590" s="41"/>
      <c r="Z590" s="41"/>
    </row>
    <row r="591" ht="15.75" customHeight="1">
      <c r="A591" s="35"/>
      <c r="B591" s="35"/>
      <c r="C591" s="35"/>
      <c r="D591" s="35"/>
      <c r="E591" s="1"/>
      <c r="F591" s="1"/>
      <c r="G591" s="1"/>
      <c r="H591" s="1"/>
      <c r="I591" s="1"/>
      <c r="J591" s="41"/>
      <c r="K591" s="1"/>
      <c r="L591" s="41"/>
      <c r="M591" s="1"/>
      <c r="N591" s="41"/>
      <c r="O591" s="41"/>
      <c r="P591" s="41"/>
      <c r="Q591" s="41"/>
      <c r="R591" s="41"/>
      <c r="S591" s="41"/>
      <c r="T591" s="41"/>
      <c r="U591" s="41"/>
      <c r="V591" s="41"/>
      <c r="W591" s="41"/>
      <c r="X591" s="41"/>
      <c r="Y591" s="41"/>
      <c r="Z591" s="41"/>
    </row>
    <row r="592" ht="15.75" customHeight="1">
      <c r="A592" s="35"/>
      <c r="B592" s="35"/>
      <c r="C592" s="35"/>
      <c r="D592" s="35"/>
      <c r="E592" s="1"/>
      <c r="F592" s="1"/>
      <c r="G592" s="1"/>
      <c r="H592" s="1"/>
      <c r="I592" s="1"/>
      <c r="J592" s="41"/>
      <c r="K592" s="1"/>
      <c r="L592" s="41"/>
      <c r="M592" s="1"/>
      <c r="N592" s="41"/>
      <c r="O592" s="41"/>
      <c r="P592" s="41"/>
      <c r="Q592" s="41"/>
      <c r="R592" s="41"/>
      <c r="S592" s="41"/>
      <c r="T592" s="41"/>
      <c r="U592" s="41"/>
      <c r="V592" s="41"/>
      <c r="W592" s="41"/>
      <c r="X592" s="41"/>
      <c r="Y592" s="41"/>
      <c r="Z592" s="41"/>
    </row>
    <row r="593" ht="15.75" customHeight="1">
      <c r="A593" s="35"/>
      <c r="B593" s="35"/>
      <c r="C593" s="35"/>
      <c r="D593" s="35"/>
      <c r="E593" s="1"/>
      <c r="F593" s="1"/>
      <c r="G593" s="1"/>
      <c r="H593" s="1"/>
      <c r="I593" s="1"/>
      <c r="J593" s="41"/>
      <c r="K593" s="1"/>
      <c r="L593" s="41"/>
      <c r="M593" s="1"/>
      <c r="N593" s="41"/>
      <c r="O593" s="41"/>
      <c r="P593" s="41"/>
      <c r="Q593" s="41"/>
      <c r="R593" s="41"/>
      <c r="S593" s="41"/>
      <c r="T593" s="41"/>
      <c r="U593" s="41"/>
      <c r="V593" s="41"/>
      <c r="W593" s="41"/>
      <c r="X593" s="41"/>
      <c r="Y593" s="41"/>
      <c r="Z593" s="41"/>
    </row>
    <row r="594" ht="15.75" customHeight="1">
      <c r="A594" s="35"/>
      <c r="B594" s="35"/>
      <c r="C594" s="35"/>
      <c r="D594" s="35"/>
      <c r="E594" s="1"/>
      <c r="F594" s="1"/>
      <c r="G594" s="1"/>
      <c r="H594" s="1"/>
      <c r="I594" s="1"/>
      <c r="J594" s="41"/>
      <c r="K594" s="1"/>
      <c r="L594" s="41"/>
      <c r="M594" s="1"/>
      <c r="N594" s="41"/>
      <c r="O594" s="41"/>
      <c r="P594" s="41"/>
      <c r="Q594" s="41"/>
      <c r="R594" s="41"/>
      <c r="S594" s="41"/>
      <c r="T594" s="41"/>
      <c r="U594" s="41"/>
      <c r="V594" s="41"/>
      <c r="W594" s="41"/>
      <c r="X594" s="41"/>
      <c r="Y594" s="41"/>
      <c r="Z594" s="41"/>
    </row>
    <row r="595" ht="15.75" customHeight="1">
      <c r="A595" s="35"/>
      <c r="B595" s="35"/>
      <c r="C595" s="35"/>
      <c r="D595" s="35"/>
      <c r="E595" s="1"/>
      <c r="F595" s="1"/>
      <c r="G595" s="1"/>
      <c r="H595" s="1"/>
      <c r="I595" s="1"/>
      <c r="J595" s="41"/>
      <c r="K595" s="1"/>
      <c r="L595" s="41"/>
      <c r="M595" s="1"/>
      <c r="N595" s="41"/>
      <c r="O595" s="41"/>
      <c r="P595" s="41"/>
      <c r="Q595" s="41"/>
      <c r="R595" s="41"/>
      <c r="S595" s="41"/>
      <c r="T595" s="41"/>
      <c r="U595" s="41"/>
      <c r="V595" s="41"/>
      <c r="W595" s="41"/>
      <c r="X595" s="41"/>
      <c r="Y595" s="41"/>
      <c r="Z595" s="41"/>
    </row>
    <row r="596" ht="15.75" customHeight="1">
      <c r="A596" s="35"/>
      <c r="B596" s="35"/>
      <c r="C596" s="35"/>
      <c r="D596" s="35"/>
      <c r="E596" s="1"/>
      <c r="F596" s="1"/>
      <c r="G596" s="1"/>
      <c r="H596" s="1"/>
      <c r="I596" s="1"/>
      <c r="J596" s="41"/>
      <c r="K596" s="1"/>
      <c r="L596" s="41"/>
      <c r="M596" s="1"/>
      <c r="N596" s="41"/>
      <c r="O596" s="41"/>
      <c r="P596" s="41"/>
      <c r="Q596" s="41"/>
      <c r="R596" s="41"/>
      <c r="S596" s="41"/>
      <c r="T596" s="41"/>
      <c r="U596" s="41"/>
      <c r="V596" s="41"/>
      <c r="W596" s="41"/>
      <c r="X596" s="41"/>
      <c r="Y596" s="41"/>
      <c r="Z596" s="41"/>
    </row>
    <row r="597" ht="15.75" customHeight="1">
      <c r="A597" s="35"/>
      <c r="B597" s="35"/>
      <c r="C597" s="35"/>
      <c r="D597" s="35"/>
      <c r="E597" s="1"/>
      <c r="F597" s="1"/>
      <c r="G597" s="1"/>
      <c r="H597" s="1"/>
      <c r="I597" s="1"/>
      <c r="J597" s="41"/>
      <c r="K597" s="1"/>
      <c r="L597" s="41"/>
      <c r="M597" s="1"/>
      <c r="N597" s="41"/>
      <c r="O597" s="41"/>
      <c r="P597" s="41"/>
      <c r="Q597" s="41"/>
      <c r="R597" s="41"/>
      <c r="S597" s="41"/>
      <c r="T597" s="41"/>
      <c r="U597" s="41"/>
      <c r="V597" s="41"/>
      <c r="W597" s="41"/>
      <c r="X597" s="41"/>
      <c r="Y597" s="41"/>
      <c r="Z597" s="41"/>
    </row>
    <row r="598" ht="15.75" customHeight="1">
      <c r="A598" s="35"/>
      <c r="B598" s="35"/>
      <c r="C598" s="35"/>
      <c r="D598" s="35"/>
      <c r="E598" s="1"/>
      <c r="F598" s="1"/>
      <c r="G598" s="1"/>
      <c r="H598" s="1"/>
      <c r="I598" s="1"/>
      <c r="J598" s="41"/>
      <c r="K598" s="1"/>
      <c r="L598" s="41"/>
      <c r="M598" s="1"/>
      <c r="N598" s="41"/>
      <c r="O598" s="41"/>
      <c r="P598" s="41"/>
      <c r="Q598" s="41"/>
      <c r="R598" s="41"/>
      <c r="S598" s="41"/>
      <c r="T598" s="41"/>
      <c r="U598" s="41"/>
      <c r="V598" s="41"/>
      <c r="W598" s="41"/>
      <c r="X598" s="41"/>
      <c r="Y598" s="41"/>
      <c r="Z598" s="41"/>
    </row>
    <row r="599" ht="15.75" customHeight="1">
      <c r="A599" s="35"/>
      <c r="B599" s="35"/>
      <c r="C599" s="35"/>
      <c r="D599" s="35"/>
      <c r="E599" s="1"/>
      <c r="F599" s="1"/>
      <c r="G599" s="1"/>
      <c r="H599" s="1"/>
      <c r="I599" s="1"/>
      <c r="J599" s="41"/>
      <c r="K599" s="1"/>
      <c r="L599" s="41"/>
      <c r="M599" s="1"/>
      <c r="N599" s="41"/>
      <c r="O599" s="41"/>
      <c r="P599" s="41"/>
      <c r="Q599" s="41"/>
      <c r="R599" s="41"/>
      <c r="S599" s="41"/>
      <c r="T599" s="41"/>
      <c r="U599" s="41"/>
      <c r="V599" s="41"/>
      <c r="W599" s="41"/>
      <c r="X599" s="41"/>
      <c r="Y599" s="41"/>
      <c r="Z599" s="41"/>
    </row>
    <row r="600" ht="15.75" customHeight="1">
      <c r="A600" s="35"/>
      <c r="B600" s="35"/>
      <c r="C600" s="35"/>
      <c r="D600" s="35"/>
      <c r="E600" s="1"/>
      <c r="F600" s="1"/>
      <c r="G600" s="1"/>
      <c r="H600" s="1"/>
      <c r="I600" s="1"/>
      <c r="J600" s="41"/>
      <c r="K600" s="1"/>
      <c r="L600" s="41"/>
      <c r="M600" s="1"/>
      <c r="N600" s="41"/>
      <c r="O600" s="41"/>
      <c r="P600" s="41"/>
      <c r="Q600" s="41"/>
      <c r="R600" s="41"/>
      <c r="S600" s="41"/>
      <c r="T600" s="41"/>
      <c r="U600" s="41"/>
      <c r="V600" s="41"/>
      <c r="W600" s="41"/>
      <c r="X600" s="41"/>
      <c r="Y600" s="41"/>
      <c r="Z600" s="41"/>
    </row>
    <row r="601" ht="15.75" customHeight="1">
      <c r="A601" s="35"/>
      <c r="B601" s="35"/>
      <c r="C601" s="35"/>
      <c r="D601" s="35"/>
      <c r="E601" s="1"/>
      <c r="F601" s="1"/>
      <c r="G601" s="1"/>
      <c r="H601" s="1"/>
      <c r="I601" s="1"/>
      <c r="J601" s="41"/>
      <c r="K601" s="1"/>
      <c r="L601" s="41"/>
      <c r="M601" s="1"/>
      <c r="N601" s="41"/>
      <c r="O601" s="41"/>
      <c r="P601" s="41"/>
      <c r="Q601" s="41"/>
      <c r="R601" s="41"/>
      <c r="S601" s="41"/>
      <c r="T601" s="41"/>
      <c r="U601" s="41"/>
      <c r="V601" s="41"/>
      <c r="W601" s="41"/>
      <c r="X601" s="41"/>
      <c r="Y601" s="41"/>
      <c r="Z601" s="41"/>
    </row>
    <row r="602" ht="15.75" customHeight="1">
      <c r="A602" s="35"/>
      <c r="B602" s="35"/>
      <c r="C602" s="35"/>
      <c r="D602" s="35"/>
      <c r="E602" s="1"/>
      <c r="F602" s="1"/>
      <c r="G602" s="1"/>
      <c r="H602" s="1"/>
      <c r="I602" s="1"/>
      <c r="J602" s="41"/>
      <c r="K602" s="1"/>
      <c r="L602" s="41"/>
      <c r="M602" s="1"/>
      <c r="N602" s="41"/>
      <c r="O602" s="41"/>
      <c r="P602" s="41"/>
      <c r="Q602" s="41"/>
      <c r="R602" s="41"/>
      <c r="S602" s="41"/>
      <c r="T602" s="41"/>
      <c r="U602" s="41"/>
      <c r="V602" s="41"/>
      <c r="W602" s="41"/>
      <c r="X602" s="41"/>
      <c r="Y602" s="41"/>
      <c r="Z602" s="41"/>
    </row>
    <row r="603" ht="15.75" customHeight="1">
      <c r="A603" s="35"/>
      <c r="B603" s="35"/>
      <c r="C603" s="35"/>
      <c r="D603" s="35"/>
      <c r="E603" s="1"/>
      <c r="F603" s="1"/>
      <c r="G603" s="1"/>
      <c r="H603" s="1"/>
      <c r="I603" s="1"/>
      <c r="J603" s="41"/>
      <c r="K603" s="1"/>
      <c r="L603" s="41"/>
      <c r="M603" s="1"/>
      <c r="N603" s="41"/>
      <c r="O603" s="41"/>
      <c r="P603" s="41"/>
      <c r="Q603" s="41"/>
      <c r="R603" s="41"/>
      <c r="S603" s="41"/>
      <c r="T603" s="41"/>
      <c r="U603" s="41"/>
      <c r="V603" s="41"/>
      <c r="W603" s="41"/>
      <c r="X603" s="41"/>
      <c r="Y603" s="41"/>
      <c r="Z603" s="41"/>
    </row>
    <row r="604" ht="15.75" customHeight="1">
      <c r="A604" s="35"/>
      <c r="B604" s="35"/>
      <c r="C604" s="35"/>
      <c r="D604" s="35"/>
      <c r="E604" s="1"/>
      <c r="F604" s="1"/>
      <c r="G604" s="1"/>
      <c r="H604" s="1"/>
      <c r="I604" s="1"/>
      <c r="J604" s="41"/>
      <c r="K604" s="1"/>
      <c r="L604" s="41"/>
      <c r="M604" s="1"/>
      <c r="N604" s="41"/>
      <c r="O604" s="41"/>
      <c r="P604" s="41"/>
      <c r="Q604" s="41"/>
      <c r="R604" s="41"/>
      <c r="S604" s="41"/>
      <c r="T604" s="41"/>
      <c r="U604" s="41"/>
      <c r="V604" s="41"/>
      <c r="W604" s="41"/>
      <c r="X604" s="41"/>
      <c r="Y604" s="41"/>
      <c r="Z604" s="41"/>
    </row>
    <row r="605" ht="15.75" customHeight="1">
      <c r="A605" s="35"/>
      <c r="B605" s="35"/>
      <c r="C605" s="35"/>
      <c r="D605" s="35"/>
      <c r="E605" s="1"/>
      <c r="F605" s="1"/>
      <c r="G605" s="1"/>
      <c r="H605" s="1"/>
      <c r="I605" s="1"/>
      <c r="J605" s="41"/>
      <c r="K605" s="1"/>
      <c r="L605" s="41"/>
      <c r="M605" s="1"/>
      <c r="N605" s="41"/>
      <c r="O605" s="41"/>
      <c r="P605" s="41"/>
      <c r="Q605" s="41"/>
      <c r="R605" s="41"/>
      <c r="S605" s="41"/>
      <c r="T605" s="41"/>
      <c r="U605" s="41"/>
      <c r="V605" s="41"/>
      <c r="W605" s="41"/>
      <c r="X605" s="41"/>
      <c r="Y605" s="41"/>
      <c r="Z605" s="41"/>
    </row>
    <row r="606" ht="15.75" customHeight="1">
      <c r="A606" s="35"/>
      <c r="B606" s="35"/>
      <c r="C606" s="35"/>
      <c r="D606" s="35"/>
      <c r="E606" s="1"/>
      <c r="F606" s="1"/>
      <c r="G606" s="1"/>
      <c r="H606" s="1"/>
      <c r="I606" s="1"/>
      <c r="J606" s="41"/>
      <c r="K606" s="1"/>
      <c r="L606" s="41"/>
      <c r="M606" s="1"/>
      <c r="N606" s="41"/>
      <c r="O606" s="41"/>
      <c r="P606" s="41"/>
      <c r="Q606" s="41"/>
      <c r="R606" s="41"/>
      <c r="S606" s="41"/>
      <c r="T606" s="41"/>
      <c r="U606" s="41"/>
      <c r="V606" s="41"/>
      <c r="W606" s="41"/>
      <c r="X606" s="41"/>
      <c r="Y606" s="41"/>
      <c r="Z606" s="41"/>
    </row>
    <row r="607" ht="15.75" customHeight="1">
      <c r="A607" s="35"/>
      <c r="B607" s="35"/>
      <c r="C607" s="35"/>
      <c r="D607" s="35"/>
      <c r="E607" s="1"/>
      <c r="F607" s="1"/>
      <c r="G607" s="1"/>
      <c r="H607" s="1"/>
      <c r="I607" s="1"/>
      <c r="J607" s="41"/>
      <c r="K607" s="1"/>
      <c r="L607" s="41"/>
      <c r="M607" s="1"/>
      <c r="N607" s="41"/>
      <c r="O607" s="41"/>
      <c r="P607" s="41"/>
      <c r="Q607" s="41"/>
      <c r="R607" s="41"/>
      <c r="S607" s="41"/>
      <c r="T607" s="41"/>
      <c r="U607" s="41"/>
      <c r="V607" s="41"/>
      <c r="W607" s="41"/>
      <c r="X607" s="41"/>
      <c r="Y607" s="41"/>
      <c r="Z607" s="41"/>
    </row>
    <row r="608" ht="15.75" customHeight="1">
      <c r="A608" s="35"/>
      <c r="B608" s="35"/>
      <c r="C608" s="35"/>
      <c r="D608" s="35"/>
      <c r="E608" s="1"/>
      <c r="F608" s="1"/>
      <c r="G608" s="1"/>
      <c r="H608" s="1"/>
      <c r="I608" s="1"/>
      <c r="J608" s="41"/>
      <c r="K608" s="1"/>
      <c r="L608" s="41"/>
      <c r="M608" s="1"/>
      <c r="N608" s="41"/>
      <c r="O608" s="41"/>
      <c r="P608" s="41"/>
      <c r="Q608" s="41"/>
      <c r="R608" s="41"/>
      <c r="S608" s="41"/>
      <c r="T608" s="41"/>
      <c r="U608" s="41"/>
      <c r="V608" s="41"/>
      <c r="W608" s="41"/>
      <c r="X608" s="41"/>
      <c r="Y608" s="41"/>
      <c r="Z608" s="41"/>
    </row>
    <row r="609" ht="15.75" customHeight="1">
      <c r="A609" s="35"/>
      <c r="B609" s="35"/>
      <c r="C609" s="35"/>
      <c r="D609" s="35"/>
      <c r="E609" s="1"/>
      <c r="F609" s="1"/>
      <c r="G609" s="1"/>
      <c r="H609" s="1"/>
      <c r="I609" s="1"/>
      <c r="J609" s="41"/>
      <c r="K609" s="1"/>
      <c r="L609" s="41"/>
      <c r="M609" s="1"/>
      <c r="N609" s="41"/>
      <c r="O609" s="41"/>
      <c r="P609" s="41"/>
      <c r="Q609" s="41"/>
      <c r="R609" s="41"/>
      <c r="S609" s="41"/>
      <c r="T609" s="41"/>
      <c r="U609" s="41"/>
      <c r="V609" s="41"/>
      <c r="W609" s="41"/>
      <c r="X609" s="41"/>
      <c r="Y609" s="41"/>
      <c r="Z609" s="41"/>
    </row>
    <row r="610" ht="15.75" customHeight="1">
      <c r="A610" s="35"/>
      <c r="B610" s="35"/>
      <c r="C610" s="35"/>
      <c r="D610" s="35"/>
      <c r="E610" s="1"/>
      <c r="F610" s="1"/>
      <c r="G610" s="1"/>
      <c r="H610" s="1"/>
      <c r="I610" s="1"/>
      <c r="J610" s="41"/>
      <c r="K610" s="1"/>
      <c r="L610" s="41"/>
      <c r="M610" s="1"/>
      <c r="N610" s="41"/>
      <c r="O610" s="41"/>
      <c r="P610" s="41"/>
      <c r="Q610" s="41"/>
      <c r="R610" s="41"/>
      <c r="S610" s="41"/>
      <c r="T610" s="41"/>
      <c r="U610" s="41"/>
      <c r="V610" s="41"/>
      <c r="W610" s="41"/>
      <c r="X610" s="41"/>
      <c r="Y610" s="41"/>
      <c r="Z610" s="41"/>
    </row>
    <row r="611" ht="15.75" customHeight="1">
      <c r="A611" s="35"/>
      <c r="B611" s="35"/>
      <c r="C611" s="35"/>
      <c r="D611" s="35"/>
      <c r="E611" s="1"/>
      <c r="F611" s="1"/>
      <c r="G611" s="1"/>
      <c r="H611" s="1"/>
      <c r="I611" s="1"/>
      <c r="J611" s="41"/>
      <c r="K611" s="1"/>
      <c r="L611" s="41"/>
      <c r="M611" s="1"/>
      <c r="N611" s="41"/>
      <c r="O611" s="41"/>
      <c r="P611" s="41"/>
      <c r="Q611" s="41"/>
      <c r="R611" s="41"/>
      <c r="S611" s="41"/>
      <c r="T611" s="41"/>
      <c r="U611" s="41"/>
      <c r="V611" s="41"/>
      <c r="W611" s="41"/>
      <c r="X611" s="41"/>
      <c r="Y611" s="41"/>
      <c r="Z611" s="41"/>
    </row>
    <row r="612" ht="15.75" customHeight="1">
      <c r="A612" s="35"/>
      <c r="B612" s="35"/>
      <c r="C612" s="35"/>
      <c r="D612" s="35"/>
      <c r="E612" s="1"/>
      <c r="F612" s="1"/>
      <c r="G612" s="1"/>
      <c r="H612" s="1"/>
      <c r="I612" s="1"/>
      <c r="J612" s="41"/>
      <c r="K612" s="1"/>
      <c r="L612" s="41"/>
      <c r="M612" s="1"/>
      <c r="N612" s="41"/>
      <c r="O612" s="41"/>
      <c r="P612" s="41"/>
      <c r="Q612" s="41"/>
      <c r="R612" s="41"/>
      <c r="S612" s="41"/>
      <c r="T612" s="41"/>
      <c r="U612" s="41"/>
      <c r="V612" s="41"/>
      <c r="W612" s="41"/>
      <c r="X612" s="41"/>
      <c r="Y612" s="41"/>
      <c r="Z612" s="41"/>
    </row>
    <row r="613" ht="15.75" customHeight="1">
      <c r="A613" s="35"/>
      <c r="B613" s="35"/>
      <c r="C613" s="35"/>
      <c r="D613" s="35"/>
      <c r="E613" s="1"/>
      <c r="F613" s="1"/>
      <c r="G613" s="1"/>
      <c r="H613" s="1"/>
      <c r="I613" s="1"/>
      <c r="J613" s="41"/>
      <c r="K613" s="1"/>
      <c r="L613" s="41"/>
      <c r="M613" s="1"/>
      <c r="N613" s="41"/>
      <c r="O613" s="41"/>
      <c r="P613" s="41"/>
      <c r="Q613" s="41"/>
      <c r="R613" s="41"/>
      <c r="S613" s="41"/>
      <c r="T613" s="41"/>
      <c r="U613" s="41"/>
      <c r="V613" s="41"/>
      <c r="W613" s="41"/>
      <c r="X613" s="41"/>
      <c r="Y613" s="41"/>
      <c r="Z613" s="41"/>
    </row>
    <row r="614" ht="15.75" customHeight="1">
      <c r="A614" s="35"/>
      <c r="B614" s="35"/>
      <c r="C614" s="35"/>
      <c r="D614" s="35"/>
      <c r="E614" s="1"/>
      <c r="F614" s="1"/>
      <c r="G614" s="1"/>
      <c r="H614" s="1"/>
      <c r="I614" s="1"/>
      <c r="J614" s="41"/>
      <c r="K614" s="1"/>
      <c r="L614" s="41"/>
      <c r="M614" s="1"/>
      <c r="N614" s="41"/>
      <c r="O614" s="41"/>
      <c r="P614" s="41"/>
      <c r="Q614" s="41"/>
      <c r="R614" s="41"/>
      <c r="S614" s="41"/>
      <c r="T614" s="41"/>
      <c r="U614" s="41"/>
      <c r="V614" s="41"/>
      <c r="W614" s="41"/>
      <c r="X614" s="41"/>
      <c r="Y614" s="41"/>
      <c r="Z614" s="41"/>
    </row>
    <row r="615" ht="15.75" customHeight="1">
      <c r="A615" s="35"/>
      <c r="B615" s="35"/>
      <c r="C615" s="35"/>
      <c r="D615" s="35"/>
      <c r="E615" s="1"/>
      <c r="F615" s="1"/>
      <c r="G615" s="1"/>
      <c r="H615" s="1"/>
      <c r="I615" s="1"/>
      <c r="J615" s="41"/>
      <c r="K615" s="1"/>
      <c r="L615" s="41"/>
      <c r="M615" s="1"/>
      <c r="N615" s="41"/>
      <c r="O615" s="41"/>
      <c r="P615" s="41"/>
      <c r="Q615" s="41"/>
      <c r="R615" s="41"/>
      <c r="S615" s="41"/>
      <c r="T615" s="41"/>
      <c r="U615" s="41"/>
      <c r="V615" s="41"/>
      <c r="W615" s="41"/>
      <c r="X615" s="41"/>
      <c r="Y615" s="41"/>
      <c r="Z615" s="41"/>
    </row>
    <row r="616" ht="15.75" customHeight="1">
      <c r="A616" s="35"/>
      <c r="B616" s="35"/>
      <c r="C616" s="35"/>
      <c r="D616" s="35"/>
      <c r="E616" s="1"/>
      <c r="F616" s="1"/>
      <c r="G616" s="1"/>
      <c r="H616" s="1"/>
      <c r="I616" s="1"/>
      <c r="J616" s="41"/>
      <c r="K616" s="1"/>
      <c r="L616" s="41"/>
      <c r="M616" s="1"/>
      <c r="N616" s="41"/>
      <c r="O616" s="41"/>
      <c r="P616" s="41"/>
      <c r="Q616" s="41"/>
      <c r="R616" s="41"/>
      <c r="S616" s="41"/>
      <c r="T616" s="41"/>
      <c r="U616" s="41"/>
      <c r="V616" s="41"/>
      <c r="W616" s="41"/>
      <c r="X616" s="41"/>
      <c r="Y616" s="41"/>
      <c r="Z616" s="41"/>
    </row>
    <row r="617" ht="15.75" customHeight="1">
      <c r="A617" s="35"/>
      <c r="B617" s="35"/>
      <c r="C617" s="35"/>
      <c r="D617" s="35"/>
      <c r="E617" s="1"/>
      <c r="F617" s="1"/>
      <c r="G617" s="1"/>
      <c r="H617" s="1"/>
      <c r="I617" s="1"/>
      <c r="J617" s="41"/>
      <c r="K617" s="1"/>
      <c r="L617" s="41"/>
      <c r="M617" s="1"/>
      <c r="N617" s="41"/>
      <c r="O617" s="41"/>
      <c r="P617" s="41"/>
      <c r="Q617" s="41"/>
      <c r="R617" s="41"/>
      <c r="S617" s="41"/>
      <c r="T617" s="41"/>
      <c r="U617" s="41"/>
      <c r="V617" s="41"/>
      <c r="W617" s="41"/>
      <c r="X617" s="41"/>
      <c r="Y617" s="41"/>
      <c r="Z617" s="41"/>
    </row>
    <row r="618" ht="15.75" customHeight="1">
      <c r="A618" s="35"/>
      <c r="B618" s="35"/>
      <c r="C618" s="35"/>
      <c r="D618" s="35"/>
      <c r="E618" s="1"/>
      <c r="F618" s="1"/>
      <c r="G618" s="1"/>
      <c r="H618" s="1"/>
      <c r="I618" s="1"/>
      <c r="J618" s="41"/>
      <c r="K618" s="1"/>
      <c r="L618" s="41"/>
      <c r="M618" s="1"/>
      <c r="N618" s="41"/>
      <c r="O618" s="41"/>
      <c r="P618" s="41"/>
      <c r="Q618" s="41"/>
      <c r="R618" s="41"/>
      <c r="S618" s="41"/>
      <c r="T618" s="41"/>
      <c r="U618" s="41"/>
      <c r="V618" s="41"/>
      <c r="W618" s="41"/>
      <c r="X618" s="41"/>
      <c r="Y618" s="41"/>
      <c r="Z618" s="41"/>
    </row>
    <row r="619" ht="15.75" customHeight="1">
      <c r="A619" s="35"/>
      <c r="B619" s="35"/>
      <c r="C619" s="35"/>
      <c r="D619" s="35"/>
      <c r="E619" s="1"/>
      <c r="F619" s="1"/>
      <c r="G619" s="1"/>
      <c r="H619" s="1"/>
      <c r="I619" s="1"/>
      <c r="J619" s="41"/>
      <c r="K619" s="1"/>
      <c r="L619" s="41"/>
      <c r="M619" s="1"/>
      <c r="N619" s="41"/>
      <c r="O619" s="41"/>
      <c r="P619" s="41"/>
      <c r="Q619" s="41"/>
      <c r="R619" s="41"/>
      <c r="S619" s="41"/>
      <c r="T619" s="41"/>
      <c r="U619" s="41"/>
      <c r="V619" s="41"/>
      <c r="W619" s="41"/>
      <c r="X619" s="41"/>
      <c r="Y619" s="41"/>
      <c r="Z619" s="41"/>
    </row>
    <row r="620" ht="15.75" customHeight="1">
      <c r="A620" s="35"/>
      <c r="B620" s="35"/>
      <c r="C620" s="35"/>
      <c r="D620" s="35"/>
      <c r="E620" s="1"/>
      <c r="F620" s="1"/>
      <c r="G620" s="1"/>
      <c r="H620" s="1"/>
      <c r="I620" s="1"/>
      <c r="J620" s="41"/>
      <c r="K620" s="1"/>
      <c r="L620" s="41"/>
      <c r="M620" s="1"/>
      <c r="N620" s="41"/>
      <c r="O620" s="41"/>
      <c r="P620" s="41"/>
      <c r="Q620" s="41"/>
      <c r="R620" s="41"/>
      <c r="S620" s="41"/>
      <c r="T620" s="41"/>
      <c r="U620" s="41"/>
      <c r="V620" s="41"/>
      <c r="W620" s="41"/>
      <c r="X620" s="41"/>
      <c r="Y620" s="41"/>
      <c r="Z620" s="41"/>
    </row>
    <row r="621" ht="15.75" customHeight="1">
      <c r="A621" s="35"/>
      <c r="B621" s="35"/>
      <c r="C621" s="35"/>
      <c r="D621" s="35"/>
      <c r="E621" s="1"/>
      <c r="F621" s="1"/>
      <c r="G621" s="1"/>
      <c r="H621" s="1"/>
      <c r="I621" s="1"/>
      <c r="J621" s="41"/>
      <c r="K621" s="1"/>
      <c r="L621" s="41"/>
      <c r="M621" s="1"/>
      <c r="N621" s="41"/>
      <c r="O621" s="41"/>
      <c r="P621" s="41"/>
      <c r="Q621" s="41"/>
      <c r="R621" s="41"/>
      <c r="S621" s="41"/>
      <c r="T621" s="41"/>
      <c r="U621" s="41"/>
      <c r="V621" s="41"/>
      <c r="W621" s="41"/>
      <c r="X621" s="41"/>
      <c r="Y621" s="41"/>
      <c r="Z621" s="41"/>
    </row>
    <row r="622" ht="15.75" customHeight="1">
      <c r="A622" s="35"/>
      <c r="B622" s="35"/>
      <c r="C622" s="35"/>
      <c r="D622" s="35"/>
      <c r="E622" s="1"/>
      <c r="F622" s="1"/>
      <c r="G622" s="1"/>
      <c r="H622" s="1"/>
      <c r="I622" s="1"/>
      <c r="J622" s="41"/>
      <c r="K622" s="1"/>
      <c r="L622" s="41"/>
      <c r="M622" s="1"/>
      <c r="N622" s="41"/>
      <c r="O622" s="41"/>
      <c r="P622" s="41"/>
      <c r="Q622" s="41"/>
      <c r="R622" s="41"/>
      <c r="S622" s="41"/>
      <c r="T622" s="41"/>
      <c r="U622" s="41"/>
      <c r="V622" s="41"/>
      <c r="W622" s="41"/>
      <c r="X622" s="41"/>
      <c r="Y622" s="41"/>
      <c r="Z622" s="41"/>
    </row>
    <row r="623" ht="15.75" customHeight="1">
      <c r="A623" s="35"/>
      <c r="B623" s="35"/>
      <c r="C623" s="35"/>
      <c r="D623" s="35"/>
      <c r="E623" s="1"/>
      <c r="F623" s="1"/>
      <c r="G623" s="1"/>
      <c r="H623" s="1"/>
      <c r="I623" s="1"/>
      <c r="J623" s="41"/>
      <c r="K623" s="1"/>
      <c r="L623" s="41"/>
      <c r="M623" s="1"/>
      <c r="N623" s="41"/>
      <c r="O623" s="41"/>
      <c r="P623" s="41"/>
      <c r="Q623" s="41"/>
      <c r="R623" s="41"/>
      <c r="S623" s="41"/>
      <c r="T623" s="41"/>
      <c r="U623" s="41"/>
      <c r="V623" s="41"/>
      <c r="W623" s="41"/>
      <c r="X623" s="41"/>
      <c r="Y623" s="41"/>
      <c r="Z623" s="41"/>
    </row>
    <row r="624" ht="15.75" customHeight="1">
      <c r="A624" s="35"/>
      <c r="B624" s="35"/>
      <c r="C624" s="35"/>
      <c r="D624" s="35"/>
      <c r="E624" s="1"/>
      <c r="F624" s="1"/>
      <c r="G624" s="1"/>
      <c r="H624" s="1"/>
      <c r="I624" s="1"/>
      <c r="J624" s="41"/>
      <c r="K624" s="1"/>
      <c r="L624" s="41"/>
      <c r="M624" s="1"/>
      <c r="N624" s="41"/>
      <c r="O624" s="41"/>
      <c r="P624" s="41"/>
      <c r="Q624" s="41"/>
      <c r="R624" s="41"/>
      <c r="S624" s="41"/>
      <c r="T624" s="41"/>
      <c r="U624" s="41"/>
      <c r="V624" s="41"/>
      <c r="W624" s="41"/>
      <c r="X624" s="41"/>
      <c r="Y624" s="41"/>
      <c r="Z624" s="41"/>
    </row>
    <row r="625" ht="15.75" customHeight="1">
      <c r="A625" s="35"/>
      <c r="B625" s="35"/>
      <c r="C625" s="35"/>
      <c r="D625" s="35"/>
      <c r="E625" s="1"/>
      <c r="F625" s="1"/>
      <c r="G625" s="1"/>
      <c r="H625" s="1"/>
      <c r="I625" s="1"/>
      <c r="J625" s="41"/>
      <c r="K625" s="1"/>
      <c r="L625" s="41"/>
      <c r="M625" s="1"/>
      <c r="N625" s="41"/>
      <c r="O625" s="41"/>
      <c r="P625" s="41"/>
      <c r="Q625" s="41"/>
      <c r="R625" s="41"/>
      <c r="S625" s="41"/>
      <c r="T625" s="41"/>
      <c r="U625" s="41"/>
      <c r="V625" s="41"/>
      <c r="W625" s="41"/>
      <c r="X625" s="41"/>
      <c r="Y625" s="41"/>
      <c r="Z625" s="41"/>
    </row>
    <row r="626" ht="15.75" customHeight="1">
      <c r="A626" s="35"/>
      <c r="B626" s="35"/>
      <c r="C626" s="35"/>
      <c r="D626" s="35"/>
      <c r="E626" s="1"/>
      <c r="F626" s="1"/>
      <c r="G626" s="1"/>
      <c r="H626" s="1"/>
      <c r="I626" s="1"/>
      <c r="J626" s="41"/>
      <c r="K626" s="1"/>
      <c r="L626" s="41"/>
      <c r="M626" s="1"/>
      <c r="N626" s="41"/>
      <c r="O626" s="41"/>
      <c r="P626" s="41"/>
      <c r="Q626" s="41"/>
      <c r="R626" s="41"/>
      <c r="S626" s="41"/>
      <c r="T626" s="41"/>
      <c r="U626" s="41"/>
      <c r="V626" s="41"/>
      <c r="W626" s="41"/>
      <c r="X626" s="41"/>
      <c r="Y626" s="41"/>
      <c r="Z626" s="41"/>
    </row>
    <row r="627" ht="15.75" customHeight="1">
      <c r="A627" s="35"/>
      <c r="B627" s="35"/>
      <c r="C627" s="35"/>
      <c r="D627" s="35"/>
      <c r="E627" s="1"/>
      <c r="F627" s="1"/>
      <c r="G627" s="1"/>
      <c r="H627" s="1"/>
      <c r="I627" s="1"/>
      <c r="J627" s="41"/>
      <c r="K627" s="1"/>
      <c r="L627" s="41"/>
      <c r="M627" s="1"/>
      <c r="N627" s="41"/>
      <c r="O627" s="41"/>
      <c r="P627" s="41"/>
      <c r="Q627" s="41"/>
      <c r="R627" s="41"/>
      <c r="S627" s="41"/>
      <c r="T627" s="41"/>
      <c r="U627" s="41"/>
      <c r="V627" s="41"/>
      <c r="W627" s="41"/>
      <c r="X627" s="41"/>
      <c r="Y627" s="41"/>
      <c r="Z627" s="41"/>
    </row>
    <row r="628" ht="15.75" customHeight="1">
      <c r="A628" s="35"/>
      <c r="B628" s="35"/>
      <c r="C628" s="35"/>
      <c r="D628" s="35"/>
      <c r="E628" s="1"/>
      <c r="F628" s="1"/>
      <c r="G628" s="1"/>
      <c r="H628" s="1"/>
      <c r="I628" s="1"/>
      <c r="J628" s="41"/>
      <c r="K628" s="1"/>
      <c r="L628" s="41"/>
      <c r="M628" s="1"/>
      <c r="N628" s="41"/>
      <c r="O628" s="41"/>
      <c r="P628" s="41"/>
      <c r="Q628" s="41"/>
      <c r="R628" s="41"/>
      <c r="S628" s="41"/>
      <c r="T628" s="41"/>
      <c r="U628" s="41"/>
      <c r="V628" s="41"/>
      <c r="W628" s="41"/>
      <c r="X628" s="41"/>
      <c r="Y628" s="41"/>
      <c r="Z628" s="41"/>
    </row>
    <row r="629" ht="15.75" customHeight="1">
      <c r="A629" s="35"/>
      <c r="B629" s="35"/>
      <c r="C629" s="35"/>
      <c r="D629" s="35"/>
      <c r="E629" s="1"/>
      <c r="F629" s="1"/>
      <c r="G629" s="1"/>
      <c r="H629" s="1"/>
      <c r="I629" s="1"/>
      <c r="J629" s="41"/>
      <c r="K629" s="1"/>
      <c r="L629" s="41"/>
      <c r="M629" s="1"/>
      <c r="N629" s="41"/>
      <c r="O629" s="41"/>
      <c r="P629" s="41"/>
      <c r="Q629" s="41"/>
      <c r="R629" s="41"/>
      <c r="S629" s="41"/>
      <c r="T629" s="41"/>
      <c r="U629" s="41"/>
      <c r="V629" s="41"/>
      <c r="W629" s="41"/>
      <c r="X629" s="41"/>
      <c r="Y629" s="41"/>
      <c r="Z629" s="41"/>
    </row>
    <row r="630" ht="15.75" customHeight="1">
      <c r="A630" s="35"/>
      <c r="B630" s="35"/>
      <c r="C630" s="35"/>
      <c r="D630" s="35"/>
      <c r="E630" s="1"/>
      <c r="F630" s="1"/>
      <c r="G630" s="1"/>
      <c r="H630" s="1"/>
      <c r="I630" s="1"/>
      <c r="J630" s="41"/>
      <c r="K630" s="1"/>
      <c r="L630" s="41"/>
      <c r="M630" s="1"/>
      <c r="N630" s="41"/>
      <c r="O630" s="41"/>
      <c r="P630" s="41"/>
      <c r="Q630" s="41"/>
      <c r="R630" s="41"/>
      <c r="S630" s="41"/>
      <c r="T630" s="41"/>
      <c r="U630" s="41"/>
      <c r="V630" s="41"/>
      <c r="W630" s="41"/>
      <c r="X630" s="41"/>
      <c r="Y630" s="41"/>
      <c r="Z630" s="41"/>
    </row>
    <row r="631" ht="15.75" customHeight="1">
      <c r="A631" s="35"/>
      <c r="B631" s="35"/>
      <c r="C631" s="35"/>
      <c r="D631" s="35"/>
      <c r="E631" s="1"/>
      <c r="F631" s="1"/>
      <c r="G631" s="1"/>
      <c r="H631" s="1"/>
      <c r="I631" s="1"/>
      <c r="J631" s="41"/>
      <c r="K631" s="1"/>
      <c r="L631" s="41"/>
      <c r="M631" s="1"/>
      <c r="N631" s="41"/>
      <c r="O631" s="41"/>
      <c r="P631" s="41"/>
      <c r="Q631" s="41"/>
      <c r="R631" s="41"/>
      <c r="S631" s="41"/>
      <c r="T631" s="41"/>
      <c r="U631" s="41"/>
      <c r="V631" s="41"/>
      <c r="W631" s="41"/>
      <c r="X631" s="41"/>
      <c r="Y631" s="41"/>
      <c r="Z631" s="41"/>
    </row>
    <row r="632" ht="15.75" customHeight="1">
      <c r="A632" s="35"/>
      <c r="B632" s="35"/>
      <c r="C632" s="35"/>
      <c r="D632" s="35"/>
      <c r="E632" s="1"/>
      <c r="F632" s="1"/>
      <c r="G632" s="1"/>
      <c r="H632" s="1"/>
      <c r="I632" s="1"/>
      <c r="J632" s="41"/>
      <c r="K632" s="1"/>
      <c r="L632" s="41"/>
      <c r="M632" s="1"/>
      <c r="N632" s="41"/>
      <c r="O632" s="41"/>
      <c r="P632" s="41"/>
      <c r="Q632" s="41"/>
      <c r="R632" s="41"/>
      <c r="S632" s="41"/>
      <c r="T632" s="41"/>
      <c r="U632" s="41"/>
      <c r="V632" s="41"/>
      <c r="W632" s="41"/>
      <c r="X632" s="41"/>
      <c r="Y632" s="41"/>
      <c r="Z632" s="41"/>
    </row>
    <row r="633" ht="15.75" customHeight="1">
      <c r="A633" s="35"/>
      <c r="B633" s="35"/>
      <c r="C633" s="35"/>
      <c r="D633" s="35"/>
      <c r="E633" s="1"/>
      <c r="F633" s="1"/>
      <c r="G633" s="1"/>
      <c r="H633" s="1"/>
      <c r="I633" s="1"/>
      <c r="J633" s="41"/>
      <c r="K633" s="1"/>
      <c r="L633" s="41"/>
      <c r="M633" s="1"/>
      <c r="N633" s="41"/>
      <c r="O633" s="41"/>
      <c r="P633" s="41"/>
      <c r="Q633" s="41"/>
      <c r="R633" s="41"/>
      <c r="S633" s="41"/>
      <c r="T633" s="41"/>
      <c r="U633" s="41"/>
      <c r="V633" s="41"/>
      <c r="W633" s="41"/>
      <c r="X633" s="41"/>
      <c r="Y633" s="41"/>
      <c r="Z633" s="41"/>
    </row>
    <row r="634" ht="15.75" customHeight="1">
      <c r="A634" s="35"/>
      <c r="B634" s="35"/>
      <c r="C634" s="35"/>
      <c r="D634" s="35"/>
      <c r="E634" s="1"/>
      <c r="F634" s="1"/>
      <c r="G634" s="1"/>
      <c r="H634" s="1"/>
      <c r="I634" s="1"/>
      <c r="J634" s="41"/>
      <c r="K634" s="1"/>
      <c r="L634" s="41"/>
      <c r="M634" s="1"/>
      <c r="N634" s="41"/>
      <c r="O634" s="41"/>
      <c r="P634" s="41"/>
      <c r="Q634" s="41"/>
      <c r="R634" s="41"/>
      <c r="S634" s="41"/>
      <c r="T634" s="41"/>
      <c r="U634" s="41"/>
      <c r="V634" s="41"/>
      <c r="W634" s="41"/>
      <c r="X634" s="41"/>
      <c r="Y634" s="41"/>
      <c r="Z634" s="41"/>
    </row>
    <row r="635" ht="15.75" customHeight="1">
      <c r="A635" s="35"/>
      <c r="B635" s="35"/>
      <c r="C635" s="35"/>
      <c r="D635" s="35"/>
      <c r="E635" s="1"/>
      <c r="F635" s="1"/>
      <c r="G635" s="1"/>
      <c r="H635" s="1"/>
      <c r="I635" s="1"/>
      <c r="J635" s="41"/>
      <c r="K635" s="1"/>
      <c r="L635" s="41"/>
      <c r="M635" s="1"/>
      <c r="N635" s="41"/>
      <c r="O635" s="41"/>
      <c r="P635" s="41"/>
      <c r="Q635" s="41"/>
      <c r="R635" s="41"/>
      <c r="S635" s="41"/>
      <c r="T635" s="41"/>
      <c r="U635" s="41"/>
      <c r="V635" s="41"/>
      <c r="W635" s="41"/>
      <c r="X635" s="41"/>
      <c r="Y635" s="41"/>
      <c r="Z635" s="41"/>
    </row>
    <row r="636" ht="15.75" customHeight="1">
      <c r="A636" s="35"/>
      <c r="B636" s="35"/>
      <c r="C636" s="35"/>
      <c r="D636" s="35"/>
      <c r="E636" s="1"/>
      <c r="F636" s="1"/>
      <c r="G636" s="1"/>
      <c r="H636" s="1"/>
      <c r="I636" s="1"/>
      <c r="J636" s="41"/>
      <c r="K636" s="1"/>
      <c r="L636" s="41"/>
      <c r="M636" s="1"/>
      <c r="N636" s="41"/>
      <c r="O636" s="41"/>
      <c r="P636" s="41"/>
      <c r="Q636" s="41"/>
      <c r="R636" s="41"/>
      <c r="S636" s="41"/>
      <c r="T636" s="41"/>
      <c r="U636" s="41"/>
      <c r="V636" s="41"/>
      <c r="W636" s="41"/>
      <c r="X636" s="41"/>
      <c r="Y636" s="41"/>
      <c r="Z636" s="41"/>
    </row>
    <row r="637" ht="15.75" customHeight="1">
      <c r="A637" s="35"/>
      <c r="B637" s="35"/>
      <c r="C637" s="35"/>
      <c r="D637" s="35"/>
      <c r="E637" s="1"/>
      <c r="F637" s="1"/>
      <c r="G637" s="1"/>
      <c r="H637" s="1"/>
      <c r="I637" s="1"/>
      <c r="J637" s="41"/>
      <c r="K637" s="1"/>
      <c r="L637" s="41"/>
      <c r="M637" s="1"/>
      <c r="N637" s="41"/>
      <c r="O637" s="41"/>
      <c r="P637" s="41"/>
      <c r="Q637" s="41"/>
      <c r="R637" s="41"/>
      <c r="S637" s="41"/>
      <c r="T637" s="41"/>
      <c r="U637" s="41"/>
      <c r="V637" s="41"/>
      <c r="W637" s="41"/>
      <c r="X637" s="41"/>
      <c r="Y637" s="41"/>
      <c r="Z637" s="41"/>
    </row>
    <row r="638" ht="15.75" customHeight="1">
      <c r="A638" s="35"/>
      <c r="B638" s="35"/>
      <c r="C638" s="35"/>
      <c r="D638" s="35"/>
      <c r="E638" s="1"/>
      <c r="F638" s="1"/>
      <c r="G638" s="1"/>
      <c r="H638" s="1"/>
      <c r="I638" s="1"/>
      <c r="J638" s="41"/>
      <c r="K638" s="1"/>
      <c r="L638" s="41"/>
      <c r="M638" s="1"/>
      <c r="N638" s="41"/>
      <c r="O638" s="41"/>
      <c r="P638" s="41"/>
      <c r="Q638" s="41"/>
      <c r="R638" s="41"/>
      <c r="S638" s="41"/>
      <c r="T638" s="41"/>
      <c r="U638" s="41"/>
      <c r="V638" s="41"/>
      <c r="W638" s="41"/>
      <c r="X638" s="41"/>
      <c r="Y638" s="41"/>
      <c r="Z638" s="41"/>
    </row>
    <row r="639" ht="15.75" customHeight="1">
      <c r="A639" s="35"/>
      <c r="B639" s="35"/>
      <c r="C639" s="35"/>
      <c r="D639" s="35"/>
      <c r="E639" s="1"/>
      <c r="F639" s="1"/>
      <c r="G639" s="1"/>
      <c r="H639" s="1"/>
      <c r="I639" s="1"/>
      <c r="J639" s="41"/>
      <c r="K639" s="1"/>
      <c r="L639" s="41"/>
      <c r="M639" s="1"/>
      <c r="N639" s="41"/>
      <c r="O639" s="41"/>
      <c r="P639" s="41"/>
      <c r="Q639" s="41"/>
      <c r="R639" s="41"/>
      <c r="S639" s="41"/>
      <c r="T639" s="41"/>
      <c r="U639" s="41"/>
      <c r="V639" s="41"/>
      <c r="W639" s="41"/>
      <c r="X639" s="41"/>
      <c r="Y639" s="41"/>
      <c r="Z639" s="41"/>
    </row>
    <row r="640" ht="15.75" customHeight="1">
      <c r="A640" s="35"/>
      <c r="B640" s="35"/>
      <c r="C640" s="35"/>
      <c r="D640" s="35"/>
      <c r="E640" s="1"/>
      <c r="F640" s="1"/>
      <c r="G640" s="1"/>
      <c r="H640" s="1"/>
      <c r="I640" s="1"/>
      <c r="J640" s="41"/>
      <c r="K640" s="1"/>
      <c r="L640" s="41"/>
      <c r="M640" s="1"/>
      <c r="N640" s="41"/>
      <c r="O640" s="41"/>
      <c r="P640" s="41"/>
      <c r="Q640" s="41"/>
      <c r="R640" s="41"/>
      <c r="S640" s="41"/>
      <c r="T640" s="41"/>
      <c r="U640" s="41"/>
      <c r="V640" s="41"/>
      <c r="W640" s="41"/>
      <c r="X640" s="41"/>
      <c r="Y640" s="41"/>
      <c r="Z640" s="41"/>
    </row>
    <row r="641" ht="15.75" customHeight="1">
      <c r="A641" s="35"/>
      <c r="B641" s="35"/>
      <c r="C641" s="35"/>
      <c r="D641" s="35"/>
      <c r="E641" s="1"/>
      <c r="F641" s="1"/>
      <c r="G641" s="1"/>
      <c r="H641" s="1"/>
      <c r="I641" s="1"/>
      <c r="J641" s="41"/>
      <c r="K641" s="1"/>
      <c r="L641" s="41"/>
      <c r="M641" s="1"/>
      <c r="N641" s="41"/>
      <c r="O641" s="41"/>
      <c r="P641" s="41"/>
      <c r="Q641" s="41"/>
      <c r="R641" s="41"/>
      <c r="S641" s="41"/>
      <c r="T641" s="41"/>
      <c r="U641" s="41"/>
      <c r="V641" s="41"/>
      <c r="W641" s="41"/>
      <c r="X641" s="41"/>
      <c r="Y641" s="41"/>
      <c r="Z641" s="41"/>
    </row>
    <row r="642" ht="15.75" customHeight="1">
      <c r="A642" s="35"/>
      <c r="B642" s="35"/>
      <c r="C642" s="35"/>
      <c r="D642" s="35"/>
      <c r="E642" s="1"/>
      <c r="F642" s="1"/>
      <c r="G642" s="1"/>
      <c r="H642" s="1"/>
      <c r="I642" s="1"/>
      <c r="J642" s="41"/>
      <c r="K642" s="1"/>
      <c r="L642" s="41"/>
      <c r="M642" s="1"/>
      <c r="N642" s="41"/>
      <c r="O642" s="41"/>
      <c r="P642" s="41"/>
      <c r="Q642" s="41"/>
      <c r="R642" s="41"/>
      <c r="S642" s="41"/>
      <c r="T642" s="41"/>
      <c r="U642" s="41"/>
      <c r="V642" s="41"/>
      <c r="W642" s="41"/>
      <c r="X642" s="41"/>
      <c r="Y642" s="41"/>
      <c r="Z642" s="41"/>
    </row>
    <row r="643" ht="15.75" customHeight="1">
      <c r="A643" s="35"/>
      <c r="B643" s="35"/>
      <c r="C643" s="35"/>
      <c r="D643" s="35"/>
      <c r="E643" s="1"/>
      <c r="F643" s="1"/>
      <c r="G643" s="1"/>
      <c r="H643" s="1"/>
      <c r="I643" s="1"/>
      <c r="J643" s="41"/>
      <c r="K643" s="1"/>
      <c r="L643" s="41"/>
      <c r="M643" s="1"/>
      <c r="N643" s="41"/>
      <c r="O643" s="41"/>
      <c r="P643" s="41"/>
      <c r="Q643" s="41"/>
      <c r="R643" s="41"/>
      <c r="S643" s="41"/>
      <c r="T643" s="41"/>
      <c r="U643" s="41"/>
      <c r="V643" s="41"/>
      <c r="W643" s="41"/>
      <c r="X643" s="41"/>
      <c r="Y643" s="41"/>
      <c r="Z643" s="41"/>
    </row>
    <row r="644" ht="15.75" customHeight="1">
      <c r="A644" s="35"/>
      <c r="B644" s="35"/>
      <c r="C644" s="35"/>
      <c r="D644" s="35"/>
      <c r="E644" s="1"/>
      <c r="F644" s="1"/>
      <c r="G644" s="1"/>
      <c r="H644" s="1"/>
      <c r="I644" s="1"/>
      <c r="J644" s="41"/>
      <c r="K644" s="1"/>
      <c r="L644" s="41"/>
      <c r="M644" s="1"/>
      <c r="N644" s="41"/>
      <c r="O644" s="41"/>
      <c r="P644" s="41"/>
      <c r="Q644" s="41"/>
      <c r="R644" s="41"/>
      <c r="S644" s="41"/>
      <c r="T644" s="41"/>
      <c r="U644" s="41"/>
      <c r="V644" s="41"/>
      <c r="W644" s="41"/>
      <c r="X644" s="41"/>
      <c r="Y644" s="41"/>
      <c r="Z644" s="41"/>
    </row>
    <row r="645" ht="15.75" customHeight="1">
      <c r="A645" s="35"/>
      <c r="B645" s="35"/>
      <c r="C645" s="35"/>
      <c r="D645" s="35"/>
      <c r="E645" s="1"/>
      <c r="F645" s="1"/>
      <c r="G645" s="1"/>
      <c r="H645" s="1"/>
      <c r="I645" s="1"/>
      <c r="J645" s="41"/>
      <c r="K645" s="1"/>
      <c r="L645" s="41"/>
      <c r="M645" s="1"/>
      <c r="N645" s="41"/>
      <c r="O645" s="41"/>
      <c r="P645" s="41"/>
      <c r="Q645" s="41"/>
      <c r="R645" s="41"/>
      <c r="S645" s="41"/>
      <c r="T645" s="41"/>
      <c r="U645" s="41"/>
      <c r="V645" s="41"/>
      <c r="W645" s="41"/>
      <c r="X645" s="41"/>
      <c r="Y645" s="41"/>
      <c r="Z645" s="41"/>
    </row>
    <row r="646" ht="15.75" customHeight="1">
      <c r="A646" s="35"/>
      <c r="B646" s="35"/>
      <c r="C646" s="35"/>
      <c r="D646" s="35"/>
      <c r="E646" s="1"/>
      <c r="F646" s="1"/>
      <c r="G646" s="1"/>
      <c r="H646" s="1"/>
      <c r="I646" s="1"/>
      <c r="J646" s="41"/>
      <c r="K646" s="1"/>
      <c r="L646" s="41"/>
      <c r="M646" s="1"/>
      <c r="N646" s="41"/>
      <c r="O646" s="41"/>
      <c r="P646" s="41"/>
      <c r="Q646" s="41"/>
      <c r="R646" s="41"/>
      <c r="S646" s="41"/>
      <c r="T646" s="41"/>
      <c r="U646" s="41"/>
      <c r="V646" s="41"/>
      <c r="W646" s="41"/>
      <c r="X646" s="41"/>
      <c r="Y646" s="41"/>
      <c r="Z646" s="41"/>
    </row>
    <row r="647" ht="15.75" customHeight="1">
      <c r="A647" s="35"/>
      <c r="B647" s="35"/>
      <c r="C647" s="35"/>
      <c r="D647" s="35"/>
      <c r="E647" s="1"/>
      <c r="F647" s="1"/>
      <c r="G647" s="1"/>
      <c r="H647" s="1"/>
      <c r="I647" s="1"/>
      <c r="J647" s="41"/>
      <c r="K647" s="1"/>
      <c r="L647" s="41"/>
      <c r="M647" s="1"/>
      <c r="N647" s="41"/>
      <c r="O647" s="41"/>
      <c r="P647" s="41"/>
      <c r="Q647" s="41"/>
      <c r="R647" s="41"/>
      <c r="S647" s="41"/>
      <c r="T647" s="41"/>
      <c r="U647" s="41"/>
      <c r="V647" s="41"/>
      <c r="W647" s="41"/>
      <c r="X647" s="41"/>
      <c r="Y647" s="41"/>
      <c r="Z647" s="41"/>
    </row>
    <row r="648" ht="15.75" customHeight="1">
      <c r="A648" s="35"/>
      <c r="B648" s="35"/>
      <c r="C648" s="35"/>
      <c r="D648" s="35"/>
      <c r="E648" s="1"/>
      <c r="F648" s="1"/>
      <c r="G648" s="1"/>
      <c r="H648" s="1"/>
      <c r="I648" s="1"/>
      <c r="J648" s="41"/>
      <c r="K648" s="1"/>
      <c r="L648" s="41"/>
      <c r="M648" s="1"/>
      <c r="N648" s="41"/>
      <c r="O648" s="41"/>
      <c r="P648" s="41"/>
      <c r="Q648" s="41"/>
      <c r="R648" s="41"/>
      <c r="S648" s="41"/>
      <c r="T648" s="41"/>
      <c r="U648" s="41"/>
      <c r="V648" s="41"/>
      <c r="W648" s="41"/>
      <c r="X648" s="41"/>
      <c r="Y648" s="41"/>
      <c r="Z648" s="41"/>
    </row>
    <row r="649" ht="15.75" customHeight="1">
      <c r="A649" s="35"/>
      <c r="B649" s="35"/>
      <c r="C649" s="35"/>
      <c r="D649" s="35"/>
      <c r="E649" s="1"/>
      <c r="F649" s="1"/>
      <c r="G649" s="1"/>
      <c r="H649" s="1"/>
      <c r="I649" s="1"/>
      <c r="J649" s="41"/>
      <c r="K649" s="1"/>
      <c r="L649" s="41"/>
      <c r="M649" s="1"/>
      <c r="N649" s="41"/>
      <c r="O649" s="41"/>
      <c r="P649" s="41"/>
      <c r="Q649" s="41"/>
      <c r="R649" s="41"/>
      <c r="S649" s="41"/>
      <c r="T649" s="41"/>
      <c r="U649" s="41"/>
      <c r="V649" s="41"/>
      <c r="W649" s="41"/>
      <c r="X649" s="41"/>
      <c r="Y649" s="41"/>
      <c r="Z649" s="41"/>
    </row>
    <row r="650" ht="15.75" customHeight="1">
      <c r="A650" s="35"/>
      <c r="B650" s="35"/>
      <c r="C650" s="35"/>
      <c r="D650" s="35"/>
      <c r="E650" s="1"/>
      <c r="F650" s="1"/>
      <c r="G650" s="1"/>
      <c r="H650" s="1"/>
      <c r="I650" s="1"/>
      <c r="J650" s="41"/>
      <c r="K650" s="1"/>
      <c r="L650" s="41"/>
      <c r="M650" s="1"/>
      <c r="N650" s="41"/>
      <c r="O650" s="41"/>
      <c r="P650" s="41"/>
      <c r="Q650" s="41"/>
      <c r="R650" s="41"/>
      <c r="S650" s="41"/>
      <c r="T650" s="41"/>
      <c r="U650" s="41"/>
      <c r="V650" s="41"/>
      <c r="W650" s="41"/>
      <c r="X650" s="41"/>
      <c r="Y650" s="41"/>
      <c r="Z650" s="41"/>
    </row>
    <row r="651" ht="15.75" customHeight="1">
      <c r="A651" s="35"/>
      <c r="B651" s="35"/>
      <c r="C651" s="35"/>
      <c r="D651" s="35"/>
      <c r="E651" s="1"/>
      <c r="F651" s="1"/>
      <c r="G651" s="1"/>
      <c r="H651" s="1"/>
      <c r="I651" s="1"/>
      <c r="J651" s="41"/>
      <c r="K651" s="1"/>
      <c r="L651" s="41"/>
      <c r="M651" s="1"/>
      <c r="N651" s="41"/>
      <c r="O651" s="41"/>
      <c r="P651" s="41"/>
      <c r="Q651" s="41"/>
      <c r="R651" s="41"/>
      <c r="S651" s="41"/>
      <c r="T651" s="41"/>
      <c r="U651" s="41"/>
      <c r="V651" s="41"/>
      <c r="W651" s="41"/>
      <c r="X651" s="41"/>
      <c r="Y651" s="41"/>
      <c r="Z651" s="41"/>
    </row>
    <row r="652" ht="15.75" customHeight="1">
      <c r="A652" s="35"/>
      <c r="B652" s="35"/>
      <c r="C652" s="35"/>
      <c r="D652" s="35"/>
      <c r="E652" s="1"/>
      <c r="F652" s="1"/>
      <c r="G652" s="1"/>
      <c r="H652" s="1"/>
      <c r="I652" s="1"/>
      <c r="J652" s="41"/>
      <c r="K652" s="1"/>
      <c r="L652" s="41"/>
      <c r="M652" s="1"/>
      <c r="N652" s="41"/>
      <c r="O652" s="41"/>
      <c r="P652" s="41"/>
      <c r="Q652" s="41"/>
      <c r="R652" s="41"/>
      <c r="S652" s="41"/>
      <c r="T652" s="41"/>
      <c r="U652" s="41"/>
      <c r="V652" s="41"/>
      <c r="W652" s="41"/>
      <c r="X652" s="41"/>
      <c r="Y652" s="41"/>
      <c r="Z652" s="41"/>
    </row>
    <row r="653" ht="15.75" customHeight="1">
      <c r="A653" s="35"/>
      <c r="B653" s="35"/>
      <c r="C653" s="35"/>
      <c r="D653" s="35"/>
      <c r="E653" s="1"/>
      <c r="F653" s="1"/>
      <c r="G653" s="1"/>
      <c r="H653" s="1"/>
      <c r="I653" s="1"/>
      <c r="J653" s="41"/>
      <c r="K653" s="1"/>
      <c r="L653" s="41"/>
      <c r="M653" s="1"/>
      <c r="N653" s="41"/>
      <c r="O653" s="41"/>
      <c r="P653" s="41"/>
      <c r="Q653" s="41"/>
      <c r="R653" s="41"/>
      <c r="S653" s="41"/>
      <c r="T653" s="41"/>
      <c r="U653" s="41"/>
      <c r="V653" s="41"/>
      <c r="W653" s="41"/>
      <c r="X653" s="41"/>
      <c r="Y653" s="41"/>
      <c r="Z653" s="41"/>
    </row>
    <row r="654" ht="15.75" customHeight="1">
      <c r="A654" s="35"/>
      <c r="B654" s="35"/>
      <c r="C654" s="35"/>
      <c r="D654" s="35"/>
      <c r="E654" s="1"/>
      <c r="F654" s="1"/>
      <c r="G654" s="1"/>
      <c r="H654" s="1"/>
      <c r="I654" s="1"/>
      <c r="J654" s="41"/>
      <c r="K654" s="1"/>
      <c r="L654" s="41"/>
      <c r="M654" s="1"/>
      <c r="N654" s="41"/>
      <c r="O654" s="41"/>
      <c r="P654" s="41"/>
      <c r="Q654" s="41"/>
      <c r="R654" s="41"/>
      <c r="S654" s="41"/>
      <c r="T654" s="41"/>
      <c r="U654" s="41"/>
      <c r="V654" s="41"/>
      <c r="W654" s="41"/>
      <c r="X654" s="41"/>
      <c r="Y654" s="41"/>
      <c r="Z654" s="41"/>
    </row>
    <row r="655" ht="15.75" customHeight="1">
      <c r="A655" s="35"/>
      <c r="B655" s="35"/>
      <c r="C655" s="35"/>
      <c r="D655" s="35"/>
      <c r="E655" s="1"/>
      <c r="F655" s="1"/>
      <c r="G655" s="1"/>
      <c r="H655" s="1"/>
      <c r="I655" s="1"/>
      <c r="J655" s="41"/>
      <c r="K655" s="1"/>
      <c r="L655" s="41"/>
      <c r="M655" s="1"/>
      <c r="N655" s="41"/>
      <c r="O655" s="41"/>
      <c r="P655" s="41"/>
      <c r="Q655" s="41"/>
      <c r="R655" s="41"/>
      <c r="S655" s="41"/>
      <c r="T655" s="41"/>
      <c r="U655" s="41"/>
      <c r="V655" s="41"/>
      <c r="W655" s="41"/>
      <c r="X655" s="41"/>
      <c r="Y655" s="41"/>
      <c r="Z655" s="41"/>
    </row>
    <row r="656" ht="15.75" customHeight="1">
      <c r="A656" s="35"/>
      <c r="B656" s="35"/>
      <c r="C656" s="35"/>
      <c r="D656" s="35"/>
      <c r="E656" s="1"/>
      <c r="F656" s="1"/>
      <c r="G656" s="1"/>
      <c r="H656" s="1"/>
      <c r="I656" s="1"/>
      <c r="J656" s="41"/>
      <c r="K656" s="1"/>
      <c r="L656" s="41"/>
      <c r="M656" s="1"/>
      <c r="N656" s="41"/>
      <c r="O656" s="41"/>
      <c r="P656" s="41"/>
      <c r="Q656" s="41"/>
      <c r="R656" s="41"/>
      <c r="S656" s="41"/>
      <c r="T656" s="41"/>
      <c r="U656" s="41"/>
      <c r="V656" s="41"/>
      <c r="W656" s="41"/>
      <c r="X656" s="41"/>
      <c r="Y656" s="41"/>
      <c r="Z656" s="41"/>
    </row>
    <row r="657" ht="15.75" customHeight="1">
      <c r="A657" s="35"/>
      <c r="B657" s="35"/>
      <c r="C657" s="35"/>
      <c r="D657" s="35"/>
      <c r="E657" s="1"/>
      <c r="F657" s="1"/>
      <c r="G657" s="1"/>
      <c r="H657" s="1"/>
      <c r="I657" s="1"/>
      <c r="J657" s="41"/>
      <c r="K657" s="1"/>
      <c r="L657" s="41"/>
      <c r="M657" s="1"/>
      <c r="N657" s="41"/>
      <c r="O657" s="41"/>
      <c r="P657" s="41"/>
      <c r="Q657" s="41"/>
      <c r="R657" s="41"/>
      <c r="S657" s="41"/>
      <c r="T657" s="41"/>
      <c r="U657" s="41"/>
      <c r="V657" s="41"/>
      <c r="W657" s="41"/>
      <c r="X657" s="41"/>
      <c r="Y657" s="41"/>
      <c r="Z657" s="41"/>
    </row>
    <row r="658" ht="15.75" customHeight="1">
      <c r="A658" s="35"/>
      <c r="B658" s="35"/>
      <c r="C658" s="35"/>
      <c r="D658" s="35"/>
      <c r="E658" s="1"/>
      <c r="F658" s="1"/>
      <c r="G658" s="1"/>
      <c r="H658" s="1"/>
      <c r="I658" s="1"/>
      <c r="J658" s="41"/>
      <c r="K658" s="1"/>
      <c r="L658" s="41"/>
      <c r="M658" s="1"/>
      <c r="N658" s="41"/>
      <c r="O658" s="41"/>
      <c r="P658" s="41"/>
      <c r="Q658" s="41"/>
      <c r="R658" s="41"/>
      <c r="S658" s="41"/>
      <c r="T658" s="41"/>
      <c r="U658" s="41"/>
      <c r="V658" s="41"/>
      <c r="W658" s="41"/>
      <c r="X658" s="41"/>
      <c r="Y658" s="41"/>
      <c r="Z658" s="41"/>
    </row>
    <row r="659" ht="15.75" customHeight="1">
      <c r="A659" s="35"/>
      <c r="B659" s="35"/>
      <c r="C659" s="35"/>
      <c r="D659" s="35"/>
      <c r="E659" s="1"/>
      <c r="F659" s="1"/>
      <c r="G659" s="1"/>
      <c r="H659" s="1"/>
      <c r="I659" s="1"/>
      <c r="J659" s="41"/>
      <c r="K659" s="1"/>
      <c r="L659" s="41"/>
      <c r="M659" s="1"/>
      <c r="N659" s="41"/>
      <c r="O659" s="41"/>
      <c r="P659" s="41"/>
      <c r="Q659" s="41"/>
      <c r="R659" s="41"/>
      <c r="S659" s="41"/>
      <c r="T659" s="41"/>
      <c r="U659" s="41"/>
      <c r="V659" s="41"/>
      <c r="W659" s="41"/>
      <c r="X659" s="41"/>
      <c r="Y659" s="41"/>
      <c r="Z659" s="41"/>
    </row>
    <row r="660" ht="15.75" customHeight="1">
      <c r="A660" s="35"/>
      <c r="B660" s="35"/>
      <c r="C660" s="35"/>
      <c r="D660" s="35"/>
      <c r="E660" s="1"/>
      <c r="F660" s="1"/>
      <c r="G660" s="1"/>
      <c r="H660" s="1"/>
      <c r="I660" s="1"/>
      <c r="J660" s="41"/>
      <c r="K660" s="1"/>
      <c r="L660" s="41"/>
      <c r="M660" s="1"/>
      <c r="N660" s="41"/>
      <c r="O660" s="41"/>
      <c r="P660" s="41"/>
      <c r="Q660" s="41"/>
      <c r="R660" s="41"/>
      <c r="S660" s="41"/>
      <c r="T660" s="41"/>
      <c r="U660" s="41"/>
      <c r="V660" s="41"/>
      <c r="W660" s="41"/>
      <c r="X660" s="41"/>
      <c r="Y660" s="41"/>
      <c r="Z660" s="41"/>
    </row>
    <row r="661" ht="15.75" customHeight="1">
      <c r="A661" s="35"/>
      <c r="B661" s="35"/>
      <c r="C661" s="35"/>
      <c r="D661" s="35"/>
      <c r="E661" s="1"/>
      <c r="F661" s="1"/>
      <c r="G661" s="1"/>
      <c r="H661" s="1"/>
      <c r="I661" s="1"/>
      <c r="J661" s="41"/>
      <c r="K661" s="1"/>
      <c r="L661" s="41"/>
      <c r="M661" s="1"/>
      <c r="N661" s="41"/>
      <c r="O661" s="41"/>
      <c r="P661" s="41"/>
      <c r="Q661" s="41"/>
      <c r="R661" s="41"/>
      <c r="S661" s="41"/>
      <c r="T661" s="41"/>
      <c r="U661" s="41"/>
      <c r="V661" s="41"/>
      <c r="W661" s="41"/>
      <c r="X661" s="41"/>
      <c r="Y661" s="41"/>
      <c r="Z661" s="41"/>
    </row>
    <row r="662" ht="15.75" customHeight="1">
      <c r="A662" s="35"/>
      <c r="B662" s="35"/>
      <c r="C662" s="35"/>
      <c r="D662" s="35"/>
      <c r="E662" s="1"/>
      <c r="F662" s="1"/>
      <c r="G662" s="1"/>
      <c r="H662" s="1"/>
      <c r="I662" s="1"/>
      <c r="J662" s="41"/>
      <c r="K662" s="1"/>
      <c r="L662" s="41"/>
      <c r="M662" s="1"/>
      <c r="N662" s="41"/>
      <c r="O662" s="41"/>
      <c r="P662" s="41"/>
      <c r="Q662" s="41"/>
      <c r="R662" s="41"/>
      <c r="S662" s="41"/>
      <c r="T662" s="41"/>
      <c r="U662" s="41"/>
      <c r="V662" s="41"/>
      <c r="W662" s="41"/>
      <c r="X662" s="41"/>
      <c r="Y662" s="41"/>
      <c r="Z662" s="41"/>
    </row>
    <row r="663" ht="15.75" customHeight="1">
      <c r="A663" s="35"/>
      <c r="B663" s="35"/>
      <c r="C663" s="35"/>
      <c r="D663" s="35"/>
      <c r="E663" s="1"/>
      <c r="F663" s="1"/>
      <c r="G663" s="1"/>
      <c r="H663" s="1"/>
      <c r="I663" s="1"/>
      <c r="J663" s="41"/>
      <c r="K663" s="1"/>
      <c r="L663" s="41"/>
      <c r="M663" s="1"/>
      <c r="N663" s="41"/>
      <c r="O663" s="41"/>
      <c r="P663" s="41"/>
      <c r="Q663" s="41"/>
      <c r="R663" s="41"/>
      <c r="S663" s="41"/>
      <c r="T663" s="41"/>
      <c r="U663" s="41"/>
      <c r="V663" s="41"/>
      <c r="W663" s="41"/>
      <c r="X663" s="41"/>
      <c r="Y663" s="41"/>
      <c r="Z663" s="41"/>
    </row>
    <row r="664" ht="15.75" customHeight="1">
      <c r="A664" s="35"/>
      <c r="B664" s="35"/>
      <c r="C664" s="35"/>
      <c r="D664" s="35"/>
      <c r="E664" s="1"/>
      <c r="F664" s="1"/>
      <c r="G664" s="1"/>
      <c r="H664" s="1"/>
      <c r="I664" s="1"/>
      <c r="J664" s="41"/>
      <c r="K664" s="1"/>
      <c r="L664" s="41"/>
      <c r="M664" s="1"/>
      <c r="N664" s="41"/>
      <c r="O664" s="41"/>
      <c r="P664" s="41"/>
      <c r="Q664" s="41"/>
      <c r="R664" s="41"/>
      <c r="S664" s="41"/>
      <c r="T664" s="41"/>
      <c r="U664" s="41"/>
      <c r="V664" s="41"/>
      <c r="W664" s="41"/>
      <c r="X664" s="41"/>
      <c r="Y664" s="41"/>
      <c r="Z664" s="41"/>
    </row>
    <row r="665" ht="15.75" customHeight="1">
      <c r="A665" s="35"/>
      <c r="B665" s="35"/>
      <c r="C665" s="35"/>
      <c r="D665" s="35"/>
      <c r="E665" s="1"/>
      <c r="F665" s="1"/>
      <c r="G665" s="1"/>
      <c r="H665" s="1"/>
      <c r="I665" s="1"/>
      <c r="J665" s="41"/>
      <c r="K665" s="1"/>
      <c r="L665" s="41"/>
      <c r="M665" s="1"/>
      <c r="N665" s="41"/>
      <c r="O665" s="41"/>
      <c r="P665" s="41"/>
      <c r="Q665" s="41"/>
      <c r="R665" s="41"/>
      <c r="S665" s="41"/>
      <c r="T665" s="41"/>
      <c r="U665" s="41"/>
      <c r="V665" s="41"/>
      <c r="W665" s="41"/>
      <c r="X665" s="41"/>
      <c r="Y665" s="41"/>
      <c r="Z665" s="41"/>
    </row>
    <row r="666" ht="15.75" customHeight="1">
      <c r="A666" s="35"/>
      <c r="B666" s="35"/>
      <c r="C666" s="35"/>
      <c r="D666" s="35"/>
      <c r="E666" s="1"/>
      <c r="F666" s="1"/>
      <c r="G666" s="1"/>
      <c r="H666" s="1"/>
      <c r="I666" s="1"/>
      <c r="J666" s="41"/>
      <c r="K666" s="1"/>
      <c r="L666" s="41"/>
      <c r="M666" s="1"/>
      <c r="N666" s="41"/>
      <c r="O666" s="41"/>
      <c r="P666" s="41"/>
      <c r="Q666" s="41"/>
      <c r="R666" s="41"/>
      <c r="S666" s="41"/>
      <c r="T666" s="41"/>
      <c r="U666" s="41"/>
      <c r="V666" s="41"/>
      <c r="W666" s="41"/>
      <c r="X666" s="41"/>
      <c r="Y666" s="41"/>
      <c r="Z666" s="41"/>
    </row>
    <row r="667" ht="15.75" customHeight="1">
      <c r="A667" s="35"/>
      <c r="B667" s="35"/>
      <c r="C667" s="35"/>
      <c r="D667" s="35"/>
      <c r="E667" s="1"/>
      <c r="F667" s="1"/>
      <c r="G667" s="1"/>
      <c r="H667" s="1"/>
      <c r="I667" s="1"/>
      <c r="J667" s="41"/>
      <c r="K667" s="1"/>
      <c r="L667" s="41"/>
      <c r="M667" s="1"/>
      <c r="N667" s="41"/>
      <c r="O667" s="41"/>
      <c r="P667" s="41"/>
      <c r="Q667" s="41"/>
      <c r="R667" s="41"/>
      <c r="S667" s="41"/>
      <c r="T667" s="41"/>
      <c r="U667" s="41"/>
      <c r="V667" s="41"/>
      <c r="W667" s="41"/>
      <c r="X667" s="41"/>
      <c r="Y667" s="41"/>
      <c r="Z667" s="41"/>
    </row>
    <row r="668" ht="15.75" customHeight="1">
      <c r="A668" s="35"/>
      <c r="B668" s="35"/>
      <c r="C668" s="35"/>
      <c r="D668" s="35"/>
      <c r="E668" s="1"/>
      <c r="F668" s="1"/>
      <c r="G668" s="1"/>
      <c r="H668" s="1"/>
      <c r="I668" s="1"/>
      <c r="J668" s="41"/>
      <c r="K668" s="1"/>
      <c r="L668" s="41"/>
      <c r="M668" s="1"/>
      <c r="N668" s="41"/>
      <c r="O668" s="41"/>
      <c r="P668" s="41"/>
      <c r="Q668" s="41"/>
      <c r="R668" s="41"/>
      <c r="S668" s="41"/>
      <c r="T668" s="41"/>
      <c r="U668" s="41"/>
      <c r="V668" s="41"/>
      <c r="W668" s="41"/>
      <c r="X668" s="41"/>
      <c r="Y668" s="41"/>
      <c r="Z668" s="41"/>
    </row>
    <row r="669" ht="15.75" customHeight="1">
      <c r="A669" s="35"/>
      <c r="B669" s="35"/>
      <c r="C669" s="35"/>
      <c r="D669" s="35"/>
      <c r="E669" s="1"/>
      <c r="F669" s="1"/>
      <c r="G669" s="1"/>
      <c r="H669" s="1"/>
      <c r="I669" s="1"/>
      <c r="J669" s="41"/>
      <c r="K669" s="1"/>
      <c r="L669" s="41"/>
      <c r="M669" s="1"/>
      <c r="N669" s="41"/>
      <c r="O669" s="41"/>
      <c r="P669" s="41"/>
      <c r="Q669" s="41"/>
      <c r="R669" s="41"/>
      <c r="S669" s="41"/>
      <c r="T669" s="41"/>
      <c r="U669" s="41"/>
      <c r="V669" s="41"/>
      <c r="W669" s="41"/>
      <c r="X669" s="41"/>
      <c r="Y669" s="41"/>
      <c r="Z669" s="41"/>
    </row>
    <row r="670" ht="15.75" customHeight="1">
      <c r="A670" s="35"/>
      <c r="B670" s="35"/>
      <c r="C670" s="35"/>
      <c r="D670" s="35"/>
      <c r="E670" s="1"/>
      <c r="F670" s="1"/>
      <c r="G670" s="1"/>
      <c r="H670" s="1"/>
      <c r="I670" s="1"/>
      <c r="J670" s="41"/>
      <c r="K670" s="1"/>
      <c r="L670" s="41"/>
      <c r="M670" s="1"/>
      <c r="N670" s="41"/>
      <c r="O670" s="41"/>
      <c r="P670" s="41"/>
      <c r="Q670" s="41"/>
      <c r="R670" s="41"/>
      <c r="S670" s="41"/>
      <c r="T670" s="41"/>
      <c r="U670" s="41"/>
      <c r="V670" s="41"/>
      <c r="W670" s="41"/>
      <c r="X670" s="41"/>
      <c r="Y670" s="41"/>
      <c r="Z670" s="41"/>
    </row>
    <row r="671" ht="15.75" customHeight="1">
      <c r="A671" s="35"/>
      <c r="B671" s="35"/>
      <c r="C671" s="35"/>
      <c r="D671" s="35"/>
      <c r="E671" s="1"/>
      <c r="F671" s="1"/>
      <c r="G671" s="1"/>
      <c r="H671" s="1"/>
      <c r="I671" s="1"/>
      <c r="J671" s="41"/>
      <c r="K671" s="1"/>
      <c r="L671" s="41"/>
      <c r="M671" s="1"/>
      <c r="N671" s="41"/>
      <c r="O671" s="41"/>
      <c r="P671" s="41"/>
      <c r="Q671" s="41"/>
      <c r="R671" s="41"/>
      <c r="S671" s="41"/>
      <c r="T671" s="41"/>
      <c r="U671" s="41"/>
      <c r="V671" s="41"/>
      <c r="W671" s="41"/>
      <c r="X671" s="41"/>
      <c r="Y671" s="41"/>
      <c r="Z671" s="41"/>
    </row>
    <row r="672" ht="15.75" customHeight="1">
      <c r="A672" s="35"/>
      <c r="B672" s="35"/>
      <c r="C672" s="35"/>
      <c r="D672" s="35"/>
      <c r="E672" s="1"/>
      <c r="F672" s="1"/>
      <c r="G672" s="1"/>
      <c r="H672" s="1"/>
      <c r="I672" s="1"/>
      <c r="J672" s="41"/>
      <c r="K672" s="1"/>
      <c r="L672" s="41"/>
      <c r="M672" s="1"/>
      <c r="N672" s="41"/>
      <c r="O672" s="41"/>
      <c r="P672" s="41"/>
      <c r="Q672" s="41"/>
      <c r="R672" s="41"/>
      <c r="S672" s="41"/>
      <c r="T672" s="41"/>
      <c r="U672" s="41"/>
      <c r="V672" s="41"/>
      <c r="W672" s="41"/>
      <c r="X672" s="41"/>
      <c r="Y672" s="41"/>
      <c r="Z672" s="41"/>
    </row>
    <row r="673" ht="15.75" customHeight="1">
      <c r="A673" s="35"/>
      <c r="B673" s="35"/>
      <c r="C673" s="35"/>
      <c r="D673" s="35"/>
      <c r="E673" s="1"/>
      <c r="F673" s="1"/>
      <c r="G673" s="1"/>
      <c r="H673" s="1"/>
      <c r="I673" s="1"/>
      <c r="J673" s="41"/>
      <c r="K673" s="1"/>
      <c r="L673" s="41"/>
      <c r="M673" s="1"/>
      <c r="N673" s="41"/>
      <c r="O673" s="41"/>
      <c r="P673" s="41"/>
      <c r="Q673" s="41"/>
      <c r="R673" s="41"/>
      <c r="S673" s="41"/>
      <c r="T673" s="41"/>
      <c r="U673" s="41"/>
      <c r="V673" s="41"/>
      <c r="W673" s="41"/>
      <c r="X673" s="41"/>
      <c r="Y673" s="41"/>
      <c r="Z673" s="41"/>
    </row>
    <row r="674" ht="15.75" customHeight="1">
      <c r="A674" s="35"/>
      <c r="B674" s="35"/>
      <c r="C674" s="35"/>
      <c r="D674" s="35"/>
      <c r="E674" s="1"/>
      <c r="F674" s="1"/>
      <c r="G674" s="1"/>
      <c r="H674" s="1"/>
      <c r="I674" s="1"/>
      <c r="J674" s="41"/>
      <c r="K674" s="1"/>
      <c r="L674" s="41"/>
      <c r="M674" s="1"/>
      <c r="N674" s="41"/>
      <c r="O674" s="41"/>
      <c r="P674" s="41"/>
      <c r="Q674" s="41"/>
      <c r="R674" s="41"/>
      <c r="S674" s="41"/>
      <c r="T674" s="41"/>
      <c r="U674" s="41"/>
      <c r="V674" s="41"/>
      <c r="W674" s="41"/>
      <c r="X674" s="41"/>
      <c r="Y674" s="41"/>
      <c r="Z674" s="41"/>
    </row>
    <row r="675" ht="15.75" customHeight="1">
      <c r="A675" s="35"/>
      <c r="B675" s="35"/>
      <c r="C675" s="35"/>
      <c r="D675" s="35"/>
      <c r="E675" s="1"/>
      <c r="F675" s="1"/>
      <c r="G675" s="1"/>
      <c r="H675" s="1"/>
      <c r="I675" s="1"/>
      <c r="J675" s="41"/>
      <c r="K675" s="1"/>
      <c r="L675" s="41"/>
      <c r="M675" s="1"/>
      <c r="N675" s="41"/>
      <c r="O675" s="41"/>
      <c r="P675" s="41"/>
      <c r="Q675" s="41"/>
      <c r="R675" s="41"/>
      <c r="S675" s="41"/>
      <c r="T675" s="41"/>
      <c r="U675" s="41"/>
      <c r="V675" s="41"/>
      <c r="W675" s="41"/>
      <c r="X675" s="41"/>
      <c r="Y675" s="41"/>
      <c r="Z675" s="41"/>
    </row>
    <row r="676" ht="15.75" customHeight="1">
      <c r="A676" s="35"/>
      <c r="B676" s="35"/>
      <c r="C676" s="35"/>
      <c r="D676" s="35"/>
      <c r="E676" s="1"/>
      <c r="F676" s="1"/>
      <c r="G676" s="1"/>
      <c r="H676" s="1"/>
      <c r="I676" s="1"/>
      <c r="J676" s="41"/>
      <c r="K676" s="1"/>
      <c r="L676" s="41"/>
      <c r="M676" s="1"/>
      <c r="N676" s="41"/>
      <c r="O676" s="41"/>
      <c r="P676" s="41"/>
      <c r="Q676" s="41"/>
      <c r="R676" s="41"/>
      <c r="S676" s="41"/>
      <c r="T676" s="41"/>
      <c r="U676" s="41"/>
      <c r="V676" s="41"/>
      <c r="W676" s="41"/>
      <c r="X676" s="41"/>
      <c r="Y676" s="41"/>
      <c r="Z676" s="41"/>
    </row>
    <row r="677" ht="15.75" customHeight="1">
      <c r="A677" s="35"/>
      <c r="B677" s="35"/>
      <c r="C677" s="35"/>
      <c r="D677" s="35"/>
      <c r="E677" s="1"/>
      <c r="F677" s="1"/>
      <c r="G677" s="1"/>
      <c r="H677" s="1"/>
      <c r="I677" s="1"/>
      <c r="J677" s="41"/>
      <c r="K677" s="1"/>
      <c r="L677" s="41"/>
      <c r="M677" s="1"/>
      <c r="N677" s="41"/>
      <c r="O677" s="41"/>
      <c r="P677" s="41"/>
      <c r="Q677" s="41"/>
      <c r="R677" s="41"/>
      <c r="S677" s="41"/>
      <c r="T677" s="41"/>
      <c r="U677" s="41"/>
      <c r="V677" s="41"/>
      <c r="W677" s="41"/>
      <c r="X677" s="41"/>
      <c r="Y677" s="41"/>
      <c r="Z677" s="41"/>
    </row>
    <row r="678" ht="15.75" customHeight="1">
      <c r="A678" s="35"/>
      <c r="B678" s="35"/>
      <c r="C678" s="35"/>
      <c r="D678" s="35"/>
      <c r="E678" s="1"/>
      <c r="F678" s="1"/>
      <c r="G678" s="1"/>
      <c r="H678" s="1"/>
      <c r="I678" s="1"/>
      <c r="J678" s="41"/>
      <c r="K678" s="1"/>
      <c r="L678" s="41"/>
      <c r="M678" s="1"/>
      <c r="N678" s="41"/>
      <c r="O678" s="41"/>
      <c r="P678" s="41"/>
      <c r="Q678" s="41"/>
      <c r="R678" s="41"/>
      <c r="S678" s="41"/>
      <c r="T678" s="41"/>
      <c r="U678" s="41"/>
      <c r="V678" s="41"/>
      <c r="W678" s="41"/>
      <c r="X678" s="41"/>
      <c r="Y678" s="41"/>
      <c r="Z678" s="41"/>
    </row>
    <row r="679" ht="15.75" customHeight="1">
      <c r="A679" s="35"/>
      <c r="B679" s="35"/>
      <c r="C679" s="35"/>
      <c r="D679" s="35"/>
      <c r="E679" s="1"/>
      <c r="F679" s="1"/>
      <c r="G679" s="1"/>
      <c r="H679" s="1"/>
      <c r="I679" s="1"/>
      <c r="J679" s="41"/>
      <c r="K679" s="1"/>
      <c r="L679" s="41"/>
      <c r="M679" s="1"/>
      <c r="N679" s="41"/>
      <c r="O679" s="41"/>
      <c r="P679" s="41"/>
      <c r="Q679" s="41"/>
      <c r="R679" s="41"/>
      <c r="S679" s="41"/>
      <c r="T679" s="41"/>
      <c r="U679" s="41"/>
      <c r="V679" s="41"/>
      <c r="W679" s="41"/>
      <c r="X679" s="41"/>
      <c r="Y679" s="41"/>
      <c r="Z679" s="41"/>
    </row>
    <row r="680" ht="15.75" customHeight="1">
      <c r="A680" s="35"/>
      <c r="B680" s="35"/>
      <c r="C680" s="35"/>
      <c r="D680" s="35"/>
      <c r="E680" s="1"/>
      <c r="F680" s="1"/>
      <c r="G680" s="1"/>
      <c r="H680" s="1"/>
      <c r="I680" s="1"/>
      <c r="J680" s="41"/>
      <c r="K680" s="1"/>
      <c r="L680" s="41"/>
      <c r="M680" s="1"/>
      <c r="N680" s="41"/>
      <c r="O680" s="41"/>
      <c r="P680" s="41"/>
      <c r="Q680" s="41"/>
      <c r="R680" s="41"/>
      <c r="S680" s="41"/>
      <c r="T680" s="41"/>
      <c r="U680" s="41"/>
      <c r="V680" s="41"/>
      <c r="W680" s="41"/>
      <c r="X680" s="41"/>
      <c r="Y680" s="41"/>
      <c r="Z680" s="41"/>
    </row>
    <row r="681" ht="15.75" customHeight="1">
      <c r="A681" s="35"/>
      <c r="B681" s="35"/>
      <c r="C681" s="35"/>
      <c r="D681" s="35"/>
      <c r="E681" s="1"/>
      <c r="F681" s="1"/>
      <c r="G681" s="1"/>
      <c r="H681" s="1"/>
      <c r="I681" s="1"/>
      <c r="J681" s="41"/>
      <c r="K681" s="1"/>
      <c r="L681" s="41"/>
      <c r="M681" s="1"/>
      <c r="N681" s="41"/>
      <c r="O681" s="41"/>
      <c r="P681" s="41"/>
      <c r="Q681" s="41"/>
      <c r="R681" s="41"/>
      <c r="S681" s="41"/>
      <c r="T681" s="41"/>
      <c r="U681" s="41"/>
      <c r="V681" s="41"/>
      <c r="W681" s="41"/>
      <c r="X681" s="41"/>
      <c r="Y681" s="41"/>
      <c r="Z681" s="41"/>
    </row>
    <row r="682" ht="15.75" customHeight="1">
      <c r="A682" s="35"/>
      <c r="B682" s="35"/>
      <c r="C682" s="35"/>
      <c r="D682" s="35"/>
      <c r="E682" s="1"/>
      <c r="F682" s="1"/>
      <c r="G682" s="1"/>
      <c r="H682" s="1"/>
      <c r="I682" s="1"/>
      <c r="J682" s="41"/>
      <c r="K682" s="1"/>
      <c r="L682" s="41"/>
      <c r="M682" s="1"/>
      <c r="N682" s="41"/>
      <c r="O682" s="41"/>
      <c r="P682" s="41"/>
      <c r="Q682" s="41"/>
      <c r="R682" s="41"/>
      <c r="S682" s="41"/>
      <c r="T682" s="41"/>
      <c r="U682" s="41"/>
      <c r="V682" s="41"/>
      <c r="W682" s="41"/>
      <c r="X682" s="41"/>
      <c r="Y682" s="41"/>
      <c r="Z682" s="41"/>
    </row>
    <row r="683" ht="15.75" customHeight="1">
      <c r="A683" s="35"/>
      <c r="B683" s="35"/>
      <c r="C683" s="35"/>
      <c r="D683" s="35"/>
      <c r="E683" s="1"/>
      <c r="F683" s="1"/>
      <c r="G683" s="1"/>
      <c r="H683" s="1"/>
      <c r="I683" s="1"/>
      <c r="J683" s="41"/>
      <c r="K683" s="1"/>
      <c r="L683" s="41"/>
      <c r="M683" s="1"/>
      <c r="N683" s="41"/>
      <c r="O683" s="41"/>
      <c r="P683" s="41"/>
      <c r="Q683" s="41"/>
      <c r="R683" s="41"/>
      <c r="S683" s="41"/>
      <c r="T683" s="41"/>
      <c r="U683" s="41"/>
      <c r="V683" s="41"/>
      <c r="W683" s="41"/>
      <c r="X683" s="41"/>
      <c r="Y683" s="41"/>
      <c r="Z683" s="41"/>
    </row>
    <row r="684" ht="15.75" customHeight="1">
      <c r="A684" s="35"/>
      <c r="B684" s="35"/>
      <c r="C684" s="35"/>
      <c r="D684" s="35"/>
      <c r="E684" s="1"/>
      <c r="F684" s="1"/>
      <c r="G684" s="1"/>
      <c r="H684" s="1"/>
      <c r="I684" s="1"/>
      <c r="J684" s="41"/>
      <c r="K684" s="1"/>
      <c r="L684" s="41"/>
      <c r="M684" s="1"/>
      <c r="N684" s="41"/>
      <c r="O684" s="41"/>
      <c r="P684" s="41"/>
      <c r="Q684" s="41"/>
      <c r="R684" s="41"/>
      <c r="S684" s="41"/>
      <c r="T684" s="41"/>
      <c r="U684" s="41"/>
      <c r="V684" s="41"/>
      <c r="W684" s="41"/>
      <c r="X684" s="41"/>
      <c r="Y684" s="41"/>
      <c r="Z684" s="41"/>
    </row>
    <row r="685" ht="15.75" customHeight="1">
      <c r="A685" s="35"/>
      <c r="B685" s="35"/>
      <c r="C685" s="35"/>
      <c r="D685" s="35"/>
      <c r="E685" s="1"/>
      <c r="F685" s="1"/>
      <c r="G685" s="1"/>
      <c r="H685" s="1"/>
      <c r="I685" s="1"/>
      <c r="J685" s="41"/>
      <c r="K685" s="1"/>
      <c r="L685" s="41"/>
      <c r="M685" s="1"/>
      <c r="N685" s="41"/>
      <c r="O685" s="41"/>
      <c r="P685" s="41"/>
      <c r="Q685" s="41"/>
      <c r="R685" s="41"/>
      <c r="S685" s="41"/>
      <c r="T685" s="41"/>
      <c r="U685" s="41"/>
      <c r="V685" s="41"/>
      <c r="W685" s="41"/>
      <c r="X685" s="41"/>
      <c r="Y685" s="41"/>
      <c r="Z685" s="41"/>
    </row>
    <row r="686" ht="15.75" customHeight="1">
      <c r="A686" s="35"/>
      <c r="B686" s="35"/>
      <c r="C686" s="35"/>
      <c r="D686" s="35"/>
      <c r="E686" s="1"/>
      <c r="F686" s="1"/>
      <c r="G686" s="1"/>
      <c r="H686" s="1"/>
      <c r="I686" s="1"/>
      <c r="J686" s="41"/>
      <c r="K686" s="1"/>
      <c r="L686" s="41"/>
      <c r="M686" s="1"/>
      <c r="N686" s="41"/>
      <c r="O686" s="41"/>
      <c r="P686" s="41"/>
      <c r="Q686" s="41"/>
      <c r="R686" s="41"/>
      <c r="S686" s="41"/>
      <c r="T686" s="41"/>
      <c r="U686" s="41"/>
      <c r="V686" s="41"/>
      <c r="W686" s="41"/>
      <c r="X686" s="41"/>
      <c r="Y686" s="41"/>
      <c r="Z686" s="41"/>
    </row>
    <row r="687" ht="15.75" customHeight="1">
      <c r="A687" s="35"/>
      <c r="B687" s="35"/>
      <c r="C687" s="35"/>
      <c r="D687" s="35"/>
      <c r="E687" s="1"/>
      <c r="F687" s="1"/>
      <c r="G687" s="1"/>
      <c r="H687" s="1"/>
      <c r="I687" s="1"/>
      <c r="J687" s="41"/>
      <c r="K687" s="1"/>
      <c r="L687" s="41"/>
      <c r="M687" s="1"/>
      <c r="N687" s="41"/>
      <c r="O687" s="41"/>
      <c r="P687" s="41"/>
      <c r="Q687" s="41"/>
      <c r="R687" s="41"/>
      <c r="S687" s="41"/>
      <c r="T687" s="41"/>
      <c r="U687" s="41"/>
      <c r="V687" s="41"/>
      <c r="W687" s="41"/>
      <c r="X687" s="41"/>
      <c r="Y687" s="41"/>
      <c r="Z687" s="41"/>
    </row>
    <row r="688" ht="15.75" customHeight="1">
      <c r="A688" s="35"/>
      <c r="B688" s="35"/>
      <c r="C688" s="35"/>
      <c r="D688" s="35"/>
      <c r="E688" s="1"/>
      <c r="F688" s="1"/>
      <c r="G688" s="1"/>
      <c r="H688" s="1"/>
      <c r="I688" s="1"/>
      <c r="J688" s="41"/>
      <c r="K688" s="1"/>
      <c r="L688" s="41"/>
      <c r="M688" s="1"/>
      <c r="N688" s="41"/>
      <c r="O688" s="41"/>
      <c r="P688" s="41"/>
      <c r="Q688" s="41"/>
      <c r="R688" s="41"/>
      <c r="S688" s="41"/>
      <c r="T688" s="41"/>
      <c r="U688" s="41"/>
      <c r="V688" s="41"/>
      <c r="W688" s="41"/>
      <c r="X688" s="41"/>
      <c r="Y688" s="41"/>
      <c r="Z688" s="41"/>
    </row>
    <row r="689" ht="15.75" customHeight="1">
      <c r="A689" s="35"/>
      <c r="B689" s="35"/>
      <c r="C689" s="35"/>
      <c r="D689" s="35"/>
      <c r="E689" s="1"/>
      <c r="F689" s="1"/>
      <c r="G689" s="1"/>
      <c r="H689" s="1"/>
      <c r="I689" s="1"/>
      <c r="J689" s="41"/>
      <c r="K689" s="1"/>
      <c r="L689" s="41"/>
      <c r="M689" s="1"/>
      <c r="N689" s="41"/>
      <c r="O689" s="41"/>
      <c r="P689" s="41"/>
      <c r="Q689" s="41"/>
      <c r="R689" s="41"/>
      <c r="S689" s="41"/>
      <c r="T689" s="41"/>
      <c r="U689" s="41"/>
      <c r="V689" s="41"/>
      <c r="W689" s="41"/>
      <c r="X689" s="41"/>
      <c r="Y689" s="41"/>
      <c r="Z689" s="41"/>
    </row>
    <row r="690" ht="15.75" customHeight="1">
      <c r="A690" s="35"/>
      <c r="B690" s="35"/>
      <c r="C690" s="35"/>
      <c r="D690" s="35"/>
      <c r="E690" s="1"/>
      <c r="F690" s="1"/>
      <c r="G690" s="1"/>
      <c r="H690" s="1"/>
      <c r="I690" s="1"/>
      <c r="J690" s="41"/>
      <c r="K690" s="1"/>
      <c r="L690" s="41"/>
      <c r="M690" s="1"/>
      <c r="N690" s="41"/>
      <c r="O690" s="41"/>
      <c r="P690" s="41"/>
      <c r="Q690" s="41"/>
      <c r="R690" s="41"/>
      <c r="S690" s="41"/>
      <c r="T690" s="41"/>
      <c r="U690" s="41"/>
      <c r="V690" s="41"/>
      <c r="W690" s="41"/>
      <c r="X690" s="41"/>
      <c r="Y690" s="41"/>
      <c r="Z690" s="41"/>
    </row>
    <row r="691" ht="15.75" customHeight="1">
      <c r="A691" s="35"/>
      <c r="B691" s="35"/>
      <c r="C691" s="35"/>
      <c r="D691" s="35"/>
      <c r="E691" s="1"/>
      <c r="F691" s="1"/>
      <c r="G691" s="1"/>
      <c r="H691" s="1"/>
      <c r="I691" s="1"/>
      <c r="J691" s="41"/>
      <c r="K691" s="1"/>
      <c r="L691" s="41"/>
      <c r="M691" s="1"/>
      <c r="N691" s="41"/>
      <c r="O691" s="41"/>
      <c r="P691" s="41"/>
      <c r="Q691" s="41"/>
      <c r="R691" s="41"/>
      <c r="S691" s="41"/>
      <c r="T691" s="41"/>
      <c r="U691" s="41"/>
      <c r="V691" s="41"/>
      <c r="W691" s="41"/>
      <c r="X691" s="41"/>
      <c r="Y691" s="41"/>
      <c r="Z691" s="41"/>
    </row>
    <row r="692" ht="15.75" customHeight="1">
      <c r="A692" s="35"/>
      <c r="B692" s="35"/>
      <c r="C692" s="35"/>
      <c r="D692" s="35"/>
      <c r="E692" s="1"/>
      <c r="F692" s="1"/>
      <c r="G692" s="1"/>
      <c r="H692" s="1"/>
      <c r="I692" s="1"/>
      <c r="J692" s="41"/>
      <c r="K692" s="1"/>
      <c r="L692" s="41"/>
      <c r="M692" s="1"/>
      <c r="N692" s="41"/>
      <c r="O692" s="41"/>
      <c r="P692" s="41"/>
      <c r="Q692" s="41"/>
      <c r="R692" s="41"/>
      <c r="S692" s="41"/>
      <c r="T692" s="41"/>
      <c r="U692" s="41"/>
      <c r="V692" s="41"/>
      <c r="W692" s="41"/>
      <c r="X692" s="41"/>
      <c r="Y692" s="41"/>
      <c r="Z692" s="41"/>
    </row>
    <row r="693" ht="15.75" customHeight="1">
      <c r="A693" s="35"/>
      <c r="B693" s="35"/>
      <c r="C693" s="35"/>
      <c r="D693" s="35"/>
      <c r="E693" s="1"/>
      <c r="F693" s="1"/>
      <c r="G693" s="1"/>
      <c r="H693" s="1"/>
      <c r="I693" s="1"/>
      <c r="J693" s="41"/>
      <c r="K693" s="1"/>
      <c r="L693" s="41"/>
      <c r="M693" s="1"/>
      <c r="N693" s="41"/>
      <c r="O693" s="41"/>
      <c r="P693" s="41"/>
      <c r="Q693" s="41"/>
      <c r="R693" s="41"/>
      <c r="S693" s="41"/>
      <c r="T693" s="41"/>
      <c r="U693" s="41"/>
      <c r="V693" s="41"/>
      <c r="W693" s="41"/>
      <c r="X693" s="41"/>
      <c r="Y693" s="41"/>
      <c r="Z693" s="41"/>
    </row>
    <row r="694" ht="15.75" customHeight="1">
      <c r="A694" s="35"/>
      <c r="B694" s="35"/>
      <c r="C694" s="35"/>
      <c r="D694" s="35"/>
      <c r="E694" s="1"/>
      <c r="F694" s="1"/>
      <c r="G694" s="1"/>
      <c r="H694" s="1"/>
      <c r="I694" s="1"/>
      <c r="J694" s="41"/>
      <c r="K694" s="1"/>
      <c r="L694" s="41"/>
      <c r="M694" s="1"/>
      <c r="N694" s="41"/>
      <c r="O694" s="41"/>
      <c r="P694" s="41"/>
      <c r="Q694" s="41"/>
      <c r="R694" s="41"/>
      <c r="S694" s="41"/>
      <c r="T694" s="41"/>
      <c r="U694" s="41"/>
      <c r="V694" s="41"/>
      <c r="W694" s="41"/>
      <c r="X694" s="41"/>
      <c r="Y694" s="41"/>
      <c r="Z694" s="41"/>
    </row>
    <row r="695" ht="15.75" customHeight="1">
      <c r="A695" s="35"/>
      <c r="B695" s="35"/>
      <c r="C695" s="35"/>
      <c r="D695" s="35"/>
      <c r="E695" s="1"/>
      <c r="F695" s="1"/>
      <c r="G695" s="1"/>
      <c r="H695" s="1"/>
      <c r="I695" s="1"/>
      <c r="J695" s="41"/>
      <c r="K695" s="1"/>
      <c r="L695" s="41"/>
      <c r="M695" s="1"/>
      <c r="N695" s="41"/>
      <c r="O695" s="41"/>
      <c r="P695" s="41"/>
      <c r="Q695" s="41"/>
      <c r="R695" s="41"/>
      <c r="S695" s="41"/>
      <c r="T695" s="41"/>
      <c r="U695" s="41"/>
      <c r="V695" s="41"/>
      <c r="W695" s="41"/>
      <c r="X695" s="41"/>
      <c r="Y695" s="41"/>
      <c r="Z695" s="41"/>
    </row>
    <row r="696" ht="15.75" customHeight="1">
      <c r="A696" s="35"/>
      <c r="B696" s="35"/>
      <c r="C696" s="35"/>
      <c r="D696" s="35"/>
      <c r="E696" s="1"/>
      <c r="F696" s="1"/>
      <c r="G696" s="1"/>
      <c r="H696" s="1"/>
      <c r="I696" s="1"/>
      <c r="J696" s="41"/>
      <c r="K696" s="1"/>
      <c r="L696" s="41"/>
      <c r="M696" s="1"/>
      <c r="N696" s="41"/>
      <c r="O696" s="41"/>
      <c r="P696" s="41"/>
      <c r="Q696" s="41"/>
      <c r="R696" s="41"/>
      <c r="S696" s="41"/>
      <c r="T696" s="41"/>
      <c r="U696" s="41"/>
      <c r="V696" s="41"/>
      <c r="W696" s="41"/>
      <c r="X696" s="41"/>
      <c r="Y696" s="41"/>
      <c r="Z696" s="41"/>
    </row>
    <row r="697" ht="15.75" customHeight="1">
      <c r="A697" s="35"/>
      <c r="B697" s="35"/>
      <c r="C697" s="35"/>
      <c r="D697" s="35"/>
      <c r="E697" s="1"/>
      <c r="F697" s="1"/>
      <c r="G697" s="1"/>
      <c r="H697" s="1"/>
      <c r="I697" s="1"/>
      <c r="J697" s="41"/>
      <c r="K697" s="1"/>
      <c r="L697" s="41"/>
      <c r="M697" s="1"/>
      <c r="N697" s="41"/>
      <c r="O697" s="41"/>
      <c r="P697" s="41"/>
      <c r="Q697" s="41"/>
      <c r="R697" s="41"/>
      <c r="S697" s="41"/>
      <c r="T697" s="41"/>
      <c r="U697" s="41"/>
      <c r="V697" s="41"/>
      <c r="W697" s="41"/>
      <c r="X697" s="41"/>
      <c r="Y697" s="41"/>
      <c r="Z697" s="41"/>
    </row>
    <row r="698" ht="15.75" customHeight="1">
      <c r="A698" s="35"/>
      <c r="B698" s="35"/>
      <c r="C698" s="35"/>
      <c r="D698" s="35"/>
      <c r="E698" s="1"/>
      <c r="F698" s="1"/>
      <c r="G698" s="1"/>
      <c r="H698" s="1"/>
      <c r="I698" s="1"/>
      <c r="J698" s="41"/>
      <c r="K698" s="1"/>
      <c r="L698" s="41"/>
      <c r="M698" s="1"/>
      <c r="N698" s="41"/>
      <c r="O698" s="41"/>
      <c r="P698" s="41"/>
      <c r="Q698" s="41"/>
      <c r="R698" s="41"/>
      <c r="S698" s="41"/>
      <c r="T698" s="41"/>
      <c r="U698" s="41"/>
      <c r="V698" s="41"/>
      <c r="W698" s="41"/>
      <c r="X698" s="41"/>
      <c r="Y698" s="41"/>
      <c r="Z698" s="41"/>
    </row>
    <row r="699" ht="15.75" customHeight="1">
      <c r="A699" s="35"/>
      <c r="B699" s="35"/>
      <c r="C699" s="35"/>
      <c r="D699" s="35"/>
      <c r="E699" s="1"/>
      <c r="F699" s="1"/>
      <c r="G699" s="1"/>
      <c r="H699" s="1"/>
      <c r="I699" s="1"/>
      <c r="J699" s="41"/>
      <c r="K699" s="1"/>
      <c r="L699" s="41"/>
      <c r="M699" s="1"/>
      <c r="N699" s="41"/>
      <c r="O699" s="41"/>
      <c r="P699" s="41"/>
      <c r="Q699" s="41"/>
      <c r="R699" s="41"/>
      <c r="S699" s="41"/>
      <c r="T699" s="41"/>
      <c r="U699" s="41"/>
      <c r="V699" s="41"/>
      <c r="W699" s="41"/>
      <c r="X699" s="41"/>
      <c r="Y699" s="41"/>
      <c r="Z699" s="41"/>
    </row>
    <row r="700" ht="15.75" customHeight="1">
      <c r="A700" s="35"/>
      <c r="B700" s="35"/>
      <c r="C700" s="35"/>
      <c r="D700" s="35"/>
      <c r="E700" s="1"/>
      <c r="F700" s="1"/>
      <c r="G700" s="1"/>
      <c r="H700" s="1"/>
      <c r="I700" s="1"/>
      <c r="J700" s="41"/>
      <c r="K700" s="1"/>
      <c r="L700" s="41"/>
      <c r="M700" s="1"/>
      <c r="N700" s="41"/>
      <c r="O700" s="41"/>
      <c r="P700" s="41"/>
      <c r="Q700" s="41"/>
      <c r="R700" s="41"/>
      <c r="S700" s="41"/>
      <c r="T700" s="41"/>
      <c r="U700" s="41"/>
      <c r="V700" s="41"/>
      <c r="W700" s="41"/>
      <c r="X700" s="41"/>
      <c r="Y700" s="41"/>
      <c r="Z700" s="41"/>
    </row>
    <row r="701" ht="15.75" customHeight="1">
      <c r="A701" s="35"/>
      <c r="B701" s="35"/>
      <c r="C701" s="35"/>
      <c r="D701" s="35"/>
      <c r="E701" s="1"/>
      <c r="F701" s="1"/>
      <c r="G701" s="1"/>
      <c r="H701" s="1"/>
      <c r="I701" s="1"/>
      <c r="J701" s="41"/>
      <c r="K701" s="1"/>
      <c r="L701" s="41"/>
      <c r="M701" s="1"/>
      <c r="N701" s="41"/>
      <c r="O701" s="41"/>
      <c r="P701" s="41"/>
      <c r="Q701" s="41"/>
      <c r="R701" s="41"/>
      <c r="S701" s="41"/>
      <c r="T701" s="41"/>
      <c r="U701" s="41"/>
      <c r="V701" s="41"/>
      <c r="W701" s="41"/>
      <c r="X701" s="41"/>
      <c r="Y701" s="41"/>
      <c r="Z701" s="41"/>
    </row>
    <row r="702" ht="15.75" customHeight="1">
      <c r="A702" s="35"/>
      <c r="B702" s="35"/>
      <c r="C702" s="35"/>
      <c r="D702" s="35"/>
      <c r="E702" s="1"/>
      <c r="F702" s="1"/>
      <c r="G702" s="1"/>
      <c r="H702" s="1"/>
      <c r="I702" s="1"/>
      <c r="J702" s="41"/>
      <c r="K702" s="1"/>
      <c r="L702" s="41"/>
      <c r="M702" s="1"/>
      <c r="N702" s="41"/>
      <c r="O702" s="41"/>
      <c r="P702" s="41"/>
      <c r="Q702" s="41"/>
      <c r="R702" s="41"/>
      <c r="S702" s="41"/>
      <c r="T702" s="41"/>
      <c r="U702" s="41"/>
      <c r="V702" s="41"/>
      <c r="W702" s="41"/>
      <c r="X702" s="41"/>
      <c r="Y702" s="41"/>
      <c r="Z702" s="41"/>
    </row>
    <row r="703" ht="15.75" customHeight="1">
      <c r="A703" s="35"/>
      <c r="B703" s="35"/>
      <c r="C703" s="35"/>
      <c r="D703" s="35"/>
      <c r="E703" s="1"/>
      <c r="F703" s="1"/>
      <c r="G703" s="1"/>
      <c r="H703" s="1"/>
      <c r="I703" s="1"/>
      <c r="J703" s="41"/>
      <c r="K703" s="1"/>
      <c r="L703" s="41"/>
      <c r="M703" s="1"/>
      <c r="N703" s="41"/>
      <c r="O703" s="41"/>
      <c r="P703" s="41"/>
      <c r="Q703" s="41"/>
      <c r="R703" s="41"/>
      <c r="S703" s="41"/>
      <c r="T703" s="41"/>
      <c r="U703" s="41"/>
      <c r="V703" s="41"/>
      <c r="W703" s="41"/>
      <c r="X703" s="41"/>
      <c r="Y703" s="41"/>
      <c r="Z703" s="41"/>
    </row>
    <row r="704" ht="15.75" customHeight="1">
      <c r="A704" s="35"/>
      <c r="B704" s="35"/>
      <c r="C704" s="35"/>
      <c r="D704" s="35"/>
      <c r="E704" s="1"/>
      <c r="F704" s="1"/>
      <c r="G704" s="1"/>
      <c r="H704" s="1"/>
      <c r="I704" s="1"/>
      <c r="J704" s="41"/>
      <c r="K704" s="1"/>
      <c r="L704" s="41"/>
      <c r="M704" s="1"/>
      <c r="N704" s="41"/>
      <c r="O704" s="41"/>
      <c r="P704" s="41"/>
      <c r="Q704" s="41"/>
      <c r="R704" s="41"/>
      <c r="S704" s="41"/>
      <c r="T704" s="41"/>
      <c r="U704" s="41"/>
      <c r="V704" s="41"/>
      <c r="W704" s="41"/>
      <c r="X704" s="41"/>
      <c r="Y704" s="41"/>
      <c r="Z704" s="41"/>
    </row>
    <row r="705" ht="15.75" customHeight="1">
      <c r="A705" s="35"/>
      <c r="B705" s="35"/>
      <c r="C705" s="35"/>
      <c r="D705" s="35"/>
      <c r="E705" s="1"/>
      <c r="F705" s="1"/>
      <c r="G705" s="1"/>
      <c r="H705" s="1"/>
      <c r="I705" s="1"/>
      <c r="J705" s="41"/>
      <c r="K705" s="1"/>
      <c r="L705" s="41"/>
      <c r="M705" s="1"/>
      <c r="N705" s="41"/>
      <c r="O705" s="41"/>
      <c r="P705" s="41"/>
      <c r="Q705" s="41"/>
      <c r="R705" s="41"/>
      <c r="S705" s="41"/>
      <c r="T705" s="41"/>
      <c r="U705" s="41"/>
      <c r="V705" s="41"/>
      <c r="W705" s="41"/>
      <c r="X705" s="41"/>
      <c r="Y705" s="41"/>
      <c r="Z705" s="41"/>
    </row>
    <row r="706" ht="15.75" customHeight="1">
      <c r="A706" s="35"/>
      <c r="B706" s="35"/>
      <c r="C706" s="35"/>
      <c r="D706" s="35"/>
      <c r="E706" s="1"/>
      <c r="F706" s="1"/>
      <c r="G706" s="1"/>
      <c r="H706" s="1"/>
      <c r="I706" s="1"/>
      <c r="J706" s="41"/>
      <c r="K706" s="1"/>
      <c r="L706" s="41"/>
      <c r="M706" s="1"/>
      <c r="N706" s="41"/>
      <c r="O706" s="41"/>
      <c r="P706" s="41"/>
      <c r="Q706" s="41"/>
      <c r="R706" s="41"/>
      <c r="S706" s="41"/>
      <c r="T706" s="41"/>
      <c r="U706" s="41"/>
      <c r="V706" s="41"/>
      <c r="W706" s="41"/>
      <c r="X706" s="41"/>
      <c r="Y706" s="41"/>
      <c r="Z706" s="41"/>
    </row>
    <row r="707" ht="15.75" customHeight="1">
      <c r="A707" s="35"/>
      <c r="B707" s="35"/>
      <c r="C707" s="35"/>
      <c r="D707" s="35"/>
      <c r="E707" s="1"/>
      <c r="F707" s="1"/>
      <c r="G707" s="1"/>
      <c r="H707" s="1"/>
      <c r="I707" s="1"/>
      <c r="J707" s="41"/>
      <c r="K707" s="1"/>
      <c r="L707" s="41"/>
      <c r="M707" s="1"/>
      <c r="N707" s="41"/>
      <c r="O707" s="41"/>
      <c r="P707" s="41"/>
      <c r="Q707" s="41"/>
      <c r="R707" s="41"/>
      <c r="S707" s="41"/>
      <c r="T707" s="41"/>
      <c r="U707" s="41"/>
      <c r="V707" s="41"/>
      <c r="W707" s="41"/>
      <c r="X707" s="41"/>
      <c r="Y707" s="41"/>
      <c r="Z707" s="41"/>
    </row>
    <row r="708" ht="15.75" customHeight="1">
      <c r="A708" s="35"/>
      <c r="B708" s="35"/>
      <c r="C708" s="35"/>
      <c r="D708" s="35"/>
      <c r="E708" s="1"/>
      <c r="F708" s="1"/>
      <c r="G708" s="1"/>
      <c r="H708" s="1"/>
      <c r="I708" s="1"/>
      <c r="J708" s="41"/>
      <c r="K708" s="1"/>
      <c r="L708" s="41"/>
      <c r="M708" s="1"/>
      <c r="N708" s="41"/>
      <c r="O708" s="41"/>
      <c r="P708" s="41"/>
      <c r="Q708" s="41"/>
      <c r="R708" s="41"/>
      <c r="S708" s="41"/>
      <c r="T708" s="41"/>
      <c r="U708" s="41"/>
      <c r="V708" s="41"/>
      <c r="W708" s="41"/>
      <c r="X708" s="41"/>
      <c r="Y708" s="41"/>
      <c r="Z708" s="41"/>
    </row>
    <row r="709" ht="15.75" customHeight="1">
      <c r="A709" s="35"/>
      <c r="B709" s="35"/>
      <c r="C709" s="35"/>
      <c r="D709" s="35"/>
      <c r="E709" s="1"/>
      <c r="F709" s="1"/>
      <c r="G709" s="1"/>
      <c r="H709" s="1"/>
      <c r="I709" s="1"/>
      <c r="J709" s="41"/>
      <c r="K709" s="1"/>
      <c r="L709" s="41"/>
      <c r="M709" s="1"/>
      <c r="N709" s="41"/>
      <c r="O709" s="41"/>
      <c r="P709" s="41"/>
      <c r="Q709" s="41"/>
      <c r="R709" s="41"/>
      <c r="S709" s="41"/>
      <c r="T709" s="41"/>
      <c r="U709" s="41"/>
      <c r="V709" s="41"/>
      <c r="W709" s="41"/>
      <c r="X709" s="41"/>
      <c r="Y709" s="41"/>
      <c r="Z709" s="41"/>
    </row>
    <row r="710" ht="15.75" customHeight="1">
      <c r="A710" s="35"/>
      <c r="B710" s="35"/>
      <c r="C710" s="35"/>
      <c r="D710" s="35"/>
      <c r="E710" s="1"/>
      <c r="F710" s="1"/>
      <c r="G710" s="1"/>
      <c r="H710" s="1"/>
      <c r="I710" s="1"/>
      <c r="J710" s="41"/>
      <c r="K710" s="1"/>
      <c r="L710" s="41"/>
      <c r="M710" s="1"/>
      <c r="N710" s="41"/>
      <c r="O710" s="41"/>
      <c r="P710" s="41"/>
      <c r="Q710" s="41"/>
      <c r="R710" s="41"/>
      <c r="S710" s="41"/>
      <c r="T710" s="41"/>
      <c r="U710" s="41"/>
      <c r="V710" s="41"/>
      <c r="W710" s="41"/>
      <c r="X710" s="41"/>
      <c r="Y710" s="41"/>
      <c r="Z710" s="41"/>
    </row>
    <row r="711" ht="15.75" customHeight="1">
      <c r="A711" s="35"/>
      <c r="B711" s="35"/>
      <c r="C711" s="35"/>
      <c r="D711" s="35"/>
      <c r="E711" s="1"/>
      <c r="F711" s="1"/>
      <c r="G711" s="1"/>
      <c r="H711" s="1"/>
      <c r="I711" s="1"/>
      <c r="J711" s="41"/>
      <c r="K711" s="1"/>
      <c r="L711" s="41"/>
      <c r="M711" s="1"/>
      <c r="N711" s="41"/>
      <c r="O711" s="41"/>
      <c r="P711" s="41"/>
      <c r="Q711" s="41"/>
      <c r="R711" s="41"/>
      <c r="S711" s="41"/>
      <c r="T711" s="41"/>
      <c r="U711" s="41"/>
      <c r="V711" s="41"/>
      <c r="W711" s="41"/>
      <c r="X711" s="41"/>
      <c r="Y711" s="41"/>
      <c r="Z711" s="41"/>
    </row>
    <row r="712" ht="15.75" customHeight="1">
      <c r="A712" s="35"/>
      <c r="B712" s="35"/>
      <c r="C712" s="35"/>
      <c r="D712" s="35"/>
      <c r="E712" s="1"/>
      <c r="F712" s="1"/>
      <c r="G712" s="1"/>
      <c r="H712" s="1"/>
      <c r="I712" s="1"/>
      <c r="J712" s="41"/>
      <c r="K712" s="1"/>
      <c r="L712" s="41"/>
      <c r="M712" s="1"/>
      <c r="N712" s="41"/>
      <c r="O712" s="41"/>
      <c r="P712" s="41"/>
      <c r="Q712" s="41"/>
      <c r="R712" s="41"/>
      <c r="S712" s="41"/>
      <c r="T712" s="41"/>
      <c r="U712" s="41"/>
      <c r="V712" s="41"/>
      <c r="W712" s="41"/>
      <c r="X712" s="41"/>
      <c r="Y712" s="41"/>
      <c r="Z712" s="41"/>
    </row>
    <row r="713" ht="15.75" customHeight="1">
      <c r="A713" s="35"/>
      <c r="B713" s="35"/>
      <c r="C713" s="35"/>
      <c r="D713" s="35"/>
      <c r="E713" s="1"/>
      <c r="F713" s="1"/>
      <c r="G713" s="1"/>
      <c r="H713" s="1"/>
      <c r="I713" s="1"/>
      <c r="J713" s="41"/>
      <c r="K713" s="1"/>
      <c r="L713" s="41"/>
      <c r="M713" s="1"/>
      <c r="N713" s="41"/>
      <c r="O713" s="41"/>
      <c r="P713" s="41"/>
      <c r="Q713" s="41"/>
      <c r="R713" s="41"/>
      <c r="S713" s="41"/>
      <c r="T713" s="41"/>
      <c r="U713" s="41"/>
      <c r="V713" s="41"/>
      <c r="W713" s="41"/>
      <c r="X713" s="41"/>
      <c r="Y713" s="41"/>
      <c r="Z713" s="41"/>
    </row>
    <row r="714" ht="15.75" customHeight="1">
      <c r="A714" s="35"/>
      <c r="B714" s="35"/>
      <c r="C714" s="35"/>
      <c r="D714" s="35"/>
      <c r="E714" s="1"/>
      <c r="F714" s="1"/>
      <c r="G714" s="1"/>
      <c r="H714" s="1"/>
      <c r="I714" s="1"/>
      <c r="J714" s="41"/>
      <c r="K714" s="1"/>
      <c r="L714" s="41"/>
      <c r="M714" s="1"/>
      <c r="N714" s="41"/>
      <c r="O714" s="41"/>
      <c r="P714" s="41"/>
      <c r="Q714" s="41"/>
      <c r="R714" s="41"/>
      <c r="S714" s="41"/>
      <c r="T714" s="41"/>
      <c r="U714" s="41"/>
      <c r="V714" s="41"/>
      <c r="W714" s="41"/>
      <c r="X714" s="41"/>
      <c r="Y714" s="41"/>
      <c r="Z714" s="41"/>
    </row>
    <row r="715" ht="15.75" customHeight="1">
      <c r="A715" s="35"/>
      <c r="B715" s="35"/>
      <c r="C715" s="35"/>
      <c r="D715" s="35"/>
      <c r="E715" s="1"/>
      <c r="F715" s="1"/>
      <c r="G715" s="1"/>
      <c r="H715" s="1"/>
      <c r="I715" s="1"/>
      <c r="J715" s="41"/>
      <c r="K715" s="1"/>
      <c r="L715" s="41"/>
      <c r="M715" s="1"/>
      <c r="N715" s="41"/>
      <c r="O715" s="41"/>
      <c r="P715" s="41"/>
      <c r="Q715" s="41"/>
      <c r="R715" s="41"/>
      <c r="S715" s="41"/>
      <c r="T715" s="41"/>
      <c r="U715" s="41"/>
      <c r="V715" s="41"/>
      <c r="W715" s="41"/>
      <c r="X715" s="41"/>
      <c r="Y715" s="41"/>
      <c r="Z715" s="41"/>
    </row>
    <row r="716" ht="15.75" customHeight="1">
      <c r="A716" s="35"/>
      <c r="B716" s="35"/>
      <c r="C716" s="35"/>
      <c r="D716" s="35"/>
      <c r="E716" s="1"/>
      <c r="F716" s="1"/>
      <c r="G716" s="1"/>
      <c r="H716" s="1"/>
      <c r="I716" s="1"/>
      <c r="J716" s="41"/>
      <c r="K716" s="1"/>
      <c r="L716" s="41"/>
      <c r="M716" s="1"/>
      <c r="N716" s="41"/>
      <c r="O716" s="41"/>
      <c r="P716" s="41"/>
      <c r="Q716" s="41"/>
      <c r="R716" s="41"/>
      <c r="S716" s="41"/>
      <c r="T716" s="41"/>
      <c r="U716" s="41"/>
      <c r="V716" s="41"/>
      <c r="W716" s="41"/>
      <c r="X716" s="41"/>
      <c r="Y716" s="41"/>
      <c r="Z716" s="41"/>
    </row>
    <row r="717" ht="15.75" customHeight="1">
      <c r="A717" s="35"/>
      <c r="B717" s="35"/>
      <c r="C717" s="35"/>
      <c r="D717" s="35"/>
      <c r="E717" s="1"/>
      <c r="F717" s="1"/>
      <c r="G717" s="1"/>
      <c r="H717" s="1"/>
      <c r="I717" s="1"/>
      <c r="J717" s="41"/>
      <c r="K717" s="1"/>
      <c r="L717" s="41"/>
      <c r="M717" s="1"/>
      <c r="N717" s="41"/>
      <c r="O717" s="41"/>
      <c r="P717" s="41"/>
      <c r="Q717" s="41"/>
      <c r="R717" s="41"/>
      <c r="S717" s="41"/>
      <c r="T717" s="41"/>
      <c r="U717" s="41"/>
      <c r="V717" s="41"/>
      <c r="W717" s="41"/>
      <c r="X717" s="41"/>
      <c r="Y717" s="41"/>
      <c r="Z717" s="41"/>
    </row>
    <row r="718" ht="15.75" customHeight="1">
      <c r="A718" s="35"/>
      <c r="B718" s="35"/>
      <c r="C718" s="35"/>
      <c r="D718" s="35"/>
      <c r="E718" s="1"/>
      <c r="F718" s="1"/>
      <c r="G718" s="1"/>
      <c r="H718" s="1"/>
      <c r="I718" s="1"/>
      <c r="J718" s="41"/>
      <c r="K718" s="1"/>
      <c r="L718" s="41"/>
      <c r="M718" s="1"/>
      <c r="N718" s="41"/>
      <c r="O718" s="41"/>
      <c r="P718" s="41"/>
      <c r="Q718" s="41"/>
      <c r="R718" s="41"/>
      <c r="S718" s="41"/>
      <c r="T718" s="41"/>
      <c r="U718" s="41"/>
      <c r="V718" s="41"/>
      <c r="W718" s="41"/>
      <c r="X718" s="41"/>
      <c r="Y718" s="41"/>
      <c r="Z718" s="41"/>
    </row>
    <row r="719" ht="15.75" customHeight="1">
      <c r="A719" s="35"/>
      <c r="B719" s="35"/>
      <c r="C719" s="35"/>
      <c r="D719" s="35"/>
      <c r="E719" s="1"/>
      <c r="F719" s="1"/>
      <c r="G719" s="1"/>
      <c r="H719" s="1"/>
      <c r="I719" s="1"/>
      <c r="J719" s="41"/>
      <c r="K719" s="1"/>
      <c r="L719" s="41"/>
      <c r="M719" s="1"/>
      <c r="N719" s="41"/>
      <c r="O719" s="41"/>
      <c r="P719" s="41"/>
      <c r="Q719" s="41"/>
      <c r="R719" s="41"/>
      <c r="S719" s="41"/>
      <c r="T719" s="41"/>
      <c r="U719" s="41"/>
      <c r="V719" s="41"/>
      <c r="W719" s="41"/>
      <c r="X719" s="41"/>
      <c r="Y719" s="41"/>
      <c r="Z719" s="41"/>
    </row>
    <row r="720" ht="15.75" customHeight="1">
      <c r="A720" s="35"/>
      <c r="B720" s="35"/>
      <c r="C720" s="35"/>
      <c r="D720" s="35"/>
      <c r="E720" s="1"/>
      <c r="F720" s="1"/>
      <c r="G720" s="1"/>
      <c r="H720" s="1"/>
      <c r="I720" s="1"/>
      <c r="J720" s="41"/>
      <c r="K720" s="1"/>
      <c r="L720" s="41"/>
      <c r="M720" s="1"/>
      <c r="N720" s="41"/>
      <c r="O720" s="41"/>
      <c r="P720" s="41"/>
      <c r="Q720" s="41"/>
      <c r="R720" s="41"/>
      <c r="S720" s="41"/>
      <c r="T720" s="41"/>
      <c r="U720" s="41"/>
      <c r="V720" s="41"/>
      <c r="W720" s="41"/>
      <c r="X720" s="41"/>
      <c r="Y720" s="41"/>
      <c r="Z720" s="41"/>
    </row>
    <row r="721" ht="15.75" customHeight="1">
      <c r="A721" s="35"/>
      <c r="B721" s="35"/>
      <c r="C721" s="35"/>
      <c r="D721" s="35"/>
      <c r="E721" s="1"/>
      <c r="F721" s="1"/>
      <c r="G721" s="1"/>
      <c r="H721" s="1"/>
      <c r="I721" s="1"/>
      <c r="J721" s="41"/>
      <c r="K721" s="1"/>
      <c r="L721" s="41"/>
      <c r="M721" s="1"/>
      <c r="N721" s="41"/>
      <c r="O721" s="41"/>
      <c r="P721" s="41"/>
      <c r="Q721" s="41"/>
      <c r="R721" s="41"/>
      <c r="S721" s="41"/>
      <c r="T721" s="41"/>
      <c r="U721" s="41"/>
      <c r="V721" s="41"/>
      <c r="W721" s="41"/>
      <c r="X721" s="41"/>
      <c r="Y721" s="41"/>
      <c r="Z721" s="41"/>
    </row>
    <row r="722" ht="15.75" customHeight="1">
      <c r="A722" s="35"/>
      <c r="B722" s="35"/>
      <c r="C722" s="35"/>
      <c r="D722" s="35"/>
      <c r="E722" s="1"/>
      <c r="F722" s="1"/>
      <c r="G722" s="1"/>
      <c r="H722" s="1"/>
      <c r="I722" s="1"/>
      <c r="J722" s="41"/>
      <c r="K722" s="1"/>
      <c r="L722" s="41"/>
      <c r="M722" s="1"/>
      <c r="N722" s="41"/>
      <c r="O722" s="41"/>
      <c r="P722" s="41"/>
      <c r="Q722" s="41"/>
      <c r="R722" s="41"/>
      <c r="S722" s="41"/>
      <c r="T722" s="41"/>
      <c r="U722" s="41"/>
      <c r="V722" s="41"/>
      <c r="W722" s="41"/>
      <c r="X722" s="41"/>
      <c r="Y722" s="41"/>
      <c r="Z722" s="41"/>
    </row>
    <row r="723" ht="15.75" customHeight="1">
      <c r="A723" s="35"/>
      <c r="B723" s="35"/>
      <c r="C723" s="35"/>
      <c r="D723" s="35"/>
      <c r="E723" s="1"/>
      <c r="F723" s="1"/>
      <c r="G723" s="1"/>
      <c r="H723" s="1"/>
      <c r="I723" s="1"/>
      <c r="J723" s="41"/>
      <c r="K723" s="1"/>
      <c r="L723" s="41"/>
      <c r="M723" s="1"/>
      <c r="N723" s="41"/>
      <c r="O723" s="41"/>
      <c r="P723" s="41"/>
      <c r="Q723" s="41"/>
      <c r="R723" s="41"/>
      <c r="S723" s="41"/>
      <c r="T723" s="41"/>
      <c r="U723" s="41"/>
      <c r="V723" s="41"/>
      <c r="W723" s="41"/>
      <c r="X723" s="41"/>
      <c r="Y723" s="41"/>
      <c r="Z723" s="41"/>
    </row>
    <row r="724" ht="15.75" customHeight="1">
      <c r="A724" s="35"/>
      <c r="B724" s="35"/>
      <c r="C724" s="35"/>
      <c r="D724" s="35"/>
      <c r="E724" s="1"/>
      <c r="F724" s="1"/>
      <c r="G724" s="1"/>
      <c r="H724" s="1"/>
      <c r="I724" s="1"/>
      <c r="J724" s="41"/>
      <c r="K724" s="1"/>
      <c r="L724" s="41"/>
      <c r="M724" s="1"/>
      <c r="N724" s="41"/>
      <c r="O724" s="41"/>
      <c r="P724" s="41"/>
      <c r="Q724" s="41"/>
      <c r="R724" s="41"/>
      <c r="S724" s="41"/>
      <c r="T724" s="41"/>
      <c r="U724" s="41"/>
      <c r="V724" s="41"/>
      <c r="W724" s="41"/>
      <c r="X724" s="41"/>
      <c r="Y724" s="41"/>
      <c r="Z724" s="41"/>
    </row>
    <row r="725" ht="15.75" customHeight="1">
      <c r="A725" s="35"/>
      <c r="B725" s="35"/>
      <c r="C725" s="35"/>
      <c r="D725" s="35"/>
      <c r="E725" s="1"/>
      <c r="F725" s="1"/>
      <c r="G725" s="1"/>
      <c r="H725" s="1"/>
      <c r="I725" s="1"/>
      <c r="J725" s="41"/>
      <c r="K725" s="1"/>
      <c r="L725" s="41"/>
      <c r="M725" s="1"/>
      <c r="N725" s="41"/>
      <c r="O725" s="41"/>
      <c r="P725" s="41"/>
      <c r="Q725" s="41"/>
      <c r="R725" s="41"/>
      <c r="S725" s="41"/>
      <c r="T725" s="41"/>
      <c r="U725" s="41"/>
      <c r="V725" s="41"/>
      <c r="W725" s="41"/>
      <c r="X725" s="41"/>
      <c r="Y725" s="41"/>
      <c r="Z725" s="41"/>
    </row>
    <row r="726" ht="15.75" customHeight="1">
      <c r="A726" s="35"/>
      <c r="B726" s="35"/>
      <c r="C726" s="35"/>
      <c r="D726" s="35"/>
      <c r="E726" s="1"/>
      <c r="F726" s="1"/>
      <c r="G726" s="1"/>
      <c r="H726" s="1"/>
      <c r="I726" s="1"/>
      <c r="J726" s="41"/>
      <c r="K726" s="1"/>
      <c r="L726" s="41"/>
      <c r="M726" s="1"/>
      <c r="N726" s="41"/>
      <c r="O726" s="41"/>
      <c r="P726" s="41"/>
      <c r="Q726" s="41"/>
      <c r="R726" s="41"/>
      <c r="S726" s="41"/>
      <c r="T726" s="41"/>
      <c r="U726" s="41"/>
      <c r="V726" s="41"/>
      <c r="W726" s="41"/>
      <c r="X726" s="41"/>
      <c r="Y726" s="41"/>
      <c r="Z726" s="41"/>
    </row>
    <row r="727" ht="15.75" customHeight="1">
      <c r="A727" s="35"/>
      <c r="B727" s="35"/>
      <c r="C727" s="35"/>
      <c r="D727" s="35"/>
      <c r="E727" s="1"/>
      <c r="F727" s="1"/>
      <c r="G727" s="1"/>
      <c r="H727" s="1"/>
      <c r="I727" s="1"/>
      <c r="J727" s="41"/>
      <c r="K727" s="1"/>
      <c r="L727" s="41"/>
      <c r="M727" s="1"/>
      <c r="N727" s="41"/>
      <c r="O727" s="41"/>
      <c r="P727" s="41"/>
      <c r="Q727" s="41"/>
      <c r="R727" s="41"/>
      <c r="S727" s="41"/>
      <c r="T727" s="41"/>
      <c r="U727" s="41"/>
      <c r="V727" s="41"/>
      <c r="W727" s="41"/>
      <c r="X727" s="41"/>
      <c r="Y727" s="41"/>
      <c r="Z727" s="41"/>
    </row>
    <row r="728" ht="15.75" customHeight="1">
      <c r="A728" s="35"/>
      <c r="B728" s="35"/>
      <c r="C728" s="35"/>
      <c r="D728" s="35"/>
      <c r="E728" s="1"/>
      <c r="F728" s="1"/>
      <c r="G728" s="1"/>
      <c r="H728" s="1"/>
      <c r="I728" s="1"/>
      <c r="J728" s="41"/>
      <c r="K728" s="1"/>
      <c r="L728" s="41"/>
      <c r="M728" s="1"/>
      <c r="N728" s="41"/>
      <c r="O728" s="41"/>
      <c r="P728" s="41"/>
      <c r="Q728" s="41"/>
      <c r="R728" s="41"/>
      <c r="S728" s="41"/>
      <c r="T728" s="41"/>
      <c r="U728" s="41"/>
      <c r="V728" s="41"/>
      <c r="W728" s="41"/>
      <c r="X728" s="41"/>
      <c r="Y728" s="41"/>
      <c r="Z728" s="41"/>
    </row>
    <row r="729" ht="15.75" customHeight="1">
      <c r="A729" s="35"/>
      <c r="B729" s="35"/>
      <c r="C729" s="35"/>
      <c r="D729" s="35"/>
      <c r="E729" s="1"/>
      <c r="F729" s="1"/>
      <c r="G729" s="1"/>
      <c r="H729" s="1"/>
      <c r="I729" s="1"/>
      <c r="J729" s="41"/>
      <c r="K729" s="1"/>
      <c r="L729" s="41"/>
      <c r="M729" s="1"/>
      <c r="N729" s="41"/>
      <c r="O729" s="41"/>
      <c r="P729" s="41"/>
      <c r="Q729" s="41"/>
      <c r="R729" s="41"/>
      <c r="S729" s="41"/>
      <c r="T729" s="41"/>
      <c r="U729" s="41"/>
      <c r="V729" s="41"/>
      <c r="W729" s="41"/>
      <c r="X729" s="41"/>
      <c r="Y729" s="41"/>
      <c r="Z729" s="41"/>
    </row>
    <row r="730" ht="15.75" customHeight="1">
      <c r="A730" s="35"/>
      <c r="B730" s="35"/>
      <c r="C730" s="35"/>
      <c r="D730" s="35"/>
      <c r="E730" s="1"/>
      <c r="F730" s="1"/>
      <c r="G730" s="1"/>
      <c r="H730" s="1"/>
      <c r="I730" s="1"/>
      <c r="J730" s="41"/>
      <c r="K730" s="1"/>
      <c r="L730" s="41"/>
      <c r="M730" s="1"/>
      <c r="N730" s="41"/>
      <c r="O730" s="41"/>
      <c r="P730" s="41"/>
      <c r="Q730" s="41"/>
      <c r="R730" s="41"/>
      <c r="S730" s="41"/>
      <c r="T730" s="41"/>
      <c r="U730" s="41"/>
      <c r="V730" s="41"/>
      <c r="W730" s="41"/>
      <c r="X730" s="41"/>
      <c r="Y730" s="41"/>
      <c r="Z730" s="41"/>
    </row>
    <row r="731" ht="15.75" customHeight="1">
      <c r="A731" s="35"/>
      <c r="B731" s="35"/>
      <c r="C731" s="35"/>
      <c r="D731" s="35"/>
      <c r="E731" s="1"/>
      <c r="F731" s="1"/>
      <c r="G731" s="1"/>
      <c r="H731" s="1"/>
      <c r="I731" s="1"/>
      <c r="J731" s="41"/>
      <c r="K731" s="1"/>
      <c r="L731" s="41"/>
      <c r="M731" s="1"/>
      <c r="N731" s="41"/>
      <c r="O731" s="41"/>
      <c r="P731" s="41"/>
      <c r="Q731" s="41"/>
      <c r="R731" s="41"/>
      <c r="S731" s="41"/>
      <c r="T731" s="41"/>
      <c r="U731" s="41"/>
      <c r="V731" s="41"/>
      <c r="W731" s="41"/>
      <c r="X731" s="41"/>
      <c r="Y731" s="41"/>
      <c r="Z731" s="41"/>
    </row>
    <row r="732" ht="15.75" customHeight="1">
      <c r="A732" s="35"/>
      <c r="B732" s="35"/>
      <c r="C732" s="35"/>
      <c r="D732" s="35"/>
      <c r="E732" s="1"/>
      <c r="F732" s="1"/>
      <c r="G732" s="1"/>
      <c r="H732" s="1"/>
      <c r="I732" s="1"/>
      <c r="J732" s="41"/>
      <c r="K732" s="1"/>
      <c r="L732" s="41"/>
      <c r="M732" s="1"/>
      <c r="N732" s="41"/>
      <c r="O732" s="41"/>
      <c r="P732" s="41"/>
      <c r="Q732" s="41"/>
      <c r="R732" s="41"/>
      <c r="S732" s="41"/>
      <c r="T732" s="41"/>
      <c r="U732" s="41"/>
      <c r="V732" s="41"/>
      <c r="W732" s="41"/>
      <c r="X732" s="41"/>
      <c r="Y732" s="41"/>
      <c r="Z732" s="41"/>
    </row>
    <row r="733" ht="15.75" customHeight="1">
      <c r="A733" s="35"/>
      <c r="B733" s="35"/>
      <c r="C733" s="35"/>
      <c r="D733" s="35"/>
      <c r="E733" s="1"/>
      <c r="F733" s="1"/>
      <c r="G733" s="1"/>
      <c r="H733" s="1"/>
      <c r="I733" s="1"/>
      <c r="J733" s="41"/>
      <c r="K733" s="1"/>
      <c r="L733" s="41"/>
      <c r="M733" s="1"/>
      <c r="N733" s="41"/>
      <c r="O733" s="41"/>
      <c r="P733" s="41"/>
      <c r="Q733" s="41"/>
      <c r="R733" s="41"/>
      <c r="S733" s="41"/>
      <c r="T733" s="41"/>
      <c r="U733" s="41"/>
      <c r="V733" s="41"/>
      <c r="W733" s="41"/>
      <c r="X733" s="41"/>
      <c r="Y733" s="41"/>
      <c r="Z733" s="41"/>
    </row>
    <row r="734" ht="15.75" customHeight="1">
      <c r="A734" s="35"/>
      <c r="B734" s="35"/>
      <c r="C734" s="35"/>
      <c r="D734" s="35"/>
      <c r="E734" s="1"/>
      <c r="F734" s="1"/>
      <c r="G734" s="1"/>
      <c r="H734" s="1"/>
      <c r="I734" s="1"/>
      <c r="J734" s="41"/>
      <c r="K734" s="1"/>
      <c r="L734" s="41"/>
      <c r="M734" s="1"/>
      <c r="N734" s="41"/>
      <c r="O734" s="41"/>
      <c r="P734" s="41"/>
      <c r="Q734" s="41"/>
      <c r="R734" s="41"/>
      <c r="S734" s="41"/>
      <c r="T734" s="41"/>
      <c r="U734" s="41"/>
      <c r="V734" s="41"/>
      <c r="W734" s="41"/>
      <c r="X734" s="41"/>
      <c r="Y734" s="41"/>
      <c r="Z734" s="41"/>
    </row>
    <row r="735" ht="15.75" customHeight="1">
      <c r="A735" s="35"/>
      <c r="B735" s="35"/>
      <c r="C735" s="35"/>
      <c r="D735" s="35"/>
      <c r="E735" s="1"/>
      <c r="F735" s="1"/>
      <c r="G735" s="1"/>
      <c r="H735" s="1"/>
      <c r="I735" s="1"/>
      <c r="J735" s="41"/>
      <c r="K735" s="1"/>
      <c r="L735" s="41"/>
      <c r="M735" s="1"/>
      <c r="N735" s="41"/>
      <c r="O735" s="41"/>
      <c r="P735" s="41"/>
      <c r="Q735" s="41"/>
      <c r="R735" s="41"/>
      <c r="S735" s="41"/>
      <c r="T735" s="41"/>
      <c r="U735" s="41"/>
      <c r="V735" s="41"/>
      <c r="W735" s="41"/>
      <c r="X735" s="41"/>
      <c r="Y735" s="41"/>
      <c r="Z735" s="41"/>
    </row>
    <row r="736" ht="15.75" customHeight="1">
      <c r="A736" s="35"/>
      <c r="B736" s="35"/>
      <c r="C736" s="35"/>
      <c r="D736" s="35"/>
      <c r="E736" s="1"/>
      <c r="F736" s="1"/>
      <c r="G736" s="1"/>
      <c r="H736" s="1"/>
      <c r="I736" s="1"/>
      <c r="J736" s="41"/>
      <c r="K736" s="1"/>
      <c r="L736" s="41"/>
      <c r="M736" s="1"/>
      <c r="N736" s="41"/>
      <c r="O736" s="41"/>
      <c r="P736" s="41"/>
      <c r="Q736" s="41"/>
      <c r="R736" s="41"/>
      <c r="S736" s="41"/>
      <c r="T736" s="41"/>
      <c r="U736" s="41"/>
      <c r="V736" s="41"/>
      <c r="W736" s="41"/>
      <c r="X736" s="41"/>
      <c r="Y736" s="41"/>
      <c r="Z736" s="41"/>
    </row>
    <row r="737" ht="15.75" customHeight="1">
      <c r="A737" s="35"/>
      <c r="B737" s="35"/>
      <c r="C737" s="35"/>
      <c r="D737" s="35"/>
      <c r="E737" s="1"/>
      <c r="F737" s="1"/>
      <c r="G737" s="1"/>
      <c r="H737" s="1"/>
      <c r="I737" s="1"/>
      <c r="J737" s="41"/>
      <c r="K737" s="1"/>
      <c r="L737" s="41"/>
      <c r="M737" s="1"/>
      <c r="N737" s="41"/>
      <c r="O737" s="41"/>
      <c r="P737" s="41"/>
      <c r="Q737" s="41"/>
      <c r="R737" s="41"/>
      <c r="S737" s="41"/>
      <c r="T737" s="41"/>
      <c r="U737" s="41"/>
      <c r="V737" s="41"/>
      <c r="W737" s="41"/>
      <c r="X737" s="41"/>
      <c r="Y737" s="41"/>
      <c r="Z737" s="41"/>
    </row>
    <row r="738" ht="15.75" customHeight="1">
      <c r="A738" s="35"/>
      <c r="B738" s="35"/>
      <c r="C738" s="35"/>
      <c r="D738" s="35"/>
      <c r="E738" s="1"/>
      <c r="F738" s="1"/>
      <c r="G738" s="1"/>
      <c r="H738" s="1"/>
      <c r="I738" s="1"/>
      <c r="J738" s="41"/>
      <c r="K738" s="1"/>
      <c r="L738" s="41"/>
      <c r="M738" s="1"/>
      <c r="N738" s="41"/>
      <c r="O738" s="41"/>
      <c r="P738" s="41"/>
      <c r="Q738" s="41"/>
      <c r="R738" s="41"/>
      <c r="S738" s="41"/>
      <c r="T738" s="41"/>
      <c r="U738" s="41"/>
      <c r="V738" s="41"/>
      <c r="W738" s="41"/>
      <c r="X738" s="41"/>
      <c r="Y738" s="41"/>
      <c r="Z738" s="41"/>
    </row>
    <row r="739" ht="15.75" customHeight="1">
      <c r="A739" s="35"/>
      <c r="B739" s="35"/>
      <c r="C739" s="35"/>
      <c r="D739" s="35"/>
      <c r="E739" s="1"/>
      <c r="F739" s="1"/>
      <c r="G739" s="1"/>
      <c r="H739" s="1"/>
      <c r="I739" s="1"/>
      <c r="J739" s="41"/>
      <c r="K739" s="1"/>
      <c r="L739" s="41"/>
      <c r="M739" s="1"/>
      <c r="N739" s="41"/>
      <c r="O739" s="41"/>
      <c r="P739" s="41"/>
      <c r="Q739" s="41"/>
      <c r="R739" s="41"/>
      <c r="S739" s="41"/>
      <c r="T739" s="41"/>
      <c r="U739" s="41"/>
      <c r="V739" s="41"/>
      <c r="W739" s="41"/>
      <c r="X739" s="41"/>
      <c r="Y739" s="41"/>
      <c r="Z739" s="41"/>
    </row>
    <row r="740" ht="15.75" customHeight="1">
      <c r="A740" s="35"/>
      <c r="B740" s="35"/>
      <c r="C740" s="35"/>
      <c r="D740" s="35"/>
      <c r="E740" s="1"/>
      <c r="F740" s="1"/>
      <c r="G740" s="1"/>
      <c r="H740" s="1"/>
      <c r="I740" s="1"/>
      <c r="J740" s="41"/>
      <c r="K740" s="1"/>
      <c r="L740" s="41"/>
      <c r="M740" s="1"/>
      <c r="N740" s="41"/>
      <c r="O740" s="41"/>
      <c r="P740" s="41"/>
      <c r="Q740" s="41"/>
      <c r="R740" s="41"/>
      <c r="S740" s="41"/>
      <c r="T740" s="41"/>
      <c r="U740" s="41"/>
      <c r="V740" s="41"/>
      <c r="W740" s="41"/>
      <c r="X740" s="41"/>
      <c r="Y740" s="41"/>
      <c r="Z740" s="41"/>
    </row>
    <row r="741" ht="15.75" customHeight="1">
      <c r="A741" s="35"/>
      <c r="B741" s="35"/>
      <c r="C741" s="35"/>
      <c r="D741" s="35"/>
      <c r="E741" s="1"/>
      <c r="F741" s="1"/>
      <c r="G741" s="1"/>
      <c r="H741" s="1"/>
      <c r="I741" s="1"/>
      <c r="J741" s="41"/>
      <c r="K741" s="1"/>
      <c r="L741" s="41"/>
      <c r="M741" s="1"/>
      <c r="N741" s="41"/>
      <c r="O741" s="41"/>
      <c r="P741" s="41"/>
      <c r="Q741" s="41"/>
      <c r="R741" s="41"/>
      <c r="S741" s="41"/>
      <c r="T741" s="41"/>
      <c r="U741" s="41"/>
      <c r="V741" s="41"/>
      <c r="W741" s="41"/>
      <c r="X741" s="41"/>
      <c r="Y741" s="41"/>
      <c r="Z741" s="41"/>
    </row>
    <row r="742" ht="15.75" customHeight="1">
      <c r="A742" s="35"/>
      <c r="B742" s="35"/>
      <c r="C742" s="35"/>
      <c r="D742" s="35"/>
      <c r="E742" s="1"/>
      <c r="F742" s="1"/>
      <c r="G742" s="1"/>
      <c r="H742" s="1"/>
      <c r="I742" s="1"/>
      <c r="J742" s="41"/>
      <c r="K742" s="1"/>
      <c r="L742" s="41"/>
      <c r="M742" s="1"/>
      <c r="N742" s="41"/>
      <c r="O742" s="41"/>
      <c r="P742" s="41"/>
      <c r="Q742" s="41"/>
      <c r="R742" s="41"/>
      <c r="S742" s="41"/>
      <c r="T742" s="41"/>
      <c r="U742" s="41"/>
      <c r="V742" s="41"/>
      <c r="W742" s="41"/>
      <c r="X742" s="41"/>
      <c r="Y742" s="41"/>
      <c r="Z742" s="41"/>
    </row>
    <row r="743" ht="15.75" customHeight="1">
      <c r="A743" s="35"/>
      <c r="B743" s="35"/>
      <c r="C743" s="35"/>
      <c r="D743" s="35"/>
      <c r="E743" s="1"/>
      <c r="F743" s="1"/>
      <c r="G743" s="1"/>
      <c r="H743" s="1"/>
      <c r="I743" s="1"/>
      <c r="J743" s="41"/>
      <c r="K743" s="1"/>
      <c r="L743" s="41"/>
      <c r="M743" s="1"/>
      <c r="N743" s="41"/>
      <c r="O743" s="41"/>
      <c r="P743" s="41"/>
      <c r="Q743" s="41"/>
      <c r="R743" s="41"/>
      <c r="S743" s="41"/>
      <c r="T743" s="41"/>
      <c r="U743" s="41"/>
      <c r="V743" s="41"/>
      <c r="W743" s="41"/>
      <c r="X743" s="41"/>
      <c r="Y743" s="41"/>
      <c r="Z743" s="41"/>
    </row>
    <row r="744" ht="15.75" customHeight="1">
      <c r="A744" s="35"/>
      <c r="B744" s="35"/>
      <c r="C744" s="35"/>
      <c r="D744" s="35"/>
      <c r="E744" s="1"/>
      <c r="F744" s="1"/>
      <c r="G744" s="1"/>
      <c r="H744" s="1"/>
      <c r="I744" s="1"/>
      <c r="J744" s="41"/>
      <c r="K744" s="1"/>
      <c r="L744" s="41"/>
      <c r="M744" s="1"/>
      <c r="N744" s="41"/>
      <c r="O744" s="41"/>
      <c r="P744" s="41"/>
      <c r="Q744" s="41"/>
      <c r="R744" s="41"/>
      <c r="S744" s="41"/>
      <c r="T744" s="41"/>
      <c r="U744" s="41"/>
      <c r="V744" s="41"/>
      <c r="W744" s="41"/>
      <c r="X744" s="41"/>
      <c r="Y744" s="41"/>
      <c r="Z744" s="41"/>
    </row>
    <row r="745" ht="15.75" customHeight="1">
      <c r="A745" s="35"/>
      <c r="B745" s="35"/>
      <c r="C745" s="35"/>
      <c r="D745" s="35"/>
      <c r="E745" s="1"/>
      <c r="F745" s="1"/>
      <c r="G745" s="1"/>
      <c r="H745" s="1"/>
      <c r="I745" s="1"/>
      <c r="J745" s="41"/>
      <c r="K745" s="1"/>
      <c r="L745" s="41"/>
      <c r="M745" s="1"/>
      <c r="N745" s="41"/>
      <c r="O745" s="41"/>
      <c r="P745" s="41"/>
      <c r="Q745" s="41"/>
      <c r="R745" s="41"/>
      <c r="S745" s="41"/>
      <c r="T745" s="41"/>
      <c r="U745" s="41"/>
      <c r="V745" s="41"/>
      <c r="W745" s="41"/>
      <c r="X745" s="41"/>
      <c r="Y745" s="41"/>
      <c r="Z745" s="41"/>
    </row>
    <row r="746" ht="15.75" customHeight="1">
      <c r="A746" s="35"/>
      <c r="B746" s="35"/>
      <c r="C746" s="35"/>
      <c r="D746" s="35"/>
      <c r="E746" s="1"/>
      <c r="F746" s="1"/>
      <c r="G746" s="1"/>
      <c r="H746" s="1"/>
      <c r="I746" s="1"/>
      <c r="J746" s="41"/>
      <c r="K746" s="1"/>
      <c r="L746" s="41"/>
      <c r="M746" s="1"/>
      <c r="N746" s="41"/>
      <c r="O746" s="41"/>
      <c r="P746" s="41"/>
      <c r="Q746" s="41"/>
      <c r="R746" s="41"/>
      <c r="S746" s="41"/>
      <c r="T746" s="41"/>
      <c r="U746" s="41"/>
      <c r="V746" s="41"/>
      <c r="W746" s="41"/>
      <c r="X746" s="41"/>
      <c r="Y746" s="41"/>
      <c r="Z746" s="41"/>
    </row>
    <row r="747" ht="15.75" customHeight="1">
      <c r="A747" s="35"/>
      <c r="B747" s="35"/>
      <c r="C747" s="35"/>
      <c r="D747" s="35"/>
      <c r="E747" s="1"/>
      <c r="F747" s="1"/>
      <c r="G747" s="1"/>
      <c r="H747" s="1"/>
      <c r="I747" s="1"/>
      <c r="J747" s="41"/>
      <c r="K747" s="1"/>
      <c r="L747" s="41"/>
      <c r="M747" s="1"/>
      <c r="N747" s="41"/>
      <c r="O747" s="41"/>
      <c r="P747" s="41"/>
      <c r="Q747" s="41"/>
      <c r="R747" s="41"/>
      <c r="S747" s="41"/>
      <c r="T747" s="41"/>
      <c r="U747" s="41"/>
      <c r="V747" s="41"/>
      <c r="W747" s="41"/>
      <c r="X747" s="41"/>
      <c r="Y747" s="41"/>
      <c r="Z747" s="41"/>
    </row>
    <row r="748" ht="15.75" customHeight="1">
      <c r="A748" s="35"/>
      <c r="B748" s="35"/>
      <c r="C748" s="35"/>
      <c r="D748" s="35"/>
      <c r="E748" s="1"/>
      <c r="F748" s="1"/>
      <c r="G748" s="1"/>
      <c r="H748" s="1"/>
      <c r="I748" s="1"/>
      <c r="J748" s="41"/>
      <c r="K748" s="1"/>
      <c r="L748" s="41"/>
      <c r="M748" s="1"/>
      <c r="N748" s="41"/>
      <c r="O748" s="41"/>
      <c r="P748" s="41"/>
      <c r="Q748" s="41"/>
      <c r="R748" s="41"/>
      <c r="S748" s="41"/>
      <c r="T748" s="41"/>
      <c r="U748" s="41"/>
      <c r="V748" s="41"/>
      <c r="W748" s="41"/>
      <c r="X748" s="41"/>
      <c r="Y748" s="41"/>
      <c r="Z748" s="41"/>
    </row>
    <row r="749" ht="15.75" customHeight="1">
      <c r="A749" s="35"/>
      <c r="B749" s="35"/>
      <c r="C749" s="35"/>
      <c r="D749" s="35"/>
      <c r="E749" s="1"/>
      <c r="F749" s="1"/>
      <c r="G749" s="1"/>
      <c r="H749" s="1"/>
      <c r="I749" s="1"/>
      <c r="J749" s="41"/>
      <c r="K749" s="1"/>
      <c r="L749" s="41"/>
      <c r="M749" s="1"/>
      <c r="N749" s="41"/>
      <c r="O749" s="41"/>
      <c r="P749" s="41"/>
      <c r="Q749" s="41"/>
      <c r="R749" s="41"/>
      <c r="S749" s="41"/>
      <c r="T749" s="41"/>
      <c r="U749" s="41"/>
      <c r="V749" s="41"/>
      <c r="W749" s="41"/>
      <c r="X749" s="41"/>
      <c r="Y749" s="41"/>
      <c r="Z749" s="41"/>
    </row>
    <row r="750" ht="15.75" customHeight="1">
      <c r="A750" s="35"/>
      <c r="B750" s="35"/>
      <c r="C750" s="35"/>
      <c r="D750" s="35"/>
      <c r="E750" s="1"/>
      <c r="F750" s="1"/>
      <c r="G750" s="1"/>
      <c r="H750" s="1"/>
      <c r="I750" s="1"/>
      <c r="J750" s="41"/>
      <c r="K750" s="1"/>
      <c r="L750" s="41"/>
      <c r="M750" s="1"/>
      <c r="N750" s="41"/>
      <c r="O750" s="41"/>
      <c r="P750" s="41"/>
      <c r="Q750" s="41"/>
      <c r="R750" s="41"/>
      <c r="S750" s="41"/>
      <c r="T750" s="41"/>
      <c r="U750" s="41"/>
      <c r="V750" s="41"/>
      <c r="W750" s="41"/>
      <c r="X750" s="41"/>
      <c r="Y750" s="41"/>
      <c r="Z750" s="41"/>
    </row>
    <row r="751" ht="15.75" customHeight="1">
      <c r="A751" s="35"/>
      <c r="B751" s="35"/>
      <c r="C751" s="35"/>
      <c r="D751" s="35"/>
      <c r="E751" s="1"/>
      <c r="F751" s="1"/>
      <c r="G751" s="1"/>
      <c r="H751" s="1"/>
      <c r="I751" s="1"/>
      <c r="J751" s="41"/>
      <c r="K751" s="1"/>
      <c r="L751" s="41"/>
      <c r="M751" s="1"/>
      <c r="N751" s="41"/>
      <c r="O751" s="41"/>
      <c r="P751" s="41"/>
      <c r="Q751" s="41"/>
      <c r="R751" s="41"/>
      <c r="S751" s="41"/>
      <c r="T751" s="41"/>
      <c r="U751" s="41"/>
      <c r="V751" s="41"/>
      <c r="W751" s="41"/>
      <c r="X751" s="41"/>
      <c r="Y751" s="41"/>
      <c r="Z751" s="41"/>
    </row>
    <row r="752" ht="15.75" customHeight="1">
      <c r="A752" s="35"/>
      <c r="B752" s="35"/>
      <c r="C752" s="35"/>
      <c r="D752" s="35"/>
      <c r="E752" s="1"/>
      <c r="F752" s="1"/>
      <c r="G752" s="1"/>
      <c r="H752" s="1"/>
      <c r="I752" s="1"/>
      <c r="J752" s="41"/>
      <c r="K752" s="1"/>
      <c r="L752" s="41"/>
      <c r="M752" s="1"/>
      <c r="N752" s="41"/>
      <c r="O752" s="41"/>
      <c r="P752" s="41"/>
      <c r="Q752" s="41"/>
      <c r="R752" s="41"/>
      <c r="S752" s="41"/>
      <c r="T752" s="41"/>
      <c r="U752" s="41"/>
      <c r="V752" s="41"/>
      <c r="W752" s="41"/>
      <c r="X752" s="41"/>
      <c r="Y752" s="41"/>
      <c r="Z752" s="41"/>
    </row>
    <row r="753" ht="15.75" customHeight="1">
      <c r="A753" s="35"/>
      <c r="B753" s="35"/>
      <c r="C753" s="35"/>
      <c r="D753" s="35"/>
      <c r="E753" s="1"/>
      <c r="F753" s="1"/>
      <c r="G753" s="1"/>
      <c r="H753" s="1"/>
      <c r="I753" s="1"/>
      <c r="J753" s="41"/>
      <c r="K753" s="1"/>
      <c r="L753" s="41"/>
      <c r="M753" s="1"/>
      <c r="N753" s="41"/>
      <c r="O753" s="41"/>
      <c r="P753" s="41"/>
      <c r="Q753" s="41"/>
      <c r="R753" s="41"/>
      <c r="S753" s="41"/>
      <c r="T753" s="41"/>
      <c r="U753" s="41"/>
      <c r="V753" s="41"/>
      <c r="W753" s="41"/>
      <c r="X753" s="41"/>
      <c r="Y753" s="41"/>
      <c r="Z753" s="41"/>
    </row>
    <row r="754" ht="15.75" customHeight="1">
      <c r="A754" s="35"/>
      <c r="B754" s="35"/>
      <c r="C754" s="35"/>
      <c r="D754" s="35"/>
      <c r="E754" s="1"/>
      <c r="F754" s="1"/>
      <c r="G754" s="1"/>
      <c r="H754" s="1"/>
      <c r="I754" s="1"/>
      <c r="J754" s="41"/>
      <c r="K754" s="1"/>
      <c r="L754" s="41"/>
      <c r="M754" s="1"/>
      <c r="N754" s="41"/>
      <c r="O754" s="41"/>
      <c r="P754" s="41"/>
      <c r="Q754" s="41"/>
      <c r="R754" s="41"/>
      <c r="S754" s="41"/>
      <c r="T754" s="41"/>
      <c r="U754" s="41"/>
      <c r="V754" s="41"/>
      <c r="W754" s="41"/>
      <c r="X754" s="41"/>
      <c r="Y754" s="41"/>
      <c r="Z754" s="41"/>
    </row>
    <row r="755" ht="15.75" customHeight="1">
      <c r="A755" s="35"/>
      <c r="B755" s="35"/>
      <c r="C755" s="35"/>
      <c r="D755" s="35"/>
      <c r="E755" s="1"/>
      <c r="F755" s="1"/>
      <c r="G755" s="1"/>
      <c r="H755" s="1"/>
      <c r="I755" s="1"/>
      <c r="J755" s="41"/>
      <c r="K755" s="1"/>
      <c r="L755" s="41"/>
      <c r="M755" s="1"/>
      <c r="N755" s="41"/>
      <c r="O755" s="41"/>
      <c r="P755" s="41"/>
      <c r="Q755" s="41"/>
      <c r="R755" s="41"/>
      <c r="S755" s="41"/>
      <c r="T755" s="41"/>
      <c r="U755" s="41"/>
      <c r="V755" s="41"/>
      <c r="W755" s="41"/>
      <c r="X755" s="41"/>
      <c r="Y755" s="41"/>
      <c r="Z755" s="41"/>
    </row>
    <row r="756" ht="15.75" customHeight="1">
      <c r="A756" s="35"/>
      <c r="B756" s="35"/>
      <c r="C756" s="35"/>
      <c r="D756" s="35"/>
      <c r="E756" s="1"/>
      <c r="F756" s="1"/>
      <c r="G756" s="1"/>
      <c r="H756" s="1"/>
      <c r="I756" s="1"/>
      <c r="J756" s="41"/>
      <c r="K756" s="1"/>
      <c r="L756" s="41"/>
      <c r="M756" s="1"/>
      <c r="N756" s="41"/>
      <c r="O756" s="41"/>
      <c r="P756" s="41"/>
      <c r="Q756" s="41"/>
      <c r="R756" s="41"/>
      <c r="S756" s="41"/>
      <c r="T756" s="41"/>
      <c r="U756" s="41"/>
      <c r="V756" s="41"/>
      <c r="W756" s="41"/>
      <c r="X756" s="41"/>
      <c r="Y756" s="41"/>
      <c r="Z756" s="41"/>
    </row>
    <row r="757" ht="15.75" customHeight="1">
      <c r="A757" s="35"/>
      <c r="B757" s="35"/>
      <c r="C757" s="35"/>
      <c r="D757" s="35"/>
      <c r="E757" s="1"/>
      <c r="F757" s="1"/>
      <c r="G757" s="1"/>
      <c r="H757" s="1"/>
      <c r="I757" s="1"/>
      <c r="J757" s="41"/>
      <c r="K757" s="1"/>
      <c r="L757" s="41"/>
      <c r="M757" s="1"/>
      <c r="N757" s="41"/>
      <c r="O757" s="41"/>
      <c r="P757" s="41"/>
      <c r="Q757" s="41"/>
      <c r="R757" s="41"/>
      <c r="S757" s="41"/>
      <c r="T757" s="41"/>
      <c r="U757" s="41"/>
      <c r="V757" s="41"/>
      <c r="W757" s="41"/>
      <c r="X757" s="41"/>
      <c r="Y757" s="41"/>
      <c r="Z757" s="41"/>
    </row>
    <row r="758" ht="15.75" customHeight="1">
      <c r="A758" s="35"/>
      <c r="B758" s="35"/>
      <c r="C758" s="35"/>
      <c r="D758" s="35"/>
      <c r="E758" s="1"/>
      <c r="F758" s="1"/>
      <c r="G758" s="1"/>
      <c r="H758" s="1"/>
      <c r="I758" s="1"/>
      <c r="J758" s="41"/>
      <c r="K758" s="1"/>
      <c r="L758" s="41"/>
      <c r="M758" s="1"/>
      <c r="N758" s="41"/>
      <c r="O758" s="41"/>
      <c r="P758" s="41"/>
      <c r="Q758" s="41"/>
      <c r="R758" s="41"/>
      <c r="S758" s="41"/>
      <c r="T758" s="41"/>
      <c r="U758" s="41"/>
      <c r="V758" s="41"/>
      <c r="W758" s="41"/>
      <c r="X758" s="41"/>
      <c r="Y758" s="41"/>
      <c r="Z758" s="41"/>
    </row>
    <row r="759" ht="15.75" customHeight="1">
      <c r="A759" s="35"/>
      <c r="B759" s="35"/>
      <c r="C759" s="35"/>
      <c r="D759" s="35"/>
      <c r="E759" s="1"/>
      <c r="F759" s="1"/>
      <c r="G759" s="1"/>
      <c r="H759" s="1"/>
      <c r="I759" s="1"/>
      <c r="J759" s="41"/>
      <c r="K759" s="1"/>
      <c r="L759" s="41"/>
      <c r="M759" s="1"/>
      <c r="N759" s="41"/>
      <c r="O759" s="41"/>
      <c r="P759" s="41"/>
      <c r="Q759" s="41"/>
      <c r="R759" s="41"/>
      <c r="S759" s="41"/>
      <c r="T759" s="41"/>
      <c r="U759" s="41"/>
      <c r="V759" s="41"/>
      <c r="W759" s="41"/>
      <c r="X759" s="41"/>
      <c r="Y759" s="41"/>
      <c r="Z759" s="41"/>
    </row>
    <row r="760" ht="15.75" customHeight="1">
      <c r="A760" s="35"/>
      <c r="B760" s="35"/>
      <c r="C760" s="35"/>
      <c r="D760" s="35"/>
      <c r="E760" s="1"/>
      <c r="F760" s="1"/>
      <c r="G760" s="1"/>
      <c r="H760" s="1"/>
      <c r="I760" s="1"/>
      <c r="J760" s="41"/>
      <c r="K760" s="1"/>
      <c r="L760" s="41"/>
      <c r="M760" s="1"/>
      <c r="N760" s="41"/>
      <c r="O760" s="41"/>
      <c r="P760" s="41"/>
      <c r="Q760" s="41"/>
      <c r="R760" s="41"/>
      <c r="S760" s="41"/>
      <c r="T760" s="41"/>
      <c r="U760" s="41"/>
      <c r="V760" s="41"/>
      <c r="W760" s="41"/>
      <c r="X760" s="41"/>
      <c r="Y760" s="41"/>
      <c r="Z760" s="41"/>
    </row>
    <row r="761" ht="15.75" customHeight="1">
      <c r="A761" s="35"/>
      <c r="B761" s="35"/>
      <c r="C761" s="35"/>
      <c r="D761" s="35"/>
      <c r="E761" s="1"/>
      <c r="F761" s="1"/>
      <c r="G761" s="1"/>
      <c r="H761" s="1"/>
      <c r="I761" s="1"/>
      <c r="J761" s="41"/>
      <c r="K761" s="1"/>
      <c r="L761" s="41"/>
      <c r="M761" s="1"/>
      <c r="N761" s="41"/>
      <c r="O761" s="41"/>
      <c r="P761" s="41"/>
      <c r="Q761" s="41"/>
      <c r="R761" s="41"/>
      <c r="S761" s="41"/>
      <c r="T761" s="41"/>
      <c r="U761" s="41"/>
      <c r="V761" s="41"/>
      <c r="W761" s="41"/>
      <c r="X761" s="41"/>
      <c r="Y761" s="41"/>
      <c r="Z761" s="41"/>
    </row>
    <row r="762" ht="15.75" customHeight="1">
      <c r="A762" s="35"/>
      <c r="B762" s="35"/>
      <c r="C762" s="35"/>
      <c r="D762" s="35"/>
      <c r="E762" s="1"/>
      <c r="F762" s="1"/>
      <c r="G762" s="1"/>
      <c r="H762" s="1"/>
      <c r="I762" s="1"/>
      <c r="J762" s="41"/>
      <c r="K762" s="1"/>
      <c r="L762" s="41"/>
      <c r="M762" s="1"/>
      <c r="N762" s="41"/>
      <c r="O762" s="41"/>
      <c r="P762" s="41"/>
      <c r="Q762" s="41"/>
      <c r="R762" s="41"/>
      <c r="S762" s="41"/>
      <c r="T762" s="41"/>
      <c r="U762" s="41"/>
      <c r="V762" s="41"/>
      <c r="W762" s="41"/>
      <c r="X762" s="41"/>
      <c r="Y762" s="41"/>
      <c r="Z762" s="41"/>
    </row>
    <row r="763" ht="15.75" customHeight="1">
      <c r="A763" s="35"/>
      <c r="B763" s="35"/>
      <c r="C763" s="35"/>
      <c r="D763" s="35"/>
      <c r="E763" s="1"/>
      <c r="F763" s="1"/>
      <c r="G763" s="1"/>
      <c r="H763" s="1"/>
      <c r="I763" s="1"/>
      <c r="J763" s="41"/>
      <c r="K763" s="1"/>
      <c r="L763" s="41"/>
      <c r="M763" s="1"/>
      <c r="N763" s="41"/>
      <c r="O763" s="41"/>
      <c r="P763" s="41"/>
      <c r="Q763" s="41"/>
      <c r="R763" s="41"/>
      <c r="S763" s="41"/>
      <c r="T763" s="41"/>
      <c r="U763" s="41"/>
      <c r="V763" s="41"/>
      <c r="W763" s="41"/>
      <c r="X763" s="41"/>
      <c r="Y763" s="41"/>
      <c r="Z763" s="41"/>
    </row>
    <row r="764" ht="15.75" customHeight="1">
      <c r="A764" s="35"/>
      <c r="B764" s="35"/>
      <c r="C764" s="35"/>
      <c r="D764" s="35"/>
      <c r="E764" s="1"/>
      <c r="F764" s="1"/>
      <c r="G764" s="1"/>
      <c r="H764" s="1"/>
      <c r="I764" s="1"/>
      <c r="J764" s="41"/>
      <c r="K764" s="1"/>
      <c r="L764" s="41"/>
      <c r="M764" s="1"/>
      <c r="N764" s="41"/>
      <c r="O764" s="41"/>
      <c r="P764" s="41"/>
      <c r="Q764" s="41"/>
      <c r="R764" s="41"/>
      <c r="S764" s="41"/>
      <c r="T764" s="41"/>
      <c r="U764" s="41"/>
      <c r="V764" s="41"/>
      <c r="W764" s="41"/>
      <c r="X764" s="41"/>
      <c r="Y764" s="41"/>
      <c r="Z764" s="41"/>
    </row>
    <row r="765" ht="15.75" customHeight="1">
      <c r="A765" s="35"/>
      <c r="B765" s="35"/>
      <c r="C765" s="35"/>
      <c r="D765" s="35"/>
      <c r="E765" s="1"/>
      <c r="F765" s="1"/>
      <c r="G765" s="1"/>
      <c r="H765" s="1"/>
      <c r="I765" s="1"/>
      <c r="J765" s="41"/>
      <c r="K765" s="1"/>
      <c r="L765" s="41"/>
      <c r="M765" s="1"/>
      <c r="N765" s="41"/>
      <c r="O765" s="41"/>
      <c r="P765" s="41"/>
      <c r="Q765" s="41"/>
      <c r="R765" s="41"/>
      <c r="S765" s="41"/>
      <c r="T765" s="41"/>
      <c r="U765" s="41"/>
      <c r="V765" s="41"/>
      <c r="W765" s="41"/>
      <c r="X765" s="41"/>
      <c r="Y765" s="41"/>
      <c r="Z765" s="41"/>
    </row>
    <row r="766" ht="15.75" customHeight="1">
      <c r="A766" s="35"/>
      <c r="B766" s="35"/>
      <c r="C766" s="35"/>
      <c r="D766" s="35"/>
      <c r="E766" s="1"/>
      <c r="F766" s="1"/>
      <c r="G766" s="1"/>
      <c r="H766" s="1"/>
      <c r="I766" s="1"/>
      <c r="J766" s="41"/>
      <c r="K766" s="1"/>
      <c r="L766" s="41"/>
      <c r="M766" s="1"/>
      <c r="N766" s="41"/>
      <c r="O766" s="41"/>
      <c r="P766" s="41"/>
      <c r="Q766" s="41"/>
      <c r="R766" s="41"/>
      <c r="S766" s="41"/>
      <c r="T766" s="41"/>
      <c r="U766" s="41"/>
      <c r="V766" s="41"/>
      <c r="W766" s="41"/>
      <c r="X766" s="41"/>
      <c r="Y766" s="41"/>
      <c r="Z766" s="41"/>
    </row>
    <row r="767" ht="15.75" customHeight="1">
      <c r="A767" s="35"/>
      <c r="B767" s="35"/>
      <c r="C767" s="35"/>
      <c r="D767" s="35"/>
      <c r="E767" s="1"/>
      <c r="F767" s="1"/>
      <c r="G767" s="1"/>
      <c r="H767" s="1"/>
      <c r="I767" s="1"/>
      <c r="J767" s="41"/>
      <c r="K767" s="1"/>
      <c r="L767" s="41"/>
      <c r="M767" s="1"/>
      <c r="N767" s="41"/>
      <c r="O767" s="41"/>
      <c r="P767" s="41"/>
      <c r="Q767" s="41"/>
      <c r="R767" s="41"/>
      <c r="S767" s="41"/>
      <c r="T767" s="41"/>
      <c r="U767" s="41"/>
      <c r="V767" s="41"/>
      <c r="W767" s="41"/>
      <c r="X767" s="41"/>
      <c r="Y767" s="41"/>
      <c r="Z767" s="41"/>
    </row>
    <row r="768" ht="15.75" customHeight="1">
      <c r="A768" s="35"/>
      <c r="B768" s="35"/>
      <c r="C768" s="35"/>
      <c r="D768" s="35"/>
      <c r="E768" s="1"/>
      <c r="F768" s="1"/>
      <c r="G768" s="1"/>
      <c r="H768" s="1"/>
      <c r="I768" s="1"/>
      <c r="J768" s="41"/>
      <c r="K768" s="1"/>
      <c r="L768" s="41"/>
      <c r="M768" s="1"/>
      <c r="N768" s="41"/>
      <c r="O768" s="41"/>
      <c r="P768" s="41"/>
      <c r="Q768" s="41"/>
      <c r="R768" s="41"/>
      <c r="S768" s="41"/>
      <c r="T768" s="41"/>
      <c r="U768" s="41"/>
      <c r="V768" s="41"/>
      <c r="W768" s="41"/>
      <c r="X768" s="41"/>
      <c r="Y768" s="41"/>
      <c r="Z768" s="41"/>
    </row>
    <row r="769" ht="15.75" customHeight="1">
      <c r="A769" s="35"/>
      <c r="B769" s="35"/>
      <c r="C769" s="35"/>
      <c r="D769" s="35"/>
      <c r="E769" s="1"/>
      <c r="F769" s="1"/>
      <c r="G769" s="1"/>
      <c r="H769" s="1"/>
      <c r="I769" s="1"/>
      <c r="J769" s="41"/>
      <c r="K769" s="1"/>
      <c r="L769" s="41"/>
      <c r="M769" s="1"/>
      <c r="N769" s="41"/>
      <c r="O769" s="41"/>
      <c r="P769" s="41"/>
      <c r="Q769" s="41"/>
      <c r="R769" s="41"/>
      <c r="S769" s="41"/>
      <c r="T769" s="41"/>
      <c r="U769" s="41"/>
      <c r="V769" s="41"/>
      <c r="W769" s="41"/>
      <c r="X769" s="41"/>
      <c r="Y769" s="41"/>
      <c r="Z769" s="41"/>
    </row>
    <row r="770" ht="15.75" customHeight="1">
      <c r="A770" s="35"/>
      <c r="B770" s="35"/>
      <c r="C770" s="35"/>
      <c r="D770" s="35"/>
      <c r="E770" s="1"/>
      <c r="F770" s="1"/>
      <c r="G770" s="1"/>
      <c r="H770" s="1"/>
      <c r="I770" s="1"/>
      <c r="J770" s="41"/>
      <c r="K770" s="1"/>
      <c r="L770" s="41"/>
      <c r="M770" s="1"/>
      <c r="N770" s="41"/>
      <c r="O770" s="41"/>
      <c r="P770" s="41"/>
      <c r="Q770" s="41"/>
      <c r="R770" s="41"/>
      <c r="S770" s="41"/>
      <c r="T770" s="41"/>
      <c r="U770" s="41"/>
      <c r="V770" s="41"/>
      <c r="W770" s="41"/>
      <c r="X770" s="41"/>
      <c r="Y770" s="41"/>
      <c r="Z770" s="41"/>
    </row>
    <row r="771" ht="15.75" customHeight="1">
      <c r="A771" s="35"/>
      <c r="B771" s="35"/>
      <c r="C771" s="35"/>
      <c r="D771" s="35"/>
      <c r="E771" s="1"/>
      <c r="F771" s="1"/>
      <c r="G771" s="1"/>
      <c r="H771" s="1"/>
      <c r="I771" s="1"/>
      <c r="J771" s="41"/>
      <c r="K771" s="1"/>
      <c r="L771" s="41"/>
      <c r="M771" s="1"/>
      <c r="N771" s="41"/>
      <c r="O771" s="41"/>
      <c r="P771" s="41"/>
      <c r="Q771" s="41"/>
      <c r="R771" s="41"/>
      <c r="S771" s="41"/>
      <c r="T771" s="41"/>
      <c r="U771" s="41"/>
      <c r="V771" s="41"/>
      <c r="W771" s="41"/>
      <c r="X771" s="41"/>
      <c r="Y771" s="41"/>
      <c r="Z771" s="41"/>
    </row>
    <row r="772" ht="15.75" customHeight="1">
      <c r="A772" s="35"/>
      <c r="B772" s="35"/>
      <c r="C772" s="35"/>
      <c r="D772" s="35"/>
      <c r="E772" s="1"/>
      <c r="F772" s="1"/>
      <c r="G772" s="1"/>
      <c r="H772" s="1"/>
      <c r="I772" s="1"/>
      <c r="J772" s="41"/>
      <c r="K772" s="1"/>
      <c r="L772" s="41"/>
      <c r="M772" s="1"/>
      <c r="N772" s="41"/>
      <c r="O772" s="41"/>
      <c r="P772" s="41"/>
      <c r="Q772" s="41"/>
      <c r="R772" s="41"/>
      <c r="S772" s="41"/>
      <c r="T772" s="41"/>
      <c r="U772" s="41"/>
      <c r="V772" s="41"/>
      <c r="W772" s="41"/>
      <c r="X772" s="41"/>
      <c r="Y772" s="41"/>
      <c r="Z772" s="41"/>
    </row>
    <row r="773" ht="15.75" customHeight="1">
      <c r="A773" s="35"/>
      <c r="B773" s="35"/>
      <c r="C773" s="35"/>
      <c r="D773" s="35"/>
      <c r="E773" s="1"/>
      <c r="F773" s="1"/>
      <c r="G773" s="1"/>
      <c r="H773" s="1"/>
      <c r="I773" s="1"/>
      <c r="J773" s="41"/>
      <c r="K773" s="1"/>
      <c r="L773" s="41"/>
      <c r="M773" s="1"/>
      <c r="N773" s="41"/>
      <c r="O773" s="41"/>
      <c r="P773" s="41"/>
      <c r="Q773" s="41"/>
      <c r="R773" s="41"/>
      <c r="S773" s="41"/>
      <c r="T773" s="41"/>
      <c r="U773" s="41"/>
      <c r="V773" s="41"/>
      <c r="W773" s="41"/>
      <c r="X773" s="41"/>
      <c r="Y773" s="41"/>
      <c r="Z773" s="41"/>
    </row>
    <row r="774" ht="15.75" customHeight="1">
      <c r="A774" s="35"/>
      <c r="B774" s="35"/>
      <c r="C774" s="35"/>
      <c r="D774" s="35"/>
      <c r="E774" s="1"/>
      <c r="F774" s="1"/>
      <c r="G774" s="1"/>
      <c r="H774" s="1"/>
      <c r="I774" s="1"/>
      <c r="J774" s="41"/>
      <c r="K774" s="1"/>
      <c r="L774" s="41"/>
      <c r="M774" s="1"/>
      <c r="N774" s="41"/>
      <c r="O774" s="41"/>
      <c r="P774" s="41"/>
      <c r="Q774" s="41"/>
      <c r="R774" s="41"/>
      <c r="S774" s="41"/>
      <c r="T774" s="41"/>
      <c r="U774" s="41"/>
      <c r="V774" s="41"/>
      <c r="W774" s="41"/>
      <c r="X774" s="41"/>
      <c r="Y774" s="41"/>
      <c r="Z774" s="41"/>
    </row>
    <row r="775" ht="15.75" customHeight="1">
      <c r="A775" s="35"/>
      <c r="B775" s="35"/>
      <c r="C775" s="35"/>
      <c r="D775" s="35"/>
      <c r="E775" s="1"/>
      <c r="F775" s="1"/>
      <c r="G775" s="1"/>
      <c r="H775" s="1"/>
      <c r="I775" s="1"/>
      <c r="J775" s="41"/>
      <c r="K775" s="1"/>
      <c r="L775" s="41"/>
      <c r="M775" s="1"/>
      <c r="N775" s="41"/>
      <c r="O775" s="41"/>
      <c r="P775" s="41"/>
      <c r="Q775" s="41"/>
      <c r="R775" s="41"/>
      <c r="S775" s="41"/>
      <c r="T775" s="41"/>
      <c r="U775" s="41"/>
      <c r="V775" s="41"/>
      <c r="W775" s="41"/>
      <c r="X775" s="41"/>
      <c r="Y775" s="41"/>
      <c r="Z775" s="41"/>
    </row>
    <row r="776" ht="15.75" customHeight="1">
      <c r="A776" s="35"/>
      <c r="B776" s="35"/>
      <c r="C776" s="35"/>
      <c r="D776" s="35"/>
      <c r="E776" s="1"/>
      <c r="F776" s="1"/>
      <c r="G776" s="1"/>
      <c r="H776" s="1"/>
      <c r="I776" s="1"/>
      <c r="J776" s="41"/>
      <c r="K776" s="1"/>
      <c r="L776" s="41"/>
      <c r="M776" s="1"/>
      <c r="N776" s="41"/>
      <c r="O776" s="41"/>
      <c r="P776" s="41"/>
      <c r="Q776" s="41"/>
      <c r="R776" s="41"/>
      <c r="S776" s="41"/>
      <c r="T776" s="41"/>
      <c r="U776" s="41"/>
      <c r="V776" s="41"/>
      <c r="W776" s="41"/>
      <c r="X776" s="41"/>
      <c r="Y776" s="41"/>
      <c r="Z776" s="41"/>
    </row>
    <row r="777" ht="15.75" customHeight="1">
      <c r="A777" s="35"/>
      <c r="B777" s="35"/>
      <c r="C777" s="35"/>
      <c r="D777" s="35"/>
      <c r="E777" s="1"/>
      <c r="F777" s="1"/>
      <c r="G777" s="1"/>
      <c r="H777" s="1"/>
      <c r="I777" s="1"/>
      <c r="J777" s="41"/>
      <c r="K777" s="1"/>
      <c r="L777" s="41"/>
      <c r="M777" s="1"/>
      <c r="N777" s="41"/>
      <c r="O777" s="41"/>
      <c r="P777" s="41"/>
      <c r="Q777" s="41"/>
      <c r="R777" s="41"/>
      <c r="S777" s="41"/>
      <c r="T777" s="41"/>
      <c r="U777" s="41"/>
      <c r="V777" s="41"/>
      <c r="W777" s="41"/>
      <c r="X777" s="41"/>
      <c r="Y777" s="41"/>
      <c r="Z777" s="41"/>
    </row>
    <row r="778" ht="15.75" customHeight="1">
      <c r="A778" s="35"/>
      <c r="B778" s="35"/>
      <c r="C778" s="35"/>
      <c r="D778" s="35"/>
      <c r="E778" s="1"/>
      <c r="F778" s="1"/>
      <c r="G778" s="1"/>
      <c r="H778" s="1"/>
      <c r="I778" s="1"/>
      <c r="J778" s="41"/>
      <c r="K778" s="1"/>
      <c r="L778" s="41"/>
      <c r="M778" s="1"/>
      <c r="N778" s="41"/>
      <c r="O778" s="41"/>
      <c r="P778" s="41"/>
      <c r="Q778" s="41"/>
      <c r="R778" s="41"/>
      <c r="S778" s="41"/>
      <c r="T778" s="41"/>
      <c r="U778" s="41"/>
      <c r="V778" s="41"/>
      <c r="W778" s="41"/>
      <c r="X778" s="41"/>
      <c r="Y778" s="41"/>
      <c r="Z778" s="41"/>
    </row>
    <row r="779" ht="15.75" customHeight="1">
      <c r="A779" s="35"/>
      <c r="B779" s="35"/>
      <c r="C779" s="35"/>
      <c r="D779" s="35"/>
      <c r="E779" s="1"/>
      <c r="F779" s="1"/>
      <c r="G779" s="1"/>
      <c r="H779" s="1"/>
      <c r="I779" s="1"/>
      <c r="J779" s="41"/>
      <c r="K779" s="1"/>
      <c r="L779" s="41"/>
      <c r="M779" s="1"/>
      <c r="N779" s="41"/>
      <c r="O779" s="41"/>
      <c r="P779" s="41"/>
      <c r="Q779" s="41"/>
      <c r="R779" s="41"/>
      <c r="S779" s="41"/>
      <c r="T779" s="41"/>
      <c r="U779" s="41"/>
      <c r="V779" s="41"/>
      <c r="W779" s="41"/>
      <c r="X779" s="41"/>
      <c r="Y779" s="41"/>
      <c r="Z779" s="41"/>
    </row>
    <row r="780" ht="15.75" customHeight="1">
      <c r="A780" s="35"/>
      <c r="B780" s="35"/>
      <c r="C780" s="35"/>
      <c r="D780" s="35"/>
      <c r="E780" s="1"/>
      <c r="F780" s="1"/>
      <c r="G780" s="1"/>
      <c r="H780" s="1"/>
      <c r="I780" s="1"/>
      <c r="J780" s="41"/>
      <c r="K780" s="1"/>
      <c r="L780" s="41"/>
      <c r="M780" s="1"/>
      <c r="N780" s="41"/>
      <c r="O780" s="41"/>
      <c r="P780" s="41"/>
      <c r="Q780" s="41"/>
      <c r="R780" s="41"/>
      <c r="S780" s="41"/>
      <c r="T780" s="41"/>
      <c r="U780" s="41"/>
      <c r="V780" s="41"/>
      <c r="W780" s="41"/>
      <c r="X780" s="41"/>
      <c r="Y780" s="41"/>
      <c r="Z780" s="41"/>
    </row>
    <row r="781" ht="15.75" customHeight="1">
      <c r="A781" s="35"/>
      <c r="B781" s="35"/>
      <c r="C781" s="35"/>
      <c r="D781" s="35"/>
      <c r="E781" s="1"/>
      <c r="F781" s="1"/>
      <c r="G781" s="1"/>
      <c r="H781" s="1"/>
      <c r="I781" s="1"/>
      <c r="J781" s="41"/>
      <c r="K781" s="1"/>
      <c r="L781" s="41"/>
      <c r="M781" s="1"/>
      <c r="N781" s="41"/>
      <c r="O781" s="41"/>
      <c r="P781" s="41"/>
      <c r="Q781" s="41"/>
      <c r="R781" s="41"/>
      <c r="S781" s="41"/>
      <c r="T781" s="41"/>
      <c r="U781" s="41"/>
      <c r="V781" s="41"/>
      <c r="W781" s="41"/>
      <c r="X781" s="41"/>
      <c r="Y781" s="41"/>
      <c r="Z781" s="41"/>
    </row>
    <row r="782" ht="15.75" customHeight="1">
      <c r="A782" s="35"/>
      <c r="B782" s="35"/>
      <c r="C782" s="35"/>
      <c r="D782" s="35"/>
      <c r="E782" s="1"/>
      <c r="F782" s="1"/>
      <c r="G782" s="1"/>
      <c r="H782" s="1"/>
      <c r="I782" s="1"/>
      <c r="J782" s="41"/>
      <c r="K782" s="1"/>
      <c r="L782" s="41"/>
      <c r="M782" s="1"/>
      <c r="N782" s="41"/>
      <c r="O782" s="41"/>
      <c r="P782" s="41"/>
      <c r="Q782" s="41"/>
      <c r="R782" s="41"/>
      <c r="S782" s="41"/>
      <c r="T782" s="41"/>
      <c r="U782" s="41"/>
      <c r="V782" s="41"/>
      <c r="W782" s="41"/>
      <c r="X782" s="41"/>
      <c r="Y782" s="41"/>
      <c r="Z782" s="41"/>
    </row>
    <row r="783" ht="15.75" customHeight="1">
      <c r="A783" s="35"/>
      <c r="B783" s="35"/>
      <c r="C783" s="35"/>
      <c r="D783" s="35"/>
      <c r="E783" s="1"/>
      <c r="F783" s="1"/>
      <c r="G783" s="1"/>
      <c r="H783" s="1"/>
      <c r="I783" s="1"/>
      <c r="J783" s="41"/>
      <c r="K783" s="1"/>
      <c r="L783" s="41"/>
      <c r="M783" s="1"/>
      <c r="N783" s="41"/>
      <c r="O783" s="41"/>
      <c r="P783" s="41"/>
      <c r="Q783" s="41"/>
      <c r="R783" s="41"/>
      <c r="S783" s="41"/>
      <c r="T783" s="41"/>
      <c r="U783" s="41"/>
      <c r="V783" s="41"/>
      <c r="W783" s="41"/>
      <c r="X783" s="41"/>
      <c r="Y783" s="41"/>
      <c r="Z783" s="41"/>
    </row>
    <row r="784" ht="15.75" customHeight="1">
      <c r="A784" s="35"/>
      <c r="B784" s="35"/>
      <c r="C784" s="35"/>
      <c r="D784" s="35"/>
      <c r="E784" s="1"/>
      <c r="F784" s="1"/>
      <c r="G784" s="1"/>
      <c r="H784" s="1"/>
      <c r="I784" s="1"/>
      <c r="J784" s="41"/>
      <c r="K784" s="1"/>
      <c r="L784" s="41"/>
      <c r="M784" s="1"/>
      <c r="N784" s="41"/>
      <c r="O784" s="41"/>
      <c r="P784" s="41"/>
      <c r="Q784" s="41"/>
      <c r="R784" s="41"/>
      <c r="S784" s="41"/>
      <c r="T784" s="41"/>
      <c r="U784" s="41"/>
      <c r="V784" s="41"/>
      <c r="W784" s="41"/>
      <c r="X784" s="41"/>
      <c r="Y784" s="41"/>
      <c r="Z784" s="41"/>
    </row>
    <row r="785" ht="15.75" customHeight="1">
      <c r="A785" s="35"/>
      <c r="B785" s="35"/>
      <c r="C785" s="35"/>
      <c r="D785" s="35"/>
      <c r="E785" s="1"/>
      <c r="F785" s="1"/>
      <c r="G785" s="1"/>
      <c r="H785" s="1"/>
      <c r="I785" s="1"/>
      <c r="J785" s="41"/>
      <c r="K785" s="1"/>
      <c r="L785" s="41"/>
      <c r="M785" s="1"/>
      <c r="N785" s="41"/>
      <c r="O785" s="41"/>
      <c r="P785" s="41"/>
      <c r="Q785" s="41"/>
      <c r="R785" s="41"/>
      <c r="S785" s="41"/>
      <c r="T785" s="41"/>
      <c r="U785" s="41"/>
      <c r="V785" s="41"/>
      <c r="W785" s="41"/>
      <c r="X785" s="41"/>
      <c r="Y785" s="41"/>
      <c r="Z785" s="41"/>
    </row>
    <row r="786" ht="15.75" customHeight="1">
      <c r="A786" s="35"/>
      <c r="B786" s="35"/>
      <c r="C786" s="35"/>
      <c r="D786" s="35"/>
      <c r="E786" s="1"/>
      <c r="F786" s="1"/>
      <c r="G786" s="1"/>
      <c r="H786" s="1"/>
      <c r="I786" s="1"/>
      <c r="J786" s="41"/>
      <c r="K786" s="1"/>
      <c r="L786" s="41"/>
      <c r="M786" s="1"/>
      <c r="N786" s="41"/>
      <c r="O786" s="41"/>
      <c r="P786" s="41"/>
      <c r="Q786" s="41"/>
      <c r="R786" s="41"/>
      <c r="S786" s="41"/>
      <c r="T786" s="41"/>
      <c r="U786" s="41"/>
      <c r="V786" s="41"/>
      <c r="W786" s="41"/>
      <c r="X786" s="41"/>
      <c r="Y786" s="41"/>
      <c r="Z786" s="41"/>
    </row>
    <row r="787" ht="15.75" customHeight="1">
      <c r="A787" s="35"/>
      <c r="B787" s="35"/>
      <c r="C787" s="35"/>
      <c r="D787" s="35"/>
      <c r="E787" s="1"/>
      <c r="F787" s="1"/>
      <c r="G787" s="1"/>
      <c r="H787" s="1"/>
      <c r="I787" s="1"/>
      <c r="J787" s="41"/>
      <c r="K787" s="1"/>
      <c r="L787" s="41"/>
      <c r="M787" s="1"/>
      <c r="N787" s="41"/>
      <c r="O787" s="41"/>
      <c r="P787" s="41"/>
      <c r="Q787" s="41"/>
      <c r="R787" s="41"/>
      <c r="S787" s="41"/>
      <c r="T787" s="41"/>
      <c r="U787" s="41"/>
      <c r="V787" s="41"/>
      <c r="W787" s="41"/>
      <c r="X787" s="41"/>
      <c r="Y787" s="41"/>
      <c r="Z787" s="41"/>
    </row>
    <row r="788" ht="15.75" customHeight="1">
      <c r="A788" s="35"/>
      <c r="B788" s="35"/>
      <c r="C788" s="35"/>
      <c r="D788" s="35"/>
      <c r="E788" s="1"/>
      <c r="F788" s="1"/>
      <c r="G788" s="1"/>
      <c r="H788" s="1"/>
      <c r="I788" s="1"/>
      <c r="J788" s="41"/>
      <c r="K788" s="1"/>
      <c r="L788" s="41"/>
      <c r="M788" s="1"/>
      <c r="N788" s="41"/>
      <c r="O788" s="41"/>
      <c r="P788" s="41"/>
      <c r="Q788" s="41"/>
      <c r="R788" s="41"/>
      <c r="S788" s="41"/>
      <c r="T788" s="41"/>
      <c r="U788" s="41"/>
      <c r="V788" s="41"/>
      <c r="W788" s="41"/>
      <c r="X788" s="41"/>
      <c r="Y788" s="41"/>
      <c r="Z788" s="41"/>
    </row>
    <row r="789" ht="15.75" customHeight="1">
      <c r="A789" s="35"/>
      <c r="B789" s="35"/>
      <c r="C789" s="35"/>
      <c r="D789" s="35"/>
      <c r="E789" s="1"/>
      <c r="F789" s="1"/>
      <c r="G789" s="1"/>
      <c r="H789" s="1"/>
      <c r="I789" s="1"/>
      <c r="J789" s="41"/>
      <c r="K789" s="1"/>
      <c r="L789" s="41"/>
      <c r="M789" s="1"/>
      <c r="N789" s="41"/>
      <c r="O789" s="41"/>
      <c r="P789" s="41"/>
      <c r="Q789" s="41"/>
      <c r="R789" s="41"/>
      <c r="S789" s="41"/>
      <c r="T789" s="41"/>
      <c r="U789" s="41"/>
      <c r="V789" s="41"/>
      <c r="W789" s="41"/>
      <c r="X789" s="41"/>
      <c r="Y789" s="41"/>
      <c r="Z789" s="41"/>
    </row>
    <row r="790" ht="15.75" customHeight="1">
      <c r="A790" s="35"/>
      <c r="B790" s="35"/>
      <c r="C790" s="35"/>
      <c r="D790" s="35"/>
      <c r="E790" s="1"/>
      <c r="F790" s="1"/>
      <c r="G790" s="1"/>
      <c r="H790" s="1"/>
      <c r="I790" s="1"/>
      <c r="J790" s="41"/>
      <c r="K790" s="1"/>
      <c r="L790" s="41"/>
      <c r="M790" s="1"/>
      <c r="N790" s="41"/>
      <c r="O790" s="41"/>
      <c r="P790" s="41"/>
      <c r="Q790" s="41"/>
      <c r="R790" s="41"/>
      <c r="S790" s="41"/>
      <c r="T790" s="41"/>
      <c r="U790" s="41"/>
      <c r="V790" s="41"/>
      <c r="W790" s="41"/>
      <c r="X790" s="41"/>
      <c r="Y790" s="41"/>
      <c r="Z790" s="41"/>
    </row>
    <row r="791" ht="15.75" customHeight="1">
      <c r="A791" s="35"/>
      <c r="B791" s="35"/>
      <c r="C791" s="35"/>
      <c r="D791" s="35"/>
      <c r="E791" s="1"/>
      <c r="F791" s="1"/>
      <c r="G791" s="1"/>
      <c r="H791" s="1"/>
      <c r="I791" s="1"/>
      <c r="J791" s="41"/>
      <c r="K791" s="1"/>
      <c r="L791" s="41"/>
      <c r="M791" s="1"/>
      <c r="N791" s="41"/>
      <c r="O791" s="41"/>
      <c r="P791" s="41"/>
      <c r="Q791" s="41"/>
      <c r="R791" s="41"/>
      <c r="S791" s="41"/>
      <c r="T791" s="41"/>
      <c r="U791" s="41"/>
      <c r="V791" s="41"/>
      <c r="W791" s="41"/>
      <c r="X791" s="41"/>
      <c r="Y791" s="41"/>
      <c r="Z791" s="41"/>
    </row>
    <row r="792" ht="15.75" customHeight="1">
      <c r="A792" s="35"/>
      <c r="B792" s="35"/>
      <c r="C792" s="35"/>
      <c r="D792" s="35"/>
      <c r="E792" s="1"/>
      <c r="F792" s="1"/>
      <c r="G792" s="1"/>
      <c r="H792" s="1"/>
      <c r="I792" s="1"/>
      <c r="J792" s="41"/>
      <c r="K792" s="1"/>
      <c r="L792" s="41"/>
      <c r="M792" s="1"/>
      <c r="N792" s="41"/>
      <c r="O792" s="41"/>
      <c r="P792" s="41"/>
      <c r="Q792" s="41"/>
      <c r="R792" s="41"/>
      <c r="S792" s="41"/>
      <c r="T792" s="41"/>
      <c r="U792" s="41"/>
      <c r="V792" s="41"/>
      <c r="W792" s="41"/>
      <c r="X792" s="41"/>
      <c r="Y792" s="41"/>
      <c r="Z792" s="41"/>
    </row>
    <row r="793" ht="15.75" customHeight="1">
      <c r="A793" s="35"/>
      <c r="B793" s="35"/>
      <c r="C793" s="35"/>
      <c r="D793" s="35"/>
      <c r="E793" s="1"/>
      <c r="F793" s="1"/>
      <c r="G793" s="1"/>
      <c r="H793" s="1"/>
      <c r="I793" s="1"/>
      <c r="J793" s="41"/>
      <c r="K793" s="1"/>
      <c r="L793" s="41"/>
      <c r="M793" s="1"/>
      <c r="N793" s="41"/>
      <c r="O793" s="41"/>
      <c r="P793" s="41"/>
      <c r="Q793" s="41"/>
      <c r="R793" s="41"/>
      <c r="S793" s="41"/>
      <c r="T793" s="41"/>
      <c r="U793" s="41"/>
      <c r="V793" s="41"/>
      <c r="W793" s="41"/>
      <c r="X793" s="41"/>
      <c r="Y793" s="41"/>
      <c r="Z793" s="41"/>
    </row>
    <row r="794" ht="15.75" customHeight="1">
      <c r="A794" s="35"/>
      <c r="B794" s="35"/>
      <c r="C794" s="35"/>
      <c r="D794" s="35"/>
      <c r="E794" s="1"/>
      <c r="F794" s="1"/>
      <c r="G794" s="1"/>
      <c r="H794" s="1"/>
      <c r="I794" s="1"/>
      <c r="J794" s="41"/>
      <c r="K794" s="1"/>
      <c r="L794" s="41"/>
      <c r="M794" s="1"/>
      <c r="N794" s="41"/>
      <c r="O794" s="41"/>
      <c r="P794" s="41"/>
      <c r="Q794" s="41"/>
      <c r="R794" s="41"/>
      <c r="S794" s="41"/>
      <c r="T794" s="41"/>
      <c r="U794" s="41"/>
      <c r="V794" s="41"/>
      <c r="W794" s="41"/>
      <c r="X794" s="41"/>
      <c r="Y794" s="41"/>
      <c r="Z794" s="41"/>
    </row>
    <row r="795" ht="15.75" customHeight="1">
      <c r="A795" s="35"/>
      <c r="B795" s="35"/>
      <c r="C795" s="35"/>
      <c r="D795" s="35"/>
      <c r="E795" s="1"/>
      <c r="F795" s="1"/>
      <c r="G795" s="1"/>
      <c r="H795" s="1"/>
      <c r="I795" s="1"/>
      <c r="J795" s="41"/>
      <c r="K795" s="1"/>
      <c r="L795" s="41"/>
      <c r="M795" s="1"/>
      <c r="N795" s="41"/>
      <c r="O795" s="41"/>
      <c r="P795" s="41"/>
      <c r="Q795" s="41"/>
      <c r="R795" s="41"/>
      <c r="S795" s="41"/>
      <c r="T795" s="41"/>
      <c r="U795" s="41"/>
      <c r="V795" s="41"/>
      <c r="W795" s="41"/>
      <c r="X795" s="41"/>
      <c r="Y795" s="41"/>
      <c r="Z795" s="41"/>
    </row>
    <row r="796" ht="15.75" customHeight="1">
      <c r="A796" s="35"/>
      <c r="B796" s="35"/>
      <c r="C796" s="35"/>
      <c r="D796" s="35"/>
      <c r="E796" s="1"/>
      <c r="F796" s="1"/>
      <c r="G796" s="1"/>
      <c r="H796" s="1"/>
      <c r="I796" s="1"/>
      <c r="J796" s="41"/>
      <c r="K796" s="1"/>
      <c r="L796" s="41"/>
      <c r="M796" s="1"/>
      <c r="N796" s="41"/>
      <c r="O796" s="41"/>
      <c r="P796" s="41"/>
      <c r="Q796" s="41"/>
      <c r="R796" s="41"/>
      <c r="S796" s="41"/>
      <c r="T796" s="41"/>
      <c r="U796" s="41"/>
      <c r="V796" s="41"/>
      <c r="W796" s="41"/>
      <c r="X796" s="41"/>
      <c r="Y796" s="41"/>
      <c r="Z796" s="41"/>
    </row>
    <row r="797" ht="15.75" customHeight="1">
      <c r="A797" s="35"/>
      <c r="B797" s="35"/>
      <c r="C797" s="35"/>
      <c r="D797" s="35"/>
      <c r="E797" s="1"/>
      <c r="F797" s="1"/>
      <c r="G797" s="1"/>
      <c r="H797" s="1"/>
      <c r="I797" s="1"/>
      <c r="J797" s="41"/>
      <c r="K797" s="1"/>
      <c r="L797" s="41"/>
      <c r="M797" s="1"/>
      <c r="N797" s="41"/>
      <c r="O797" s="41"/>
      <c r="P797" s="41"/>
      <c r="Q797" s="41"/>
      <c r="R797" s="41"/>
      <c r="S797" s="41"/>
      <c r="T797" s="41"/>
      <c r="U797" s="41"/>
      <c r="V797" s="41"/>
      <c r="W797" s="41"/>
      <c r="X797" s="41"/>
      <c r="Y797" s="41"/>
      <c r="Z797" s="41"/>
    </row>
    <row r="798" ht="15.75" customHeight="1">
      <c r="A798" s="35"/>
      <c r="B798" s="35"/>
      <c r="C798" s="35"/>
      <c r="D798" s="35"/>
      <c r="E798" s="1"/>
      <c r="F798" s="1"/>
      <c r="G798" s="1"/>
      <c r="H798" s="1"/>
      <c r="I798" s="1"/>
      <c r="J798" s="41"/>
      <c r="K798" s="1"/>
      <c r="L798" s="41"/>
      <c r="M798" s="1"/>
      <c r="N798" s="41"/>
      <c r="O798" s="41"/>
      <c r="P798" s="41"/>
      <c r="Q798" s="41"/>
      <c r="R798" s="41"/>
      <c r="S798" s="41"/>
      <c r="T798" s="41"/>
      <c r="U798" s="41"/>
      <c r="V798" s="41"/>
      <c r="W798" s="41"/>
      <c r="X798" s="41"/>
      <c r="Y798" s="41"/>
      <c r="Z798" s="41"/>
    </row>
    <row r="799" ht="15.75" customHeight="1">
      <c r="A799" s="35"/>
      <c r="B799" s="35"/>
      <c r="C799" s="35"/>
      <c r="D799" s="35"/>
      <c r="E799" s="1"/>
      <c r="F799" s="1"/>
      <c r="G799" s="1"/>
      <c r="H799" s="1"/>
      <c r="I799" s="1"/>
      <c r="J799" s="41"/>
      <c r="K799" s="1"/>
      <c r="L799" s="41"/>
      <c r="M799" s="1"/>
      <c r="N799" s="41"/>
      <c r="O799" s="41"/>
      <c r="P799" s="41"/>
      <c r="Q799" s="41"/>
      <c r="R799" s="41"/>
      <c r="S799" s="41"/>
      <c r="T799" s="41"/>
      <c r="U799" s="41"/>
      <c r="V799" s="41"/>
      <c r="W799" s="41"/>
      <c r="X799" s="41"/>
      <c r="Y799" s="41"/>
      <c r="Z799" s="41"/>
    </row>
    <row r="800" ht="15.75" customHeight="1">
      <c r="A800" s="35"/>
      <c r="B800" s="35"/>
      <c r="C800" s="35"/>
      <c r="D800" s="35"/>
      <c r="E800" s="1"/>
      <c r="F800" s="1"/>
      <c r="G800" s="1"/>
      <c r="H800" s="1"/>
      <c r="I800" s="1"/>
      <c r="J800" s="41"/>
      <c r="K800" s="1"/>
      <c r="L800" s="41"/>
      <c r="M800" s="1"/>
      <c r="N800" s="41"/>
      <c r="O800" s="41"/>
      <c r="P800" s="41"/>
      <c r="Q800" s="41"/>
      <c r="R800" s="41"/>
      <c r="S800" s="41"/>
      <c r="T800" s="41"/>
      <c r="U800" s="41"/>
      <c r="V800" s="41"/>
      <c r="W800" s="41"/>
      <c r="X800" s="41"/>
      <c r="Y800" s="41"/>
      <c r="Z800" s="41"/>
    </row>
    <row r="801" ht="15.75" customHeight="1">
      <c r="A801" s="35"/>
      <c r="B801" s="35"/>
      <c r="C801" s="35"/>
      <c r="D801" s="35"/>
      <c r="E801" s="1"/>
      <c r="F801" s="1"/>
      <c r="G801" s="1"/>
      <c r="H801" s="1"/>
      <c r="I801" s="1"/>
      <c r="J801" s="41"/>
      <c r="K801" s="1"/>
      <c r="L801" s="41"/>
      <c r="M801" s="1"/>
      <c r="N801" s="41"/>
      <c r="O801" s="41"/>
      <c r="P801" s="41"/>
      <c r="Q801" s="41"/>
      <c r="R801" s="41"/>
      <c r="S801" s="41"/>
      <c r="T801" s="41"/>
      <c r="U801" s="41"/>
      <c r="V801" s="41"/>
      <c r="W801" s="41"/>
      <c r="X801" s="41"/>
      <c r="Y801" s="41"/>
      <c r="Z801" s="41"/>
    </row>
    <row r="802" ht="15.75" customHeight="1">
      <c r="A802" s="35"/>
      <c r="B802" s="35"/>
      <c r="C802" s="35"/>
      <c r="D802" s="35"/>
      <c r="E802" s="1"/>
      <c r="F802" s="1"/>
      <c r="G802" s="1"/>
      <c r="H802" s="1"/>
      <c r="I802" s="1"/>
      <c r="J802" s="41"/>
      <c r="K802" s="1"/>
      <c r="L802" s="41"/>
      <c r="M802" s="1"/>
      <c r="N802" s="41"/>
      <c r="O802" s="41"/>
      <c r="P802" s="41"/>
      <c r="Q802" s="41"/>
      <c r="R802" s="41"/>
      <c r="S802" s="41"/>
      <c r="T802" s="41"/>
      <c r="U802" s="41"/>
      <c r="V802" s="41"/>
      <c r="W802" s="41"/>
      <c r="X802" s="41"/>
      <c r="Y802" s="41"/>
      <c r="Z802" s="41"/>
    </row>
    <row r="803" ht="15.75" customHeight="1">
      <c r="A803" s="35"/>
      <c r="B803" s="35"/>
      <c r="C803" s="35"/>
      <c r="D803" s="35"/>
      <c r="E803" s="1"/>
      <c r="F803" s="1"/>
      <c r="G803" s="1"/>
      <c r="H803" s="1"/>
      <c r="I803" s="1"/>
      <c r="J803" s="41"/>
      <c r="K803" s="1"/>
      <c r="L803" s="41"/>
      <c r="M803" s="1"/>
      <c r="N803" s="41"/>
      <c r="O803" s="41"/>
      <c r="P803" s="41"/>
      <c r="Q803" s="41"/>
      <c r="R803" s="41"/>
      <c r="S803" s="41"/>
      <c r="T803" s="41"/>
      <c r="U803" s="41"/>
      <c r="V803" s="41"/>
      <c r="W803" s="41"/>
      <c r="X803" s="41"/>
      <c r="Y803" s="41"/>
      <c r="Z803" s="41"/>
    </row>
    <row r="804" ht="15.75" customHeight="1">
      <c r="A804" s="35"/>
      <c r="B804" s="35"/>
      <c r="C804" s="35"/>
      <c r="D804" s="35"/>
      <c r="E804" s="1"/>
      <c r="F804" s="1"/>
      <c r="G804" s="1"/>
      <c r="H804" s="1"/>
      <c r="I804" s="1"/>
      <c r="J804" s="41"/>
      <c r="K804" s="1"/>
      <c r="L804" s="41"/>
      <c r="M804" s="1"/>
      <c r="N804" s="41"/>
      <c r="O804" s="41"/>
      <c r="P804" s="41"/>
      <c r="Q804" s="41"/>
      <c r="R804" s="41"/>
      <c r="S804" s="41"/>
      <c r="T804" s="41"/>
      <c r="U804" s="41"/>
      <c r="V804" s="41"/>
      <c r="W804" s="41"/>
      <c r="X804" s="41"/>
      <c r="Y804" s="41"/>
      <c r="Z804" s="41"/>
    </row>
    <row r="805" ht="15.75" customHeight="1">
      <c r="A805" s="35"/>
      <c r="B805" s="35"/>
      <c r="C805" s="35"/>
      <c r="D805" s="35"/>
      <c r="E805" s="1"/>
      <c r="F805" s="1"/>
      <c r="G805" s="1"/>
      <c r="H805" s="1"/>
      <c r="I805" s="1"/>
      <c r="J805" s="41"/>
      <c r="K805" s="1"/>
      <c r="L805" s="41"/>
      <c r="M805" s="1"/>
      <c r="N805" s="41"/>
      <c r="O805" s="41"/>
      <c r="P805" s="41"/>
      <c r="Q805" s="41"/>
      <c r="R805" s="41"/>
      <c r="S805" s="41"/>
      <c r="T805" s="41"/>
      <c r="U805" s="41"/>
      <c r="V805" s="41"/>
      <c r="W805" s="41"/>
      <c r="X805" s="41"/>
      <c r="Y805" s="41"/>
      <c r="Z805" s="41"/>
    </row>
    <row r="806" ht="15.75" customHeight="1">
      <c r="A806" s="35"/>
      <c r="B806" s="35"/>
      <c r="C806" s="35"/>
      <c r="D806" s="35"/>
      <c r="E806" s="1"/>
      <c r="F806" s="1"/>
      <c r="G806" s="1"/>
      <c r="H806" s="1"/>
      <c r="I806" s="1"/>
      <c r="J806" s="41"/>
      <c r="K806" s="1"/>
      <c r="L806" s="41"/>
      <c r="M806" s="1"/>
      <c r="N806" s="41"/>
      <c r="O806" s="41"/>
      <c r="P806" s="41"/>
      <c r="Q806" s="41"/>
      <c r="R806" s="41"/>
      <c r="S806" s="41"/>
      <c r="T806" s="41"/>
      <c r="U806" s="41"/>
      <c r="V806" s="41"/>
      <c r="W806" s="41"/>
      <c r="X806" s="41"/>
      <c r="Y806" s="41"/>
      <c r="Z806" s="41"/>
    </row>
    <row r="807" ht="15.75" customHeight="1">
      <c r="A807" s="35"/>
      <c r="B807" s="35"/>
      <c r="C807" s="35"/>
      <c r="D807" s="35"/>
      <c r="E807" s="1"/>
      <c r="F807" s="1"/>
      <c r="G807" s="1"/>
      <c r="H807" s="1"/>
      <c r="I807" s="1"/>
      <c r="J807" s="41"/>
      <c r="K807" s="1"/>
      <c r="L807" s="41"/>
      <c r="M807" s="1"/>
      <c r="N807" s="41"/>
      <c r="O807" s="41"/>
      <c r="P807" s="41"/>
      <c r="Q807" s="41"/>
      <c r="R807" s="41"/>
      <c r="S807" s="41"/>
      <c r="T807" s="41"/>
      <c r="U807" s="41"/>
      <c r="V807" s="41"/>
      <c r="W807" s="41"/>
      <c r="X807" s="41"/>
      <c r="Y807" s="41"/>
      <c r="Z807" s="41"/>
    </row>
    <row r="808" ht="15.75" customHeight="1">
      <c r="A808" s="35"/>
      <c r="B808" s="35"/>
      <c r="C808" s="35"/>
      <c r="D808" s="35"/>
      <c r="E808" s="1"/>
      <c r="F808" s="1"/>
      <c r="G808" s="1"/>
      <c r="H808" s="1"/>
      <c r="I808" s="1"/>
      <c r="J808" s="41"/>
      <c r="K808" s="1"/>
      <c r="L808" s="41"/>
      <c r="M808" s="1"/>
      <c r="N808" s="41"/>
      <c r="O808" s="41"/>
      <c r="P808" s="41"/>
      <c r="Q808" s="41"/>
      <c r="R808" s="41"/>
      <c r="S808" s="41"/>
      <c r="T808" s="41"/>
      <c r="U808" s="41"/>
      <c r="V808" s="41"/>
      <c r="W808" s="41"/>
      <c r="X808" s="41"/>
      <c r="Y808" s="41"/>
      <c r="Z808" s="41"/>
    </row>
    <row r="809" ht="15.75" customHeight="1">
      <c r="A809" s="35"/>
      <c r="B809" s="35"/>
      <c r="C809" s="35"/>
      <c r="D809" s="35"/>
      <c r="E809" s="1"/>
      <c r="F809" s="1"/>
      <c r="G809" s="1"/>
      <c r="H809" s="1"/>
      <c r="I809" s="1"/>
      <c r="J809" s="41"/>
      <c r="K809" s="1"/>
      <c r="L809" s="41"/>
      <c r="M809" s="1"/>
      <c r="N809" s="41"/>
      <c r="O809" s="41"/>
      <c r="P809" s="41"/>
      <c r="Q809" s="41"/>
      <c r="R809" s="41"/>
      <c r="S809" s="41"/>
      <c r="T809" s="41"/>
      <c r="U809" s="41"/>
      <c r="V809" s="41"/>
      <c r="W809" s="41"/>
      <c r="X809" s="41"/>
      <c r="Y809" s="41"/>
      <c r="Z809" s="41"/>
    </row>
    <row r="810" ht="15.75" customHeight="1">
      <c r="A810" s="35"/>
      <c r="B810" s="35"/>
      <c r="C810" s="35"/>
      <c r="D810" s="35"/>
      <c r="E810" s="1"/>
      <c r="F810" s="1"/>
      <c r="G810" s="1"/>
      <c r="H810" s="1"/>
      <c r="I810" s="1"/>
      <c r="J810" s="41"/>
      <c r="K810" s="1"/>
      <c r="L810" s="41"/>
      <c r="M810" s="1"/>
      <c r="N810" s="41"/>
      <c r="O810" s="41"/>
      <c r="P810" s="41"/>
      <c r="Q810" s="41"/>
      <c r="R810" s="41"/>
      <c r="S810" s="41"/>
      <c r="T810" s="41"/>
      <c r="U810" s="41"/>
      <c r="V810" s="41"/>
      <c r="W810" s="41"/>
      <c r="X810" s="41"/>
      <c r="Y810" s="41"/>
      <c r="Z810" s="41"/>
    </row>
    <row r="811" ht="15.75" customHeight="1">
      <c r="A811" s="35"/>
      <c r="B811" s="35"/>
      <c r="C811" s="35"/>
      <c r="D811" s="35"/>
      <c r="E811" s="1"/>
      <c r="F811" s="1"/>
      <c r="G811" s="1"/>
      <c r="H811" s="1"/>
      <c r="I811" s="1"/>
      <c r="J811" s="41"/>
      <c r="K811" s="1"/>
      <c r="L811" s="41"/>
      <c r="M811" s="1"/>
      <c r="N811" s="41"/>
      <c r="O811" s="41"/>
      <c r="P811" s="41"/>
      <c r="Q811" s="41"/>
      <c r="R811" s="41"/>
      <c r="S811" s="41"/>
      <c r="T811" s="41"/>
      <c r="U811" s="41"/>
      <c r="V811" s="41"/>
      <c r="W811" s="41"/>
      <c r="X811" s="41"/>
      <c r="Y811" s="41"/>
      <c r="Z811" s="41"/>
    </row>
    <row r="812" ht="15.75" customHeight="1">
      <c r="A812" s="35"/>
      <c r="B812" s="35"/>
      <c r="C812" s="35"/>
      <c r="D812" s="35"/>
      <c r="E812" s="1"/>
      <c r="F812" s="1"/>
      <c r="G812" s="1"/>
      <c r="H812" s="1"/>
      <c r="I812" s="1"/>
      <c r="J812" s="41"/>
      <c r="K812" s="1"/>
      <c r="L812" s="41"/>
      <c r="M812" s="1"/>
      <c r="N812" s="41"/>
      <c r="O812" s="41"/>
      <c r="P812" s="41"/>
      <c r="Q812" s="41"/>
      <c r="R812" s="41"/>
      <c r="S812" s="41"/>
      <c r="T812" s="41"/>
      <c r="U812" s="41"/>
      <c r="V812" s="41"/>
      <c r="W812" s="41"/>
      <c r="X812" s="41"/>
      <c r="Y812" s="41"/>
      <c r="Z812" s="41"/>
    </row>
    <row r="813" ht="15.75" customHeight="1">
      <c r="A813" s="35"/>
      <c r="B813" s="35"/>
      <c r="C813" s="35"/>
      <c r="D813" s="35"/>
      <c r="E813" s="1"/>
      <c r="F813" s="1"/>
      <c r="G813" s="1"/>
      <c r="H813" s="1"/>
      <c r="I813" s="1"/>
      <c r="J813" s="41"/>
      <c r="K813" s="1"/>
      <c r="L813" s="41"/>
      <c r="M813" s="1"/>
      <c r="N813" s="41"/>
      <c r="O813" s="41"/>
      <c r="P813" s="41"/>
      <c r="Q813" s="41"/>
      <c r="R813" s="41"/>
      <c r="S813" s="41"/>
      <c r="T813" s="41"/>
      <c r="U813" s="41"/>
      <c r="V813" s="41"/>
      <c r="W813" s="41"/>
      <c r="X813" s="41"/>
      <c r="Y813" s="41"/>
      <c r="Z813" s="41"/>
    </row>
    <row r="814" ht="15.75" customHeight="1">
      <c r="A814" s="35"/>
      <c r="B814" s="35"/>
      <c r="C814" s="35"/>
      <c r="D814" s="35"/>
      <c r="E814" s="1"/>
      <c r="F814" s="1"/>
      <c r="G814" s="1"/>
      <c r="H814" s="1"/>
      <c r="I814" s="1"/>
      <c r="J814" s="41"/>
      <c r="K814" s="1"/>
      <c r="L814" s="41"/>
      <c r="M814" s="1"/>
      <c r="N814" s="41"/>
      <c r="O814" s="41"/>
      <c r="P814" s="41"/>
      <c r="Q814" s="41"/>
      <c r="R814" s="41"/>
      <c r="S814" s="41"/>
      <c r="T814" s="41"/>
      <c r="U814" s="41"/>
      <c r="V814" s="41"/>
      <c r="W814" s="41"/>
      <c r="X814" s="41"/>
      <c r="Y814" s="41"/>
      <c r="Z814" s="41"/>
    </row>
    <row r="815" ht="15.75" customHeight="1">
      <c r="A815" s="35"/>
      <c r="B815" s="35"/>
      <c r="C815" s="35"/>
      <c r="D815" s="35"/>
      <c r="E815" s="1"/>
      <c r="F815" s="1"/>
      <c r="G815" s="1"/>
      <c r="H815" s="1"/>
      <c r="I815" s="1"/>
      <c r="J815" s="41"/>
      <c r="K815" s="1"/>
      <c r="L815" s="41"/>
      <c r="M815" s="1"/>
      <c r="N815" s="41"/>
      <c r="O815" s="41"/>
      <c r="P815" s="41"/>
      <c r="Q815" s="41"/>
      <c r="R815" s="41"/>
      <c r="S815" s="41"/>
      <c r="T815" s="41"/>
      <c r="U815" s="41"/>
      <c r="V815" s="41"/>
      <c r="W815" s="41"/>
      <c r="X815" s="41"/>
      <c r="Y815" s="41"/>
      <c r="Z815" s="41"/>
    </row>
    <row r="816" ht="15.75" customHeight="1">
      <c r="A816" s="35"/>
      <c r="B816" s="35"/>
      <c r="C816" s="35"/>
      <c r="D816" s="35"/>
      <c r="E816" s="1"/>
      <c r="F816" s="1"/>
      <c r="G816" s="1"/>
      <c r="H816" s="1"/>
      <c r="I816" s="1"/>
      <c r="J816" s="41"/>
      <c r="K816" s="1"/>
      <c r="L816" s="41"/>
      <c r="M816" s="1"/>
      <c r="N816" s="41"/>
      <c r="O816" s="41"/>
      <c r="P816" s="41"/>
      <c r="Q816" s="41"/>
      <c r="R816" s="41"/>
      <c r="S816" s="41"/>
      <c r="T816" s="41"/>
      <c r="U816" s="41"/>
      <c r="V816" s="41"/>
      <c r="W816" s="41"/>
      <c r="X816" s="41"/>
      <c r="Y816" s="41"/>
      <c r="Z816" s="41"/>
    </row>
    <row r="817" ht="15.75" customHeight="1">
      <c r="A817" s="35"/>
      <c r="B817" s="35"/>
      <c r="C817" s="35"/>
      <c r="D817" s="35"/>
      <c r="E817" s="1"/>
      <c r="F817" s="1"/>
      <c r="G817" s="1"/>
      <c r="H817" s="1"/>
      <c r="I817" s="1"/>
      <c r="J817" s="41"/>
      <c r="K817" s="1"/>
      <c r="L817" s="41"/>
      <c r="M817" s="1"/>
      <c r="N817" s="41"/>
      <c r="O817" s="41"/>
      <c r="P817" s="41"/>
      <c r="Q817" s="41"/>
      <c r="R817" s="41"/>
      <c r="S817" s="41"/>
      <c r="T817" s="41"/>
      <c r="U817" s="41"/>
      <c r="V817" s="41"/>
      <c r="W817" s="41"/>
      <c r="X817" s="41"/>
      <c r="Y817" s="41"/>
      <c r="Z817" s="41"/>
    </row>
    <row r="818" ht="15.75" customHeight="1">
      <c r="A818" s="35"/>
      <c r="B818" s="35"/>
      <c r="C818" s="35"/>
      <c r="D818" s="35"/>
      <c r="E818" s="1"/>
      <c r="F818" s="1"/>
      <c r="G818" s="1"/>
      <c r="H818" s="1"/>
      <c r="I818" s="1"/>
      <c r="J818" s="41"/>
      <c r="K818" s="1"/>
      <c r="L818" s="41"/>
      <c r="M818" s="1"/>
      <c r="N818" s="41"/>
      <c r="O818" s="41"/>
      <c r="P818" s="41"/>
      <c r="Q818" s="41"/>
      <c r="R818" s="41"/>
      <c r="S818" s="41"/>
      <c r="T818" s="41"/>
      <c r="U818" s="41"/>
      <c r="V818" s="41"/>
      <c r="W818" s="41"/>
      <c r="X818" s="41"/>
      <c r="Y818" s="41"/>
      <c r="Z818" s="41"/>
    </row>
    <row r="819" ht="15.75" customHeight="1">
      <c r="A819" s="35"/>
      <c r="B819" s="35"/>
      <c r="C819" s="35"/>
      <c r="D819" s="35"/>
      <c r="E819" s="1"/>
      <c r="F819" s="1"/>
      <c r="G819" s="1"/>
      <c r="H819" s="1"/>
      <c r="I819" s="1"/>
      <c r="J819" s="41"/>
      <c r="K819" s="1"/>
      <c r="L819" s="41"/>
      <c r="M819" s="1"/>
      <c r="N819" s="41"/>
      <c r="O819" s="41"/>
      <c r="P819" s="41"/>
      <c r="Q819" s="41"/>
      <c r="R819" s="41"/>
      <c r="S819" s="41"/>
      <c r="T819" s="41"/>
      <c r="U819" s="41"/>
      <c r="V819" s="41"/>
      <c r="W819" s="41"/>
      <c r="X819" s="41"/>
      <c r="Y819" s="41"/>
      <c r="Z819" s="41"/>
    </row>
    <row r="820" ht="15.75" customHeight="1">
      <c r="A820" s="35"/>
      <c r="B820" s="35"/>
      <c r="C820" s="35"/>
      <c r="D820" s="35"/>
      <c r="E820" s="1"/>
      <c r="F820" s="1"/>
      <c r="G820" s="1"/>
      <c r="H820" s="1"/>
      <c r="I820" s="1"/>
      <c r="J820" s="41"/>
      <c r="K820" s="1"/>
      <c r="L820" s="41"/>
      <c r="M820" s="1"/>
      <c r="N820" s="41"/>
      <c r="O820" s="41"/>
      <c r="P820" s="41"/>
      <c r="Q820" s="41"/>
      <c r="R820" s="41"/>
      <c r="S820" s="41"/>
      <c r="T820" s="41"/>
      <c r="U820" s="41"/>
      <c r="V820" s="41"/>
      <c r="W820" s="41"/>
      <c r="X820" s="41"/>
      <c r="Y820" s="41"/>
      <c r="Z820" s="41"/>
    </row>
    <row r="821" ht="15.75" customHeight="1">
      <c r="A821" s="35"/>
      <c r="B821" s="35"/>
      <c r="C821" s="35"/>
      <c r="D821" s="35"/>
      <c r="E821" s="1"/>
      <c r="F821" s="1"/>
      <c r="G821" s="1"/>
      <c r="H821" s="1"/>
      <c r="I821" s="1"/>
      <c r="J821" s="41"/>
      <c r="K821" s="1"/>
      <c r="L821" s="41"/>
      <c r="M821" s="1"/>
      <c r="N821" s="41"/>
      <c r="O821" s="41"/>
      <c r="P821" s="41"/>
      <c r="Q821" s="41"/>
      <c r="R821" s="41"/>
      <c r="S821" s="41"/>
      <c r="T821" s="41"/>
      <c r="U821" s="41"/>
      <c r="V821" s="41"/>
      <c r="W821" s="41"/>
      <c r="X821" s="41"/>
      <c r="Y821" s="41"/>
      <c r="Z821" s="41"/>
    </row>
    <row r="822" ht="15.75" customHeight="1">
      <c r="A822" s="35"/>
      <c r="B822" s="35"/>
      <c r="C822" s="35"/>
      <c r="D822" s="35"/>
      <c r="E822" s="1"/>
      <c r="F822" s="1"/>
      <c r="G822" s="1"/>
      <c r="H822" s="1"/>
      <c r="I822" s="1"/>
      <c r="J822" s="41"/>
      <c r="K822" s="1"/>
      <c r="L822" s="41"/>
      <c r="M822" s="1"/>
      <c r="N822" s="41"/>
      <c r="O822" s="41"/>
      <c r="P822" s="41"/>
      <c r="Q822" s="41"/>
      <c r="R822" s="41"/>
      <c r="S822" s="41"/>
      <c r="T822" s="41"/>
      <c r="U822" s="41"/>
      <c r="V822" s="41"/>
      <c r="W822" s="41"/>
      <c r="X822" s="41"/>
      <c r="Y822" s="41"/>
      <c r="Z822" s="41"/>
    </row>
    <row r="823" ht="15.75" customHeight="1">
      <c r="A823" s="35"/>
      <c r="B823" s="35"/>
      <c r="C823" s="35"/>
      <c r="D823" s="35"/>
      <c r="E823" s="1"/>
      <c r="F823" s="1"/>
      <c r="G823" s="1"/>
      <c r="H823" s="1"/>
      <c r="I823" s="1"/>
      <c r="J823" s="41"/>
      <c r="K823" s="1"/>
      <c r="L823" s="41"/>
      <c r="M823" s="1"/>
      <c r="N823" s="41"/>
      <c r="O823" s="41"/>
      <c r="P823" s="41"/>
      <c r="Q823" s="41"/>
      <c r="R823" s="41"/>
      <c r="S823" s="41"/>
      <c r="T823" s="41"/>
      <c r="U823" s="41"/>
      <c r="V823" s="41"/>
      <c r="W823" s="41"/>
      <c r="X823" s="41"/>
      <c r="Y823" s="41"/>
      <c r="Z823" s="41"/>
    </row>
    <row r="824" ht="15.75" customHeight="1">
      <c r="A824" s="35"/>
      <c r="B824" s="35"/>
      <c r="C824" s="35"/>
      <c r="D824" s="35"/>
      <c r="E824" s="1"/>
      <c r="F824" s="1"/>
      <c r="G824" s="1"/>
      <c r="H824" s="1"/>
      <c r="I824" s="1"/>
      <c r="J824" s="41"/>
      <c r="K824" s="1"/>
      <c r="L824" s="41"/>
      <c r="M824" s="1"/>
      <c r="N824" s="41"/>
      <c r="O824" s="41"/>
      <c r="P824" s="41"/>
      <c r="Q824" s="41"/>
      <c r="R824" s="41"/>
      <c r="S824" s="41"/>
      <c r="T824" s="41"/>
      <c r="U824" s="41"/>
      <c r="V824" s="41"/>
      <c r="W824" s="41"/>
      <c r="X824" s="41"/>
      <c r="Y824" s="41"/>
      <c r="Z824" s="41"/>
    </row>
    <row r="825" ht="15.75" customHeight="1">
      <c r="A825" s="35"/>
      <c r="B825" s="35"/>
      <c r="C825" s="35"/>
      <c r="D825" s="35"/>
      <c r="E825" s="1"/>
      <c r="F825" s="1"/>
      <c r="G825" s="1"/>
      <c r="H825" s="1"/>
      <c r="I825" s="1"/>
      <c r="J825" s="41"/>
      <c r="K825" s="1"/>
      <c r="L825" s="41"/>
      <c r="M825" s="1"/>
      <c r="N825" s="41"/>
      <c r="O825" s="41"/>
      <c r="P825" s="41"/>
      <c r="Q825" s="41"/>
      <c r="R825" s="41"/>
      <c r="S825" s="41"/>
      <c r="T825" s="41"/>
      <c r="U825" s="41"/>
      <c r="V825" s="41"/>
      <c r="W825" s="41"/>
      <c r="X825" s="41"/>
      <c r="Y825" s="41"/>
      <c r="Z825" s="41"/>
    </row>
    <row r="826" ht="15.75" customHeight="1">
      <c r="A826" s="35"/>
      <c r="B826" s="35"/>
      <c r="C826" s="35"/>
      <c r="D826" s="35"/>
      <c r="E826" s="1"/>
      <c r="F826" s="1"/>
      <c r="G826" s="1"/>
      <c r="H826" s="1"/>
      <c r="I826" s="1"/>
      <c r="J826" s="41"/>
      <c r="K826" s="1"/>
      <c r="L826" s="41"/>
      <c r="M826" s="1"/>
      <c r="N826" s="41"/>
      <c r="O826" s="41"/>
      <c r="P826" s="41"/>
      <c r="Q826" s="41"/>
      <c r="R826" s="41"/>
      <c r="S826" s="41"/>
      <c r="T826" s="41"/>
      <c r="U826" s="41"/>
      <c r="V826" s="41"/>
      <c r="W826" s="41"/>
      <c r="X826" s="41"/>
      <c r="Y826" s="41"/>
      <c r="Z826" s="41"/>
    </row>
    <row r="827" ht="15.75" customHeight="1">
      <c r="A827" s="35"/>
      <c r="B827" s="35"/>
      <c r="C827" s="35"/>
      <c r="D827" s="35"/>
      <c r="E827" s="1"/>
      <c r="F827" s="1"/>
      <c r="G827" s="1"/>
      <c r="H827" s="1"/>
      <c r="I827" s="1"/>
      <c r="J827" s="41"/>
      <c r="K827" s="1"/>
      <c r="L827" s="41"/>
      <c r="M827" s="1"/>
      <c r="N827" s="41"/>
      <c r="O827" s="41"/>
      <c r="P827" s="41"/>
      <c r="Q827" s="41"/>
      <c r="R827" s="41"/>
      <c r="S827" s="41"/>
      <c r="T827" s="41"/>
      <c r="U827" s="41"/>
      <c r="V827" s="41"/>
      <c r="W827" s="41"/>
      <c r="X827" s="41"/>
      <c r="Y827" s="41"/>
      <c r="Z827" s="41"/>
    </row>
    <row r="828" ht="15.75" customHeight="1">
      <c r="A828" s="35"/>
      <c r="B828" s="35"/>
      <c r="C828" s="35"/>
      <c r="D828" s="35"/>
      <c r="E828" s="1"/>
      <c r="F828" s="1"/>
      <c r="G828" s="1"/>
      <c r="H828" s="1"/>
      <c r="I828" s="1"/>
      <c r="J828" s="41"/>
      <c r="K828" s="1"/>
      <c r="L828" s="41"/>
      <c r="M828" s="1"/>
      <c r="N828" s="41"/>
      <c r="O828" s="41"/>
      <c r="P828" s="41"/>
      <c r="Q828" s="41"/>
      <c r="R828" s="41"/>
      <c r="S828" s="41"/>
      <c r="T828" s="41"/>
      <c r="U828" s="41"/>
      <c r="V828" s="41"/>
      <c r="W828" s="41"/>
      <c r="X828" s="41"/>
      <c r="Y828" s="41"/>
      <c r="Z828" s="41"/>
    </row>
    <row r="829" ht="15.75" customHeight="1">
      <c r="A829" s="35"/>
      <c r="B829" s="35"/>
      <c r="C829" s="35"/>
      <c r="D829" s="35"/>
      <c r="E829" s="1"/>
      <c r="F829" s="1"/>
      <c r="G829" s="1"/>
      <c r="H829" s="1"/>
      <c r="I829" s="1"/>
      <c r="J829" s="41"/>
      <c r="K829" s="1"/>
      <c r="L829" s="41"/>
      <c r="M829" s="1"/>
      <c r="N829" s="41"/>
      <c r="O829" s="41"/>
      <c r="P829" s="41"/>
      <c r="Q829" s="41"/>
      <c r="R829" s="41"/>
      <c r="S829" s="41"/>
      <c r="T829" s="41"/>
      <c r="U829" s="41"/>
      <c r="V829" s="41"/>
      <c r="W829" s="41"/>
      <c r="X829" s="41"/>
      <c r="Y829" s="41"/>
      <c r="Z829" s="41"/>
    </row>
    <row r="830" ht="15.75" customHeight="1">
      <c r="A830" s="35"/>
      <c r="B830" s="35"/>
      <c r="C830" s="35"/>
      <c r="D830" s="35"/>
      <c r="E830" s="1"/>
      <c r="F830" s="1"/>
      <c r="G830" s="1"/>
      <c r="H830" s="1"/>
      <c r="I830" s="1"/>
      <c r="J830" s="41"/>
      <c r="K830" s="1"/>
      <c r="L830" s="41"/>
      <c r="M830" s="1"/>
      <c r="N830" s="41"/>
      <c r="O830" s="41"/>
      <c r="P830" s="41"/>
      <c r="Q830" s="41"/>
      <c r="R830" s="41"/>
      <c r="S830" s="41"/>
      <c r="T830" s="41"/>
      <c r="U830" s="41"/>
      <c r="V830" s="41"/>
      <c r="W830" s="41"/>
      <c r="X830" s="41"/>
      <c r="Y830" s="41"/>
      <c r="Z830" s="41"/>
    </row>
    <row r="831" ht="15.75" customHeight="1">
      <c r="A831" s="35"/>
      <c r="B831" s="35"/>
      <c r="C831" s="35"/>
      <c r="D831" s="35"/>
      <c r="E831" s="1"/>
      <c r="F831" s="1"/>
      <c r="G831" s="1"/>
      <c r="H831" s="1"/>
      <c r="I831" s="1"/>
      <c r="J831" s="41"/>
      <c r="K831" s="1"/>
      <c r="L831" s="41"/>
      <c r="M831" s="1"/>
      <c r="N831" s="41"/>
      <c r="O831" s="41"/>
      <c r="P831" s="41"/>
      <c r="Q831" s="41"/>
      <c r="R831" s="41"/>
      <c r="S831" s="41"/>
      <c r="T831" s="41"/>
      <c r="U831" s="41"/>
      <c r="V831" s="41"/>
      <c r="W831" s="41"/>
      <c r="X831" s="41"/>
      <c r="Y831" s="41"/>
      <c r="Z831" s="41"/>
    </row>
    <row r="832" ht="15.75" customHeight="1">
      <c r="A832" s="35"/>
      <c r="B832" s="35"/>
      <c r="C832" s="35"/>
      <c r="D832" s="35"/>
      <c r="E832" s="1"/>
      <c r="F832" s="1"/>
      <c r="G832" s="1"/>
      <c r="H832" s="1"/>
      <c r="I832" s="1"/>
      <c r="J832" s="41"/>
      <c r="K832" s="1"/>
      <c r="L832" s="41"/>
      <c r="M832" s="1"/>
      <c r="N832" s="41"/>
      <c r="O832" s="41"/>
      <c r="P832" s="41"/>
      <c r="Q832" s="41"/>
      <c r="R832" s="41"/>
      <c r="S832" s="41"/>
      <c r="T832" s="41"/>
      <c r="U832" s="41"/>
      <c r="V832" s="41"/>
      <c r="W832" s="41"/>
      <c r="X832" s="41"/>
      <c r="Y832" s="41"/>
      <c r="Z832" s="41"/>
    </row>
    <row r="833" ht="15.75" customHeight="1">
      <c r="A833" s="35"/>
      <c r="B833" s="35"/>
      <c r="C833" s="35"/>
      <c r="D833" s="35"/>
      <c r="E833" s="1"/>
      <c r="F833" s="1"/>
      <c r="G833" s="1"/>
      <c r="H833" s="1"/>
      <c r="I833" s="1"/>
      <c r="J833" s="41"/>
      <c r="K833" s="1"/>
      <c r="L833" s="41"/>
      <c r="M833" s="1"/>
      <c r="N833" s="41"/>
      <c r="O833" s="41"/>
      <c r="P833" s="41"/>
      <c r="Q833" s="41"/>
      <c r="R833" s="41"/>
      <c r="S833" s="41"/>
      <c r="T833" s="41"/>
      <c r="U833" s="41"/>
      <c r="V833" s="41"/>
      <c r="W833" s="41"/>
      <c r="X833" s="41"/>
      <c r="Y833" s="41"/>
      <c r="Z833" s="41"/>
    </row>
    <row r="834" ht="15.75" customHeight="1">
      <c r="A834" s="35"/>
      <c r="B834" s="35"/>
      <c r="C834" s="35"/>
      <c r="D834" s="35"/>
      <c r="E834" s="1"/>
      <c r="F834" s="1"/>
      <c r="G834" s="1"/>
      <c r="H834" s="1"/>
      <c r="I834" s="1"/>
      <c r="J834" s="41"/>
      <c r="K834" s="1"/>
      <c r="L834" s="41"/>
      <c r="M834" s="1"/>
      <c r="N834" s="41"/>
      <c r="O834" s="41"/>
      <c r="P834" s="41"/>
      <c r="Q834" s="41"/>
      <c r="R834" s="41"/>
      <c r="S834" s="41"/>
      <c r="T834" s="41"/>
      <c r="U834" s="41"/>
      <c r="V834" s="41"/>
      <c r="W834" s="41"/>
      <c r="X834" s="41"/>
      <c r="Y834" s="41"/>
      <c r="Z834" s="41"/>
    </row>
    <row r="835" ht="15.75" customHeight="1">
      <c r="A835" s="35"/>
      <c r="B835" s="35"/>
      <c r="C835" s="35"/>
      <c r="D835" s="35"/>
      <c r="E835" s="1"/>
      <c r="F835" s="1"/>
      <c r="G835" s="1"/>
      <c r="H835" s="1"/>
      <c r="I835" s="1"/>
      <c r="J835" s="41"/>
      <c r="K835" s="1"/>
      <c r="L835" s="41"/>
      <c r="M835" s="1"/>
      <c r="N835" s="41"/>
      <c r="O835" s="41"/>
      <c r="P835" s="41"/>
      <c r="Q835" s="41"/>
      <c r="R835" s="41"/>
      <c r="S835" s="41"/>
      <c r="T835" s="41"/>
      <c r="U835" s="41"/>
      <c r="V835" s="41"/>
      <c r="W835" s="41"/>
      <c r="X835" s="41"/>
      <c r="Y835" s="41"/>
      <c r="Z835" s="41"/>
    </row>
    <row r="836" ht="15.75" customHeight="1">
      <c r="A836" s="35"/>
      <c r="B836" s="35"/>
      <c r="C836" s="35"/>
      <c r="D836" s="35"/>
      <c r="E836" s="1"/>
      <c r="F836" s="1"/>
      <c r="G836" s="1"/>
      <c r="H836" s="1"/>
      <c r="I836" s="1"/>
      <c r="J836" s="41"/>
      <c r="K836" s="1"/>
      <c r="L836" s="41"/>
      <c r="M836" s="1"/>
      <c r="N836" s="41"/>
      <c r="O836" s="41"/>
      <c r="P836" s="41"/>
      <c r="Q836" s="41"/>
      <c r="R836" s="41"/>
      <c r="S836" s="41"/>
      <c r="T836" s="41"/>
      <c r="U836" s="41"/>
      <c r="V836" s="41"/>
      <c r="W836" s="41"/>
      <c r="X836" s="41"/>
      <c r="Y836" s="41"/>
      <c r="Z836" s="41"/>
    </row>
    <row r="837" ht="15.75" customHeight="1">
      <c r="A837" s="35"/>
      <c r="B837" s="35"/>
      <c r="C837" s="35"/>
      <c r="D837" s="35"/>
      <c r="E837" s="1"/>
      <c r="F837" s="1"/>
      <c r="G837" s="1"/>
      <c r="H837" s="1"/>
      <c r="I837" s="1"/>
      <c r="J837" s="41"/>
      <c r="K837" s="1"/>
      <c r="L837" s="41"/>
      <c r="M837" s="1"/>
      <c r="N837" s="41"/>
      <c r="O837" s="41"/>
      <c r="P837" s="41"/>
      <c r="Q837" s="41"/>
      <c r="R837" s="41"/>
      <c r="S837" s="41"/>
      <c r="T837" s="41"/>
      <c r="U837" s="41"/>
      <c r="V837" s="41"/>
      <c r="W837" s="41"/>
      <c r="X837" s="41"/>
      <c r="Y837" s="41"/>
      <c r="Z837" s="41"/>
    </row>
    <row r="838" ht="15.75" customHeight="1">
      <c r="A838" s="35"/>
      <c r="B838" s="35"/>
      <c r="C838" s="35"/>
      <c r="D838" s="35"/>
      <c r="E838" s="1"/>
      <c r="F838" s="1"/>
      <c r="G838" s="1"/>
      <c r="H838" s="1"/>
      <c r="I838" s="1"/>
      <c r="J838" s="41"/>
      <c r="K838" s="1"/>
      <c r="L838" s="41"/>
      <c r="M838" s="1"/>
      <c r="N838" s="41"/>
      <c r="O838" s="41"/>
      <c r="P838" s="41"/>
      <c r="Q838" s="41"/>
      <c r="R838" s="41"/>
      <c r="S838" s="41"/>
      <c r="T838" s="41"/>
      <c r="U838" s="41"/>
      <c r="V838" s="41"/>
      <c r="W838" s="41"/>
      <c r="X838" s="41"/>
      <c r="Y838" s="41"/>
      <c r="Z838" s="41"/>
    </row>
    <row r="839" ht="15.75" customHeight="1">
      <c r="A839" s="35"/>
      <c r="B839" s="35"/>
      <c r="C839" s="35"/>
      <c r="D839" s="35"/>
      <c r="E839" s="1"/>
      <c r="F839" s="1"/>
      <c r="G839" s="1"/>
      <c r="H839" s="1"/>
      <c r="I839" s="1"/>
      <c r="J839" s="41"/>
      <c r="K839" s="1"/>
      <c r="L839" s="41"/>
      <c r="M839" s="1"/>
      <c r="N839" s="41"/>
      <c r="O839" s="41"/>
      <c r="P839" s="41"/>
      <c r="Q839" s="41"/>
      <c r="R839" s="41"/>
      <c r="S839" s="41"/>
      <c r="T839" s="41"/>
      <c r="U839" s="41"/>
      <c r="V839" s="41"/>
      <c r="W839" s="41"/>
      <c r="X839" s="41"/>
      <c r="Y839" s="41"/>
      <c r="Z839" s="41"/>
    </row>
    <row r="840" ht="15.75" customHeight="1">
      <c r="A840" s="35"/>
      <c r="B840" s="35"/>
      <c r="C840" s="35"/>
      <c r="D840" s="35"/>
      <c r="E840" s="1"/>
      <c r="F840" s="1"/>
      <c r="G840" s="1"/>
      <c r="H840" s="1"/>
      <c r="I840" s="1"/>
      <c r="J840" s="41"/>
      <c r="K840" s="1"/>
      <c r="L840" s="41"/>
      <c r="M840" s="1"/>
      <c r="N840" s="41"/>
      <c r="O840" s="41"/>
      <c r="P840" s="41"/>
      <c r="Q840" s="41"/>
      <c r="R840" s="41"/>
      <c r="S840" s="41"/>
      <c r="T840" s="41"/>
      <c r="U840" s="41"/>
      <c r="V840" s="41"/>
      <c r="W840" s="41"/>
      <c r="X840" s="41"/>
      <c r="Y840" s="41"/>
      <c r="Z840" s="41"/>
    </row>
    <row r="841" ht="15.75" customHeight="1">
      <c r="A841" s="35"/>
      <c r="B841" s="35"/>
      <c r="C841" s="35"/>
      <c r="D841" s="35"/>
      <c r="E841" s="1"/>
      <c r="F841" s="1"/>
      <c r="G841" s="1"/>
      <c r="H841" s="1"/>
      <c r="I841" s="1"/>
      <c r="J841" s="41"/>
      <c r="K841" s="1"/>
      <c r="L841" s="41"/>
      <c r="M841" s="1"/>
      <c r="N841" s="41"/>
      <c r="O841" s="41"/>
      <c r="P841" s="41"/>
      <c r="Q841" s="41"/>
      <c r="R841" s="41"/>
      <c r="S841" s="41"/>
      <c r="T841" s="41"/>
      <c r="U841" s="41"/>
      <c r="V841" s="41"/>
      <c r="W841" s="41"/>
      <c r="X841" s="41"/>
      <c r="Y841" s="41"/>
      <c r="Z841" s="41"/>
    </row>
    <row r="842" ht="15.75" customHeight="1">
      <c r="A842" s="35"/>
      <c r="B842" s="35"/>
      <c r="C842" s="35"/>
      <c r="D842" s="35"/>
      <c r="E842" s="1"/>
      <c r="F842" s="1"/>
      <c r="G842" s="1"/>
      <c r="H842" s="1"/>
      <c r="I842" s="1"/>
      <c r="J842" s="41"/>
      <c r="K842" s="1"/>
      <c r="L842" s="41"/>
      <c r="M842" s="1"/>
      <c r="N842" s="41"/>
      <c r="O842" s="41"/>
      <c r="P842" s="41"/>
      <c r="Q842" s="41"/>
      <c r="R842" s="41"/>
      <c r="S842" s="41"/>
      <c r="T842" s="41"/>
      <c r="U842" s="41"/>
      <c r="V842" s="41"/>
      <c r="W842" s="41"/>
      <c r="X842" s="41"/>
      <c r="Y842" s="41"/>
      <c r="Z842" s="41"/>
    </row>
    <row r="843" ht="15.75" customHeight="1">
      <c r="A843" s="35"/>
      <c r="B843" s="35"/>
      <c r="C843" s="35"/>
      <c r="D843" s="35"/>
      <c r="E843" s="1"/>
      <c r="F843" s="1"/>
      <c r="G843" s="1"/>
      <c r="H843" s="1"/>
      <c r="I843" s="1"/>
      <c r="J843" s="41"/>
      <c r="K843" s="1"/>
      <c r="L843" s="41"/>
      <c r="M843" s="1"/>
      <c r="N843" s="41"/>
      <c r="O843" s="41"/>
      <c r="P843" s="41"/>
      <c r="Q843" s="41"/>
      <c r="R843" s="41"/>
      <c r="S843" s="41"/>
      <c r="T843" s="41"/>
      <c r="U843" s="41"/>
      <c r="V843" s="41"/>
      <c r="W843" s="41"/>
      <c r="X843" s="41"/>
      <c r="Y843" s="41"/>
      <c r="Z843" s="41"/>
    </row>
    <row r="844" ht="15.75" customHeight="1">
      <c r="A844" s="35"/>
      <c r="B844" s="35"/>
      <c r="C844" s="35"/>
      <c r="D844" s="35"/>
      <c r="E844" s="1"/>
      <c r="F844" s="1"/>
      <c r="G844" s="1"/>
      <c r="H844" s="1"/>
      <c r="I844" s="1"/>
      <c r="J844" s="41"/>
      <c r="K844" s="1"/>
      <c r="L844" s="41"/>
      <c r="M844" s="1"/>
      <c r="N844" s="41"/>
      <c r="O844" s="41"/>
      <c r="P844" s="41"/>
      <c r="Q844" s="41"/>
      <c r="R844" s="41"/>
      <c r="S844" s="41"/>
      <c r="T844" s="41"/>
      <c r="U844" s="41"/>
      <c r="V844" s="41"/>
      <c r="W844" s="41"/>
      <c r="X844" s="41"/>
      <c r="Y844" s="41"/>
      <c r="Z844" s="41"/>
    </row>
    <row r="845" ht="15.75" customHeight="1">
      <c r="A845" s="35"/>
      <c r="B845" s="35"/>
      <c r="C845" s="35"/>
      <c r="D845" s="35"/>
      <c r="E845" s="1"/>
      <c r="F845" s="1"/>
      <c r="G845" s="1"/>
      <c r="H845" s="1"/>
      <c r="I845" s="1"/>
      <c r="J845" s="41"/>
      <c r="K845" s="1"/>
      <c r="L845" s="41"/>
      <c r="M845" s="1"/>
      <c r="N845" s="41"/>
      <c r="O845" s="41"/>
      <c r="P845" s="41"/>
      <c r="Q845" s="41"/>
      <c r="R845" s="41"/>
      <c r="S845" s="41"/>
      <c r="T845" s="41"/>
      <c r="U845" s="41"/>
      <c r="V845" s="41"/>
      <c r="W845" s="41"/>
      <c r="X845" s="41"/>
      <c r="Y845" s="41"/>
      <c r="Z845" s="41"/>
    </row>
    <row r="846" ht="15.75" customHeight="1">
      <c r="A846" s="35"/>
      <c r="B846" s="35"/>
      <c r="C846" s="35"/>
      <c r="D846" s="35"/>
      <c r="E846" s="1"/>
      <c r="F846" s="1"/>
      <c r="G846" s="1"/>
      <c r="H846" s="1"/>
      <c r="I846" s="1"/>
      <c r="J846" s="41"/>
      <c r="K846" s="1"/>
      <c r="L846" s="41"/>
      <c r="M846" s="1"/>
      <c r="N846" s="41"/>
      <c r="O846" s="41"/>
      <c r="P846" s="41"/>
      <c r="Q846" s="41"/>
      <c r="R846" s="41"/>
      <c r="S846" s="41"/>
      <c r="T846" s="41"/>
      <c r="U846" s="41"/>
      <c r="V846" s="41"/>
      <c r="W846" s="41"/>
      <c r="X846" s="41"/>
      <c r="Y846" s="41"/>
      <c r="Z846" s="41"/>
    </row>
    <row r="847" ht="15.75" customHeight="1">
      <c r="A847" s="35"/>
      <c r="B847" s="35"/>
      <c r="C847" s="35"/>
      <c r="D847" s="35"/>
      <c r="E847" s="1"/>
      <c r="F847" s="1"/>
      <c r="G847" s="1"/>
      <c r="H847" s="1"/>
      <c r="I847" s="1"/>
      <c r="J847" s="41"/>
      <c r="K847" s="1"/>
      <c r="L847" s="41"/>
      <c r="M847" s="1"/>
      <c r="N847" s="41"/>
      <c r="O847" s="41"/>
      <c r="P847" s="41"/>
      <c r="Q847" s="41"/>
      <c r="R847" s="41"/>
      <c r="S847" s="41"/>
      <c r="T847" s="41"/>
      <c r="U847" s="41"/>
      <c r="V847" s="41"/>
      <c r="W847" s="41"/>
      <c r="X847" s="41"/>
      <c r="Y847" s="41"/>
      <c r="Z847" s="41"/>
    </row>
    <row r="848" ht="15.75" customHeight="1">
      <c r="A848" s="35"/>
      <c r="B848" s="35"/>
      <c r="C848" s="35"/>
      <c r="D848" s="35"/>
      <c r="E848" s="1"/>
      <c r="F848" s="1"/>
      <c r="G848" s="1"/>
      <c r="H848" s="1"/>
      <c r="I848" s="1"/>
      <c r="J848" s="41"/>
      <c r="K848" s="1"/>
      <c r="L848" s="41"/>
      <c r="M848" s="1"/>
      <c r="N848" s="41"/>
      <c r="O848" s="41"/>
      <c r="P848" s="41"/>
      <c r="Q848" s="41"/>
      <c r="R848" s="41"/>
      <c r="S848" s="41"/>
      <c r="T848" s="41"/>
      <c r="U848" s="41"/>
      <c r="V848" s="41"/>
      <c r="W848" s="41"/>
      <c r="X848" s="41"/>
      <c r="Y848" s="41"/>
      <c r="Z848" s="41"/>
    </row>
    <row r="849" ht="15.75" customHeight="1">
      <c r="A849" s="35"/>
      <c r="B849" s="35"/>
      <c r="C849" s="35"/>
      <c r="D849" s="35"/>
      <c r="E849" s="1"/>
      <c r="F849" s="1"/>
      <c r="G849" s="1"/>
      <c r="H849" s="1"/>
      <c r="I849" s="1"/>
      <c r="J849" s="41"/>
      <c r="K849" s="1"/>
      <c r="L849" s="41"/>
      <c r="M849" s="1"/>
      <c r="N849" s="41"/>
      <c r="O849" s="41"/>
      <c r="P849" s="41"/>
      <c r="Q849" s="41"/>
      <c r="R849" s="41"/>
      <c r="S849" s="41"/>
      <c r="T849" s="41"/>
      <c r="U849" s="41"/>
      <c r="V849" s="41"/>
      <c r="W849" s="41"/>
      <c r="X849" s="41"/>
      <c r="Y849" s="41"/>
      <c r="Z849" s="41"/>
    </row>
    <row r="850" ht="15.75" customHeight="1">
      <c r="A850" s="35"/>
      <c r="B850" s="35"/>
      <c r="C850" s="35"/>
      <c r="D850" s="35"/>
      <c r="E850" s="1"/>
      <c r="F850" s="1"/>
      <c r="G850" s="1"/>
      <c r="H850" s="1"/>
      <c r="I850" s="1"/>
      <c r="J850" s="41"/>
      <c r="K850" s="1"/>
      <c r="L850" s="41"/>
      <c r="M850" s="1"/>
      <c r="N850" s="41"/>
      <c r="O850" s="41"/>
      <c r="P850" s="41"/>
      <c r="Q850" s="41"/>
      <c r="R850" s="41"/>
      <c r="S850" s="41"/>
      <c r="T850" s="41"/>
      <c r="U850" s="41"/>
      <c r="V850" s="41"/>
      <c r="W850" s="41"/>
      <c r="X850" s="41"/>
      <c r="Y850" s="41"/>
      <c r="Z850" s="41"/>
    </row>
    <row r="851" ht="15.75" customHeight="1">
      <c r="A851" s="35"/>
      <c r="B851" s="35"/>
      <c r="C851" s="35"/>
      <c r="D851" s="35"/>
      <c r="E851" s="1"/>
      <c r="F851" s="1"/>
      <c r="G851" s="1"/>
      <c r="H851" s="1"/>
      <c r="I851" s="1"/>
      <c r="J851" s="41"/>
      <c r="K851" s="1"/>
      <c r="L851" s="41"/>
      <c r="M851" s="1"/>
      <c r="N851" s="41"/>
      <c r="O851" s="41"/>
      <c r="P851" s="41"/>
      <c r="Q851" s="41"/>
      <c r="R851" s="41"/>
      <c r="S851" s="41"/>
      <c r="T851" s="41"/>
      <c r="U851" s="41"/>
      <c r="V851" s="41"/>
      <c r="W851" s="41"/>
      <c r="X851" s="41"/>
      <c r="Y851" s="41"/>
      <c r="Z851" s="41"/>
    </row>
    <row r="852" ht="15.75" customHeight="1">
      <c r="A852" s="35"/>
      <c r="B852" s="35"/>
      <c r="C852" s="35"/>
      <c r="D852" s="35"/>
      <c r="E852" s="1"/>
      <c r="F852" s="1"/>
      <c r="G852" s="1"/>
      <c r="H852" s="1"/>
      <c r="I852" s="1"/>
      <c r="J852" s="41"/>
      <c r="K852" s="1"/>
      <c r="L852" s="41"/>
      <c r="M852" s="1"/>
      <c r="N852" s="41"/>
      <c r="O852" s="41"/>
      <c r="P852" s="41"/>
      <c r="Q852" s="41"/>
      <c r="R852" s="41"/>
      <c r="S852" s="41"/>
      <c r="T852" s="41"/>
      <c r="U852" s="41"/>
      <c r="V852" s="41"/>
      <c r="W852" s="41"/>
      <c r="X852" s="41"/>
      <c r="Y852" s="41"/>
      <c r="Z852" s="41"/>
    </row>
    <row r="853" ht="15.75" customHeight="1">
      <c r="A853" s="35"/>
      <c r="B853" s="35"/>
      <c r="C853" s="35"/>
      <c r="D853" s="35"/>
      <c r="E853" s="1"/>
      <c r="F853" s="1"/>
      <c r="G853" s="1"/>
      <c r="H853" s="1"/>
      <c r="I853" s="1"/>
      <c r="J853" s="41"/>
      <c r="K853" s="1"/>
      <c r="L853" s="41"/>
      <c r="M853" s="1"/>
      <c r="N853" s="41"/>
      <c r="O853" s="41"/>
      <c r="P853" s="41"/>
      <c r="Q853" s="41"/>
      <c r="R853" s="41"/>
      <c r="S853" s="41"/>
      <c r="T853" s="41"/>
      <c r="U853" s="41"/>
      <c r="V853" s="41"/>
      <c r="W853" s="41"/>
      <c r="X853" s="41"/>
      <c r="Y853" s="41"/>
      <c r="Z853" s="41"/>
    </row>
    <row r="854" ht="15.75" customHeight="1">
      <c r="A854" s="35"/>
      <c r="B854" s="35"/>
      <c r="C854" s="35"/>
      <c r="D854" s="35"/>
      <c r="E854" s="1"/>
      <c r="F854" s="1"/>
      <c r="G854" s="1"/>
      <c r="H854" s="1"/>
      <c r="I854" s="1"/>
      <c r="J854" s="41"/>
      <c r="K854" s="1"/>
      <c r="L854" s="41"/>
      <c r="M854" s="1"/>
      <c r="N854" s="41"/>
      <c r="O854" s="41"/>
      <c r="P854" s="41"/>
      <c r="Q854" s="41"/>
      <c r="R854" s="41"/>
      <c r="S854" s="41"/>
      <c r="T854" s="41"/>
      <c r="U854" s="41"/>
      <c r="V854" s="41"/>
      <c r="W854" s="41"/>
      <c r="X854" s="41"/>
      <c r="Y854" s="41"/>
      <c r="Z854" s="41"/>
    </row>
    <row r="855" ht="15.75" customHeight="1">
      <c r="A855" s="35"/>
      <c r="B855" s="35"/>
      <c r="C855" s="35"/>
      <c r="D855" s="35"/>
      <c r="E855" s="1"/>
      <c r="F855" s="1"/>
      <c r="G855" s="1"/>
      <c r="H855" s="1"/>
      <c r="I855" s="1"/>
      <c r="J855" s="41"/>
      <c r="K855" s="1"/>
      <c r="L855" s="41"/>
      <c r="M855" s="1"/>
      <c r="N855" s="41"/>
      <c r="O855" s="41"/>
      <c r="P855" s="41"/>
      <c r="Q855" s="41"/>
      <c r="R855" s="41"/>
      <c r="S855" s="41"/>
      <c r="T855" s="41"/>
      <c r="U855" s="41"/>
      <c r="V855" s="41"/>
      <c r="W855" s="41"/>
      <c r="X855" s="41"/>
      <c r="Y855" s="41"/>
      <c r="Z855" s="41"/>
    </row>
    <row r="856" ht="15.75" customHeight="1">
      <c r="A856" s="35"/>
      <c r="B856" s="35"/>
      <c r="C856" s="35"/>
      <c r="D856" s="35"/>
      <c r="E856" s="1"/>
      <c r="F856" s="1"/>
      <c r="G856" s="1"/>
      <c r="H856" s="1"/>
      <c r="I856" s="1"/>
      <c r="J856" s="41"/>
      <c r="K856" s="1"/>
      <c r="L856" s="41"/>
      <c r="M856" s="1"/>
      <c r="N856" s="41"/>
      <c r="O856" s="41"/>
      <c r="P856" s="41"/>
      <c r="Q856" s="41"/>
      <c r="R856" s="41"/>
      <c r="S856" s="41"/>
      <c r="T856" s="41"/>
      <c r="U856" s="41"/>
      <c r="V856" s="41"/>
      <c r="W856" s="41"/>
      <c r="X856" s="41"/>
      <c r="Y856" s="41"/>
      <c r="Z856" s="41"/>
    </row>
    <row r="857" ht="15.75" customHeight="1">
      <c r="A857" s="35"/>
      <c r="B857" s="35"/>
      <c r="C857" s="35"/>
      <c r="D857" s="35"/>
      <c r="E857" s="1"/>
      <c r="F857" s="1"/>
      <c r="G857" s="1"/>
      <c r="H857" s="1"/>
      <c r="I857" s="1"/>
      <c r="J857" s="41"/>
      <c r="K857" s="1"/>
      <c r="L857" s="41"/>
      <c r="M857" s="1"/>
      <c r="N857" s="41"/>
      <c r="O857" s="41"/>
      <c r="P857" s="41"/>
      <c r="Q857" s="41"/>
      <c r="R857" s="41"/>
      <c r="S857" s="41"/>
      <c r="T857" s="41"/>
      <c r="U857" s="41"/>
      <c r="V857" s="41"/>
      <c r="W857" s="41"/>
      <c r="X857" s="41"/>
      <c r="Y857" s="41"/>
      <c r="Z857" s="41"/>
    </row>
    <row r="858" ht="15.75" customHeight="1">
      <c r="A858" s="35"/>
      <c r="B858" s="35"/>
      <c r="C858" s="35"/>
      <c r="D858" s="35"/>
      <c r="E858" s="1"/>
      <c r="F858" s="1"/>
      <c r="G858" s="1"/>
      <c r="H858" s="1"/>
      <c r="I858" s="1"/>
      <c r="J858" s="41"/>
      <c r="K858" s="1"/>
      <c r="L858" s="41"/>
      <c r="M858" s="1"/>
      <c r="N858" s="41"/>
      <c r="O858" s="41"/>
      <c r="P858" s="41"/>
      <c r="Q858" s="41"/>
      <c r="R858" s="41"/>
      <c r="S858" s="41"/>
      <c r="T858" s="41"/>
      <c r="U858" s="41"/>
      <c r="V858" s="41"/>
      <c r="W858" s="41"/>
      <c r="X858" s="41"/>
      <c r="Y858" s="41"/>
      <c r="Z858" s="41"/>
    </row>
    <row r="859" ht="15.75" customHeight="1">
      <c r="A859" s="35"/>
      <c r="B859" s="35"/>
      <c r="C859" s="35"/>
      <c r="D859" s="35"/>
      <c r="E859" s="1"/>
      <c r="F859" s="1"/>
      <c r="G859" s="1"/>
      <c r="H859" s="1"/>
      <c r="I859" s="1"/>
      <c r="J859" s="41"/>
      <c r="K859" s="1"/>
      <c r="L859" s="41"/>
      <c r="M859" s="1"/>
      <c r="N859" s="41"/>
      <c r="O859" s="41"/>
      <c r="P859" s="41"/>
      <c r="Q859" s="41"/>
      <c r="R859" s="41"/>
      <c r="S859" s="41"/>
      <c r="T859" s="41"/>
      <c r="U859" s="41"/>
      <c r="V859" s="41"/>
      <c r="W859" s="41"/>
      <c r="X859" s="41"/>
      <c r="Y859" s="41"/>
      <c r="Z859" s="41"/>
    </row>
    <row r="860" ht="15.75" customHeight="1">
      <c r="A860" s="35"/>
      <c r="B860" s="35"/>
      <c r="C860" s="35"/>
      <c r="D860" s="35"/>
      <c r="E860" s="1"/>
      <c r="F860" s="1"/>
      <c r="G860" s="1"/>
      <c r="H860" s="1"/>
      <c r="I860" s="1"/>
      <c r="J860" s="41"/>
      <c r="K860" s="1"/>
      <c r="L860" s="41"/>
      <c r="M860" s="1"/>
      <c r="N860" s="41"/>
      <c r="O860" s="41"/>
      <c r="P860" s="41"/>
      <c r="Q860" s="41"/>
      <c r="R860" s="41"/>
      <c r="S860" s="41"/>
      <c r="T860" s="41"/>
      <c r="U860" s="41"/>
      <c r="V860" s="41"/>
      <c r="W860" s="41"/>
      <c r="X860" s="41"/>
      <c r="Y860" s="41"/>
      <c r="Z860" s="41"/>
    </row>
    <row r="861" ht="15.75" customHeight="1">
      <c r="A861" s="35"/>
      <c r="B861" s="35"/>
      <c r="C861" s="35"/>
      <c r="D861" s="35"/>
      <c r="E861" s="1"/>
      <c r="F861" s="1"/>
      <c r="G861" s="1"/>
      <c r="H861" s="1"/>
      <c r="I861" s="1"/>
      <c r="J861" s="41"/>
      <c r="K861" s="1"/>
      <c r="L861" s="41"/>
      <c r="M861" s="1"/>
      <c r="N861" s="41"/>
      <c r="O861" s="41"/>
      <c r="P861" s="41"/>
      <c r="Q861" s="41"/>
      <c r="R861" s="41"/>
      <c r="S861" s="41"/>
      <c r="T861" s="41"/>
      <c r="U861" s="41"/>
      <c r="V861" s="41"/>
      <c r="W861" s="41"/>
      <c r="X861" s="41"/>
      <c r="Y861" s="41"/>
      <c r="Z861" s="41"/>
    </row>
    <row r="862" ht="15.75" customHeight="1">
      <c r="A862" s="35"/>
      <c r="B862" s="35"/>
      <c r="C862" s="35"/>
      <c r="D862" s="35"/>
      <c r="E862" s="1"/>
      <c r="F862" s="1"/>
      <c r="G862" s="1"/>
      <c r="H862" s="1"/>
      <c r="I862" s="1"/>
      <c r="J862" s="41"/>
      <c r="K862" s="1"/>
      <c r="L862" s="41"/>
      <c r="M862" s="1"/>
      <c r="N862" s="41"/>
      <c r="O862" s="41"/>
      <c r="P862" s="41"/>
      <c r="Q862" s="41"/>
      <c r="R862" s="41"/>
      <c r="S862" s="41"/>
      <c r="T862" s="41"/>
      <c r="U862" s="41"/>
      <c r="V862" s="41"/>
      <c r="W862" s="41"/>
      <c r="X862" s="41"/>
      <c r="Y862" s="41"/>
      <c r="Z862" s="41"/>
    </row>
    <row r="863" ht="15.75" customHeight="1">
      <c r="A863" s="35"/>
      <c r="B863" s="35"/>
      <c r="C863" s="35"/>
      <c r="D863" s="35"/>
      <c r="E863" s="1"/>
      <c r="F863" s="1"/>
      <c r="G863" s="1"/>
      <c r="H863" s="1"/>
      <c r="I863" s="1"/>
      <c r="J863" s="41"/>
      <c r="K863" s="1"/>
      <c r="L863" s="41"/>
      <c r="M863" s="1"/>
      <c r="N863" s="41"/>
      <c r="O863" s="41"/>
      <c r="P863" s="41"/>
      <c r="Q863" s="41"/>
      <c r="R863" s="41"/>
      <c r="S863" s="41"/>
      <c r="T863" s="41"/>
      <c r="U863" s="41"/>
      <c r="V863" s="41"/>
      <c r="W863" s="41"/>
      <c r="X863" s="41"/>
      <c r="Y863" s="41"/>
      <c r="Z863" s="41"/>
    </row>
    <row r="864" ht="15.75" customHeight="1">
      <c r="A864" s="35"/>
      <c r="B864" s="35"/>
      <c r="C864" s="35"/>
      <c r="D864" s="35"/>
      <c r="E864" s="1"/>
      <c r="F864" s="1"/>
      <c r="G864" s="1"/>
      <c r="H864" s="1"/>
      <c r="I864" s="1"/>
      <c r="J864" s="41"/>
      <c r="K864" s="1"/>
      <c r="L864" s="41"/>
      <c r="M864" s="1"/>
      <c r="N864" s="41"/>
      <c r="O864" s="41"/>
      <c r="P864" s="41"/>
      <c r="Q864" s="41"/>
      <c r="R864" s="41"/>
      <c r="S864" s="41"/>
      <c r="T864" s="41"/>
      <c r="U864" s="41"/>
      <c r="V864" s="41"/>
      <c r="W864" s="41"/>
      <c r="X864" s="41"/>
      <c r="Y864" s="41"/>
      <c r="Z864" s="41"/>
    </row>
    <row r="865" ht="15.75" customHeight="1">
      <c r="A865" s="35"/>
      <c r="B865" s="35"/>
      <c r="C865" s="35"/>
      <c r="D865" s="35"/>
      <c r="E865" s="1"/>
      <c r="F865" s="1"/>
      <c r="G865" s="1"/>
      <c r="H865" s="1"/>
      <c r="I865" s="1"/>
      <c r="J865" s="41"/>
      <c r="K865" s="1"/>
      <c r="L865" s="41"/>
      <c r="M865" s="1"/>
      <c r="N865" s="41"/>
      <c r="O865" s="41"/>
      <c r="P865" s="41"/>
      <c r="Q865" s="41"/>
      <c r="R865" s="41"/>
      <c r="S865" s="41"/>
      <c r="T865" s="41"/>
      <c r="U865" s="41"/>
      <c r="V865" s="41"/>
      <c r="W865" s="41"/>
      <c r="X865" s="41"/>
      <c r="Y865" s="41"/>
      <c r="Z865" s="41"/>
    </row>
    <row r="866" ht="15.75" customHeight="1">
      <c r="A866" s="35"/>
      <c r="B866" s="35"/>
      <c r="C866" s="35"/>
      <c r="D866" s="35"/>
      <c r="E866" s="1"/>
      <c r="F866" s="1"/>
      <c r="G866" s="1"/>
      <c r="H866" s="1"/>
      <c r="I866" s="1"/>
      <c r="J866" s="41"/>
      <c r="K866" s="1"/>
      <c r="L866" s="41"/>
      <c r="M866" s="1"/>
      <c r="N866" s="41"/>
      <c r="O866" s="41"/>
      <c r="P866" s="41"/>
      <c r="Q866" s="41"/>
      <c r="R866" s="41"/>
      <c r="S866" s="41"/>
      <c r="T866" s="41"/>
      <c r="U866" s="41"/>
      <c r="V866" s="41"/>
      <c r="W866" s="41"/>
      <c r="X866" s="41"/>
      <c r="Y866" s="41"/>
      <c r="Z866" s="41"/>
    </row>
    <row r="867" ht="15.75" customHeight="1">
      <c r="A867" s="35"/>
      <c r="B867" s="35"/>
      <c r="C867" s="35"/>
      <c r="D867" s="35"/>
      <c r="E867" s="1"/>
      <c r="F867" s="1"/>
      <c r="G867" s="1"/>
      <c r="H867" s="1"/>
      <c r="I867" s="1"/>
      <c r="J867" s="41"/>
      <c r="K867" s="1"/>
      <c r="L867" s="41"/>
      <c r="M867" s="1"/>
      <c r="N867" s="41"/>
      <c r="O867" s="41"/>
      <c r="P867" s="41"/>
      <c r="Q867" s="41"/>
      <c r="R867" s="41"/>
      <c r="S867" s="41"/>
      <c r="T867" s="41"/>
      <c r="U867" s="41"/>
      <c r="V867" s="41"/>
      <c r="W867" s="41"/>
      <c r="X867" s="41"/>
      <c r="Y867" s="41"/>
      <c r="Z867" s="41"/>
    </row>
    <row r="868" ht="15.75" customHeight="1">
      <c r="A868" s="35"/>
      <c r="B868" s="35"/>
      <c r="C868" s="35"/>
      <c r="D868" s="35"/>
      <c r="E868" s="1"/>
      <c r="F868" s="1"/>
      <c r="G868" s="1"/>
      <c r="H868" s="1"/>
      <c r="I868" s="1"/>
      <c r="J868" s="41"/>
      <c r="K868" s="1"/>
      <c r="L868" s="41"/>
      <c r="M868" s="1"/>
      <c r="N868" s="41"/>
      <c r="O868" s="41"/>
      <c r="P868" s="41"/>
      <c r="Q868" s="41"/>
      <c r="R868" s="41"/>
      <c r="S868" s="41"/>
      <c r="T868" s="41"/>
      <c r="U868" s="41"/>
      <c r="V868" s="41"/>
      <c r="W868" s="41"/>
      <c r="X868" s="41"/>
      <c r="Y868" s="41"/>
      <c r="Z868" s="41"/>
    </row>
    <row r="869" ht="15.75" customHeight="1">
      <c r="A869" s="35"/>
      <c r="B869" s="35"/>
      <c r="C869" s="35"/>
      <c r="D869" s="35"/>
      <c r="E869" s="1"/>
      <c r="F869" s="1"/>
      <c r="G869" s="1"/>
      <c r="H869" s="1"/>
      <c r="I869" s="1"/>
      <c r="J869" s="41"/>
      <c r="K869" s="1"/>
      <c r="L869" s="41"/>
      <c r="M869" s="1"/>
      <c r="N869" s="41"/>
      <c r="O869" s="41"/>
      <c r="P869" s="41"/>
      <c r="Q869" s="41"/>
      <c r="R869" s="41"/>
      <c r="S869" s="41"/>
      <c r="T869" s="41"/>
      <c r="U869" s="41"/>
      <c r="V869" s="41"/>
      <c r="W869" s="41"/>
      <c r="X869" s="41"/>
      <c r="Y869" s="41"/>
      <c r="Z869" s="41"/>
    </row>
    <row r="870" ht="15.75" customHeight="1">
      <c r="A870" s="35"/>
      <c r="B870" s="35"/>
      <c r="C870" s="35"/>
      <c r="D870" s="35"/>
      <c r="E870" s="1"/>
      <c r="F870" s="1"/>
      <c r="G870" s="1"/>
      <c r="H870" s="1"/>
      <c r="I870" s="1"/>
      <c r="J870" s="41"/>
      <c r="K870" s="1"/>
      <c r="L870" s="41"/>
      <c r="M870" s="1"/>
      <c r="N870" s="41"/>
      <c r="O870" s="41"/>
      <c r="P870" s="41"/>
      <c r="Q870" s="41"/>
      <c r="R870" s="41"/>
      <c r="S870" s="41"/>
      <c r="T870" s="41"/>
      <c r="U870" s="41"/>
      <c r="V870" s="41"/>
      <c r="W870" s="41"/>
      <c r="X870" s="41"/>
      <c r="Y870" s="41"/>
      <c r="Z870" s="41"/>
    </row>
    <row r="871" ht="15.75" customHeight="1">
      <c r="A871" s="35"/>
      <c r="B871" s="35"/>
      <c r="C871" s="35"/>
      <c r="D871" s="35"/>
      <c r="E871" s="1"/>
      <c r="F871" s="1"/>
      <c r="G871" s="1"/>
      <c r="H871" s="1"/>
      <c r="I871" s="1"/>
      <c r="J871" s="41"/>
      <c r="K871" s="1"/>
      <c r="L871" s="41"/>
      <c r="M871" s="1"/>
      <c r="N871" s="41"/>
      <c r="O871" s="41"/>
      <c r="P871" s="41"/>
      <c r="Q871" s="41"/>
      <c r="R871" s="41"/>
      <c r="S871" s="41"/>
      <c r="T871" s="41"/>
      <c r="U871" s="41"/>
      <c r="V871" s="41"/>
      <c r="W871" s="41"/>
      <c r="X871" s="41"/>
      <c r="Y871" s="41"/>
      <c r="Z871" s="41"/>
    </row>
    <row r="872" ht="15.75" customHeight="1">
      <c r="A872" s="35"/>
      <c r="B872" s="35"/>
      <c r="C872" s="35"/>
      <c r="D872" s="35"/>
      <c r="E872" s="1"/>
      <c r="F872" s="1"/>
      <c r="G872" s="1"/>
      <c r="H872" s="1"/>
      <c r="I872" s="1"/>
      <c r="J872" s="41"/>
      <c r="K872" s="1"/>
      <c r="L872" s="41"/>
      <c r="M872" s="1"/>
      <c r="N872" s="41"/>
      <c r="O872" s="41"/>
      <c r="P872" s="41"/>
      <c r="Q872" s="41"/>
      <c r="R872" s="41"/>
      <c r="S872" s="41"/>
      <c r="T872" s="41"/>
      <c r="U872" s="41"/>
      <c r="V872" s="41"/>
      <c r="W872" s="41"/>
      <c r="X872" s="41"/>
      <c r="Y872" s="41"/>
      <c r="Z872" s="41"/>
    </row>
    <row r="873" ht="15.75" customHeight="1">
      <c r="A873" s="35"/>
      <c r="B873" s="35"/>
      <c r="C873" s="35"/>
      <c r="D873" s="35"/>
      <c r="E873" s="1"/>
      <c r="F873" s="1"/>
      <c r="G873" s="1"/>
      <c r="H873" s="1"/>
      <c r="I873" s="1"/>
      <c r="J873" s="41"/>
      <c r="K873" s="1"/>
      <c r="L873" s="41"/>
      <c r="M873" s="1"/>
      <c r="N873" s="41"/>
      <c r="O873" s="41"/>
      <c r="P873" s="41"/>
      <c r="Q873" s="41"/>
      <c r="R873" s="41"/>
      <c r="S873" s="41"/>
      <c r="T873" s="41"/>
      <c r="U873" s="41"/>
      <c r="V873" s="41"/>
      <c r="W873" s="41"/>
      <c r="X873" s="41"/>
      <c r="Y873" s="41"/>
      <c r="Z873" s="41"/>
    </row>
    <row r="874" ht="15.75" customHeight="1">
      <c r="A874" s="35"/>
      <c r="B874" s="35"/>
      <c r="C874" s="35"/>
      <c r="D874" s="35"/>
      <c r="E874" s="1"/>
      <c r="F874" s="1"/>
      <c r="G874" s="1"/>
      <c r="H874" s="1"/>
      <c r="I874" s="1"/>
      <c r="J874" s="41"/>
      <c r="K874" s="1"/>
      <c r="L874" s="41"/>
      <c r="M874" s="1"/>
      <c r="N874" s="41"/>
      <c r="O874" s="41"/>
      <c r="P874" s="41"/>
      <c r="Q874" s="41"/>
      <c r="R874" s="41"/>
      <c r="S874" s="41"/>
      <c r="T874" s="41"/>
      <c r="U874" s="41"/>
      <c r="V874" s="41"/>
      <c r="W874" s="41"/>
      <c r="X874" s="41"/>
      <c r="Y874" s="41"/>
      <c r="Z874" s="41"/>
    </row>
    <row r="875" ht="15.75" customHeight="1">
      <c r="A875" s="35"/>
      <c r="B875" s="35"/>
      <c r="C875" s="35"/>
      <c r="D875" s="35"/>
      <c r="E875" s="1"/>
      <c r="F875" s="1"/>
      <c r="G875" s="1"/>
      <c r="H875" s="1"/>
      <c r="I875" s="1"/>
      <c r="J875" s="41"/>
      <c r="K875" s="1"/>
      <c r="L875" s="41"/>
      <c r="M875" s="1"/>
      <c r="N875" s="41"/>
      <c r="O875" s="41"/>
      <c r="P875" s="41"/>
      <c r="Q875" s="41"/>
      <c r="R875" s="41"/>
      <c r="S875" s="41"/>
      <c r="T875" s="41"/>
      <c r="U875" s="41"/>
      <c r="V875" s="41"/>
      <c r="W875" s="41"/>
      <c r="X875" s="41"/>
      <c r="Y875" s="41"/>
      <c r="Z875" s="41"/>
    </row>
    <row r="876" ht="15.75" customHeight="1">
      <c r="A876" s="35"/>
      <c r="B876" s="35"/>
      <c r="C876" s="35"/>
      <c r="D876" s="35"/>
      <c r="E876" s="1"/>
      <c r="F876" s="1"/>
      <c r="G876" s="1"/>
      <c r="H876" s="1"/>
      <c r="I876" s="1"/>
      <c r="J876" s="41"/>
      <c r="K876" s="1"/>
      <c r="L876" s="41"/>
      <c r="M876" s="1"/>
      <c r="N876" s="41"/>
      <c r="O876" s="41"/>
      <c r="P876" s="41"/>
      <c r="Q876" s="41"/>
      <c r="R876" s="41"/>
      <c r="S876" s="41"/>
      <c r="T876" s="41"/>
      <c r="U876" s="41"/>
      <c r="V876" s="41"/>
      <c r="W876" s="41"/>
      <c r="X876" s="41"/>
      <c r="Y876" s="41"/>
      <c r="Z876" s="41"/>
    </row>
    <row r="877" ht="15.75" customHeight="1">
      <c r="A877" s="35"/>
      <c r="B877" s="35"/>
      <c r="C877" s="35"/>
      <c r="D877" s="35"/>
      <c r="E877" s="1"/>
      <c r="F877" s="1"/>
      <c r="G877" s="1"/>
      <c r="H877" s="1"/>
      <c r="I877" s="1"/>
      <c r="J877" s="41"/>
      <c r="K877" s="1"/>
      <c r="L877" s="41"/>
      <c r="M877" s="1"/>
      <c r="N877" s="41"/>
      <c r="O877" s="41"/>
      <c r="P877" s="41"/>
      <c r="Q877" s="41"/>
      <c r="R877" s="41"/>
      <c r="S877" s="41"/>
      <c r="T877" s="41"/>
      <c r="U877" s="41"/>
      <c r="V877" s="41"/>
      <c r="W877" s="41"/>
      <c r="X877" s="41"/>
      <c r="Y877" s="41"/>
      <c r="Z877" s="41"/>
    </row>
    <row r="878" ht="15.75" customHeight="1">
      <c r="A878" s="35"/>
      <c r="B878" s="35"/>
      <c r="C878" s="35"/>
      <c r="D878" s="35"/>
      <c r="E878" s="1"/>
      <c r="F878" s="1"/>
      <c r="G878" s="1"/>
      <c r="H878" s="1"/>
      <c r="I878" s="1"/>
      <c r="J878" s="41"/>
      <c r="K878" s="1"/>
      <c r="L878" s="41"/>
      <c r="M878" s="1"/>
      <c r="N878" s="41"/>
      <c r="O878" s="41"/>
      <c r="P878" s="41"/>
      <c r="Q878" s="41"/>
      <c r="R878" s="41"/>
      <c r="S878" s="41"/>
      <c r="T878" s="41"/>
      <c r="U878" s="41"/>
      <c r="V878" s="41"/>
      <c r="W878" s="41"/>
      <c r="X878" s="41"/>
      <c r="Y878" s="41"/>
      <c r="Z878" s="41"/>
    </row>
    <row r="879" ht="15.75" customHeight="1">
      <c r="A879" s="35"/>
      <c r="B879" s="35"/>
      <c r="C879" s="35"/>
      <c r="D879" s="35"/>
      <c r="E879" s="1"/>
      <c r="F879" s="1"/>
      <c r="G879" s="1"/>
      <c r="H879" s="1"/>
      <c r="I879" s="1"/>
      <c r="J879" s="41"/>
      <c r="K879" s="1"/>
      <c r="L879" s="41"/>
      <c r="M879" s="1"/>
      <c r="N879" s="41"/>
      <c r="O879" s="41"/>
      <c r="P879" s="41"/>
      <c r="Q879" s="41"/>
      <c r="R879" s="41"/>
      <c r="S879" s="41"/>
      <c r="T879" s="41"/>
      <c r="U879" s="41"/>
      <c r="V879" s="41"/>
      <c r="W879" s="41"/>
      <c r="X879" s="41"/>
      <c r="Y879" s="41"/>
      <c r="Z879" s="41"/>
    </row>
    <row r="880" ht="15.75" customHeight="1">
      <c r="A880" s="35"/>
      <c r="B880" s="35"/>
      <c r="C880" s="35"/>
      <c r="D880" s="35"/>
      <c r="E880" s="1"/>
      <c r="F880" s="1"/>
      <c r="G880" s="1"/>
      <c r="H880" s="1"/>
      <c r="I880" s="1"/>
      <c r="J880" s="41"/>
      <c r="K880" s="1"/>
      <c r="L880" s="41"/>
      <c r="M880" s="1"/>
      <c r="N880" s="41"/>
      <c r="O880" s="41"/>
      <c r="P880" s="41"/>
      <c r="Q880" s="41"/>
      <c r="R880" s="41"/>
      <c r="S880" s="41"/>
      <c r="T880" s="41"/>
      <c r="U880" s="41"/>
      <c r="V880" s="41"/>
      <c r="W880" s="41"/>
      <c r="X880" s="41"/>
      <c r="Y880" s="41"/>
      <c r="Z880" s="41"/>
    </row>
    <row r="881" ht="15.75" customHeight="1">
      <c r="A881" s="35"/>
      <c r="B881" s="35"/>
      <c r="C881" s="35"/>
      <c r="D881" s="35"/>
      <c r="E881" s="1"/>
      <c r="F881" s="1"/>
      <c r="G881" s="1"/>
      <c r="H881" s="1"/>
      <c r="I881" s="1"/>
      <c r="J881" s="41"/>
      <c r="K881" s="1"/>
      <c r="L881" s="41"/>
      <c r="M881" s="1"/>
      <c r="N881" s="41"/>
      <c r="O881" s="41"/>
      <c r="P881" s="41"/>
      <c r="Q881" s="41"/>
      <c r="R881" s="41"/>
      <c r="S881" s="41"/>
      <c r="T881" s="41"/>
      <c r="U881" s="41"/>
      <c r="V881" s="41"/>
      <c r="W881" s="41"/>
      <c r="X881" s="41"/>
      <c r="Y881" s="41"/>
      <c r="Z881" s="41"/>
    </row>
    <row r="882" ht="15.75" customHeight="1">
      <c r="A882" s="35"/>
      <c r="B882" s="35"/>
      <c r="C882" s="35"/>
      <c r="D882" s="35"/>
      <c r="E882" s="1"/>
      <c r="F882" s="1"/>
      <c r="G882" s="1"/>
      <c r="H882" s="1"/>
      <c r="I882" s="1"/>
      <c r="J882" s="41"/>
      <c r="K882" s="1"/>
      <c r="L882" s="41"/>
      <c r="M882" s="1"/>
      <c r="N882" s="41"/>
      <c r="O882" s="41"/>
      <c r="P882" s="41"/>
      <c r="Q882" s="41"/>
      <c r="R882" s="41"/>
      <c r="S882" s="41"/>
      <c r="T882" s="41"/>
      <c r="U882" s="41"/>
      <c r="V882" s="41"/>
      <c r="W882" s="41"/>
      <c r="X882" s="41"/>
      <c r="Y882" s="41"/>
      <c r="Z882" s="41"/>
    </row>
    <row r="883" ht="15.75" customHeight="1">
      <c r="A883" s="35"/>
      <c r="B883" s="35"/>
      <c r="C883" s="35"/>
      <c r="D883" s="35"/>
      <c r="E883" s="1"/>
      <c r="F883" s="1"/>
      <c r="G883" s="1"/>
      <c r="H883" s="1"/>
      <c r="I883" s="1"/>
      <c r="J883" s="41"/>
      <c r="K883" s="1"/>
      <c r="L883" s="41"/>
      <c r="M883" s="1"/>
      <c r="N883" s="41"/>
      <c r="O883" s="41"/>
      <c r="P883" s="41"/>
      <c r="Q883" s="41"/>
      <c r="R883" s="41"/>
      <c r="S883" s="41"/>
      <c r="T883" s="41"/>
      <c r="U883" s="41"/>
      <c r="V883" s="41"/>
      <c r="W883" s="41"/>
      <c r="X883" s="41"/>
      <c r="Y883" s="41"/>
      <c r="Z883" s="41"/>
    </row>
    <row r="884" ht="15.75" customHeight="1">
      <c r="A884" s="35"/>
      <c r="B884" s="35"/>
      <c r="C884" s="35"/>
      <c r="D884" s="35"/>
      <c r="E884" s="1"/>
      <c r="F884" s="1"/>
      <c r="G884" s="1"/>
      <c r="H884" s="1"/>
      <c r="I884" s="1"/>
      <c r="J884" s="41"/>
      <c r="K884" s="1"/>
      <c r="L884" s="41"/>
      <c r="M884" s="1"/>
      <c r="N884" s="41"/>
      <c r="O884" s="41"/>
      <c r="P884" s="41"/>
      <c r="Q884" s="41"/>
      <c r="R884" s="41"/>
      <c r="S884" s="41"/>
      <c r="T884" s="41"/>
      <c r="U884" s="41"/>
      <c r="V884" s="41"/>
      <c r="W884" s="41"/>
      <c r="X884" s="41"/>
      <c r="Y884" s="41"/>
      <c r="Z884" s="41"/>
    </row>
    <row r="885" ht="15.75" customHeight="1">
      <c r="A885" s="35"/>
      <c r="B885" s="35"/>
      <c r="C885" s="35"/>
      <c r="D885" s="35"/>
      <c r="E885" s="1"/>
      <c r="F885" s="1"/>
      <c r="G885" s="1"/>
      <c r="H885" s="1"/>
      <c r="I885" s="1"/>
      <c r="J885" s="41"/>
      <c r="K885" s="1"/>
      <c r="L885" s="41"/>
      <c r="M885" s="1"/>
      <c r="N885" s="41"/>
      <c r="O885" s="41"/>
      <c r="P885" s="41"/>
      <c r="Q885" s="41"/>
      <c r="R885" s="41"/>
      <c r="S885" s="41"/>
      <c r="T885" s="41"/>
      <c r="U885" s="41"/>
      <c r="V885" s="41"/>
      <c r="W885" s="41"/>
      <c r="X885" s="41"/>
      <c r="Y885" s="41"/>
      <c r="Z885" s="41"/>
    </row>
    <row r="886" ht="15.75" customHeight="1">
      <c r="A886" s="35"/>
      <c r="B886" s="35"/>
      <c r="C886" s="35"/>
      <c r="D886" s="35"/>
      <c r="E886" s="1"/>
      <c r="F886" s="1"/>
      <c r="G886" s="1"/>
      <c r="H886" s="1"/>
      <c r="I886" s="1"/>
      <c r="J886" s="41"/>
      <c r="K886" s="1"/>
      <c r="L886" s="41"/>
      <c r="M886" s="1"/>
      <c r="N886" s="41"/>
      <c r="O886" s="41"/>
      <c r="P886" s="41"/>
      <c r="Q886" s="41"/>
      <c r="R886" s="41"/>
      <c r="S886" s="41"/>
      <c r="T886" s="41"/>
      <c r="U886" s="41"/>
      <c r="V886" s="41"/>
      <c r="W886" s="41"/>
      <c r="X886" s="41"/>
      <c r="Y886" s="41"/>
      <c r="Z886" s="41"/>
    </row>
    <row r="887" ht="15.75" customHeight="1">
      <c r="A887" s="35"/>
      <c r="B887" s="35"/>
      <c r="C887" s="35"/>
      <c r="D887" s="35"/>
      <c r="E887" s="1"/>
      <c r="F887" s="1"/>
      <c r="G887" s="1"/>
      <c r="H887" s="1"/>
      <c r="I887" s="1"/>
      <c r="J887" s="41"/>
      <c r="K887" s="1"/>
      <c r="L887" s="41"/>
      <c r="M887" s="1"/>
      <c r="N887" s="41"/>
      <c r="O887" s="41"/>
      <c r="P887" s="41"/>
      <c r="Q887" s="41"/>
      <c r="R887" s="41"/>
      <c r="S887" s="41"/>
      <c r="T887" s="41"/>
      <c r="U887" s="41"/>
      <c r="V887" s="41"/>
      <c r="W887" s="41"/>
      <c r="X887" s="41"/>
      <c r="Y887" s="41"/>
      <c r="Z887" s="41"/>
    </row>
    <row r="888" ht="15.75" customHeight="1">
      <c r="A888" s="35"/>
      <c r="B888" s="35"/>
      <c r="C888" s="35"/>
      <c r="D888" s="35"/>
      <c r="E888" s="1"/>
      <c r="F888" s="1"/>
      <c r="G888" s="1"/>
      <c r="H888" s="1"/>
      <c r="I888" s="1"/>
      <c r="J888" s="41"/>
      <c r="K888" s="1"/>
      <c r="L888" s="41"/>
      <c r="M888" s="1"/>
      <c r="N888" s="41"/>
      <c r="O888" s="41"/>
      <c r="P888" s="41"/>
      <c r="Q888" s="41"/>
      <c r="R888" s="41"/>
      <c r="S888" s="41"/>
      <c r="T888" s="41"/>
      <c r="U888" s="41"/>
      <c r="V888" s="41"/>
      <c r="W888" s="41"/>
      <c r="X888" s="41"/>
      <c r="Y888" s="41"/>
      <c r="Z888" s="41"/>
    </row>
    <row r="889" ht="15.75" customHeight="1">
      <c r="A889" s="35"/>
      <c r="B889" s="35"/>
      <c r="C889" s="35"/>
      <c r="D889" s="35"/>
      <c r="E889" s="1"/>
      <c r="F889" s="1"/>
      <c r="G889" s="1"/>
      <c r="H889" s="1"/>
      <c r="I889" s="1"/>
      <c r="J889" s="41"/>
      <c r="K889" s="1"/>
      <c r="L889" s="41"/>
      <c r="M889" s="1"/>
      <c r="N889" s="41"/>
      <c r="O889" s="41"/>
      <c r="P889" s="41"/>
      <c r="Q889" s="41"/>
      <c r="R889" s="41"/>
      <c r="S889" s="41"/>
      <c r="T889" s="41"/>
      <c r="U889" s="41"/>
      <c r="V889" s="41"/>
      <c r="W889" s="41"/>
      <c r="X889" s="41"/>
      <c r="Y889" s="41"/>
      <c r="Z889" s="41"/>
    </row>
    <row r="890" ht="15.75" customHeight="1">
      <c r="A890" s="35"/>
      <c r="B890" s="35"/>
      <c r="C890" s="35"/>
      <c r="D890" s="35"/>
      <c r="E890" s="1"/>
      <c r="F890" s="1"/>
      <c r="G890" s="1"/>
      <c r="H890" s="1"/>
      <c r="I890" s="1"/>
      <c r="J890" s="41"/>
      <c r="K890" s="1"/>
      <c r="L890" s="41"/>
      <c r="M890" s="1"/>
      <c r="N890" s="41"/>
      <c r="O890" s="41"/>
      <c r="P890" s="41"/>
      <c r="Q890" s="41"/>
      <c r="R890" s="41"/>
      <c r="S890" s="41"/>
      <c r="T890" s="41"/>
      <c r="U890" s="41"/>
      <c r="V890" s="41"/>
      <c r="W890" s="41"/>
      <c r="X890" s="41"/>
      <c r="Y890" s="41"/>
      <c r="Z890" s="41"/>
    </row>
    <row r="891" ht="15.75" customHeight="1">
      <c r="A891" s="35"/>
      <c r="B891" s="35"/>
      <c r="C891" s="35"/>
      <c r="D891" s="35"/>
      <c r="E891" s="1"/>
      <c r="F891" s="1"/>
      <c r="G891" s="1"/>
      <c r="H891" s="1"/>
      <c r="I891" s="1"/>
      <c r="J891" s="41"/>
      <c r="K891" s="1"/>
      <c r="L891" s="41"/>
      <c r="M891" s="1"/>
      <c r="N891" s="41"/>
      <c r="O891" s="41"/>
      <c r="P891" s="41"/>
      <c r="Q891" s="41"/>
      <c r="R891" s="41"/>
      <c r="S891" s="41"/>
      <c r="T891" s="41"/>
      <c r="U891" s="41"/>
      <c r="V891" s="41"/>
      <c r="W891" s="41"/>
      <c r="X891" s="41"/>
      <c r="Y891" s="41"/>
      <c r="Z891" s="41"/>
    </row>
    <row r="892" ht="15.75" customHeight="1">
      <c r="A892" s="35"/>
      <c r="B892" s="35"/>
      <c r="C892" s="35"/>
      <c r="D892" s="35"/>
      <c r="E892" s="1"/>
      <c r="F892" s="1"/>
      <c r="G892" s="1"/>
      <c r="H892" s="1"/>
      <c r="I892" s="1"/>
      <c r="J892" s="41"/>
      <c r="K892" s="1"/>
      <c r="L892" s="41"/>
      <c r="M892" s="1"/>
      <c r="N892" s="41"/>
      <c r="O892" s="41"/>
      <c r="P892" s="41"/>
      <c r="Q892" s="41"/>
      <c r="R892" s="41"/>
      <c r="S892" s="41"/>
      <c r="T892" s="41"/>
      <c r="U892" s="41"/>
      <c r="V892" s="41"/>
      <c r="W892" s="41"/>
      <c r="X892" s="41"/>
      <c r="Y892" s="41"/>
      <c r="Z892" s="41"/>
    </row>
    <row r="893" ht="15.75" customHeight="1">
      <c r="A893" s="35"/>
      <c r="B893" s="35"/>
      <c r="C893" s="35"/>
      <c r="D893" s="35"/>
      <c r="E893" s="1"/>
      <c r="F893" s="1"/>
      <c r="G893" s="1"/>
      <c r="H893" s="1"/>
      <c r="I893" s="1"/>
      <c r="J893" s="41"/>
      <c r="K893" s="1"/>
      <c r="L893" s="41"/>
      <c r="M893" s="1"/>
      <c r="N893" s="41"/>
      <c r="O893" s="41"/>
      <c r="P893" s="41"/>
      <c r="Q893" s="41"/>
      <c r="R893" s="41"/>
      <c r="S893" s="41"/>
      <c r="T893" s="41"/>
      <c r="U893" s="41"/>
      <c r="V893" s="41"/>
      <c r="W893" s="41"/>
      <c r="X893" s="41"/>
      <c r="Y893" s="41"/>
      <c r="Z893" s="41"/>
    </row>
    <row r="894" ht="15.75" customHeight="1">
      <c r="A894" s="35"/>
      <c r="B894" s="35"/>
      <c r="C894" s="35"/>
      <c r="D894" s="35"/>
      <c r="E894" s="1"/>
      <c r="F894" s="1"/>
      <c r="G894" s="1"/>
      <c r="H894" s="1"/>
      <c r="I894" s="1"/>
      <c r="J894" s="41"/>
      <c r="K894" s="1"/>
      <c r="L894" s="41"/>
      <c r="M894" s="1"/>
      <c r="N894" s="41"/>
      <c r="O894" s="41"/>
      <c r="P894" s="41"/>
      <c r="Q894" s="41"/>
      <c r="R894" s="41"/>
      <c r="S894" s="41"/>
      <c r="T894" s="41"/>
      <c r="U894" s="41"/>
      <c r="V894" s="41"/>
      <c r="W894" s="41"/>
      <c r="X894" s="41"/>
      <c r="Y894" s="41"/>
      <c r="Z894" s="41"/>
    </row>
    <row r="895" ht="15.75" customHeight="1">
      <c r="A895" s="35"/>
      <c r="B895" s="35"/>
      <c r="C895" s="35"/>
      <c r="D895" s="35"/>
      <c r="E895" s="1"/>
      <c r="F895" s="1"/>
      <c r="G895" s="1"/>
      <c r="H895" s="1"/>
      <c r="I895" s="1"/>
      <c r="J895" s="41"/>
      <c r="K895" s="1"/>
      <c r="L895" s="41"/>
      <c r="M895" s="1"/>
      <c r="N895" s="41"/>
      <c r="O895" s="41"/>
      <c r="P895" s="41"/>
      <c r="Q895" s="41"/>
      <c r="R895" s="41"/>
      <c r="S895" s="41"/>
      <c r="T895" s="41"/>
      <c r="U895" s="41"/>
      <c r="V895" s="41"/>
      <c r="W895" s="41"/>
      <c r="X895" s="41"/>
      <c r="Y895" s="41"/>
      <c r="Z895" s="41"/>
    </row>
    <row r="896" ht="15.75" customHeight="1">
      <c r="A896" s="35"/>
      <c r="B896" s="35"/>
      <c r="C896" s="35"/>
      <c r="D896" s="35"/>
      <c r="E896" s="1"/>
      <c r="F896" s="1"/>
      <c r="G896" s="1"/>
      <c r="H896" s="1"/>
      <c r="I896" s="1"/>
      <c r="J896" s="41"/>
      <c r="K896" s="1"/>
      <c r="L896" s="41"/>
      <c r="M896" s="1"/>
      <c r="N896" s="41"/>
      <c r="O896" s="41"/>
      <c r="P896" s="41"/>
      <c r="Q896" s="41"/>
      <c r="R896" s="41"/>
      <c r="S896" s="41"/>
      <c r="T896" s="41"/>
      <c r="U896" s="41"/>
      <c r="V896" s="41"/>
      <c r="W896" s="41"/>
      <c r="X896" s="41"/>
      <c r="Y896" s="41"/>
      <c r="Z896" s="41"/>
    </row>
    <row r="897" ht="15.75" customHeight="1">
      <c r="A897" s="35"/>
      <c r="B897" s="35"/>
      <c r="C897" s="35"/>
      <c r="D897" s="35"/>
      <c r="E897" s="1"/>
      <c r="F897" s="1"/>
      <c r="G897" s="1"/>
      <c r="H897" s="1"/>
      <c r="I897" s="1"/>
      <c r="J897" s="41"/>
      <c r="K897" s="1"/>
      <c r="L897" s="41"/>
      <c r="M897" s="1"/>
      <c r="N897" s="41"/>
      <c r="O897" s="41"/>
      <c r="P897" s="41"/>
      <c r="Q897" s="41"/>
      <c r="R897" s="41"/>
      <c r="S897" s="41"/>
      <c r="T897" s="41"/>
      <c r="U897" s="41"/>
      <c r="V897" s="41"/>
      <c r="W897" s="41"/>
      <c r="X897" s="41"/>
      <c r="Y897" s="41"/>
      <c r="Z897" s="41"/>
    </row>
    <row r="898" ht="15.75" customHeight="1">
      <c r="A898" s="35"/>
      <c r="B898" s="35"/>
      <c r="C898" s="35"/>
      <c r="D898" s="35"/>
      <c r="E898" s="1"/>
      <c r="F898" s="1"/>
      <c r="G898" s="1"/>
      <c r="H898" s="1"/>
      <c r="I898" s="1"/>
      <c r="J898" s="41"/>
      <c r="K898" s="1"/>
      <c r="L898" s="41"/>
      <c r="M898" s="1"/>
      <c r="N898" s="41"/>
      <c r="O898" s="41"/>
      <c r="P898" s="41"/>
      <c r="Q898" s="41"/>
      <c r="R898" s="41"/>
      <c r="S898" s="41"/>
      <c r="T898" s="41"/>
      <c r="U898" s="41"/>
      <c r="V898" s="41"/>
      <c r="W898" s="41"/>
      <c r="X898" s="41"/>
      <c r="Y898" s="41"/>
      <c r="Z898" s="41"/>
    </row>
    <row r="899" ht="15.75" customHeight="1">
      <c r="A899" s="35"/>
      <c r="B899" s="35"/>
      <c r="C899" s="35"/>
      <c r="D899" s="35"/>
      <c r="E899" s="1"/>
      <c r="F899" s="1"/>
      <c r="G899" s="1"/>
      <c r="H899" s="1"/>
      <c r="I899" s="1"/>
      <c r="J899" s="41"/>
      <c r="K899" s="1"/>
      <c r="L899" s="41"/>
      <c r="M899" s="1"/>
      <c r="N899" s="41"/>
      <c r="O899" s="41"/>
      <c r="P899" s="41"/>
      <c r="Q899" s="41"/>
      <c r="R899" s="41"/>
      <c r="S899" s="41"/>
      <c r="T899" s="41"/>
      <c r="U899" s="41"/>
      <c r="V899" s="41"/>
      <c r="W899" s="41"/>
      <c r="X899" s="41"/>
      <c r="Y899" s="41"/>
      <c r="Z899" s="41"/>
    </row>
    <row r="900" ht="15.75" customHeight="1">
      <c r="A900" s="35"/>
      <c r="B900" s="35"/>
      <c r="C900" s="35"/>
      <c r="D900" s="35"/>
      <c r="E900" s="1"/>
      <c r="F900" s="1"/>
      <c r="G900" s="1"/>
      <c r="H900" s="1"/>
      <c r="I900" s="1"/>
      <c r="J900" s="41"/>
      <c r="K900" s="1"/>
      <c r="L900" s="41"/>
      <c r="M900" s="1"/>
      <c r="N900" s="41"/>
      <c r="O900" s="41"/>
      <c r="P900" s="41"/>
      <c r="Q900" s="41"/>
      <c r="R900" s="41"/>
      <c r="S900" s="41"/>
      <c r="T900" s="41"/>
      <c r="U900" s="41"/>
      <c r="V900" s="41"/>
      <c r="W900" s="41"/>
      <c r="X900" s="41"/>
      <c r="Y900" s="41"/>
      <c r="Z900" s="41"/>
    </row>
    <row r="901" ht="15.75" customHeight="1">
      <c r="A901" s="35"/>
      <c r="B901" s="35"/>
      <c r="C901" s="35"/>
      <c r="D901" s="35"/>
      <c r="E901" s="1"/>
      <c r="F901" s="1"/>
      <c r="G901" s="1"/>
      <c r="H901" s="1"/>
      <c r="I901" s="1"/>
      <c r="J901" s="41"/>
      <c r="K901" s="1"/>
      <c r="L901" s="41"/>
      <c r="M901" s="1"/>
      <c r="N901" s="41"/>
      <c r="O901" s="41"/>
      <c r="P901" s="41"/>
      <c r="Q901" s="41"/>
      <c r="R901" s="41"/>
      <c r="S901" s="41"/>
      <c r="T901" s="41"/>
      <c r="U901" s="41"/>
      <c r="V901" s="41"/>
      <c r="W901" s="41"/>
      <c r="X901" s="41"/>
      <c r="Y901" s="41"/>
      <c r="Z901" s="41"/>
    </row>
    <row r="902" ht="15.75" customHeight="1">
      <c r="A902" s="35"/>
      <c r="B902" s="35"/>
      <c r="C902" s="35"/>
      <c r="D902" s="35"/>
      <c r="E902" s="1"/>
      <c r="F902" s="1"/>
      <c r="G902" s="1"/>
      <c r="H902" s="1"/>
      <c r="I902" s="1"/>
      <c r="J902" s="41"/>
      <c r="K902" s="1"/>
      <c r="L902" s="41"/>
      <c r="M902" s="1"/>
      <c r="N902" s="41"/>
      <c r="O902" s="41"/>
      <c r="P902" s="41"/>
      <c r="Q902" s="41"/>
      <c r="R902" s="41"/>
      <c r="S902" s="41"/>
      <c r="T902" s="41"/>
      <c r="U902" s="41"/>
      <c r="V902" s="41"/>
      <c r="W902" s="41"/>
      <c r="X902" s="41"/>
      <c r="Y902" s="41"/>
      <c r="Z902" s="41"/>
    </row>
    <row r="903" ht="15.75" customHeight="1">
      <c r="A903" s="35"/>
      <c r="B903" s="35"/>
      <c r="C903" s="35"/>
      <c r="D903" s="35"/>
      <c r="E903" s="1"/>
      <c r="F903" s="1"/>
      <c r="G903" s="1"/>
      <c r="H903" s="1"/>
      <c r="I903" s="1"/>
      <c r="J903" s="41"/>
      <c r="K903" s="1"/>
      <c r="L903" s="41"/>
      <c r="M903" s="1"/>
      <c r="N903" s="41"/>
      <c r="O903" s="41"/>
      <c r="P903" s="41"/>
      <c r="Q903" s="41"/>
      <c r="R903" s="41"/>
      <c r="S903" s="41"/>
      <c r="T903" s="41"/>
      <c r="U903" s="41"/>
      <c r="V903" s="41"/>
      <c r="W903" s="41"/>
      <c r="X903" s="41"/>
      <c r="Y903" s="41"/>
      <c r="Z903" s="41"/>
    </row>
    <row r="904" ht="15.75" customHeight="1">
      <c r="A904" s="35"/>
      <c r="B904" s="35"/>
      <c r="C904" s="35"/>
      <c r="D904" s="35"/>
      <c r="E904" s="1"/>
      <c r="F904" s="1"/>
      <c r="G904" s="1"/>
      <c r="H904" s="1"/>
      <c r="I904" s="1"/>
      <c r="J904" s="41"/>
      <c r="K904" s="1"/>
      <c r="L904" s="41"/>
      <c r="M904" s="1"/>
      <c r="N904" s="41"/>
      <c r="O904" s="41"/>
      <c r="P904" s="41"/>
      <c r="Q904" s="41"/>
      <c r="R904" s="41"/>
      <c r="S904" s="41"/>
      <c r="T904" s="41"/>
      <c r="U904" s="41"/>
      <c r="V904" s="41"/>
      <c r="W904" s="41"/>
      <c r="X904" s="41"/>
      <c r="Y904" s="41"/>
      <c r="Z904" s="41"/>
    </row>
    <row r="905" ht="15.75" customHeight="1">
      <c r="A905" s="35"/>
      <c r="B905" s="35"/>
      <c r="C905" s="35"/>
      <c r="D905" s="35"/>
      <c r="E905" s="1"/>
      <c r="F905" s="1"/>
      <c r="G905" s="1"/>
      <c r="H905" s="1"/>
      <c r="I905" s="1"/>
      <c r="J905" s="41"/>
      <c r="K905" s="1"/>
      <c r="L905" s="41"/>
      <c r="M905" s="1"/>
      <c r="N905" s="41"/>
      <c r="O905" s="41"/>
      <c r="P905" s="41"/>
      <c r="Q905" s="41"/>
      <c r="R905" s="41"/>
      <c r="S905" s="41"/>
      <c r="T905" s="41"/>
      <c r="U905" s="41"/>
      <c r="V905" s="41"/>
      <c r="W905" s="41"/>
      <c r="X905" s="41"/>
      <c r="Y905" s="41"/>
      <c r="Z905" s="41"/>
    </row>
    <row r="906" ht="15.75" customHeight="1">
      <c r="A906" s="35"/>
      <c r="B906" s="35"/>
      <c r="C906" s="35"/>
      <c r="D906" s="35"/>
      <c r="E906" s="1"/>
      <c r="F906" s="1"/>
      <c r="G906" s="1"/>
      <c r="H906" s="1"/>
      <c r="I906" s="1"/>
      <c r="J906" s="41"/>
      <c r="K906" s="1"/>
      <c r="L906" s="41"/>
      <c r="M906" s="1"/>
      <c r="N906" s="41"/>
      <c r="O906" s="41"/>
      <c r="P906" s="41"/>
      <c r="Q906" s="41"/>
      <c r="R906" s="41"/>
      <c r="S906" s="41"/>
      <c r="T906" s="41"/>
      <c r="U906" s="41"/>
      <c r="V906" s="41"/>
      <c r="W906" s="41"/>
      <c r="X906" s="41"/>
      <c r="Y906" s="41"/>
      <c r="Z906" s="41"/>
    </row>
    <row r="907" ht="15.75" customHeight="1">
      <c r="A907" s="35"/>
      <c r="B907" s="35"/>
      <c r="C907" s="35"/>
      <c r="D907" s="35"/>
      <c r="E907" s="1"/>
      <c r="F907" s="1"/>
      <c r="G907" s="1"/>
      <c r="H907" s="1"/>
      <c r="I907" s="1"/>
      <c r="J907" s="41"/>
      <c r="K907" s="1"/>
      <c r="L907" s="41"/>
      <c r="M907" s="1"/>
      <c r="N907" s="41"/>
      <c r="O907" s="41"/>
      <c r="P907" s="41"/>
      <c r="Q907" s="41"/>
      <c r="R907" s="41"/>
      <c r="S907" s="41"/>
      <c r="T907" s="41"/>
      <c r="U907" s="41"/>
      <c r="V907" s="41"/>
      <c r="W907" s="41"/>
      <c r="X907" s="41"/>
      <c r="Y907" s="41"/>
      <c r="Z907" s="41"/>
    </row>
    <row r="908" ht="15.75" customHeight="1">
      <c r="A908" s="35"/>
      <c r="B908" s="35"/>
      <c r="C908" s="35"/>
      <c r="D908" s="35"/>
      <c r="E908" s="1"/>
      <c r="F908" s="1"/>
      <c r="G908" s="1"/>
      <c r="H908" s="1"/>
      <c r="I908" s="1"/>
      <c r="J908" s="41"/>
      <c r="K908" s="1"/>
      <c r="L908" s="41"/>
      <c r="M908" s="1"/>
      <c r="N908" s="41"/>
      <c r="O908" s="41"/>
      <c r="P908" s="41"/>
      <c r="Q908" s="41"/>
      <c r="R908" s="41"/>
      <c r="S908" s="41"/>
      <c r="T908" s="41"/>
      <c r="U908" s="41"/>
      <c r="V908" s="41"/>
      <c r="W908" s="41"/>
      <c r="X908" s="41"/>
      <c r="Y908" s="41"/>
      <c r="Z908" s="41"/>
    </row>
    <row r="909" ht="15.75" customHeight="1">
      <c r="A909" s="35"/>
      <c r="B909" s="35"/>
      <c r="C909" s="35"/>
      <c r="D909" s="35"/>
      <c r="E909" s="1"/>
      <c r="F909" s="1"/>
      <c r="G909" s="1"/>
      <c r="H909" s="1"/>
      <c r="I909" s="1"/>
      <c r="J909" s="41"/>
      <c r="K909" s="1"/>
      <c r="L909" s="41"/>
      <c r="M909" s="1"/>
      <c r="N909" s="41"/>
      <c r="O909" s="41"/>
      <c r="P909" s="41"/>
      <c r="Q909" s="41"/>
      <c r="R909" s="41"/>
      <c r="S909" s="41"/>
      <c r="T909" s="41"/>
      <c r="U909" s="41"/>
      <c r="V909" s="41"/>
      <c r="W909" s="41"/>
      <c r="X909" s="41"/>
      <c r="Y909" s="41"/>
      <c r="Z909" s="41"/>
    </row>
    <row r="910" ht="15.75" customHeight="1">
      <c r="A910" s="35"/>
      <c r="B910" s="35"/>
      <c r="C910" s="35"/>
      <c r="D910" s="35"/>
      <c r="E910" s="1"/>
      <c r="F910" s="1"/>
      <c r="G910" s="1"/>
      <c r="H910" s="1"/>
      <c r="I910" s="1"/>
      <c r="J910" s="41"/>
      <c r="K910" s="1"/>
      <c r="L910" s="41"/>
      <c r="M910" s="1"/>
      <c r="N910" s="41"/>
      <c r="O910" s="41"/>
      <c r="P910" s="41"/>
      <c r="Q910" s="41"/>
      <c r="R910" s="41"/>
      <c r="S910" s="41"/>
      <c r="T910" s="41"/>
      <c r="U910" s="41"/>
      <c r="V910" s="41"/>
      <c r="W910" s="41"/>
      <c r="X910" s="41"/>
      <c r="Y910" s="41"/>
      <c r="Z910" s="41"/>
    </row>
    <row r="911" ht="15.75" customHeight="1">
      <c r="A911" s="35"/>
      <c r="B911" s="35"/>
      <c r="C911" s="35"/>
      <c r="D911" s="35"/>
      <c r="E911" s="1"/>
      <c r="F911" s="1"/>
      <c r="G911" s="1"/>
      <c r="H911" s="1"/>
      <c r="I911" s="1"/>
      <c r="J911" s="41"/>
      <c r="K911" s="1"/>
      <c r="L911" s="41"/>
      <c r="M911" s="1"/>
      <c r="N911" s="41"/>
      <c r="O911" s="41"/>
      <c r="P911" s="41"/>
      <c r="Q911" s="41"/>
      <c r="R911" s="41"/>
      <c r="S911" s="41"/>
      <c r="T911" s="41"/>
      <c r="U911" s="41"/>
      <c r="V911" s="41"/>
      <c r="W911" s="41"/>
      <c r="X911" s="41"/>
      <c r="Y911" s="41"/>
      <c r="Z911" s="41"/>
    </row>
    <row r="912" ht="15.75" customHeight="1">
      <c r="A912" s="35"/>
      <c r="B912" s="35"/>
      <c r="C912" s="35"/>
      <c r="D912" s="35"/>
      <c r="E912" s="1"/>
      <c r="F912" s="1"/>
      <c r="G912" s="1"/>
      <c r="H912" s="1"/>
      <c r="I912" s="1"/>
      <c r="J912" s="41"/>
      <c r="K912" s="1"/>
      <c r="L912" s="41"/>
      <c r="M912" s="1"/>
      <c r="N912" s="41"/>
      <c r="O912" s="41"/>
      <c r="P912" s="41"/>
      <c r="Q912" s="41"/>
      <c r="R912" s="41"/>
      <c r="S912" s="41"/>
      <c r="T912" s="41"/>
      <c r="U912" s="41"/>
      <c r="V912" s="41"/>
      <c r="W912" s="41"/>
      <c r="X912" s="41"/>
      <c r="Y912" s="41"/>
      <c r="Z912" s="41"/>
    </row>
    <row r="913" ht="15.75" customHeight="1">
      <c r="A913" s="35"/>
      <c r="B913" s="35"/>
      <c r="C913" s="35"/>
      <c r="D913" s="35"/>
      <c r="E913" s="1"/>
      <c r="F913" s="1"/>
      <c r="G913" s="1"/>
      <c r="H913" s="1"/>
      <c r="I913" s="1"/>
      <c r="J913" s="41"/>
      <c r="K913" s="1"/>
      <c r="L913" s="41"/>
      <c r="M913" s="1"/>
      <c r="N913" s="41"/>
      <c r="O913" s="41"/>
      <c r="P913" s="41"/>
      <c r="Q913" s="41"/>
      <c r="R913" s="41"/>
      <c r="S913" s="41"/>
      <c r="T913" s="41"/>
      <c r="U913" s="41"/>
      <c r="V913" s="41"/>
      <c r="W913" s="41"/>
      <c r="X913" s="41"/>
      <c r="Y913" s="41"/>
      <c r="Z913" s="41"/>
    </row>
    <row r="914" ht="15.75" customHeight="1">
      <c r="A914" s="35"/>
      <c r="B914" s="35"/>
      <c r="C914" s="35"/>
      <c r="D914" s="35"/>
      <c r="E914" s="1"/>
      <c r="F914" s="1"/>
      <c r="G914" s="1"/>
      <c r="H914" s="1"/>
      <c r="I914" s="1"/>
      <c r="J914" s="41"/>
      <c r="K914" s="1"/>
      <c r="L914" s="41"/>
      <c r="M914" s="1"/>
      <c r="N914" s="41"/>
      <c r="O914" s="41"/>
      <c r="P914" s="41"/>
      <c r="Q914" s="41"/>
      <c r="R914" s="41"/>
      <c r="S914" s="41"/>
      <c r="T914" s="41"/>
      <c r="U914" s="41"/>
      <c r="V914" s="41"/>
      <c r="W914" s="41"/>
      <c r="X914" s="41"/>
      <c r="Y914" s="41"/>
      <c r="Z914" s="41"/>
    </row>
    <row r="915" ht="15.75" customHeight="1">
      <c r="A915" s="35"/>
      <c r="B915" s="35"/>
      <c r="C915" s="35"/>
      <c r="D915" s="35"/>
      <c r="E915" s="1"/>
      <c r="F915" s="1"/>
      <c r="G915" s="1"/>
      <c r="H915" s="1"/>
      <c r="I915" s="1"/>
      <c r="J915" s="41"/>
      <c r="K915" s="1"/>
      <c r="L915" s="41"/>
      <c r="M915" s="1"/>
      <c r="N915" s="41"/>
      <c r="O915" s="41"/>
      <c r="P915" s="41"/>
      <c r="Q915" s="41"/>
      <c r="R915" s="41"/>
      <c r="S915" s="41"/>
      <c r="T915" s="41"/>
      <c r="U915" s="41"/>
      <c r="V915" s="41"/>
      <c r="W915" s="41"/>
      <c r="X915" s="41"/>
      <c r="Y915" s="41"/>
      <c r="Z915" s="41"/>
    </row>
    <row r="916" ht="15.75" customHeight="1">
      <c r="A916" s="35"/>
      <c r="B916" s="35"/>
      <c r="C916" s="35"/>
      <c r="D916" s="35"/>
      <c r="E916" s="1"/>
      <c r="F916" s="1"/>
      <c r="G916" s="1"/>
      <c r="H916" s="1"/>
      <c r="I916" s="1"/>
      <c r="J916" s="41"/>
      <c r="K916" s="1"/>
      <c r="L916" s="41"/>
      <c r="M916" s="1"/>
      <c r="N916" s="41"/>
      <c r="O916" s="41"/>
      <c r="P916" s="41"/>
      <c r="Q916" s="41"/>
      <c r="R916" s="41"/>
      <c r="S916" s="41"/>
      <c r="T916" s="41"/>
      <c r="U916" s="41"/>
      <c r="V916" s="41"/>
      <c r="W916" s="41"/>
      <c r="X916" s="41"/>
      <c r="Y916" s="41"/>
      <c r="Z916" s="41"/>
    </row>
    <row r="917" ht="15.75" customHeight="1">
      <c r="A917" s="35"/>
      <c r="B917" s="35"/>
      <c r="C917" s="35"/>
      <c r="D917" s="35"/>
      <c r="E917" s="1"/>
      <c r="F917" s="1"/>
      <c r="G917" s="1"/>
      <c r="H917" s="1"/>
      <c r="I917" s="1"/>
      <c r="J917" s="41"/>
      <c r="K917" s="1"/>
      <c r="L917" s="41"/>
      <c r="M917" s="1"/>
      <c r="N917" s="41"/>
      <c r="O917" s="41"/>
      <c r="P917" s="41"/>
      <c r="Q917" s="41"/>
      <c r="R917" s="41"/>
      <c r="S917" s="41"/>
      <c r="T917" s="41"/>
      <c r="U917" s="41"/>
      <c r="V917" s="41"/>
      <c r="W917" s="41"/>
      <c r="X917" s="41"/>
      <c r="Y917" s="41"/>
      <c r="Z917" s="41"/>
    </row>
    <row r="918" ht="15.75" customHeight="1">
      <c r="A918" s="35"/>
      <c r="B918" s="35"/>
      <c r="C918" s="35"/>
      <c r="D918" s="35"/>
      <c r="E918" s="1"/>
      <c r="F918" s="1"/>
      <c r="G918" s="1"/>
      <c r="H918" s="1"/>
      <c r="I918" s="1"/>
      <c r="J918" s="41"/>
      <c r="K918" s="1"/>
      <c r="L918" s="41"/>
      <c r="M918" s="1"/>
      <c r="N918" s="41"/>
      <c r="O918" s="41"/>
      <c r="P918" s="41"/>
      <c r="Q918" s="41"/>
      <c r="R918" s="41"/>
      <c r="S918" s="41"/>
      <c r="T918" s="41"/>
      <c r="U918" s="41"/>
      <c r="V918" s="41"/>
      <c r="W918" s="41"/>
      <c r="X918" s="41"/>
      <c r="Y918" s="41"/>
      <c r="Z918" s="41"/>
    </row>
    <row r="919" ht="15.75" customHeight="1">
      <c r="A919" s="35"/>
      <c r="B919" s="35"/>
      <c r="C919" s="35"/>
      <c r="D919" s="35"/>
      <c r="E919" s="1"/>
      <c r="F919" s="1"/>
      <c r="G919" s="1"/>
      <c r="H919" s="1"/>
      <c r="I919" s="1"/>
      <c r="J919" s="41"/>
      <c r="K919" s="1"/>
      <c r="L919" s="41"/>
      <c r="M919" s="1"/>
      <c r="N919" s="41"/>
      <c r="O919" s="41"/>
      <c r="P919" s="41"/>
      <c r="Q919" s="41"/>
      <c r="R919" s="41"/>
      <c r="S919" s="41"/>
      <c r="T919" s="41"/>
      <c r="U919" s="41"/>
      <c r="V919" s="41"/>
      <c r="W919" s="41"/>
      <c r="X919" s="41"/>
      <c r="Y919" s="41"/>
      <c r="Z919" s="41"/>
    </row>
    <row r="920" ht="15.75" customHeight="1">
      <c r="A920" s="35"/>
      <c r="B920" s="35"/>
      <c r="C920" s="35"/>
      <c r="D920" s="35"/>
      <c r="E920" s="1"/>
      <c r="F920" s="1"/>
      <c r="G920" s="1"/>
      <c r="H920" s="1"/>
      <c r="I920" s="1"/>
      <c r="J920" s="41"/>
      <c r="K920" s="1"/>
      <c r="L920" s="41"/>
      <c r="M920" s="1"/>
      <c r="N920" s="41"/>
      <c r="O920" s="41"/>
      <c r="P920" s="41"/>
      <c r="Q920" s="41"/>
      <c r="R920" s="41"/>
      <c r="S920" s="41"/>
      <c r="T920" s="41"/>
      <c r="U920" s="41"/>
      <c r="V920" s="41"/>
      <c r="W920" s="41"/>
      <c r="X920" s="41"/>
      <c r="Y920" s="41"/>
      <c r="Z920" s="41"/>
    </row>
    <row r="921" ht="15.75" customHeight="1">
      <c r="A921" s="35"/>
      <c r="B921" s="35"/>
      <c r="C921" s="35"/>
      <c r="D921" s="35"/>
      <c r="E921" s="1"/>
      <c r="F921" s="1"/>
      <c r="G921" s="1"/>
      <c r="H921" s="1"/>
      <c r="I921" s="1"/>
      <c r="J921" s="41"/>
      <c r="K921" s="1"/>
      <c r="L921" s="41"/>
      <c r="M921" s="1"/>
      <c r="N921" s="41"/>
      <c r="O921" s="41"/>
      <c r="P921" s="41"/>
      <c r="Q921" s="41"/>
      <c r="R921" s="41"/>
      <c r="S921" s="41"/>
      <c r="T921" s="41"/>
      <c r="U921" s="41"/>
      <c r="V921" s="41"/>
      <c r="W921" s="41"/>
      <c r="X921" s="41"/>
      <c r="Y921" s="41"/>
      <c r="Z921" s="41"/>
    </row>
    <row r="922" ht="15.75" customHeight="1">
      <c r="A922" s="35"/>
      <c r="B922" s="35"/>
      <c r="C922" s="35"/>
      <c r="D922" s="35"/>
      <c r="E922" s="1"/>
      <c r="F922" s="1"/>
      <c r="G922" s="1"/>
      <c r="H922" s="1"/>
      <c r="I922" s="1"/>
      <c r="J922" s="41"/>
      <c r="K922" s="1"/>
      <c r="L922" s="41"/>
      <c r="M922" s="1"/>
      <c r="N922" s="41"/>
      <c r="O922" s="41"/>
      <c r="P922" s="41"/>
      <c r="Q922" s="41"/>
      <c r="R922" s="41"/>
      <c r="S922" s="41"/>
      <c r="T922" s="41"/>
      <c r="U922" s="41"/>
      <c r="V922" s="41"/>
      <c r="W922" s="41"/>
      <c r="X922" s="41"/>
      <c r="Y922" s="41"/>
      <c r="Z922" s="41"/>
    </row>
    <row r="923" ht="15.75" customHeight="1">
      <c r="A923" s="35"/>
      <c r="B923" s="35"/>
      <c r="C923" s="35"/>
      <c r="D923" s="35"/>
      <c r="E923" s="1"/>
      <c r="F923" s="1"/>
      <c r="G923" s="1"/>
      <c r="H923" s="1"/>
      <c r="I923" s="1"/>
      <c r="J923" s="41"/>
      <c r="K923" s="1"/>
      <c r="L923" s="41"/>
      <c r="M923" s="1"/>
      <c r="N923" s="41"/>
      <c r="O923" s="41"/>
      <c r="P923" s="41"/>
      <c r="Q923" s="41"/>
      <c r="R923" s="41"/>
      <c r="S923" s="41"/>
      <c r="T923" s="41"/>
      <c r="U923" s="41"/>
      <c r="V923" s="41"/>
      <c r="W923" s="41"/>
      <c r="X923" s="41"/>
      <c r="Y923" s="41"/>
      <c r="Z923" s="41"/>
    </row>
    <row r="924" ht="15.75" customHeight="1">
      <c r="A924" s="35"/>
      <c r="B924" s="35"/>
      <c r="C924" s="35"/>
      <c r="D924" s="35"/>
      <c r="E924" s="1"/>
      <c r="F924" s="1"/>
      <c r="G924" s="1"/>
      <c r="H924" s="1"/>
      <c r="I924" s="1"/>
      <c r="J924" s="41"/>
      <c r="K924" s="1"/>
      <c r="L924" s="41"/>
      <c r="M924" s="1"/>
      <c r="N924" s="41"/>
      <c r="O924" s="41"/>
      <c r="P924" s="41"/>
      <c r="Q924" s="41"/>
      <c r="R924" s="41"/>
      <c r="S924" s="41"/>
      <c r="T924" s="41"/>
      <c r="U924" s="41"/>
      <c r="V924" s="41"/>
      <c r="W924" s="41"/>
      <c r="X924" s="41"/>
      <c r="Y924" s="41"/>
      <c r="Z924" s="41"/>
    </row>
    <row r="925" ht="15.75" customHeight="1">
      <c r="A925" s="35"/>
      <c r="B925" s="35"/>
      <c r="C925" s="35"/>
      <c r="D925" s="35"/>
      <c r="E925" s="1"/>
      <c r="F925" s="1"/>
      <c r="G925" s="1"/>
      <c r="H925" s="1"/>
      <c r="I925" s="1"/>
      <c r="J925" s="41"/>
      <c r="K925" s="1"/>
      <c r="L925" s="41"/>
      <c r="M925" s="1"/>
      <c r="N925" s="41"/>
      <c r="O925" s="41"/>
      <c r="P925" s="41"/>
      <c r="Q925" s="41"/>
      <c r="R925" s="41"/>
      <c r="S925" s="41"/>
      <c r="T925" s="41"/>
      <c r="U925" s="41"/>
      <c r="V925" s="41"/>
      <c r="W925" s="41"/>
      <c r="X925" s="41"/>
      <c r="Y925" s="41"/>
      <c r="Z925" s="41"/>
    </row>
    <row r="926" ht="15.75" customHeight="1">
      <c r="A926" s="35"/>
      <c r="B926" s="35"/>
      <c r="C926" s="35"/>
      <c r="D926" s="35"/>
      <c r="E926" s="1"/>
      <c r="F926" s="1"/>
      <c r="G926" s="1"/>
      <c r="H926" s="1"/>
      <c r="I926" s="1"/>
      <c r="J926" s="41"/>
      <c r="K926" s="1"/>
      <c r="L926" s="41"/>
      <c r="M926" s="1"/>
      <c r="N926" s="41"/>
      <c r="O926" s="41"/>
      <c r="P926" s="41"/>
      <c r="Q926" s="41"/>
      <c r="R926" s="41"/>
      <c r="S926" s="41"/>
      <c r="T926" s="41"/>
      <c r="U926" s="41"/>
      <c r="V926" s="41"/>
      <c r="W926" s="41"/>
      <c r="X926" s="41"/>
      <c r="Y926" s="41"/>
      <c r="Z926" s="41"/>
    </row>
    <row r="927" ht="15.75" customHeight="1">
      <c r="A927" s="35"/>
      <c r="B927" s="35"/>
      <c r="C927" s="35"/>
      <c r="D927" s="35"/>
      <c r="E927" s="1"/>
      <c r="F927" s="1"/>
      <c r="G927" s="1"/>
      <c r="H927" s="1"/>
      <c r="I927" s="1"/>
      <c r="J927" s="41"/>
      <c r="K927" s="1"/>
      <c r="L927" s="41"/>
      <c r="M927" s="1"/>
      <c r="N927" s="41"/>
      <c r="O927" s="41"/>
      <c r="P927" s="41"/>
      <c r="Q927" s="41"/>
      <c r="R927" s="41"/>
      <c r="S927" s="41"/>
      <c r="T927" s="41"/>
      <c r="U927" s="41"/>
      <c r="V927" s="41"/>
      <c r="W927" s="41"/>
      <c r="X927" s="41"/>
      <c r="Y927" s="41"/>
      <c r="Z927" s="41"/>
    </row>
    <row r="928" ht="15.75" customHeight="1">
      <c r="A928" s="35"/>
      <c r="B928" s="35"/>
      <c r="C928" s="35"/>
      <c r="D928" s="35"/>
      <c r="E928" s="1"/>
      <c r="F928" s="1"/>
      <c r="G928" s="1"/>
      <c r="H928" s="1"/>
      <c r="I928" s="1"/>
      <c r="J928" s="41"/>
      <c r="K928" s="1"/>
      <c r="L928" s="41"/>
      <c r="M928" s="1"/>
      <c r="N928" s="41"/>
      <c r="O928" s="41"/>
      <c r="P928" s="41"/>
      <c r="Q928" s="41"/>
      <c r="R928" s="41"/>
      <c r="S928" s="41"/>
      <c r="T928" s="41"/>
      <c r="U928" s="41"/>
      <c r="V928" s="41"/>
      <c r="W928" s="41"/>
      <c r="X928" s="41"/>
      <c r="Y928" s="41"/>
      <c r="Z928" s="41"/>
    </row>
    <row r="929" ht="15.75" customHeight="1">
      <c r="A929" s="35"/>
      <c r="B929" s="35"/>
      <c r="C929" s="35"/>
      <c r="D929" s="35"/>
      <c r="E929" s="1"/>
      <c r="F929" s="1"/>
      <c r="G929" s="1"/>
      <c r="H929" s="1"/>
      <c r="I929" s="1"/>
      <c r="J929" s="41"/>
      <c r="K929" s="1"/>
      <c r="L929" s="41"/>
      <c r="M929" s="1"/>
      <c r="N929" s="41"/>
      <c r="O929" s="41"/>
      <c r="P929" s="41"/>
      <c r="Q929" s="41"/>
      <c r="R929" s="41"/>
      <c r="S929" s="41"/>
      <c r="T929" s="41"/>
      <c r="U929" s="41"/>
      <c r="V929" s="41"/>
      <c r="W929" s="41"/>
      <c r="X929" s="41"/>
      <c r="Y929" s="41"/>
      <c r="Z929" s="41"/>
    </row>
    <row r="930" ht="15.75" customHeight="1">
      <c r="A930" s="35"/>
      <c r="B930" s="35"/>
      <c r="C930" s="35"/>
      <c r="D930" s="35"/>
      <c r="E930" s="1"/>
      <c r="F930" s="1"/>
      <c r="G930" s="1"/>
      <c r="H930" s="1"/>
      <c r="I930" s="1"/>
      <c r="J930" s="41"/>
      <c r="K930" s="1"/>
      <c r="L930" s="41"/>
      <c r="M930" s="1"/>
      <c r="N930" s="41"/>
      <c r="O930" s="41"/>
      <c r="P930" s="41"/>
      <c r="Q930" s="41"/>
      <c r="R930" s="41"/>
      <c r="S930" s="41"/>
      <c r="T930" s="41"/>
      <c r="U930" s="41"/>
      <c r="V930" s="41"/>
      <c r="W930" s="41"/>
      <c r="X930" s="41"/>
      <c r="Y930" s="41"/>
      <c r="Z930" s="41"/>
    </row>
    <row r="931" ht="15.75" customHeight="1">
      <c r="A931" s="35"/>
      <c r="B931" s="35"/>
      <c r="C931" s="35"/>
      <c r="D931" s="35"/>
      <c r="E931" s="1"/>
      <c r="F931" s="1"/>
      <c r="G931" s="1"/>
      <c r="H931" s="1"/>
      <c r="I931" s="1"/>
      <c r="J931" s="41"/>
      <c r="K931" s="1"/>
      <c r="L931" s="41"/>
      <c r="M931" s="1"/>
      <c r="N931" s="41"/>
      <c r="O931" s="41"/>
      <c r="P931" s="41"/>
      <c r="Q931" s="41"/>
      <c r="R931" s="41"/>
      <c r="S931" s="41"/>
      <c r="T931" s="41"/>
      <c r="U931" s="41"/>
      <c r="V931" s="41"/>
      <c r="W931" s="41"/>
      <c r="X931" s="41"/>
      <c r="Y931" s="41"/>
      <c r="Z931" s="41"/>
    </row>
    <row r="932" ht="15.75" customHeight="1">
      <c r="A932" s="35"/>
      <c r="B932" s="35"/>
      <c r="C932" s="35"/>
      <c r="D932" s="35"/>
      <c r="E932" s="1"/>
      <c r="F932" s="1"/>
      <c r="G932" s="1"/>
      <c r="H932" s="1"/>
      <c r="I932" s="1"/>
      <c r="J932" s="41"/>
      <c r="K932" s="1"/>
      <c r="L932" s="41"/>
      <c r="M932" s="1"/>
      <c r="N932" s="41"/>
      <c r="O932" s="41"/>
      <c r="P932" s="41"/>
      <c r="Q932" s="41"/>
      <c r="R932" s="41"/>
      <c r="S932" s="41"/>
      <c r="T932" s="41"/>
      <c r="U932" s="41"/>
      <c r="V932" s="41"/>
      <c r="W932" s="41"/>
      <c r="X932" s="41"/>
      <c r="Y932" s="41"/>
      <c r="Z932" s="41"/>
    </row>
    <row r="933" ht="15.75" customHeight="1">
      <c r="A933" s="35"/>
      <c r="B933" s="35"/>
      <c r="C933" s="35"/>
      <c r="D933" s="35"/>
      <c r="E933" s="1"/>
      <c r="F933" s="1"/>
      <c r="G933" s="1"/>
      <c r="H933" s="1"/>
      <c r="I933" s="1"/>
      <c r="J933" s="41"/>
      <c r="K933" s="1"/>
      <c r="L933" s="41"/>
      <c r="M933" s="1"/>
      <c r="N933" s="41"/>
      <c r="O933" s="41"/>
      <c r="P933" s="41"/>
      <c r="Q933" s="41"/>
      <c r="R933" s="41"/>
      <c r="S933" s="41"/>
      <c r="T933" s="41"/>
      <c r="U933" s="41"/>
      <c r="V933" s="41"/>
      <c r="W933" s="41"/>
      <c r="X933" s="41"/>
      <c r="Y933" s="41"/>
      <c r="Z933" s="41"/>
    </row>
    <row r="934" ht="15.75" customHeight="1">
      <c r="A934" s="35"/>
      <c r="B934" s="35"/>
      <c r="C934" s="35"/>
      <c r="D934" s="35"/>
      <c r="E934" s="1"/>
      <c r="F934" s="1"/>
      <c r="G934" s="1"/>
      <c r="H934" s="1"/>
      <c r="I934" s="1"/>
      <c r="J934" s="41"/>
      <c r="K934" s="1"/>
      <c r="L934" s="41"/>
      <c r="M934" s="1"/>
      <c r="N934" s="41"/>
      <c r="O934" s="41"/>
      <c r="P934" s="41"/>
      <c r="Q934" s="41"/>
      <c r="R934" s="41"/>
      <c r="S934" s="41"/>
      <c r="T934" s="41"/>
      <c r="U934" s="41"/>
      <c r="V934" s="41"/>
      <c r="W934" s="41"/>
      <c r="X934" s="41"/>
      <c r="Y934" s="41"/>
      <c r="Z934" s="41"/>
    </row>
    <row r="935" ht="15.75" customHeight="1">
      <c r="A935" s="35"/>
      <c r="B935" s="35"/>
      <c r="C935" s="35"/>
      <c r="D935" s="35"/>
      <c r="E935" s="1"/>
      <c r="F935" s="1"/>
      <c r="G935" s="1"/>
      <c r="H935" s="1"/>
      <c r="I935" s="1"/>
      <c r="J935" s="41"/>
      <c r="K935" s="1"/>
      <c r="L935" s="41"/>
      <c r="M935" s="1"/>
      <c r="N935" s="41"/>
      <c r="O935" s="41"/>
      <c r="P935" s="41"/>
      <c r="Q935" s="41"/>
      <c r="R935" s="41"/>
      <c r="S935" s="41"/>
      <c r="T935" s="41"/>
      <c r="U935" s="41"/>
      <c r="V935" s="41"/>
      <c r="W935" s="41"/>
      <c r="X935" s="41"/>
      <c r="Y935" s="41"/>
      <c r="Z935" s="41"/>
    </row>
    <row r="936" ht="15.75" customHeight="1">
      <c r="A936" s="35"/>
      <c r="B936" s="35"/>
      <c r="C936" s="35"/>
      <c r="D936" s="35"/>
      <c r="E936" s="1"/>
      <c r="F936" s="1"/>
      <c r="G936" s="1"/>
      <c r="H936" s="1"/>
      <c r="I936" s="1"/>
      <c r="J936" s="41"/>
      <c r="K936" s="1"/>
      <c r="L936" s="41"/>
      <c r="M936" s="1"/>
      <c r="N936" s="41"/>
      <c r="O936" s="41"/>
      <c r="P936" s="41"/>
      <c r="Q936" s="41"/>
      <c r="R936" s="41"/>
      <c r="S936" s="41"/>
      <c r="T936" s="41"/>
      <c r="U936" s="41"/>
      <c r="V936" s="41"/>
      <c r="W936" s="41"/>
      <c r="X936" s="41"/>
      <c r="Y936" s="41"/>
      <c r="Z936" s="41"/>
    </row>
    <row r="937" ht="15.75" customHeight="1">
      <c r="A937" s="35"/>
      <c r="B937" s="35"/>
      <c r="C937" s="35"/>
      <c r="D937" s="35"/>
      <c r="E937" s="1"/>
      <c r="F937" s="1"/>
      <c r="G937" s="1"/>
      <c r="H937" s="1"/>
      <c r="I937" s="1"/>
      <c r="J937" s="41"/>
      <c r="K937" s="1"/>
      <c r="L937" s="41"/>
      <c r="M937" s="1"/>
      <c r="N937" s="41"/>
      <c r="O937" s="41"/>
      <c r="P937" s="41"/>
      <c r="Q937" s="41"/>
      <c r="R937" s="41"/>
      <c r="S937" s="41"/>
      <c r="T937" s="41"/>
      <c r="U937" s="41"/>
      <c r="V937" s="41"/>
      <c r="W937" s="41"/>
      <c r="X937" s="41"/>
      <c r="Y937" s="41"/>
      <c r="Z937" s="41"/>
    </row>
    <row r="938" ht="15.75" customHeight="1">
      <c r="A938" s="35"/>
      <c r="B938" s="35"/>
      <c r="C938" s="35"/>
      <c r="D938" s="35"/>
      <c r="E938" s="1"/>
      <c r="F938" s="1"/>
      <c r="G938" s="1"/>
      <c r="H938" s="1"/>
      <c r="I938" s="1"/>
      <c r="J938" s="41"/>
      <c r="K938" s="1"/>
      <c r="L938" s="41"/>
      <c r="M938" s="1"/>
      <c r="N938" s="41"/>
      <c r="O938" s="41"/>
      <c r="P938" s="41"/>
      <c r="Q938" s="41"/>
      <c r="R938" s="41"/>
      <c r="S938" s="41"/>
      <c r="T938" s="41"/>
      <c r="U938" s="41"/>
      <c r="V938" s="41"/>
      <c r="W938" s="41"/>
      <c r="X938" s="41"/>
      <c r="Y938" s="41"/>
      <c r="Z938" s="41"/>
    </row>
    <row r="939" ht="15.75" customHeight="1">
      <c r="A939" s="35"/>
      <c r="B939" s="35"/>
      <c r="C939" s="35"/>
      <c r="D939" s="35"/>
      <c r="E939" s="1"/>
      <c r="F939" s="1"/>
      <c r="G939" s="1"/>
      <c r="H939" s="1"/>
      <c r="I939" s="1"/>
      <c r="J939" s="41"/>
      <c r="K939" s="1"/>
      <c r="L939" s="41"/>
      <c r="M939" s="1"/>
      <c r="N939" s="41"/>
      <c r="O939" s="41"/>
      <c r="P939" s="41"/>
      <c r="Q939" s="41"/>
      <c r="R939" s="41"/>
      <c r="S939" s="41"/>
      <c r="T939" s="41"/>
      <c r="U939" s="41"/>
      <c r="V939" s="41"/>
      <c r="W939" s="41"/>
      <c r="X939" s="41"/>
      <c r="Y939" s="41"/>
      <c r="Z939" s="41"/>
    </row>
    <row r="940" ht="15.75" customHeight="1">
      <c r="A940" s="35"/>
      <c r="B940" s="35"/>
      <c r="C940" s="35"/>
      <c r="D940" s="35"/>
      <c r="E940" s="1"/>
      <c r="F940" s="1"/>
      <c r="G940" s="1"/>
      <c r="H940" s="1"/>
      <c r="I940" s="1"/>
      <c r="J940" s="41"/>
      <c r="K940" s="1"/>
      <c r="L940" s="41"/>
      <c r="M940" s="1"/>
      <c r="N940" s="41"/>
      <c r="O940" s="41"/>
      <c r="P940" s="41"/>
      <c r="Q940" s="41"/>
      <c r="R940" s="41"/>
      <c r="S940" s="41"/>
      <c r="T940" s="41"/>
      <c r="U940" s="41"/>
      <c r="V940" s="41"/>
      <c r="W940" s="41"/>
      <c r="X940" s="41"/>
      <c r="Y940" s="41"/>
      <c r="Z940" s="41"/>
    </row>
    <row r="941" ht="15.75" customHeight="1">
      <c r="A941" s="35"/>
      <c r="B941" s="35"/>
      <c r="C941" s="35"/>
      <c r="D941" s="35"/>
      <c r="E941" s="1"/>
      <c r="F941" s="1"/>
      <c r="G941" s="1"/>
      <c r="H941" s="1"/>
      <c r="I941" s="1"/>
      <c r="J941" s="41"/>
      <c r="K941" s="1"/>
      <c r="L941" s="41"/>
      <c r="M941" s="1"/>
      <c r="N941" s="41"/>
      <c r="O941" s="41"/>
      <c r="P941" s="41"/>
      <c r="Q941" s="41"/>
      <c r="R941" s="41"/>
      <c r="S941" s="41"/>
      <c r="T941" s="41"/>
      <c r="U941" s="41"/>
      <c r="V941" s="41"/>
      <c r="W941" s="41"/>
      <c r="X941" s="41"/>
      <c r="Y941" s="41"/>
      <c r="Z941" s="41"/>
    </row>
    <row r="942" ht="15.75" customHeight="1">
      <c r="A942" s="35"/>
      <c r="B942" s="35"/>
      <c r="C942" s="35"/>
      <c r="D942" s="35"/>
      <c r="E942" s="1"/>
      <c r="F942" s="1"/>
      <c r="G942" s="1"/>
      <c r="H942" s="1"/>
      <c r="I942" s="1"/>
      <c r="J942" s="41"/>
      <c r="K942" s="1"/>
      <c r="L942" s="41"/>
      <c r="M942" s="1"/>
      <c r="N942" s="41"/>
      <c r="O942" s="41"/>
      <c r="P942" s="41"/>
      <c r="Q942" s="41"/>
      <c r="R942" s="41"/>
      <c r="S942" s="41"/>
      <c r="T942" s="41"/>
      <c r="U942" s="41"/>
      <c r="V942" s="41"/>
      <c r="W942" s="41"/>
      <c r="X942" s="41"/>
      <c r="Y942" s="41"/>
      <c r="Z942" s="41"/>
    </row>
    <row r="943" ht="15.75" customHeight="1">
      <c r="A943" s="35"/>
      <c r="B943" s="35"/>
      <c r="C943" s="35"/>
      <c r="D943" s="35"/>
      <c r="E943" s="1"/>
      <c r="F943" s="1"/>
      <c r="G943" s="1"/>
      <c r="H943" s="1"/>
      <c r="I943" s="1"/>
      <c r="J943" s="41"/>
      <c r="K943" s="1"/>
      <c r="L943" s="41"/>
      <c r="M943" s="1"/>
      <c r="N943" s="41"/>
      <c r="O943" s="41"/>
      <c r="P943" s="41"/>
      <c r="Q943" s="41"/>
      <c r="R943" s="41"/>
      <c r="S943" s="41"/>
      <c r="T943" s="41"/>
      <c r="U943" s="41"/>
      <c r="V943" s="41"/>
      <c r="W943" s="41"/>
      <c r="X943" s="41"/>
      <c r="Y943" s="41"/>
      <c r="Z943" s="41"/>
    </row>
    <row r="944" ht="15.75" customHeight="1">
      <c r="A944" s="35"/>
      <c r="B944" s="35"/>
      <c r="C944" s="35"/>
      <c r="D944" s="35"/>
      <c r="E944" s="1"/>
      <c r="F944" s="1"/>
      <c r="G944" s="1"/>
      <c r="H944" s="1"/>
      <c r="I944" s="1"/>
      <c r="J944" s="41"/>
      <c r="K944" s="1"/>
      <c r="L944" s="41"/>
      <c r="M944" s="1"/>
      <c r="N944" s="41"/>
      <c r="O944" s="41"/>
      <c r="P944" s="41"/>
      <c r="Q944" s="41"/>
      <c r="R944" s="41"/>
      <c r="S944" s="41"/>
      <c r="T944" s="41"/>
      <c r="U944" s="41"/>
      <c r="V944" s="41"/>
      <c r="W944" s="41"/>
      <c r="X944" s="41"/>
      <c r="Y944" s="41"/>
      <c r="Z944" s="41"/>
    </row>
    <row r="945" ht="15.75" customHeight="1">
      <c r="A945" s="35"/>
      <c r="B945" s="35"/>
      <c r="C945" s="35"/>
      <c r="D945" s="35"/>
      <c r="E945" s="1"/>
      <c r="F945" s="1"/>
      <c r="G945" s="1"/>
      <c r="H945" s="1"/>
      <c r="I945" s="1"/>
      <c r="J945" s="41"/>
      <c r="K945" s="1"/>
      <c r="L945" s="41"/>
      <c r="M945" s="1"/>
      <c r="N945" s="41"/>
      <c r="O945" s="41"/>
      <c r="P945" s="41"/>
      <c r="Q945" s="41"/>
      <c r="R945" s="41"/>
      <c r="S945" s="41"/>
      <c r="T945" s="41"/>
      <c r="U945" s="41"/>
      <c r="V945" s="41"/>
      <c r="W945" s="41"/>
      <c r="X945" s="41"/>
      <c r="Y945" s="41"/>
      <c r="Z945" s="41"/>
    </row>
    <row r="946" ht="15.75" customHeight="1">
      <c r="A946" s="35"/>
      <c r="B946" s="35"/>
      <c r="C946" s="35"/>
      <c r="D946" s="35"/>
      <c r="E946" s="1"/>
      <c r="F946" s="1"/>
      <c r="G946" s="1"/>
      <c r="H946" s="1"/>
      <c r="I946" s="1"/>
      <c r="J946" s="41"/>
      <c r="K946" s="1"/>
      <c r="L946" s="41"/>
      <c r="M946" s="1"/>
      <c r="N946" s="41"/>
      <c r="O946" s="41"/>
      <c r="P946" s="41"/>
      <c r="Q946" s="41"/>
      <c r="R946" s="41"/>
      <c r="S946" s="41"/>
      <c r="T946" s="41"/>
      <c r="U946" s="41"/>
      <c r="V946" s="41"/>
      <c r="W946" s="41"/>
      <c r="X946" s="41"/>
      <c r="Y946" s="41"/>
      <c r="Z946" s="41"/>
    </row>
    <row r="947" ht="15.75" customHeight="1">
      <c r="A947" s="35"/>
      <c r="B947" s="35"/>
      <c r="C947" s="35"/>
      <c r="D947" s="35"/>
      <c r="E947" s="1"/>
      <c r="F947" s="1"/>
      <c r="G947" s="1"/>
      <c r="H947" s="1"/>
      <c r="I947" s="1"/>
      <c r="J947" s="41"/>
      <c r="K947" s="1"/>
      <c r="L947" s="41"/>
      <c r="M947" s="1"/>
      <c r="N947" s="41"/>
      <c r="O947" s="41"/>
      <c r="P947" s="41"/>
      <c r="Q947" s="41"/>
      <c r="R947" s="41"/>
      <c r="S947" s="41"/>
      <c r="T947" s="41"/>
      <c r="U947" s="41"/>
      <c r="V947" s="41"/>
      <c r="W947" s="41"/>
      <c r="X947" s="41"/>
      <c r="Y947" s="41"/>
      <c r="Z947" s="41"/>
    </row>
    <row r="948" ht="15.75" customHeight="1">
      <c r="A948" s="35"/>
      <c r="B948" s="35"/>
      <c r="C948" s="35"/>
      <c r="D948" s="35"/>
      <c r="E948" s="1"/>
      <c r="F948" s="1"/>
      <c r="G948" s="1"/>
      <c r="H948" s="1"/>
      <c r="I948" s="1"/>
      <c r="J948" s="41"/>
      <c r="K948" s="1"/>
      <c r="L948" s="41"/>
      <c r="M948" s="1"/>
      <c r="N948" s="41"/>
      <c r="O948" s="41"/>
      <c r="P948" s="41"/>
      <c r="Q948" s="41"/>
      <c r="R948" s="41"/>
      <c r="S948" s="41"/>
      <c r="T948" s="41"/>
      <c r="U948" s="41"/>
      <c r="V948" s="41"/>
      <c r="W948" s="41"/>
      <c r="X948" s="41"/>
      <c r="Y948" s="41"/>
      <c r="Z948" s="41"/>
    </row>
    <row r="949" ht="15.75" customHeight="1">
      <c r="A949" s="35"/>
      <c r="B949" s="35"/>
      <c r="C949" s="35"/>
      <c r="D949" s="35"/>
      <c r="E949" s="1"/>
      <c r="F949" s="1"/>
      <c r="G949" s="1"/>
      <c r="H949" s="1"/>
      <c r="I949" s="1"/>
      <c r="J949" s="41"/>
      <c r="K949" s="1"/>
      <c r="L949" s="41"/>
      <c r="M949" s="1"/>
      <c r="N949" s="41"/>
      <c r="O949" s="41"/>
      <c r="P949" s="41"/>
      <c r="Q949" s="41"/>
      <c r="R949" s="41"/>
      <c r="S949" s="41"/>
      <c r="T949" s="41"/>
      <c r="U949" s="41"/>
      <c r="V949" s="41"/>
      <c r="W949" s="41"/>
      <c r="X949" s="41"/>
      <c r="Y949" s="41"/>
      <c r="Z949" s="41"/>
    </row>
    <row r="950" ht="15.75" customHeight="1">
      <c r="A950" s="35"/>
      <c r="B950" s="35"/>
      <c r="C950" s="35"/>
      <c r="D950" s="35"/>
      <c r="E950" s="1"/>
      <c r="F950" s="1"/>
      <c r="G950" s="1"/>
      <c r="H950" s="1"/>
      <c r="I950" s="1"/>
      <c r="J950" s="41"/>
      <c r="K950" s="1"/>
      <c r="L950" s="41"/>
      <c r="M950" s="1"/>
      <c r="N950" s="41"/>
      <c r="O950" s="41"/>
      <c r="P950" s="41"/>
      <c r="Q950" s="41"/>
      <c r="R950" s="41"/>
      <c r="S950" s="41"/>
      <c r="T950" s="41"/>
      <c r="U950" s="41"/>
      <c r="V950" s="41"/>
      <c r="W950" s="41"/>
      <c r="X950" s="41"/>
      <c r="Y950" s="41"/>
      <c r="Z950" s="41"/>
    </row>
    <row r="951" ht="15.75" customHeight="1">
      <c r="A951" s="35"/>
      <c r="B951" s="35"/>
      <c r="C951" s="35"/>
      <c r="D951" s="35"/>
      <c r="E951" s="1"/>
      <c r="F951" s="1"/>
      <c r="G951" s="1"/>
      <c r="H951" s="1"/>
      <c r="I951" s="1"/>
      <c r="J951" s="41"/>
      <c r="K951" s="1"/>
      <c r="L951" s="41"/>
      <c r="M951" s="1"/>
      <c r="N951" s="41"/>
      <c r="O951" s="41"/>
      <c r="P951" s="41"/>
      <c r="Q951" s="41"/>
      <c r="R951" s="41"/>
      <c r="S951" s="41"/>
      <c r="T951" s="41"/>
      <c r="U951" s="41"/>
      <c r="V951" s="41"/>
      <c r="W951" s="41"/>
      <c r="X951" s="41"/>
      <c r="Y951" s="41"/>
      <c r="Z951" s="41"/>
    </row>
    <row r="952" ht="15.75" customHeight="1">
      <c r="A952" s="35"/>
      <c r="B952" s="35"/>
      <c r="C952" s="35"/>
      <c r="D952" s="35"/>
      <c r="E952" s="1"/>
      <c r="F952" s="1"/>
      <c r="G952" s="1"/>
      <c r="H952" s="1"/>
      <c r="I952" s="1"/>
      <c r="J952" s="41"/>
      <c r="K952" s="1"/>
      <c r="L952" s="41"/>
      <c r="M952" s="1"/>
      <c r="N952" s="41"/>
      <c r="O952" s="41"/>
      <c r="P952" s="41"/>
      <c r="Q952" s="41"/>
      <c r="R952" s="41"/>
      <c r="S952" s="41"/>
      <c r="T952" s="41"/>
      <c r="U952" s="41"/>
      <c r="V952" s="41"/>
      <c r="W952" s="41"/>
      <c r="X952" s="41"/>
      <c r="Y952" s="41"/>
      <c r="Z952" s="41"/>
    </row>
    <row r="953" ht="15.75" customHeight="1">
      <c r="A953" s="35"/>
      <c r="B953" s="35"/>
      <c r="C953" s="35"/>
      <c r="D953" s="35"/>
      <c r="E953" s="1"/>
      <c r="F953" s="1"/>
      <c r="G953" s="1"/>
      <c r="H953" s="1"/>
      <c r="I953" s="1"/>
      <c r="J953" s="41"/>
      <c r="K953" s="1"/>
      <c r="L953" s="41"/>
      <c r="M953" s="1"/>
      <c r="N953" s="41"/>
      <c r="O953" s="41"/>
      <c r="P953" s="41"/>
      <c r="Q953" s="41"/>
      <c r="R953" s="41"/>
      <c r="S953" s="41"/>
      <c r="T953" s="41"/>
      <c r="U953" s="41"/>
      <c r="V953" s="41"/>
      <c r="W953" s="41"/>
      <c r="X953" s="41"/>
      <c r="Y953" s="41"/>
      <c r="Z953" s="41"/>
    </row>
    <row r="954" ht="15.75" customHeight="1">
      <c r="A954" s="35"/>
      <c r="B954" s="35"/>
      <c r="C954" s="35"/>
      <c r="D954" s="35"/>
      <c r="E954" s="1"/>
      <c r="F954" s="1"/>
      <c r="G954" s="1"/>
      <c r="H954" s="1"/>
      <c r="I954" s="1"/>
      <c r="J954" s="41"/>
      <c r="K954" s="1"/>
      <c r="L954" s="41"/>
      <c r="M954" s="1"/>
      <c r="N954" s="41"/>
      <c r="O954" s="41"/>
      <c r="P954" s="41"/>
      <c r="Q954" s="41"/>
      <c r="R954" s="41"/>
      <c r="S954" s="41"/>
      <c r="T954" s="41"/>
      <c r="U954" s="41"/>
      <c r="V954" s="41"/>
      <c r="W954" s="41"/>
      <c r="X954" s="41"/>
      <c r="Y954" s="41"/>
      <c r="Z954" s="41"/>
    </row>
    <row r="955" ht="15.75" customHeight="1">
      <c r="A955" s="35"/>
      <c r="B955" s="35"/>
      <c r="C955" s="35"/>
      <c r="D955" s="35"/>
      <c r="E955" s="1"/>
      <c r="F955" s="1"/>
      <c r="G955" s="1"/>
      <c r="H955" s="1"/>
      <c r="I955" s="1"/>
      <c r="J955" s="41"/>
      <c r="K955" s="1"/>
      <c r="L955" s="41"/>
      <c r="M955" s="1"/>
      <c r="N955" s="41"/>
      <c r="O955" s="41"/>
      <c r="P955" s="41"/>
      <c r="Q955" s="41"/>
      <c r="R955" s="41"/>
      <c r="S955" s="41"/>
      <c r="T955" s="41"/>
      <c r="U955" s="41"/>
      <c r="V955" s="41"/>
      <c r="W955" s="41"/>
      <c r="X955" s="41"/>
      <c r="Y955" s="41"/>
      <c r="Z955" s="41"/>
    </row>
    <row r="956" ht="15.75" customHeight="1">
      <c r="A956" s="35"/>
      <c r="B956" s="35"/>
      <c r="C956" s="35"/>
      <c r="D956" s="35"/>
      <c r="E956" s="1"/>
      <c r="F956" s="1"/>
      <c r="G956" s="1"/>
      <c r="H956" s="1"/>
      <c r="I956" s="1"/>
      <c r="J956" s="41"/>
      <c r="K956" s="1"/>
      <c r="L956" s="41"/>
      <c r="M956" s="1"/>
      <c r="N956" s="41"/>
      <c r="O956" s="41"/>
      <c r="P956" s="41"/>
      <c r="Q956" s="41"/>
      <c r="R956" s="41"/>
      <c r="S956" s="41"/>
      <c r="T956" s="41"/>
      <c r="U956" s="41"/>
      <c r="V956" s="41"/>
      <c r="W956" s="41"/>
      <c r="X956" s="41"/>
      <c r="Y956" s="41"/>
      <c r="Z956" s="41"/>
    </row>
    <row r="957" ht="15.75" customHeight="1">
      <c r="A957" s="35"/>
      <c r="B957" s="35"/>
      <c r="C957" s="35"/>
      <c r="D957" s="35"/>
      <c r="E957" s="1"/>
      <c r="F957" s="1"/>
      <c r="G957" s="1"/>
      <c r="H957" s="1"/>
      <c r="I957" s="1"/>
      <c r="J957" s="41"/>
      <c r="K957" s="1"/>
      <c r="L957" s="41"/>
      <c r="M957" s="1"/>
      <c r="N957" s="41"/>
      <c r="O957" s="41"/>
      <c r="P957" s="41"/>
      <c r="Q957" s="41"/>
      <c r="R957" s="41"/>
      <c r="S957" s="41"/>
      <c r="T957" s="41"/>
      <c r="U957" s="41"/>
      <c r="V957" s="41"/>
      <c r="W957" s="41"/>
      <c r="X957" s="41"/>
      <c r="Y957" s="41"/>
      <c r="Z957" s="41"/>
    </row>
    <row r="958" ht="15.75" customHeight="1">
      <c r="A958" s="35"/>
      <c r="B958" s="35"/>
      <c r="C958" s="35"/>
      <c r="D958" s="35"/>
      <c r="E958" s="1"/>
      <c r="F958" s="1"/>
      <c r="G958" s="1"/>
      <c r="H958" s="1"/>
      <c r="I958" s="1"/>
      <c r="J958" s="41"/>
      <c r="K958" s="1"/>
      <c r="L958" s="41"/>
      <c r="M958" s="1"/>
      <c r="N958" s="41"/>
      <c r="O958" s="41"/>
      <c r="P958" s="41"/>
      <c r="Q958" s="41"/>
      <c r="R958" s="41"/>
      <c r="S958" s="41"/>
      <c r="T958" s="41"/>
      <c r="U958" s="41"/>
      <c r="V958" s="41"/>
      <c r="W958" s="41"/>
      <c r="X958" s="41"/>
      <c r="Y958" s="41"/>
      <c r="Z958" s="41"/>
    </row>
    <row r="959" ht="15.75" customHeight="1">
      <c r="A959" s="35"/>
      <c r="B959" s="35"/>
      <c r="C959" s="35"/>
      <c r="D959" s="35"/>
      <c r="E959" s="1"/>
      <c r="F959" s="1"/>
      <c r="G959" s="1"/>
      <c r="H959" s="1"/>
      <c r="I959" s="1"/>
      <c r="J959" s="41"/>
      <c r="K959" s="1"/>
      <c r="L959" s="41"/>
      <c r="M959" s="1"/>
      <c r="N959" s="41"/>
      <c r="O959" s="41"/>
      <c r="P959" s="41"/>
      <c r="Q959" s="41"/>
      <c r="R959" s="41"/>
      <c r="S959" s="41"/>
      <c r="T959" s="41"/>
      <c r="U959" s="41"/>
      <c r="V959" s="41"/>
      <c r="W959" s="41"/>
      <c r="X959" s="41"/>
      <c r="Y959" s="41"/>
      <c r="Z959" s="41"/>
    </row>
    <row r="960" ht="15.75" customHeight="1">
      <c r="A960" s="35"/>
      <c r="B960" s="35"/>
      <c r="C960" s="35"/>
      <c r="D960" s="35"/>
      <c r="E960" s="1"/>
      <c r="F960" s="1"/>
      <c r="G960" s="1"/>
      <c r="H960" s="1"/>
      <c r="I960" s="1"/>
      <c r="J960" s="41"/>
      <c r="K960" s="1"/>
      <c r="L960" s="41"/>
      <c r="M960" s="1"/>
      <c r="N960" s="41"/>
      <c r="O960" s="41"/>
      <c r="P960" s="41"/>
      <c r="Q960" s="41"/>
      <c r="R960" s="41"/>
      <c r="S960" s="41"/>
      <c r="T960" s="41"/>
      <c r="U960" s="41"/>
      <c r="V960" s="41"/>
      <c r="W960" s="41"/>
      <c r="X960" s="41"/>
      <c r="Y960" s="41"/>
      <c r="Z960" s="41"/>
    </row>
    <row r="961" ht="15.75" customHeight="1">
      <c r="A961" s="35"/>
      <c r="B961" s="35"/>
      <c r="C961" s="35"/>
      <c r="D961" s="35"/>
      <c r="E961" s="1"/>
      <c r="F961" s="1"/>
      <c r="G961" s="1"/>
      <c r="H961" s="1"/>
      <c r="I961" s="1"/>
      <c r="J961" s="41"/>
      <c r="K961" s="1"/>
      <c r="L961" s="41"/>
      <c r="M961" s="1"/>
      <c r="N961" s="41"/>
      <c r="O961" s="41"/>
      <c r="P961" s="41"/>
      <c r="Q961" s="41"/>
      <c r="R961" s="41"/>
      <c r="S961" s="41"/>
      <c r="T961" s="41"/>
      <c r="U961" s="41"/>
      <c r="V961" s="41"/>
      <c r="W961" s="41"/>
      <c r="X961" s="41"/>
      <c r="Y961" s="41"/>
      <c r="Z961" s="41"/>
    </row>
    <row r="962" ht="15.75" customHeight="1">
      <c r="A962" s="35"/>
      <c r="B962" s="35"/>
      <c r="C962" s="35"/>
      <c r="D962" s="35"/>
      <c r="E962" s="1"/>
      <c r="F962" s="1"/>
      <c r="G962" s="1"/>
      <c r="H962" s="1"/>
      <c r="I962" s="1"/>
      <c r="J962" s="41"/>
      <c r="K962" s="1"/>
      <c r="L962" s="41"/>
      <c r="M962" s="1"/>
      <c r="N962" s="41"/>
      <c r="O962" s="41"/>
      <c r="P962" s="41"/>
      <c r="Q962" s="41"/>
      <c r="R962" s="41"/>
      <c r="S962" s="41"/>
      <c r="T962" s="41"/>
      <c r="U962" s="41"/>
      <c r="V962" s="41"/>
      <c r="W962" s="41"/>
      <c r="X962" s="41"/>
      <c r="Y962" s="41"/>
      <c r="Z962" s="41"/>
    </row>
    <row r="963" ht="15.75" customHeight="1">
      <c r="A963" s="35"/>
      <c r="B963" s="35"/>
      <c r="C963" s="35"/>
      <c r="D963" s="35"/>
      <c r="E963" s="1"/>
      <c r="F963" s="1"/>
      <c r="G963" s="1"/>
      <c r="H963" s="1"/>
      <c r="I963" s="1"/>
      <c r="J963" s="41"/>
      <c r="K963" s="1"/>
      <c r="L963" s="41"/>
      <c r="M963" s="1"/>
      <c r="N963" s="41"/>
      <c r="O963" s="41"/>
      <c r="P963" s="41"/>
      <c r="Q963" s="41"/>
      <c r="R963" s="41"/>
      <c r="S963" s="41"/>
      <c r="T963" s="41"/>
      <c r="U963" s="41"/>
      <c r="V963" s="41"/>
      <c r="W963" s="41"/>
      <c r="X963" s="41"/>
      <c r="Y963" s="41"/>
      <c r="Z963" s="41"/>
    </row>
    <row r="964" ht="15.75" customHeight="1">
      <c r="A964" s="35"/>
      <c r="B964" s="35"/>
      <c r="C964" s="35"/>
      <c r="D964" s="35"/>
      <c r="E964" s="1"/>
      <c r="F964" s="1"/>
      <c r="G964" s="1"/>
      <c r="H964" s="1"/>
      <c r="I964" s="1"/>
      <c r="J964" s="41"/>
      <c r="K964" s="1"/>
      <c r="L964" s="41"/>
      <c r="M964" s="1"/>
      <c r="N964" s="41"/>
      <c r="O964" s="41"/>
      <c r="P964" s="41"/>
      <c r="Q964" s="41"/>
      <c r="R964" s="41"/>
      <c r="S964" s="41"/>
      <c r="T964" s="41"/>
      <c r="U964" s="41"/>
      <c r="V964" s="41"/>
      <c r="W964" s="41"/>
      <c r="X964" s="41"/>
      <c r="Y964" s="41"/>
      <c r="Z964" s="41"/>
    </row>
    <row r="965" ht="15.75" customHeight="1">
      <c r="A965" s="35"/>
      <c r="B965" s="35"/>
      <c r="C965" s="35"/>
      <c r="D965" s="35"/>
      <c r="E965" s="1"/>
      <c r="F965" s="1"/>
      <c r="G965" s="1"/>
      <c r="H965" s="1"/>
      <c r="I965" s="1"/>
      <c r="J965" s="41"/>
      <c r="K965" s="1"/>
      <c r="L965" s="41"/>
      <c r="M965" s="1"/>
      <c r="N965" s="41"/>
      <c r="O965" s="41"/>
      <c r="P965" s="41"/>
      <c r="Q965" s="41"/>
      <c r="R965" s="41"/>
      <c r="S965" s="41"/>
      <c r="T965" s="41"/>
      <c r="U965" s="41"/>
      <c r="V965" s="41"/>
      <c r="W965" s="41"/>
      <c r="X965" s="41"/>
      <c r="Y965" s="41"/>
      <c r="Z965" s="41"/>
    </row>
    <row r="966" ht="15.75" customHeight="1">
      <c r="A966" s="35"/>
      <c r="B966" s="35"/>
      <c r="C966" s="35"/>
      <c r="D966" s="35"/>
      <c r="E966" s="1"/>
      <c r="F966" s="1"/>
      <c r="G966" s="1"/>
      <c r="H966" s="1"/>
      <c r="I966" s="1"/>
      <c r="J966" s="41"/>
      <c r="K966" s="1"/>
      <c r="L966" s="41"/>
      <c r="M966" s="1"/>
      <c r="N966" s="41"/>
      <c r="O966" s="41"/>
      <c r="P966" s="41"/>
      <c r="Q966" s="41"/>
      <c r="R966" s="41"/>
      <c r="S966" s="41"/>
      <c r="T966" s="41"/>
      <c r="U966" s="41"/>
      <c r="V966" s="41"/>
      <c r="W966" s="41"/>
      <c r="X966" s="41"/>
      <c r="Y966" s="41"/>
      <c r="Z966" s="41"/>
    </row>
    <row r="967" ht="15.75" customHeight="1">
      <c r="A967" s="35"/>
      <c r="B967" s="35"/>
      <c r="C967" s="35"/>
      <c r="D967" s="35"/>
      <c r="E967" s="1"/>
      <c r="F967" s="1"/>
      <c r="G967" s="1"/>
      <c r="H967" s="1"/>
      <c r="I967" s="1"/>
      <c r="J967" s="41"/>
      <c r="K967" s="1"/>
      <c r="L967" s="41"/>
      <c r="M967" s="1"/>
      <c r="N967" s="41"/>
      <c r="O967" s="41"/>
      <c r="P967" s="41"/>
      <c r="Q967" s="41"/>
      <c r="R967" s="41"/>
      <c r="S967" s="41"/>
      <c r="T967" s="41"/>
      <c r="U967" s="41"/>
      <c r="V967" s="41"/>
      <c r="W967" s="41"/>
      <c r="X967" s="41"/>
      <c r="Y967" s="41"/>
      <c r="Z967" s="41"/>
    </row>
    <row r="968" ht="15.75" customHeight="1">
      <c r="A968" s="35"/>
      <c r="B968" s="35"/>
      <c r="C968" s="35"/>
      <c r="D968" s="35"/>
      <c r="E968" s="1"/>
      <c r="F968" s="1"/>
      <c r="G968" s="1"/>
      <c r="H968" s="1"/>
      <c r="I968" s="1"/>
      <c r="J968" s="41"/>
      <c r="K968" s="1"/>
      <c r="L968" s="41"/>
      <c r="M968" s="1"/>
      <c r="N968" s="41"/>
      <c r="O968" s="41"/>
      <c r="P968" s="41"/>
      <c r="Q968" s="41"/>
      <c r="R968" s="41"/>
      <c r="S968" s="41"/>
      <c r="T968" s="41"/>
      <c r="U968" s="41"/>
      <c r="V968" s="41"/>
      <c r="W968" s="41"/>
      <c r="X968" s="41"/>
      <c r="Y968" s="41"/>
      <c r="Z968" s="41"/>
    </row>
    <row r="969" ht="15.75" customHeight="1">
      <c r="A969" s="35"/>
      <c r="B969" s="35"/>
      <c r="C969" s="35"/>
      <c r="D969" s="35"/>
      <c r="E969" s="1"/>
      <c r="F969" s="1"/>
      <c r="G969" s="1"/>
      <c r="H969" s="1"/>
      <c r="I969" s="1"/>
      <c r="J969" s="41"/>
      <c r="K969" s="1"/>
      <c r="L969" s="41"/>
      <c r="M969" s="1"/>
      <c r="N969" s="41"/>
      <c r="O969" s="41"/>
      <c r="P969" s="41"/>
      <c r="Q969" s="41"/>
      <c r="R969" s="41"/>
      <c r="S969" s="41"/>
      <c r="T969" s="41"/>
      <c r="U969" s="41"/>
      <c r="V969" s="41"/>
      <c r="W969" s="41"/>
      <c r="X969" s="41"/>
      <c r="Y969" s="41"/>
      <c r="Z969" s="41"/>
    </row>
    <row r="970" ht="15.75" customHeight="1">
      <c r="A970" s="35"/>
      <c r="B970" s="35"/>
      <c r="C970" s="35"/>
      <c r="D970" s="35"/>
      <c r="E970" s="1"/>
      <c r="F970" s="1"/>
      <c r="G970" s="1"/>
      <c r="H970" s="1"/>
      <c r="I970" s="1"/>
      <c r="J970" s="41"/>
      <c r="K970" s="1"/>
      <c r="L970" s="41"/>
      <c r="M970" s="1"/>
      <c r="N970" s="41"/>
      <c r="O970" s="41"/>
      <c r="P970" s="41"/>
      <c r="Q970" s="41"/>
      <c r="R970" s="41"/>
      <c r="S970" s="41"/>
      <c r="T970" s="41"/>
      <c r="U970" s="41"/>
      <c r="V970" s="41"/>
      <c r="W970" s="41"/>
      <c r="X970" s="41"/>
      <c r="Y970" s="41"/>
      <c r="Z970" s="41"/>
    </row>
    <row r="971" ht="15.75" customHeight="1">
      <c r="A971" s="35"/>
      <c r="B971" s="35"/>
      <c r="C971" s="35"/>
      <c r="D971" s="35"/>
      <c r="E971" s="1"/>
      <c r="F971" s="1"/>
      <c r="G971" s="1"/>
      <c r="H971" s="1"/>
      <c r="I971" s="1"/>
      <c r="J971" s="41"/>
      <c r="K971" s="1"/>
      <c r="L971" s="41"/>
      <c r="M971" s="1"/>
      <c r="N971" s="41"/>
      <c r="O971" s="41"/>
      <c r="P971" s="41"/>
      <c r="Q971" s="41"/>
      <c r="R971" s="41"/>
      <c r="S971" s="41"/>
      <c r="T971" s="41"/>
      <c r="U971" s="41"/>
      <c r="V971" s="41"/>
      <c r="W971" s="41"/>
      <c r="X971" s="41"/>
      <c r="Y971" s="41"/>
      <c r="Z971" s="41"/>
    </row>
    <row r="972" ht="15.75" customHeight="1">
      <c r="A972" s="35"/>
      <c r="B972" s="35"/>
      <c r="C972" s="35"/>
      <c r="D972" s="35"/>
      <c r="E972" s="1"/>
      <c r="F972" s="1"/>
      <c r="G972" s="1"/>
      <c r="H972" s="1"/>
      <c r="I972" s="1"/>
      <c r="J972" s="41"/>
      <c r="K972" s="1"/>
      <c r="L972" s="41"/>
      <c r="M972" s="1"/>
      <c r="N972" s="41"/>
      <c r="O972" s="41"/>
      <c r="P972" s="41"/>
      <c r="Q972" s="41"/>
      <c r="R972" s="41"/>
      <c r="S972" s="41"/>
      <c r="T972" s="41"/>
      <c r="U972" s="41"/>
      <c r="V972" s="41"/>
      <c r="W972" s="41"/>
      <c r="X972" s="41"/>
      <c r="Y972" s="41"/>
      <c r="Z972" s="41"/>
    </row>
    <row r="973" ht="15.75" customHeight="1">
      <c r="A973" s="35"/>
      <c r="B973" s="35"/>
      <c r="C973" s="35"/>
      <c r="D973" s="35"/>
      <c r="E973" s="1"/>
      <c r="F973" s="1"/>
      <c r="G973" s="1"/>
      <c r="H973" s="1"/>
      <c r="I973" s="1"/>
      <c r="J973" s="41"/>
      <c r="K973" s="1"/>
      <c r="L973" s="41"/>
      <c r="M973" s="1"/>
      <c r="N973" s="41"/>
      <c r="O973" s="41"/>
      <c r="P973" s="41"/>
      <c r="Q973" s="41"/>
      <c r="R973" s="41"/>
      <c r="S973" s="41"/>
      <c r="T973" s="41"/>
      <c r="U973" s="41"/>
      <c r="V973" s="41"/>
      <c r="W973" s="41"/>
      <c r="X973" s="41"/>
      <c r="Y973" s="41"/>
      <c r="Z973" s="41"/>
    </row>
    <row r="974" ht="15.75" customHeight="1">
      <c r="A974" s="35"/>
      <c r="B974" s="35"/>
      <c r="C974" s="35"/>
      <c r="D974" s="35"/>
      <c r="E974" s="1"/>
      <c r="F974" s="1"/>
      <c r="G974" s="1"/>
      <c r="H974" s="1"/>
      <c r="I974" s="1"/>
      <c r="J974" s="41"/>
      <c r="K974" s="1"/>
      <c r="L974" s="41"/>
      <c r="M974" s="1"/>
      <c r="N974" s="41"/>
      <c r="O974" s="41"/>
      <c r="P974" s="41"/>
      <c r="Q974" s="41"/>
      <c r="R974" s="41"/>
      <c r="S974" s="41"/>
      <c r="T974" s="41"/>
      <c r="U974" s="41"/>
      <c r="V974" s="41"/>
      <c r="W974" s="41"/>
      <c r="X974" s="41"/>
      <c r="Y974" s="41"/>
      <c r="Z974" s="41"/>
    </row>
    <row r="975" ht="15.75" customHeight="1">
      <c r="A975" s="35"/>
      <c r="B975" s="35"/>
      <c r="C975" s="35"/>
      <c r="D975" s="35"/>
      <c r="E975" s="1"/>
      <c r="F975" s="1"/>
      <c r="G975" s="1"/>
      <c r="H975" s="1"/>
      <c r="I975" s="1"/>
      <c r="J975" s="41"/>
      <c r="K975" s="1"/>
      <c r="L975" s="41"/>
      <c r="M975" s="1"/>
      <c r="N975" s="41"/>
      <c r="O975" s="41"/>
      <c r="P975" s="41"/>
      <c r="Q975" s="41"/>
      <c r="R975" s="41"/>
      <c r="S975" s="41"/>
      <c r="T975" s="41"/>
      <c r="U975" s="41"/>
      <c r="V975" s="41"/>
      <c r="W975" s="41"/>
      <c r="X975" s="41"/>
      <c r="Y975" s="41"/>
      <c r="Z975" s="41"/>
    </row>
    <row r="976" ht="15.75" customHeight="1">
      <c r="A976" s="35"/>
      <c r="B976" s="35"/>
      <c r="C976" s="35"/>
      <c r="D976" s="35"/>
      <c r="E976" s="1"/>
      <c r="F976" s="1"/>
      <c r="G976" s="1"/>
      <c r="H976" s="1"/>
      <c r="I976" s="1"/>
      <c r="J976" s="41"/>
      <c r="K976" s="1"/>
      <c r="L976" s="41"/>
      <c r="M976" s="1"/>
      <c r="N976" s="41"/>
      <c r="O976" s="41"/>
      <c r="P976" s="41"/>
      <c r="Q976" s="41"/>
      <c r="R976" s="41"/>
      <c r="S976" s="41"/>
      <c r="T976" s="41"/>
      <c r="U976" s="41"/>
      <c r="V976" s="41"/>
      <c r="W976" s="41"/>
      <c r="X976" s="41"/>
      <c r="Y976" s="41"/>
      <c r="Z976" s="41"/>
    </row>
    <row r="977" ht="15.75" customHeight="1">
      <c r="A977" s="35"/>
      <c r="B977" s="35"/>
      <c r="C977" s="35"/>
      <c r="D977" s="35"/>
      <c r="E977" s="1"/>
      <c r="F977" s="1"/>
      <c r="G977" s="1"/>
      <c r="H977" s="1"/>
      <c r="I977" s="1"/>
      <c r="J977" s="41"/>
      <c r="K977" s="1"/>
      <c r="L977" s="41"/>
      <c r="M977" s="1"/>
      <c r="N977" s="41"/>
      <c r="O977" s="41"/>
      <c r="P977" s="41"/>
      <c r="Q977" s="41"/>
      <c r="R977" s="41"/>
      <c r="S977" s="41"/>
      <c r="T977" s="41"/>
      <c r="U977" s="41"/>
      <c r="V977" s="41"/>
      <c r="W977" s="41"/>
      <c r="X977" s="41"/>
      <c r="Y977" s="41"/>
      <c r="Z977" s="41"/>
    </row>
    <row r="978" ht="15.75" customHeight="1">
      <c r="A978" s="35"/>
      <c r="B978" s="35"/>
      <c r="C978" s="35"/>
      <c r="D978" s="35"/>
      <c r="E978" s="1"/>
      <c r="F978" s="1"/>
      <c r="G978" s="1"/>
      <c r="H978" s="1"/>
      <c r="I978" s="1"/>
      <c r="J978" s="41"/>
      <c r="K978" s="1"/>
      <c r="L978" s="41"/>
      <c r="M978" s="1"/>
      <c r="N978" s="41"/>
      <c r="O978" s="41"/>
      <c r="P978" s="41"/>
      <c r="Q978" s="41"/>
      <c r="R978" s="41"/>
      <c r="S978" s="41"/>
      <c r="T978" s="41"/>
      <c r="U978" s="41"/>
      <c r="V978" s="41"/>
      <c r="W978" s="41"/>
      <c r="X978" s="41"/>
      <c r="Y978" s="41"/>
      <c r="Z978" s="41"/>
    </row>
    <row r="979" ht="15.75" customHeight="1">
      <c r="A979" s="35"/>
      <c r="B979" s="35"/>
      <c r="C979" s="35"/>
      <c r="D979" s="35"/>
      <c r="E979" s="1"/>
      <c r="F979" s="1"/>
      <c r="G979" s="1"/>
      <c r="H979" s="1"/>
      <c r="I979" s="1"/>
      <c r="J979" s="41"/>
      <c r="K979" s="1"/>
      <c r="L979" s="41"/>
      <c r="M979" s="1"/>
      <c r="N979" s="41"/>
      <c r="O979" s="41"/>
      <c r="P979" s="41"/>
      <c r="Q979" s="41"/>
      <c r="R979" s="41"/>
      <c r="S979" s="41"/>
      <c r="T979" s="41"/>
      <c r="U979" s="41"/>
      <c r="V979" s="41"/>
      <c r="W979" s="41"/>
      <c r="X979" s="41"/>
      <c r="Y979" s="41"/>
      <c r="Z979" s="41"/>
    </row>
    <row r="980" ht="15.75" customHeight="1">
      <c r="A980" s="35"/>
      <c r="B980" s="35"/>
      <c r="C980" s="35"/>
      <c r="D980" s="35"/>
      <c r="E980" s="1"/>
      <c r="F980" s="1"/>
      <c r="G980" s="1"/>
      <c r="H980" s="1"/>
      <c r="I980" s="1"/>
      <c r="J980" s="41"/>
      <c r="K980" s="1"/>
      <c r="L980" s="41"/>
      <c r="M980" s="1"/>
      <c r="N980" s="41"/>
      <c r="O980" s="41"/>
      <c r="P980" s="41"/>
      <c r="Q980" s="41"/>
      <c r="R980" s="41"/>
      <c r="S980" s="41"/>
      <c r="T980" s="41"/>
      <c r="U980" s="41"/>
      <c r="V980" s="41"/>
      <c r="W980" s="41"/>
      <c r="X980" s="41"/>
      <c r="Y980" s="41"/>
      <c r="Z980" s="41"/>
    </row>
    <row r="981" ht="15.75" customHeight="1">
      <c r="A981" s="35"/>
      <c r="B981" s="35"/>
      <c r="C981" s="35"/>
      <c r="D981" s="35"/>
      <c r="E981" s="1"/>
      <c r="F981" s="1"/>
      <c r="G981" s="1"/>
      <c r="H981" s="1"/>
      <c r="I981" s="1"/>
      <c r="J981" s="41"/>
      <c r="K981" s="1"/>
      <c r="L981" s="41"/>
      <c r="M981" s="1"/>
      <c r="N981" s="41"/>
      <c r="O981" s="41"/>
      <c r="P981" s="41"/>
      <c r="Q981" s="41"/>
      <c r="R981" s="41"/>
      <c r="S981" s="41"/>
      <c r="T981" s="41"/>
      <c r="U981" s="41"/>
      <c r="V981" s="41"/>
      <c r="W981" s="41"/>
      <c r="X981" s="41"/>
      <c r="Y981" s="41"/>
      <c r="Z981" s="41"/>
    </row>
    <row r="982" ht="15.75" customHeight="1">
      <c r="A982" s="35"/>
      <c r="B982" s="35"/>
      <c r="C982" s="35"/>
      <c r="D982" s="35"/>
      <c r="E982" s="1"/>
      <c r="F982" s="1"/>
      <c r="G982" s="1"/>
      <c r="H982" s="1"/>
      <c r="I982" s="1"/>
      <c r="J982" s="41"/>
      <c r="K982" s="1"/>
      <c r="L982" s="41"/>
      <c r="M982" s="1"/>
      <c r="N982" s="41"/>
      <c r="O982" s="41"/>
      <c r="P982" s="41"/>
      <c r="Q982" s="41"/>
      <c r="R982" s="41"/>
      <c r="S982" s="41"/>
      <c r="T982" s="41"/>
      <c r="U982" s="41"/>
      <c r="V982" s="41"/>
      <c r="W982" s="41"/>
      <c r="X982" s="41"/>
      <c r="Y982" s="41"/>
      <c r="Z982" s="41"/>
    </row>
    <row r="983" ht="15.75" customHeight="1">
      <c r="A983" s="35"/>
      <c r="B983" s="35"/>
      <c r="C983" s="35"/>
      <c r="D983" s="35"/>
      <c r="E983" s="1"/>
      <c r="F983" s="1"/>
      <c r="G983" s="1"/>
      <c r="H983" s="1"/>
      <c r="I983" s="1"/>
      <c r="J983" s="41"/>
      <c r="K983" s="1"/>
      <c r="L983" s="41"/>
      <c r="M983" s="1"/>
      <c r="N983" s="41"/>
      <c r="O983" s="41"/>
      <c r="P983" s="41"/>
      <c r="Q983" s="41"/>
      <c r="R983" s="41"/>
      <c r="S983" s="41"/>
      <c r="T983" s="41"/>
      <c r="U983" s="41"/>
      <c r="V983" s="41"/>
      <c r="W983" s="41"/>
      <c r="X983" s="41"/>
      <c r="Y983" s="41"/>
      <c r="Z983" s="41"/>
    </row>
    <row r="984" ht="15.75" customHeight="1">
      <c r="A984" s="35"/>
      <c r="B984" s="35"/>
      <c r="C984" s="35"/>
      <c r="D984" s="35"/>
      <c r="E984" s="1"/>
      <c r="F984" s="1"/>
      <c r="G984" s="1"/>
      <c r="H984" s="1"/>
      <c r="I984" s="1"/>
      <c r="J984" s="41"/>
      <c r="K984" s="1"/>
      <c r="L984" s="41"/>
      <c r="M984" s="1"/>
      <c r="N984" s="41"/>
      <c r="O984" s="41"/>
      <c r="P984" s="41"/>
      <c r="Q984" s="41"/>
      <c r="R984" s="41"/>
      <c r="S984" s="41"/>
      <c r="T984" s="41"/>
      <c r="U984" s="41"/>
      <c r="V984" s="41"/>
      <c r="W984" s="41"/>
      <c r="X984" s="41"/>
      <c r="Y984" s="41"/>
      <c r="Z984" s="41"/>
    </row>
    <row r="985" ht="15.75" customHeight="1">
      <c r="A985" s="35"/>
      <c r="B985" s="35"/>
      <c r="C985" s="35"/>
      <c r="D985" s="35"/>
      <c r="E985" s="1"/>
      <c r="F985" s="1"/>
      <c r="G985" s="1"/>
      <c r="H985" s="1"/>
      <c r="I985" s="1"/>
      <c r="J985" s="41"/>
      <c r="K985" s="1"/>
      <c r="L985" s="41"/>
      <c r="M985" s="1"/>
      <c r="N985" s="41"/>
      <c r="O985" s="41"/>
      <c r="P985" s="41"/>
      <c r="Q985" s="41"/>
      <c r="R985" s="41"/>
      <c r="S985" s="41"/>
      <c r="T985" s="41"/>
      <c r="U985" s="41"/>
      <c r="V985" s="41"/>
      <c r="W985" s="41"/>
      <c r="X985" s="41"/>
      <c r="Y985" s="41"/>
      <c r="Z985" s="41"/>
    </row>
    <row r="986" ht="15.75" customHeight="1">
      <c r="A986" s="35"/>
      <c r="B986" s="35"/>
      <c r="C986" s="35"/>
      <c r="D986" s="35"/>
      <c r="E986" s="1"/>
      <c r="F986" s="1"/>
      <c r="G986" s="1"/>
      <c r="H986" s="1"/>
      <c r="I986" s="1"/>
      <c r="J986" s="41"/>
      <c r="K986" s="1"/>
      <c r="L986" s="41"/>
      <c r="M986" s="1"/>
      <c r="N986" s="41"/>
      <c r="O986" s="41"/>
      <c r="P986" s="41"/>
      <c r="Q986" s="41"/>
      <c r="R986" s="41"/>
      <c r="S986" s="41"/>
      <c r="T986" s="41"/>
      <c r="U986" s="41"/>
      <c r="V986" s="41"/>
      <c r="W986" s="41"/>
      <c r="X986" s="41"/>
      <c r="Y986" s="41"/>
      <c r="Z986" s="41"/>
    </row>
    <row r="987" ht="15.75" customHeight="1">
      <c r="A987" s="35"/>
      <c r="B987" s="35"/>
      <c r="C987" s="35"/>
      <c r="D987" s="35"/>
      <c r="E987" s="1"/>
      <c r="F987" s="1"/>
      <c r="G987" s="1"/>
      <c r="H987" s="1"/>
      <c r="I987" s="1"/>
      <c r="J987" s="41"/>
      <c r="K987" s="1"/>
      <c r="L987" s="41"/>
      <c r="M987" s="1"/>
      <c r="N987" s="41"/>
      <c r="O987" s="41"/>
      <c r="P987" s="41"/>
      <c r="Q987" s="41"/>
      <c r="R987" s="41"/>
      <c r="S987" s="41"/>
      <c r="T987" s="41"/>
      <c r="U987" s="41"/>
      <c r="V987" s="41"/>
      <c r="W987" s="41"/>
      <c r="X987" s="41"/>
      <c r="Y987" s="41"/>
      <c r="Z987" s="41"/>
    </row>
    <row r="988" ht="15.75" customHeight="1">
      <c r="A988" s="35"/>
      <c r="B988" s="35"/>
      <c r="C988" s="35"/>
      <c r="D988" s="35"/>
      <c r="E988" s="1"/>
      <c r="F988" s="1"/>
      <c r="G988" s="1"/>
      <c r="H988" s="1"/>
      <c r="I988" s="1"/>
      <c r="J988" s="41"/>
      <c r="K988" s="1"/>
      <c r="L988" s="41"/>
      <c r="M988" s="1"/>
      <c r="N988" s="41"/>
      <c r="O988" s="41"/>
      <c r="P988" s="41"/>
      <c r="Q988" s="41"/>
      <c r="R988" s="41"/>
      <c r="S988" s="41"/>
      <c r="T988" s="41"/>
      <c r="U988" s="41"/>
      <c r="V988" s="41"/>
      <c r="W988" s="41"/>
      <c r="X988" s="41"/>
      <c r="Y988" s="41"/>
      <c r="Z988" s="41"/>
    </row>
    <row r="989" ht="15.75" customHeight="1">
      <c r="A989" s="35"/>
      <c r="B989" s="35"/>
      <c r="C989" s="35"/>
      <c r="D989" s="35"/>
      <c r="E989" s="1"/>
      <c r="F989" s="1"/>
      <c r="G989" s="1"/>
      <c r="H989" s="1"/>
      <c r="I989" s="1"/>
      <c r="J989" s="41"/>
      <c r="K989" s="1"/>
      <c r="L989" s="41"/>
      <c r="M989" s="1"/>
      <c r="N989" s="41"/>
      <c r="O989" s="41"/>
      <c r="P989" s="41"/>
      <c r="Q989" s="41"/>
      <c r="R989" s="41"/>
      <c r="S989" s="41"/>
      <c r="T989" s="41"/>
      <c r="U989" s="41"/>
      <c r="V989" s="41"/>
      <c r="W989" s="41"/>
      <c r="X989" s="41"/>
      <c r="Y989" s="41"/>
      <c r="Z989" s="41"/>
    </row>
    <row r="990" ht="15.75" customHeight="1">
      <c r="A990" s="35"/>
      <c r="B990" s="35"/>
      <c r="C990" s="35"/>
      <c r="D990" s="35"/>
      <c r="E990" s="1"/>
      <c r="F990" s="1"/>
      <c r="G990" s="1"/>
      <c r="H990" s="1"/>
      <c r="I990" s="1"/>
      <c r="J990" s="41"/>
      <c r="K990" s="1"/>
      <c r="L990" s="41"/>
      <c r="M990" s="1"/>
      <c r="N990" s="41"/>
      <c r="O990" s="41"/>
      <c r="P990" s="41"/>
      <c r="Q990" s="41"/>
      <c r="R990" s="41"/>
      <c r="S990" s="41"/>
      <c r="T990" s="41"/>
      <c r="U990" s="41"/>
      <c r="V990" s="41"/>
      <c r="W990" s="41"/>
      <c r="X990" s="41"/>
      <c r="Y990" s="41"/>
      <c r="Z990" s="41"/>
    </row>
    <row r="991" ht="15.75" customHeight="1">
      <c r="A991" s="35"/>
      <c r="B991" s="35"/>
      <c r="C991" s="35"/>
      <c r="D991" s="35"/>
      <c r="E991" s="1"/>
      <c r="F991" s="1"/>
      <c r="G991" s="1"/>
      <c r="H991" s="1"/>
      <c r="I991" s="1"/>
      <c r="J991" s="41"/>
      <c r="K991" s="1"/>
      <c r="L991" s="41"/>
      <c r="M991" s="1"/>
      <c r="N991" s="41"/>
      <c r="O991" s="41"/>
      <c r="P991" s="41"/>
      <c r="Q991" s="41"/>
      <c r="R991" s="41"/>
      <c r="S991" s="41"/>
      <c r="T991" s="41"/>
      <c r="U991" s="41"/>
      <c r="V991" s="41"/>
      <c r="W991" s="41"/>
      <c r="X991" s="41"/>
      <c r="Y991" s="41"/>
      <c r="Z991" s="41"/>
    </row>
    <row r="992" ht="15.75" customHeight="1">
      <c r="A992" s="35"/>
      <c r="B992" s="35"/>
      <c r="C992" s="35"/>
      <c r="D992" s="35"/>
      <c r="E992" s="1"/>
      <c r="F992" s="1"/>
      <c r="G992" s="1"/>
      <c r="H992" s="1"/>
      <c r="I992" s="1"/>
      <c r="J992" s="41"/>
      <c r="K992" s="1"/>
      <c r="L992" s="41"/>
      <c r="M992" s="1"/>
      <c r="N992" s="41"/>
      <c r="O992" s="41"/>
      <c r="P992" s="41"/>
      <c r="Q992" s="41"/>
      <c r="R992" s="41"/>
      <c r="S992" s="41"/>
      <c r="T992" s="41"/>
      <c r="U992" s="41"/>
      <c r="V992" s="41"/>
      <c r="W992" s="41"/>
      <c r="X992" s="41"/>
      <c r="Y992" s="41"/>
      <c r="Z992" s="41"/>
    </row>
    <row r="993" ht="15.75" customHeight="1">
      <c r="A993" s="35"/>
      <c r="B993" s="35"/>
      <c r="C993" s="35"/>
      <c r="D993" s="35"/>
      <c r="E993" s="1"/>
      <c r="F993" s="1"/>
      <c r="G993" s="1"/>
      <c r="H993" s="1"/>
      <c r="I993" s="1"/>
      <c r="J993" s="41"/>
      <c r="K993" s="1"/>
      <c r="L993" s="41"/>
      <c r="M993" s="1"/>
      <c r="N993" s="41"/>
      <c r="O993" s="41"/>
      <c r="P993" s="41"/>
      <c r="Q993" s="41"/>
      <c r="R993" s="41"/>
      <c r="S993" s="41"/>
      <c r="T993" s="41"/>
      <c r="U993" s="41"/>
      <c r="V993" s="41"/>
      <c r="W993" s="41"/>
      <c r="X993" s="41"/>
      <c r="Y993" s="41"/>
      <c r="Z993" s="41"/>
    </row>
    <row r="994" ht="15.75" customHeight="1">
      <c r="A994" s="35"/>
      <c r="B994" s="35"/>
      <c r="C994" s="35"/>
      <c r="D994" s="35"/>
      <c r="E994" s="1"/>
      <c r="F994" s="1"/>
      <c r="G994" s="1"/>
      <c r="H994" s="1"/>
      <c r="I994" s="1"/>
      <c r="J994" s="41"/>
      <c r="K994" s="1"/>
      <c r="L994" s="41"/>
      <c r="M994" s="1"/>
      <c r="N994" s="41"/>
      <c r="O994" s="41"/>
      <c r="P994" s="41"/>
      <c r="Q994" s="41"/>
      <c r="R994" s="41"/>
      <c r="S994" s="41"/>
      <c r="T994" s="41"/>
      <c r="U994" s="41"/>
      <c r="V994" s="41"/>
      <c r="W994" s="41"/>
      <c r="X994" s="41"/>
      <c r="Y994" s="41"/>
      <c r="Z994" s="41"/>
    </row>
    <row r="995" ht="15.75" customHeight="1">
      <c r="A995" s="35"/>
      <c r="B995" s="35"/>
      <c r="C995" s="35"/>
      <c r="D995" s="35"/>
      <c r="E995" s="1"/>
      <c r="F995" s="1"/>
      <c r="G995" s="1"/>
      <c r="H995" s="1"/>
      <c r="I995" s="1"/>
      <c r="J995" s="41"/>
      <c r="K995" s="1"/>
      <c r="L995" s="41"/>
      <c r="M995" s="1"/>
      <c r="N995" s="41"/>
      <c r="O995" s="41"/>
      <c r="P995" s="41"/>
      <c r="Q995" s="41"/>
      <c r="R995" s="41"/>
      <c r="S995" s="41"/>
      <c r="T995" s="41"/>
      <c r="U995" s="41"/>
      <c r="V995" s="41"/>
      <c r="W995" s="41"/>
      <c r="X995" s="41"/>
      <c r="Y995" s="41"/>
      <c r="Z995" s="41"/>
    </row>
    <row r="996" ht="15.75" customHeight="1">
      <c r="A996" s="35"/>
      <c r="B996" s="35"/>
      <c r="C996" s="35"/>
      <c r="D996" s="35"/>
      <c r="E996" s="1"/>
      <c r="F996" s="1"/>
      <c r="G996" s="1"/>
      <c r="H996" s="1"/>
      <c r="I996" s="1"/>
      <c r="J996" s="41"/>
      <c r="K996" s="1"/>
      <c r="L996" s="41"/>
      <c r="M996" s="1"/>
      <c r="N996" s="41"/>
      <c r="O996" s="41"/>
      <c r="P996" s="41"/>
      <c r="Q996" s="41"/>
      <c r="R996" s="41"/>
      <c r="S996" s="41"/>
      <c r="T996" s="41"/>
      <c r="U996" s="41"/>
      <c r="V996" s="41"/>
      <c r="W996" s="41"/>
      <c r="X996" s="41"/>
      <c r="Y996" s="41"/>
      <c r="Z996" s="41"/>
    </row>
    <row r="997" ht="15.75" customHeight="1">
      <c r="A997" s="35"/>
      <c r="B997" s="35"/>
      <c r="C997" s="35"/>
      <c r="D997" s="35"/>
      <c r="E997" s="1"/>
      <c r="F997" s="1"/>
      <c r="G997" s="1"/>
      <c r="H997" s="1"/>
      <c r="I997" s="1"/>
      <c r="J997" s="41"/>
      <c r="K997" s="1"/>
      <c r="L997" s="41"/>
      <c r="M997" s="1"/>
      <c r="N997" s="41"/>
      <c r="O997" s="41"/>
      <c r="P997" s="41"/>
      <c r="Q997" s="41"/>
      <c r="R997" s="41"/>
      <c r="S997" s="41"/>
      <c r="T997" s="41"/>
      <c r="U997" s="41"/>
      <c r="V997" s="41"/>
      <c r="W997" s="41"/>
      <c r="X997" s="41"/>
      <c r="Y997" s="41"/>
      <c r="Z997" s="41"/>
    </row>
    <row r="998" ht="15.75" customHeight="1">
      <c r="A998" s="35"/>
      <c r="B998" s="35"/>
      <c r="C998" s="35"/>
      <c r="D998" s="35"/>
      <c r="E998" s="1"/>
      <c r="F998" s="1"/>
      <c r="G998" s="1"/>
      <c r="H998" s="1"/>
      <c r="I998" s="1"/>
      <c r="J998" s="41"/>
      <c r="K998" s="1"/>
      <c r="L998" s="41"/>
      <c r="M998" s="1"/>
      <c r="N998" s="41"/>
      <c r="O998" s="41"/>
      <c r="P998" s="41"/>
      <c r="Q998" s="41"/>
      <c r="R998" s="41"/>
      <c r="S998" s="41"/>
      <c r="T998" s="41"/>
      <c r="U998" s="41"/>
      <c r="V998" s="41"/>
      <c r="W998" s="41"/>
      <c r="X998" s="41"/>
      <c r="Y998" s="41"/>
      <c r="Z998" s="41"/>
    </row>
    <row r="999" ht="15.75" customHeight="1">
      <c r="A999" s="35"/>
      <c r="B999" s="35"/>
      <c r="C999" s="35"/>
      <c r="D999" s="35"/>
      <c r="E999" s="1"/>
      <c r="F999" s="1"/>
      <c r="G999" s="1"/>
      <c r="H999" s="1"/>
      <c r="I999" s="1"/>
      <c r="J999" s="41"/>
      <c r="K999" s="1"/>
      <c r="L999" s="41"/>
      <c r="M999" s="1"/>
      <c r="N999" s="41"/>
      <c r="O999" s="41"/>
      <c r="P999" s="41"/>
      <c r="Q999" s="41"/>
      <c r="R999" s="41"/>
      <c r="S999" s="41"/>
      <c r="T999" s="41"/>
      <c r="U999" s="41"/>
      <c r="V999" s="41"/>
      <c r="W999" s="41"/>
      <c r="X999" s="41"/>
      <c r="Y999" s="41"/>
      <c r="Z999" s="41"/>
    </row>
    <row r="1000" ht="15.75" customHeight="1">
      <c r="A1000" s="35"/>
      <c r="B1000" s="35"/>
      <c r="C1000" s="35"/>
      <c r="D1000" s="35"/>
      <c r="E1000" s="1"/>
      <c r="F1000" s="1"/>
      <c r="G1000" s="1"/>
      <c r="H1000" s="1"/>
      <c r="I1000" s="1"/>
      <c r="J1000" s="41"/>
      <c r="K1000" s="1"/>
      <c r="L1000" s="41"/>
      <c r="M1000" s="1"/>
      <c r="N1000" s="41"/>
      <c r="O1000" s="41"/>
      <c r="P1000" s="41"/>
      <c r="Q1000" s="41"/>
      <c r="R1000" s="41"/>
      <c r="S1000" s="41"/>
      <c r="T1000" s="41"/>
      <c r="U1000" s="41"/>
      <c r="V1000" s="41"/>
      <c r="W1000" s="41"/>
      <c r="X1000" s="41"/>
      <c r="Y1000" s="41"/>
      <c r="Z1000" s="41"/>
    </row>
  </sheetData>
  <mergeCells count="53">
    <mergeCell ref="B2:M2"/>
    <mergeCell ref="B3:M3"/>
    <mergeCell ref="J6:M6"/>
    <mergeCell ref="J7:M7"/>
    <mergeCell ref="J21:M21"/>
    <mergeCell ref="J22:M22"/>
    <mergeCell ref="J27:M27"/>
    <mergeCell ref="J28:M28"/>
    <mergeCell ref="J34:M34"/>
    <mergeCell ref="J35:M35"/>
    <mergeCell ref="J42:M42"/>
    <mergeCell ref="J46:M46"/>
    <mergeCell ref="J52:M52"/>
    <mergeCell ref="J53:M53"/>
    <mergeCell ref="J55:M55"/>
    <mergeCell ref="J62:M62"/>
    <mergeCell ref="J64:M64"/>
    <mergeCell ref="J69:M69"/>
    <mergeCell ref="J74:M74"/>
    <mergeCell ref="J75:M75"/>
    <mergeCell ref="J87:M87"/>
    <mergeCell ref="J88:M88"/>
    <mergeCell ref="J100:M100"/>
    <mergeCell ref="J101:M101"/>
    <mergeCell ref="J113:M113"/>
    <mergeCell ref="J114:M114"/>
    <mergeCell ref="J124:M124"/>
    <mergeCell ref="J125:M125"/>
    <mergeCell ref="J145:M145"/>
    <mergeCell ref="J146:M146"/>
    <mergeCell ref="J152:M152"/>
    <mergeCell ref="J158:M158"/>
    <mergeCell ref="J165:M165"/>
    <mergeCell ref="J172:M172"/>
    <mergeCell ref="J180:M180"/>
    <mergeCell ref="J181:M181"/>
    <mergeCell ref="J198:M198"/>
    <mergeCell ref="J209:M209"/>
    <mergeCell ref="J245:M245"/>
    <mergeCell ref="J251:M251"/>
    <mergeCell ref="J262:M262"/>
    <mergeCell ref="J263:M263"/>
    <mergeCell ref="K350:L350"/>
    <mergeCell ref="K351:L351"/>
    <mergeCell ref="K352:L352"/>
    <mergeCell ref="K353:L353"/>
    <mergeCell ref="J273:M273"/>
    <mergeCell ref="J278:M278"/>
    <mergeCell ref="J283:M283"/>
    <mergeCell ref="J290:M290"/>
    <mergeCell ref="J297:M297"/>
    <mergeCell ref="J304:M304"/>
    <mergeCell ref="K349:L349"/>
  </mergeCells>
  <conditionalFormatting sqref="E18:G18">
    <cfRule type="expression" dxfId="5" priority="1">
      <formula>mgmt_domain_existing_vcf_automation_result="Included"</formula>
    </cfRule>
  </conditionalFormatting>
  <conditionalFormatting sqref="J321 L321">
    <cfRule type="expression" dxfId="6" priority="2">
      <formula>mgmt_vcf_installer_location="Deployed on one of the hosts in the management domain"</formula>
    </cfRule>
  </conditionalFormatting>
  <conditionalFormatting sqref="J306 J308:J311 J313 J315:J319 J321:J323 J325:J328 J330:J345 L9:L19 L24:L25 L30:L32 L37:L41 L43:L45 L47:L50 L56:L63 L65:L68 L70:L72 L77:L85 L90:L98 L103 L105:L111 L116:L122 L127:L143 L148:L151 L153:L157 L159:L162 L166:L169 L183 L195:L197 L200:L208 L212 L217:L219 L221:L224 L226:L229 L232:L234 L237:L239 L242:L244 L246:L250 L252 L265:L269 L306 L308:L311 L313 L315:L319 L321:L323 L325:L328 L330:L345">
    <cfRule type="notContainsBlanks" dxfId="0" priority="3">
      <formula>LEN(TRIM(J306))&gt;0</formula>
    </cfRule>
  </conditionalFormatting>
  <conditionalFormatting sqref="J306 J308:J311 J313 J315:J319 J321:J323 J325:J328 J330:J345 L9:L19 L24:L25 L30:L32 L37:L41 L43:L45 L47:L50 L56:L63 L65:L68 L70:L72 L77:L85 L90:L98 L103:L111 L116:L122 L127:L143 L148:L151 L153:L157 L159:L162 L166:L169 L183 L195:L197 L200:L208 L212 L217:L219 L221:L224 L226:L229 L232:L234 L237:L239 L242:L244 L246:L250 L252 L265:L269 L306 L308:L311 L313 L315:L319 L321:L323 L325:L328 L330:L345">
    <cfRule type="containsBlanks" dxfId="7" priority="4">
      <formula>LEN(TRIM(J306))=0</formula>
    </cfRule>
  </conditionalFormatting>
  <conditionalFormatting sqref="L18:L19">
    <cfRule type="expression" dxfId="8" priority="5">
      <formula>mgmt_internet_proxy_auth="Unselected"</formula>
    </cfRule>
  </conditionalFormatting>
  <conditionalFormatting sqref="L40">
    <cfRule type="expression" dxfId="8" priority="6" stopIfTrue="1">
      <formula>mgmt_domain_existing_vcf_operations_result="Excluded"</formula>
    </cfRule>
  </conditionalFormatting>
  <conditionalFormatting sqref="L49:L50">
    <cfRule type="expression" dxfId="8" priority="7">
      <formula>mgmt_domain_existing_vcenter_result="Excluded"</formula>
    </cfRule>
  </conditionalFormatting>
  <conditionalFormatting sqref="L49:L50">
    <cfRule type="expression" dxfId="8" priority="8">
      <formula>mgmt_domain_existing_vcf_operations_result="Excluded"</formula>
    </cfRule>
  </conditionalFormatting>
  <conditionalFormatting sqref="L80:L85">
    <cfRule type="expression" dxfId="3" priority="9">
      <formula>mgmt_domain_existing_vcf_automation_result="Included"</formula>
    </cfRule>
  </conditionalFormatting>
  <conditionalFormatting sqref="L132:L143">
    <cfRule type="containsBlanks" dxfId="1" priority="10">
      <formula>LEN(TRIM(L132))=0</formula>
    </cfRule>
  </conditionalFormatting>
  <conditionalFormatting sqref="L132:L143">
    <cfRule type="notContainsBlanks" dxfId="0" priority="11">
      <formula>LEN(TRIM(L132))&gt;0</formula>
    </cfRule>
  </conditionalFormatting>
  <conditionalFormatting sqref="L163:L164">
    <cfRule type="containsBlanks" dxfId="1" priority="12" stopIfTrue="1">
      <formula>LEN(TRIM(L163))=0</formula>
    </cfRule>
  </conditionalFormatting>
  <conditionalFormatting sqref="L163:L164">
    <cfRule type="notContainsBlanks" dxfId="0" priority="13" stopIfTrue="1">
      <formula>LEN(TRIM(L163))&gt;0</formula>
    </cfRule>
  </conditionalFormatting>
  <conditionalFormatting sqref="L170:L171 L177:L178">
    <cfRule type="containsBlanks" dxfId="1" priority="14" stopIfTrue="1">
      <formula>LEN(TRIM(L170))=0</formula>
    </cfRule>
  </conditionalFormatting>
  <conditionalFormatting sqref="L170:L171 L177:L178">
    <cfRule type="notContainsBlanks" dxfId="0" priority="15" stopIfTrue="1">
      <formula>LEN(TRIM(L170))&gt;0</formula>
    </cfRule>
  </conditionalFormatting>
  <conditionalFormatting sqref="L173:L176">
    <cfRule type="notContainsBlanks" dxfId="0" priority="16">
      <formula>LEN(TRIM(L173))&gt;0</formula>
    </cfRule>
  </conditionalFormatting>
  <conditionalFormatting sqref="L173:L176">
    <cfRule type="containsBlanks" dxfId="7" priority="17">
      <formula>LEN(TRIM(L173))=0</formula>
    </cfRule>
  </conditionalFormatting>
  <conditionalFormatting sqref="L188:L194">
    <cfRule type="notContainsBlanks" dxfId="0" priority="18">
      <formula>LEN(TRIM(L188))&gt;0</formula>
    </cfRule>
  </conditionalFormatting>
  <conditionalFormatting sqref="L188:L194">
    <cfRule type="containsBlanks" dxfId="1" priority="19">
      <formula>LEN(TRIM(L188))=0</formula>
    </cfRule>
  </conditionalFormatting>
  <conditionalFormatting sqref="L190">
    <cfRule type="expression" dxfId="9" priority="20">
      <formula>M190="VDS LAG / LACP is not supported on this VDS with the chosen VDS profile"</formula>
    </cfRule>
  </conditionalFormatting>
  <conditionalFormatting sqref="L198:L208 L253 L260">
    <cfRule type="containsBlanks" dxfId="10" priority="21">
      <formula>LEN(TRIM(L198))=0</formula>
    </cfRule>
  </conditionalFormatting>
  <conditionalFormatting sqref="L199">
    <cfRule type="notContainsBlanks" dxfId="0" priority="22">
      <formula>LEN(TRIM(L199))&gt;0</formula>
    </cfRule>
  </conditionalFormatting>
  <conditionalFormatting sqref="L199">
    <cfRule type="containsBlanks" dxfId="1" priority="23">
      <formula>LEN(TRIM(L199))=0</formula>
    </cfRule>
  </conditionalFormatting>
  <conditionalFormatting sqref="L201">
    <cfRule type="expression" dxfId="11" priority="24">
      <formula>M201="VDS LAG / LACP is not supported on this VDS with the chosen VDS profile and Primary VDS Lag configuration"</formula>
    </cfRule>
  </conditionalFormatting>
  <conditionalFormatting sqref="L201">
    <cfRule type="expression" dxfId="11" priority="25">
      <formula>M201="VDS LAG / LACP is not supported on this VDS with the chosen VDS profile"</formula>
    </cfRule>
  </conditionalFormatting>
  <conditionalFormatting sqref="L210:L216">
    <cfRule type="containsBlanks" dxfId="1" priority="26">
      <formula>LEN(TRIM(L210))=0</formula>
    </cfRule>
  </conditionalFormatting>
  <conditionalFormatting sqref="L210:L216">
    <cfRule type="notContainsBlanks" dxfId="0" priority="27">
      <formula>LEN(TRIM(L210))&gt;0</formula>
    </cfRule>
  </conditionalFormatting>
  <conditionalFormatting sqref="L221">
    <cfRule type="containsBlanks" dxfId="1" priority="28">
      <formula>LEN(TRIM(L221))=0</formula>
    </cfRule>
  </conditionalFormatting>
  <conditionalFormatting sqref="L221">
    <cfRule type="notContainsBlanks" dxfId="0" priority="29">
      <formula>LEN(TRIM(L221))&gt;0</formula>
    </cfRule>
  </conditionalFormatting>
  <conditionalFormatting sqref="L226">
    <cfRule type="containsBlanks" dxfId="1" priority="30">
      <formula>LEN(TRIM(L226))=0</formula>
    </cfRule>
  </conditionalFormatting>
  <conditionalFormatting sqref="L226">
    <cfRule type="notContainsBlanks" dxfId="0" priority="31">
      <formula>LEN(TRIM(L226))&gt;0</formula>
    </cfRule>
  </conditionalFormatting>
  <conditionalFormatting sqref="L231">
    <cfRule type="containsBlanks" dxfId="1" priority="32">
      <formula>LEN(TRIM(L231))=0</formula>
    </cfRule>
  </conditionalFormatting>
  <conditionalFormatting sqref="L231">
    <cfRule type="notContainsBlanks" dxfId="0" priority="33">
      <formula>LEN(TRIM(L231))&gt;0</formula>
    </cfRule>
  </conditionalFormatting>
  <conditionalFormatting sqref="L236">
    <cfRule type="containsBlanks" dxfId="1" priority="34">
      <formula>LEN(TRIM(L236))=0</formula>
    </cfRule>
  </conditionalFormatting>
  <conditionalFormatting sqref="L236">
    <cfRule type="notContainsBlanks" dxfId="0" priority="35">
      <formula>LEN(TRIM(L236))&gt;0</formula>
    </cfRule>
  </conditionalFormatting>
  <conditionalFormatting sqref="L241">
    <cfRule type="containsBlanks" dxfId="1" priority="36">
      <formula>LEN(TRIM(L241))=0</formula>
    </cfRule>
  </conditionalFormatting>
  <conditionalFormatting sqref="L241">
    <cfRule type="notContainsBlanks" dxfId="0" priority="37">
      <formula>LEN(TRIM(L241))&gt;0</formula>
    </cfRule>
  </conditionalFormatting>
  <conditionalFormatting sqref="L255:L256">
    <cfRule type="containsBlanks" dxfId="1" priority="38">
      <formula>LEN(TRIM(L255))=0</formula>
    </cfRule>
  </conditionalFormatting>
  <conditionalFormatting sqref="L255:L256">
    <cfRule type="notContainsBlanks" dxfId="0" priority="39">
      <formula>LEN(TRIM(L255))&gt;0</formula>
    </cfRule>
  </conditionalFormatting>
  <conditionalFormatting sqref="L257">
    <cfRule type="notContainsBlanks" dxfId="0" priority="40" stopIfTrue="1">
      <formula>LEN(TRIM(L257))&gt;0</formula>
    </cfRule>
  </conditionalFormatting>
  <conditionalFormatting sqref="L257">
    <cfRule type="containsBlanks" dxfId="10" priority="41">
      <formula>LEN(TRIM(L257))=0</formula>
    </cfRule>
  </conditionalFormatting>
  <conditionalFormatting sqref="L258:L259">
    <cfRule type="containsBlanks" dxfId="1" priority="42" stopIfTrue="1">
      <formula>LEN(TRIM(L258))=0</formula>
    </cfRule>
  </conditionalFormatting>
  <conditionalFormatting sqref="L258:L259">
    <cfRule type="notContainsBlanks" dxfId="0" priority="43" stopIfTrue="1">
      <formula>LEN(TRIM(L258))&gt;0</formula>
    </cfRule>
  </conditionalFormatting>
  <conditionalFormatting sqref="L198:L208 L253 L260">
    <cfRule type="notContainsBlanks" dxfId="0" priority="44" stopIfTrue="1">
      <formula>LEN(TRIM(L198))&gt;0</formula>
    </cfRule>
  </conditionalFormatting>
  <conditionalFormatting sqref="L274:L277 L282 L284:L289 L291:L296 L298:L303">
    <cfRule type="notContainsBlanks" dxfId="5" priority="45">
      <formula>LEN(TRIM(L274))&gt;0</formula>
    </cfRule>
  </conditionalFormatting>
  <conditionalFormatting sqref="L279">
    <cfRule type="containsBlanks" dxfId="7" priority="46">
      <formula>LEN(TRIM(L279))=0</formula>
    </cfRule>
  </conditionalFormatting>
  <conditionalFormatting sqref="L279">
    <cfRule type="notContainsBlanks" dxfId="0" priority="47">
      <formula>LEN(TRIM(L279))&gt;0</formula>
    </cfRule>
  </conditionalFormatting>
  <conditionalFormatting sqref="L280">
    <cfRule type="containsBlanks" dxfId="1" priority="48">
      <formula>LEN(TRIM(L280))=0</formula>
    </cfRule>
  </conditionalFormatting>
  <conditionalFormatting sqref="L280">
    <cfRule type="notContainsBlanks" dxfId="0" priority="49">
      <formula>LEN(TRIM(L280))&gt;0</formula>
    </cfRule>
  </conditionalFormatting>
  <conditionalFormatting sqref="L281:L282">
    <cfRule type="containsBlanks" dxfId="7" priority="50">
      <formula>LEN(TRIM(L281))=0</formula>
    </cfRule>
  </conditionalFormatting>
  <conditionalFormatting sqref="L281:L282">
    <cfRule type="notContainsBlanks" dxfId="0" priority="51">
      <formula>LEN(TRIM(L281))&gt;0</formula>
    </cfRule>
  </conditionalFormatting>
  <conditionalFormatting sqref="L274:L277 L282 L284:L289 L291:L296 L298:L303">
    <cfRule type="containsBlanks" dxfId="10" priority="52">
      <formula>LEN(TRIM(L274))=0</formula>
    </cfRule>
  </conditionalFormatting>
  <conditionalFormatting sqref="L290">
    <cfRule type="expression" dxfId="3" priority="53">
      <formula>input_mgmt_principal_storage_chosen="VMFS on Fibre Channel (FC)"</formula>
    </cfRule>
  </conditionalFormatting>
  <conditionalFormatting sqref="L290">
    <cfRule type="containsBlanks" dxfId="7" priority="54">
      <formula>LEN(TRIM(L290))=0</formula>
    </cfRule>
  </conditionalFormatting>
  <conditionalFormatting sqref="L290 L297">
    <cfRule type="notContainsBlanks" dxfId="0" priority="55">
      <formula>LEN(TRIM(L290))&gt;0</formula>
    </cfRule>
  </conditionalFormatting>
  <conditionalFormatting sqref="L297">
    <cfRule type="expression" dxfId="3" priority="56">
      <formula>input_mgmt_principal_storage_chosen="VMFS on Fibre Channel (FC)"</formula>
    </cfRule>
  </conditionalFormatting>
  <conditionalFormatting sqref="L297">
    <cfRule type="containsBlanks" dxfId="7" priority="57">
      <formula>LEN(TRIM(L297))=0</formula>
    </cfRule>
  </conditionalFormatting>
  <conditionalFormatting sqref="L316:L319">
    <cfRule type="expression" dxfId="3" priority="58">
      <formula>mgmt_domain_existing_vcf_automation_result="Included"</formula>
    </cfRule>
  </conditionalFormatting>
  <conditionalFormatting sqref="L321">
    <cfRule type="expression" dxfId="12" priority="59">
      <formula>mgmt_domain_vcf_installer_mode_result="Excluded"</formula>
    </cfRule>
  </conditionalFormatting>
  <conditionalFormatting sqref="M190">
    <cfRule type="expression" dxfId="9" priority="60">
      <formula>M190="VDS LAG / LACP is not supported on this VDS with the chosen VDS profile"</formula>
    </cfRule>
  </conditionalFormatting>
  <conditionalFormatting sqref="M201">
    <cfRule type="expression" dxfId="11" priority="61">
      <formula>M201="VDS LAG / LACP is not supported on this VDS with the chosen VDS profile and Primary VDS Lag configuration"</formula>
    </cfRule>
  </conditionalFormatting>
  <conditionalFormatting sqref="M201">
    <cfRule type="expression" dxfId="11" priority="62">
      <formula>M201="VDS LAG / LACP is not supported on this VDS with the chosen VDS profile"</formula>
    </cfRule>
  </conditionalFormatting>
  <conditionalFormatting sqref="M349">
    <cfRule type="notContainsBlanks" dxfId="13" priority="63">
      <formula>LEN(TRIM(M349))&gt;0</formula>
    </cfRule>
  </conditionalFormatting>
  <conditionalFormatting sqref="M349:M353">
    <cfRule type="containsBlanks" dxfId="1" priority="64">
      <formula>LEN(TRIM(M349))=0</formula>
    </cfRule>
  </conditionalFormatting>
  <conditionalFormatting sqref="M349:M353">
    <cfRule type="notContainsBlanks" dxfId="0" priority="65">
      <formula>LEN(TRIM(M349))&gt;0</formula>
    </cfRule>
  </conditionalFormatting>
  <dataValidations>
    <dataValidation type="list" allowBlank="1" showErrorMessage="1" sqref="L56">
      <formula1>"Extra Small,Small,Medium,Large,Extra Large"</formula1>
    </dataValidation>
    <dataValidation type="list" allowBlank="1" showErrorMessage="1" sqref="L193 L204 L215">
      <formula1>lag_load_balancing</formula1>
    </dataValidation>
    <dataValidation type="list" allowBlank="1" showErrorMessage="1" sqref="L194 L205 L216">
      <formula1>"Slow,Fast"</formula1>
    </dataValidation>
    <dataValidation type="list" allowBlank="1" showErrorMessage="1" sqref="L118">
      <formula1>"1,2"</formula1>
    </dataValidation>
    <dataValidation type="list" allowBlank="1" showErrorMessage="1" sqref="K13:L13 L17 L30:L32 L40 L49:L50 L66 L71 L77 L111 L119 L122 L153 K246:L246">
      <formula1>"Selected,Unselected"</formula1>
    </dataValidation>
    <dataValidation type="list" allowBlank="1" showErrorMessage="1" sqref="L92">
      <formula1>"Default,Large,XLarge"</formula1>
    </dataValidation>
    <dataValidation type="list" allowBlank="1" showErrorMessage="1" sqref="L265">
      <formula1>"Deployed on one of the hosts in the management domain,Deployed outside management domain"</formula1>
    </dataValidation>
    <dataValidation type="list" allowBlank="1" showErrorMessage="1" sqref="L41">
      <formula1>"High Availability (Three-Node),Simple (Single-Node)"</formula1>
    </dataValidation>
    <dataValidation type="list" allowBlank="1" showErrorMessage="1" sqref="L85">
      <formula1>"198.18.0.0/15,240.0.0.0/15,250.0.0.0/15"</formula1>
    </dataValidation>
    <dataValidation type="list" allowBlank="1" showErrorMessage="1" sqref="K349 M349">
      <formula1>vsphere_8u1_evc_table</formula1>
    </dataValidation>
    <dataValidation type="list" allowBlank="1" showErrorMessage="1" sqref="L222 L227 L232 L237 L242">
      <formula1>"Route based on IP hash,Route based on source MAC hash,Route based on the source of the port ID,Use explicit failover order,Route Based on Physical NIC Load"</formula1>
    </dataValidation>
    <dataValidation type="list" allowBlank="1" showErrorMessage="1" sqref="L248">
      <formula1>"Route based on source MAC hash,Route based on the source of the port ID,Use explicit failover order"</formula1>
    </dataValidation>
    <dataValidation type="list" allowBlank="1" showErrorMessage="1" sqref="L254">
      <formula1>"DHCP,IP Pool"</formula1>
    </dataValidation>
    <dataValidation type="list" allowBlank="1" showErrorMessage="1" sqref="L9">
      <formula1>"Online,Offline"</formula1>
    </dataValidation>
    <dataValidation type="list" allowBlank="1" showErrorMessage="1" sqref="L91">
      <formula1>"Tiny,Small,Medium,Large,XLarge"</formula1>
    </dataValidation>
    <dataValidation type="list" allowBlank="1" showErrorMessage="1" sqref="L116">
      <formula1>"vSAN-ESA,vSAN-OSA,VMFS on Fibre Channel (FC),NFSv3"</formula1>
    </dataValidation>
    <dataValidation type="list" allowBlank="1" showErrorMessage="1" sqref="L223:L224 L228:L229 L233:L234 L238:L239 L243:L244 L249:L250">
      <formula1>"Active,Standby,Unused"</formula1>
    </dataValidation>
    <dataValidation type="list" allowBlank="1" showErrorMessage="1" sqref="L190 L201 L211:L212">
      <formula1>"VDS Uplinks,VDS LAG"</formula1>
    </dataValidation>
    <dataValidation type="list" allowBlank="1" showErrorMessage="1" sqref="L192 L203 L214">
      <formula1>"Active,Passive"</formula1>
    </dataValidation>
    <dataValidation type="list" allowBlank="1" showErrorMessage="1" sqref="L103">
      <formula1>"Small,Medium,Large,XLarge"</formula1>
    </dataValidation>
    <dataValidation type="list" allowBlank="1" showErrorMessage="1" sqref="L247">
      <formula1>"Standard,Enhanced Datapath Standard,Enhanced Datapath Dedicated"</formula1>
    </dataValidation>
    <dataValidation type="list" allowBlank="1" showErrorMessage="1" sqref="L14">
      <formula1>"HTTP,HTTPS"</formula1>
    </dataValidation>
    <dataValidation type="list" allowBlank="1" showErrorMessage="1" sqref="L183">
      <formula1>IF(mgmt_domain_deployment_type_chosen="VMware Cloud Foundation",wld_cl01_vds_standard_preconfigured_profiles,vvf_mgmt_cl01_vds_standard_preconfigured_profiles)</formula1>
    </dataValidation>
  </dataValidations>
  <hyperlinks>
    <hyperlink r:id="rId1" ref="K10"/>
    <hyperlink display="Values are set based on selections made in VCF VVF Planning Tab" location="'VCF &amp; VVF Planning'!J19" ref="M25"/>
  </hyperlinks>
  <printOptions/>
  <pageMargins bottom="0.75" footer="0.0" header="0.0" left="0.7" right="0.7" top="0.75"/>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showGridLines="0" workbookViewId="0">
      <pane ySplit="8.0" topLeftCell="A9" activePane="bottomLeft" state="frozen"/>
      <selection activeCell="B10" sqref="B10" pane="bottomLeft"/>
    </sheetView>
  </sheetViews>
  <sheetFormatPr customHeight="1" defaultColWidth="11.22" defaultRowHeight="15.0"/>
  <cols>
    <col customWidth="1" min="1" max="1" width="2.78"/>
    <col customWidth="1" min="2" max="4" width="75.78"/>
    <col customWidth="1" min="5" max="5" width="125.78"/>
    <col customWidth="1" min="6" max="7" width="12.11"/>
    <col customWidth="1" min="8" max="26" width="10.78"/>
  </cols>
  <sheetData>
    <row r="1" ht="15.75" customHeight="1">
      <c r="A1" s="41"/>
      <c r="B1" s="41"/>
      <c r="C1" s="1"/>
      <c r="D1" s="1"/>
      <c r="E1" s="41"/>
      <c r="F1" s="41"/>
      <c r="G1" s="41"/>
      <c r="H1" s="41"/>
      <c r="I1" s="41"/>
      <c r="J1" s="41"/>
      <c r="K1" s="41"/>
      <c r="L1" s="41"/>
      <c r="M1" s="41"/>
      <c r="N1" s="41"/>
      <c r="O1" s="41"/>
      <c r="P1" s="41"/>
      <c r="Q1" s="41"/>
      <c r="R1" s="41"/>
      <c r="S1" s="41"/>
      <c r="T1" s="41"/>
      <c r="U1" s="41"/>
      <c r="V1" s="41"/>
      <c r="W1" s="41"/>
      <c r="X1" s="41"/>
      <c r="Y1" s="41"/>
      <c r="Z1" s="41"/>
    </row>
    <row r="2" ht="54.0" customHeight="1">
      <c r="A2" s="178"/>
      <c r="B2" s="179" t="s">
        <v>507</v>
      </c>
      <c r="C2" s="13"/>
      <c r="D2" s="13"/>
      <c r="E2" s="14"/>
      <c r="F2" s="41"/>
      <c r="G2" s="41"/>
      <c r="H2" s="41"/>
      <c r="I2" s="41"/>
      <c r="J2" s="41"/>
      <c r="K2" s="41"/>
      <c r="L2" s="41"/>
      <c r="M2" s="41"/>
      <c r="N2" s="41"/>
      <c r="O2" s="41"/>
      <c r="P2" s="41"/>
      <c r="Q2" s="41"/>
      <c r="R2" s="41"/>
      <c r="S2" s="41"/>
      <c r="T2" s="41"/>
      <c r="U2" s="41"/>
      <c r="V2" s="41"/>
      <c r="W2" s="41"/>
      <c r="X2" s="41"/>
      <c r="Y2" s="41"/>
      <c r="Z2" s="41"/>
    </row>
    <row r="3" ht="19.5" customHeight="1">
      <c r="A3" s="107"/>
      <c r="B3" s="102" t="s">
        <v>508</v>
      </c>
      <c r="C3" s="13"/>
      <c r="D3" s="13"/>
      <c r="E3" s="14"/>
      <c r="F3" s="114"/>
      <c r="G3" s="114"/>
      <c r="H3" s="114"/>
      <c r="I3" s="114"/>
      <c r="J3" s="114"/>
      <c r="K3" s="114"/>
      <c r="L3" s="114"/>
      <c r="M3" s="114"/>
      <c r="N3" s="114"/>
      <c r="O3" s="114"/>
      <c r="P3" s="114"/>
      <c r="Q3" s="114"/>
      <c r="R3" s="114"/>
      <c r="S3" s="114"/>
      <c r="T3" s="114"/>
      <c r="U3" s="114"/>
      <c r="V3" s="114"/>
      <c r="W3" s="114"/>
      <c r="X3" s="114"/>
      <c r="Y3" s="114"/>
      <c r="Z3" s="114"/>
    </row>
    <row r="4" ht="15.75" customHeight="1">
      <c r="A4" s="41"/>
      <c r="B4" s="41"/>
      <c r="C4" s="1"/>
      <c r="D4" s="1"/>
      <c r="E4" s="41"/>
      <c r="F4" s="41"/>
      <c r="G4" s="41"/>
      <c r="H4" s="41"/>
      <c r="I4" s="41"/>
      <c r="J4" s="41"/>
      <c r="K4" s="41"/>
      <c r="L4" s="41"/>
      <c r="M4" s="41"/>
      <c r="N4" s="41"/>
      <c r="O4" s="41"/>
      <c r="P4" s="41"/>
      <c r="Q4" s="41"/>
      <c r="R4" s="41"/>
      <c r="S4" s="41"/>
      <c r="T4" s="41"/>
      <c r="U4" s="41"/>
      <c r="V4" s="41"/>
      <c r="W4" s="41"/>
      <c r="X4" s="41"/>
      <c r="Y4" s="41"/>
      <c r="Z4" s="41"/>
    </row>
    <row r="5" ht="19.5" customHeight="1">
      <c r="A5" s="41"/>
      <c r="B5" s="180" t="s">
        <v>509</v>
      </c>
      <c r="C5" s="180" t="s">
        <v>510</v>
      </c>
      <c r="D5" s="180" t="s">
        <v>511</v>
      </c>
      <c r="E5" s="180" t="s">
        <v>512</v>
      </c>
      <c r="F5" s="41"/>
      <c r="G5" s="41"/>
      <c r="H5" s="41"/>
      <c r="I5" s="41"/>
      <c r="J5" s="41"/>
      <c r="K5" s="41"/>
      <c r="L5" s="41"/>
      <c r="M5" s="41"/>
      <c r="N5" s="41"/>
      <c r="O5" s="41"/>
      <c r="P5" s="41"/>
      <c r="Q5" s="41"/>
      <c r="R5" s="41"/>
      <c r="S5" s="41"/>
      <c r="T5" s="41"/>
      <c r="U5" s="41"/>
      <c r="V5" s="41"/>
      <c r="W5" s="41"/>
      <c r="X5" s="41"/>
      <c r="Y5" s="41"/>
      <c r="Z5" s="41"/>
    </row>
    <row r="6" ht="9.75" customHeight="1">
      <c r="A6" s="114"/>
      <c r="B6" s="181"/>
      <c r="C6" s="181"/>
      <c r="D6" s="181"/>
      <c r="E6" s="182"/>
      <c r="F6" s="114"/>
      <c r="G6" s="114"/>
      <c r="H6" s="114"/>
      <c r="I6" s="114"/>
      <c r="J6" s="114"/>
      <c r="K6" s="114"/>
      <c r="L6" s="114"/>
      <c r="M6" s="114"/>
      <c r="N6" s="114"/>
      <c r="O6" s="114"/>
      <c r="P6" s="114"/>
      <c r="Q6" s="114"/>
      <c r="R6" s="114"/>
      <c r="S6" s="114"/>
      <c r="T6" s="114"/>
      <c r="U6" s="114"/>
      <c r="V6" s="114"/>
      <c r="W6" s="114"/>
      <c r="X6" s="114"/>
      <c r="Y6" s="114"/>
      <c r="Z6" s="114"/>
    </row>
    <row r="7" ht="19.5" customHeight="1">
      <c r="A7" s="41"/>
      <c r="B7" s="180" t="s">
        <v>513</v>
      </c>
      <c r="C7" s="180" t="s">
        <v>514</v>
      </c>
      <c r="D7" s="180"/>
      <c r="E7" s="180"/>
      <c r="F7" s="41"/>
      <c r="G7" s="41"/>
      <c r="H7" s="41"/>
      <c r="I7" s="41"/>
      <c r="J7" s="41"/>
      <c r="K7" s="41"/>
      <c r="L7" s="41"/>
      <c r="M7" s="41"/>
      <c r="N7" s="41"/>
      <c r="O7" s="41"/>
      <c r="P7" s="41"/>
      <c r="Q7" s="41"/>
      <c r="R7" s="41"/>
      <c r="S7" s="41"/>
      <c r="T7" s="41"/>
      <c r="U7" s="41"/>
      <c r="V7" s="41"/>
      <c r="W7" s="41"/>
      <c r="X7" s="41"/>
      <c r="Y7" s="41"/>
      <c r="Z7" s="41"/>
    </row>
    <row r="8" ht="15.75" customHeight="1">
      <c r="A8" s="41"/>
      <c r="B8" s="41"/>
      <c r="C8" s="1"/>
      <c r="D8" s="1"/>
      <c r="E8" s="41"/>
      <c r="F8" s="41"/>
      <c r="G8" s="41"/>
      <c r="H8" s="41"/>
      <c r="I8" s="41"/>
      <c r="J8" s="41"/>
      <c r="K8" s="41"/>
      <c r="L8" s="41"/>
      <c r="M8" s="41"/>
      <c r="N8" s="41"/>
      <c r="O8" s="41"/>
      <c r="P8" s="41"/>
      <c r="Q8" s="41"/>
      <c r="R8" s="41"/>
      <c r="S8" s="41"/>
      <c r="T8" s="41"/>
      <c r="U8" s="41"/>
      <c r="V8" s="41"/>
      <c r="W8" s="41"/>
      <c r="X8" s="41"/>
      <c r="Y8" s="41"/>
      <c r="Z8" s="41"/>
    </row>
    <row r="9" ht="15.75" customHeight="1">
      <c r="A9" s="41"/>
      <c r="B9" s="41"/>
      <c r="C9" s="1"/>
      <c r="D9" s="1"/>
      <c r="E9" s="41"/>
      <c r="F9" s="41"/>
      <c r="G9" s="41"/>
      <c r="H9" s="41"/>
      <c r="I9" s="41"/>
      <c r="J9" s="41"/>
      <c r="K9" s="41"/>
      <c r="L9" s="41"/>
      <c r="M9" s="41"/>
      <c r="N9" s="41"/>
      <c r="O9" s="41"/>
      <c r="P9" s="41"/>
      <c r="Q9" s="41"/>
      <c r="R9" s="41"/>
      <c r="S9" s="41"/>
      <c r="T9" s="41"/>
      <c r="U9" s="41"/>
      <c r="V9" s="41"/>
      <c r="W9" s="41"/>
      <c r="X9" s="41"/>
      <c r="Y9" s="41"/>
      <c r="Z9" s="41"/>
    </row>
    <row r="10" ht="33.75" customHeight="1">
      <c r="A10" s="41"/>
      <c r="B10" s="86" t="s">
        <v>515</v>
      </c>
      <c r="C10" s="87"/>
      <c r="D10" s="87"/>
      <c r="E10" s="164"/>
      <c r="F10" s="41"/>
      <c r="G10" s="41"/>
      <c r="H10" s="41"/>
      <c r="I10" s="41"/>
      <c r="J10" s="41"/>
      <c r="K10" s="41"/>
      <c r="L10" s="41"/>
      <c r="M10" s="41"/>
      <c r="N10" s="41"/>
      <c r="O10" s="41"/>
      <c r="P10" s="41"/>
      <c r="Q10" s="41"/>
      <c r="R10" s="41"/>
      <c r="S10" s="41"/>
      <c r="T10" s="41"/>
      <c r="U10" s="41"/>
      <c r="V10" s="41"/>
      <c r="W10" s="41"/>
      <c r="X10" s="41"/>
      <c r="Y10" s="41"/>
      <c r="Z10" s="41"/>
    </row>
    <row r="11" ht="19.5" customHeight="1">
      <c r="A11" s="41"/>
      <c r="B11" s="49" t="s">
        <v>123</v>
      </c>
      <c r="C11" s="49" t="s">
        <v>38</v>
      </c>
      <c r="D11" s="49" t="s">
        <v>124</v>
      </c>
      <c r="E11" s="49" t="s">
        <v>125</v>
      </c>
      <c r="F11" s="41"/>
      <c r="G11" s="41"/>
      <c r="H11" s="41"/>
      <c r="I11" s="41"/>
      <c r="J11" s="41"/>
      <c r="K11" s="41"/>
      <c r="L11" s="41"/>
      <c r="M11" s="41"/>
      <c r="N11" s="41"/>
      <c r="O11" s="41"/>
      <c r="P11" s="41"/>
      <c r="Q11" s="41"/>
      <c r="R11" s="41"/>
      <c r="S11" s="41"/>
      <c r="T11" s="41"/>
      <c r="U11" s="41"/>
      <c r="V11" s="41"/>
      <c r="W11" s="41"/>
      <c r="X11" s="41"/>
      <c r="Y11" s="41"/>
      <c r="Z11" s="41"/>
    </row>
    <row r="12" ht="19.5" customHeight="1">
      <c r="A12" s="41"/>
      <c r="B12" s="18" t="s">
        <v>516</v>
      </c>
      <c r="C12" s="110" t="s">
        <v>510</v>
      </c>
      <c r="D12" s="18" t="str">
        <f>IF(mgmt_domain_deployment_type_chosen="VMware vSphere Foundation","Excluded",IF(mgmt_signed_certs_chosen="Exclude","Excluded","Included"))</f>
        <v>Included</v>
      </c>
      <c r="E12" s="18"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Microsoft CA based signed certificates will be deployed</v>
      </c>
      <c r="F12" s="41"/>
      <c r="G12" s="41"/>
      <c r="H12" s="41"/>
      <c r="I12" s="41"/>
      <c r="J12" s="41"/>
      <c r="K12" s="41"/>
      <c r="L12" s="41"/>
      <c r="M12" s="41"/>
      <c r="N12" s="41"/>
      <c r="O12" s="41"/>
      <c r="P12" s="41"/>
      <c r="Q12" s="41"/>
      <c r="R12" s="41"/>
      <c r="S12" s="41"/>
      <c r="T12" s="41"/>
      <c r="U12" s="41"/>
      <c r="V12" s="41"/>
      <c r="W12" s="41"/>
      <c r="X12" s="41"/>
      <c r="Y12" s="41"/>
      <c r="Z12" s="41"/>
    </row>
    <row r="13" ht="19.5" customHeight="1">
      <c r="A13" s="41"/>
      <c r="B13" s="18" t="s">
        <v>517</v>
      </c>
      <c r="C13" s="110" t="s">
        <v>518</v>
      </c>
      <c r="D13" s="18" t="str">
        <f>IF(mgmt_domain_deployment_type_chosen="VMware vSphere Foundation","Excluded",IF(mgmt_vns_chosen="Exclude","Excluded","Included"))</f>
        <v>Included</v>
      </c>
      <c r="E13" s="18" t="str">
        <f>IF(mgmt_domain_deployment_type_chosen="VMware vSphere Foundation","Cannot be performed on a VMware vSphere Foundation deployment",IF(mgmt_vns_chosen="Exclude","Cause: Not Selected. NSX Routing for Management Domain will not be deployed",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NSX Edge cluster will be created. EBGP will be used. Suitable for environments where you need the full-scale of the NSX services</v>
      </c>
      <c r="F13" s="41"/>
      <c r="G13" s="41"/>
      <c r="H13" s="41"/>
      <c r="I13" s="41"/>
      <c r="J13" s="41"/>
      <c r="K13" s="41"/>
      <c r="L13" s="41"/>
      <c r="M13" s="41"/>
      <c r="N13" s="41"/>
      <c r="O13" s="41"/>
      <c r="P13" s="41"/>
      <c r="Q13" s="41"/>
      <c r="R13" s="41"/>
      <c r="S13" s="41"/>
      <c r="T13" s="41"/>
      <c r="U13" s="41"/>
      <c r="V13" s="41"/>
      <c r="W13" s="41"/>
      <c r="X13" s="41"/>
      <c r="Y13" s="41"/>
      <c r="Z13" s="41"/>
    </row>
    <row r="14" ht="19.5" customHeight="1">
      <c r="A14" s="41"/>
      <c r="B14" s="183" t="s">
        <v>184</v>
      </c>
      <c r="C14" s="110" t="s">
        <v>512</v>
      </c>
      <c r="D14" s="18" t="str">
        <f>IF(AND(vcf_granular_option_chosen&lt;&gt;"Deploy a new VCF fleet",vcf_granular_option_chosen&lt;&gt;"Deploy a VCF Instance in an existing VCF fleet",vcf_granular_option_chosen&lt;&gt;"Create Cluster"),"Excluded",IF(mgmt_avi_loadbalancer_chosen="Exclude","Excluded","Included"))</f>
        <v>Excluded</v>
      </c>
      <c r="E14" s="18" t="str">
        <f>IF(vcf_granular_option_chosen="None Chosen","No Deployment Type Chosen",IF(mgmt_domain_deployment_type_chosen="VMware vSphere Foundation","Cannot be performed on a VMware vSphere Foundation deployment",
IF(mgmt_avi_loadbalancer_chosen="Exclude","Cause: Not Selected. AVI Loadbalancer will not be configured","AVI Loadbalancer will be configured")))</f>
        <v>Cause: Not Selected. AVI Loadbalancer will not be configured</v>
      </c>
      <c r="F14" s="41"/>
      <c r="G14" s="41"/>
      <c r="H14" s="41"/>
      <c r="I14" s="41"/>
      <c r="J14" s="41"/>
      <c r="K14" s="41"/>
      <c r="L14" s="41"/>
      <c r="M14" s="41"/>
      <c r="N14" s="41"/>
      <c r="O14" s="41"/>
      <c r="P14" s="41"/>
      <c r="Q14" s="41"/>
      <c r="R14" s="41"/>
      <c r="S14" s="41"/>
      <c r="T14" s="41"/>
      <c r="U14" s="41"/>
      <c r="V14" s="41"/>
      <c r="W14" s="41"/>
      <c r="X14" s="41"/>
      <c r="Y14" s="41"/>
      <c r="Z14" s="41"/>
    </row>
    <row r="15" ht="19.5" customHeight="1">
      <c r="A15" s="41"/>
      <c r="B15" s="18" t="s">
        <v>184</v>
      </c>
      <c r="C15" s="110" t="s">
        <v>519</v>
      </c>
      <c r="D15" s="18" t="str">
        <f>IF(AND(vcf_granular_option_chosen&lt;&gt;"Deploy a new VCF fleet",vcf_granular_option_chosen&lt;&gt;"Deploy a VCF Instance in an existing VCF fleet",vcf_granular_option_chosen&lt;&gt;"Create Cluster"),"Excluded",
IF(mgmt_stretched_cluster_chosen="Exclude","Excluded",
IF(AND(mgmt_stretched_cluster_chosen="Include",AND(mgmt_principal_storage_chosen&lt;&gt;"vSAN-ESA",mgmt_principal_storage_chosen&lt;&gt;"vSAN-OSA")),"Excluded","Included")))</f>
        <v>Excluded</v>
      </c>
      <c r="E15" s="18" t="str">
        <f>IF(vcf_granular_option_chosen="None Chosen","No Deployment Type Chosen",
IF(mgmt_domain_deployment_type_chosen="VMware vSphere Foundation","Cannot be performed on a VMware vSphere Foundation deployment",
IF(vcf_version_chosen="No Version Selected","Cause: VCF Deployment version is not Selected",
IF(mgmt_stretched_cluster_chosen="Exclude","Cause: Not Selected. Stretched Cluster will not be deployed",
IF(AND(mgmt_stretched_cluster_chosen="Include",AND(mgmt_principal_storage_chosen&lt;&gt;"vSAN-ESA",mgmt_principal_storage_chosen&lt;&gt;"vSAN-OSA")),"Cause: Stretched Cluster is only supported with vSAN as Principal Storage",
IF(mgmt_vns_chosen="VLAN-Backed","Note: VLAN-backed segments require L2 stretched VM Networks. Consider Overlay-backed instead.","Stretched Cluster will be deployed"))))))</f>
        <v>Cause: Not Selected. Stretched Cluster will not be deployed</v>
      </c>
      <c r="F15" s="41"/>
      <c r="G15" s="41"/>
      <c r="H15" s="41"/>
      <c r="I15" s="41"/>
      <c r="J15" s="41"/>
      <c r="K15" s="41"/>
      <c r="L15" s="41"/>
      <c r="M15" s="41"/>
      <c r="N15" s="41"/>
      <c r="O15" s="41"/>
      <c r="P15" s="41"/>
      <c r="Q15" s="41"/>
      <c r="R15" s="41"/>
      <c r="S15" s="41"/>
      <c r="T15" s="41"/>
      <c r="U15" s="41"/>
      <c r="V15" s="41"/>
      <c r="W15" s="41"/>
      <c r="X15" s="41"/>
      <c r="Y15" s="41"/>
      <c r="Z15" s="41"/>
    </row>
    <row r="16" ht="19.5" customHeight="1">
      <c r="A16" s="41"/>
      <c r="B16" s="18" t="s">
        <v>520</v>
      </c>
      <c r="C16" s="110" t="s">
        <v>514</v>
      </c>
      <c r="D16" s="18"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Included</v>
      </c>
      <c r="E16" s="18"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NSX Federation for Management Domain will be deployed with Active Global Manager</v>
      </c>
      <c r="F16" s="41"/>
      <c r="G16" s="41"/>
      <c r="H16" s="41"/>
      <c r="I16" s="41"/>
      <c r="J16" s="41"/>
      <c r="K16" s="41"/>
      <c r="L16" s="41"/>
      <c r="M16" s="41"/>
      <c r="N16" s="41"/>
      <c r="O16" s="41"/>
      <c r="P16" s="41"/>
      <c r="Q16" s="41"/>
      <c r="R16" s="41"/>
      <c r="S16" s="41"/>
      <c r="T16" s="41"/>
      <c r="U16" s="41"/>
      <c r="V16" s="41"/>
      <c r="W16" s="41"/>
      <c r="X16" s="41"/>
      <c r="Y16" s="41"/>
      <c r="Z16" s="41"/>
    </row>
    <row r="17" ht="15.75" customHeight="1">
      <c r="A17" s="41"/>
      <c r="B17" s="41"/>
      <c r="C17" s="1"/>
      <c r="D17" s="1"/>
      <c r="E17" s="41"/>
      <c r="F17" s="41"/>
      <c r="G17" s="41"/>
      <c r="H17" s="41"/>
      <c r="I17" s="41"/>
      <c r="J17" s="41"/>
      <c r="K17" s="41"/>
      <c r="L17" s="41"/>
      <c r="M17" s="41"/>
      <c r="N17" s="41"/>
      <c r="O17" s="41"/>
      <c r="P17" s="41"/>
      <c r="Q17" s="41"/>
      <c r="R17" s="41"/>
      <c r="S17" s="41"/>
      <c r="T17" s="41"/>
      <c r="U17" s="41"/>
      <c r="V17" s="41"/>
      <c r="W17" s="41"/>
      <c r="X17" s="41"/>
      <c r="Y17" s="41"/>
      <c r="Z17" s="41"/>
    </row>
    <row r="18" ht="33.75" customHeight="1">
      <c r="A18" s="41"/>
      <c r="B18" s="184" t="s">
        <v>521</v>
      </c>
      <c r="C18" s="13"/>
      <c r="D18" s="13"/>
      <c r="E18" s="14"/>
      <c r="F18" s="41"/>
      <c r="G18" s="41"/>
      <c r="H18" s="41"/>
      <c r="I18" s="41"/>
      <c r="J18" s="41"/>
      <c r="K18" s="41"/>
      <c r="L18" s="41"/>
      <c r="M18" s="41"/>
      <c r="N18" s="41"/>
      <c r="O18" s="41"/>
      <c r="P18" s="41"/>
      <c r="Q18" s="41"/>
      <c r="R18" s="41"/>
      <c r="S18" s="41"/>
      <c r="T18" s="41"/>
      <c r="U18" s="41"/>
      <c r="V18" s="41"/>
      <c r="W18" s="41"/>
      <c r="X18" s="41"/>
      <c r="Y18" s="41"/>
      <c r="Z18" s="41"/>
    </row>
    <row r="19" ht="19.5" customHeight="1">
      <c r="A19" s="41"/>
      <c r="B19" s="17" t="s">
        <v>522</v>
      </c>
      <c r="C19" s="13"/>
      <c r="D19" s="13"/>
      <c r="E19" s="14"/>
      <c r="F19" s="41"/>
      <c r="G19" s="41"/>
      <c r="H19" s="41"/>
      <c r="I19" s="41"/>
      <c r="J19" s="41"/>
      <c r="K19" s="41"/>
      <c r="L19" s="41"/>
      <c r="M19" s="41"/>
      <c r="N19" s="41"/>
      <c r="O19" s="41"/>
      <c r="P19" s="41"/>
      <c r="Q19" s="41"/>
      <c r="R19" s="41"/>
      <c r="S19" s="41"/>
      <c r="T19" s="41"/>
      <c r="U19" s="41"/>
      <c r="V19" s="41"/>
      <c r="W19" s="41"/>
      <c r="X19" s="41"/>
      <c r="Y19" s="41"/>
      <c r="Z19" s="41"/>
    </row>
    <row r="20" ht="19.5" customHeight="1">
      <c r="A20" s="41"/>
      <c r="B20" s="108" t="s">
        <v>37</v>
      </c>
      <c r="C20" s="49" t="s">
        <v>273</v>
      </c>
      <c r="D20" s="49" t="s">
        <v>274</v>
      </c>
      <c r="E20" s="49" t="s">
        <v>5</v>
      </c>
      <c r="F20" s="41"/>
      <c r="G20" s="41"/>
      <c r="H20" s="41"/>
      <c r="I20" s="41"/>
      <c r="J20" s="41"/>
      <c r="K20" s="41"/>
      <c r="L20" s="41"/>
      <c r="M20" s="41"/>
      <c r="N20" s="41"/>
      <c r="O20" s="41"/>
      <c r="P20" s="41"/>
      <c r="Q20" s="41"/>
      <c r="R20" s="41"/>
      <c r="S20" s="41"/>
      <c r="T20" s="41"/>
      <c r="U20" s="41"/>
      <c r="V20" s="41"/>
      <c r="W20" s="41"/>
      <c r="X20" s="41"/>
      <c r="Y20" s="41"/>
      <c r="Z20" s="41"/>
    </row>
    <row r="21" ht="19.5" customHeight="1">
      <c r="A21" s="41"/>
      <c r="B21" s="84" t="s">
        <v>523</v>
      </c>
      <c r="C21" s="156" t="s">
        <v>524</v>
      </c>
      <c r="D21" s="18"/>
      <c r="E21" s="84" t="s">
        <v>525</v>
      </c>
      <c r="F21" s="41"/>
      <c r="G21" s="41"/>
      <c r="H21" s="41"/>
      <c r="I21" s="41"/>
      <c r="J21" s="41"/>
      <c r="K21" s="41"/>
      <c r="L21" s="41"/>
      <c r="M21" s="41"/>
      <c r="N21" s="41"/>
      <c r="O21" s="41"/>
      <c r="P21" s="41"/>
      <c r="Q21" s="41"/>
      <c r="R21" s="41"/>
      <c r="S21" s="41"/>
      <c r="T21" s="41"/>
      <c r="U21" s="41"/>
      <c r="V21" s="41"/>
      <c r="W21" s="41"/>
      <c r="X21" s="41"/>
      <c r="Y21" s="41"/>
      <c r="Z21" s="41"/>
    </row>
    <row r="22" ht="19.5" customHeight="1">
      <c r="A22" s="41"/>
      <c r="B22" s="84" t="s">
        <v>526</v>
      </c>
      <c r="C22" s="110">
        <v>22.0</v>
      </c>
      <c r="D22" s="18"/>
      <c r="E22" s="84"/>
      <c r="F22" s="41"/>
      <c r="G22" s="41"/>
      <c r="H22" s="41"/>
      <c r="I22" s="41"/>
      <c r="J22" s="41"/>
      <c r="K22" s="41"/>
      <c r="L22" s="41"/>
      <c r="M22" s="41"/>
      <c r="N22" s="41"/>
      <c r="O22" s="41"/>
      <c r="P22" s="41"/>
      <c r="Q22" s="41"/>
      <c r="R22" s="41"/>
      <c r="S22" s="41"/>
      <c r="T22" s="41"/>
      <c r="U22" s="41"/>
      <c r="V22" s="41"/>
      <c r="W22" s="41"/>
      <c r="X22" s="41"/>
      <c r="Y22" s="41"/>
      <c r="Z22" s="41"/>
    </row>
    <row r="23" ht="19.5" customHeight="1">
      <c r="A23" s="41"/>
      <c r="B23" s="84" t="s">
        <v>527</v>
      </c>
      <c r="C23" s="110" t="s">
        <v>528</v>
      </c>
      <c r="D23" s="18"/>
      <c r="E23" s="84"/>
      <c r="F23" s="41"/>
      <c r="G23" s="41"/>
      <c r="H23" s="41"/>
      <c r="I23" s="41"/>
      <c r="J23" s="41"/>
      <c r="K23" s="41"/>
      <c r="L23" s="41"/>
      <c r="M23" s="41"/>
      <c r="N23" s="41"/>
      <c r="O23" s="41"/>
      <c r="P23" s="41"/>
      <c r="Q23" s="41"/>
      <c r="R23" s="41"/>
      <c r="S23" s="41"/>
      <c r="T23" s="41"/>
      <c r="U23" s="41"/>
      <c r="V23" s="41"/>
      <c r="W23" s="41"/>
      <c r="X23" s="41"/>
      <c r="Y23" s="41"/>
      <c r="Z23" s="41"/>
    </row>
    <row r="24" ht="19.5" customHeight="1">
      <c r="A24" s="41"/>
      <c r="B24" s="84" t="s">
        <v>294</v>
      </c>
      <c r="C24" s="110" t="s">
        <v>529</v>
      </c>
      <c r="D24" s="18"/>
      <c r="E24" s="84"/>
      <c r="F24" s="41"/>
      <c r="G24" s="41"/>
      <c r="H24" s="41"/>
      <c r="I24" s="41"/>
      <c r="J24" s="41"/>
      <c r="K24" s="41"/>
      <c r="L24" s="41"/>
      <c r="M24" s="41"/>
      <c r="N24" s="41"/>
      <c r="O24" s="41"/>
      <c r="P24" s="41"/>
      <c r="Q24" s="41"/>
      <c r="R24" s="41"/>
      <c r="S24" s="41"/>
      <c r="T24" s="41"/>
      <c r="U24" s="41"/>
      <c r="V24" s="41"/>
      <c r="W24" s="41"/>
      <c r="X24" s="41"/>
      <c r="Y24" s="41"/>
      <c r="Z24" s="41"/>
    </row>
    <row r="25" ht="19.5" customHeight="1">
      <c r="A25" s="41"/>
      <c r="B25" s="84" t="s">
        <v>296</v>
      </c>
      <c r="C25" s="110" t="s">
        <v>382</v>
      </c>
      <c r="D25" s="18"/>
      <c r="E25" s="84"/>
      <c r="F25" s="41"/>
      <c r="G25" s="41"/>
      <c r="H25" s="41"/>
      <c r="I25" s="41"/>
      <c r="J25" s="41"/>
      <c r="K25" s="41"/>
      <c r="L25" s="41"/>
      <c r="M25" s="41"/>
      <c r="N25" s="41"/>
      <c r="O25" s="41"/>
      <c r="P25" s="41"/>
      <c r="Q25" s="41"/>
      <c r="R25" s="41"/>
      <c r="S25" s="41"/>
      <c r="T25" s="41"/>
      <c r="U25" s="41"/>
      <c r="V25" s="41"/>
      <c r="W25" s="41"/>
      <c r="X25" s="41"/>
      <c r="Y25" s="41"/>
      <c r="Z25" s="41"/>
    </row>
    <row r="26" ht="19.5" customHeight="1">
      <c r="A26" s="41"/>
      <c r="B26" s="84" t="s">
        <v>530</v>
      </c>
      <c r="C26" s="110" t="s">
        <v>531</v>
      </c>
      <c r="D26" s="18"/>
      <c r="E26" s="84"/>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84" t="s">
        <v>532</v>
      </c>
      <c r="C27" s="110" t="s">
        <v>533</v>
      </c>
      <c r="D27" s="18"/>
      <c r="E27" s="84"/>
      <c r="F27" s="41"/>
      <c r="G27" s="41"/>
      <c r="H27" s="41"/>
      <c r="I27" s="41"/>
      <c r="J27" s="41"/>
      <c r="K27" s="41"/>
      <c r="L27" s="41"/>
      <c r="M27" s="41"/>
      <c r="N27" s="41"/>
      <c r="O27" s="41"/>
      <c r="P27" s="41"/>
      <c r="Q27" s="41"/>
      <c r="R27" s="41"/>
      <c r="S27" s="41"/>
      <c r="T27" s="41"/>
      <c r="U27" s="41"/>
      <c r="V27" s="41"/>
      <c r="W27" s="41"/>
      <c r="X27" s="41"/>
      <c r="Y27" s="41"/>
      <c r="Z27" s="41"/>
    </row>
    <row r="28" ht="19.5" customHeight="1">
      <c r="A28" s="41"/>
      <c r="B28" s="84" t="s">
        <v>534</v>
      </c>
      <c r="C28" s="110" t="s">
        <v>382</v>
      </c>
      <c r="D28" s="18"/>
      <c r="E28" s="84" t="s">
        <v>535</v>
      </c>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1"/>
      <c r="D29" s="1"/>
      <c r="E29" s="41"/>
      <c r="F29" s="41"/>
      <c r="G29" s="41"/>
      <c r="H29" s="41"/>
      <c r="I29" s="41"/>
      <c r="J29" s="41"/>
      <c r="K29" s="41"/>
      <c r="L29" s="41"/>
      <c r="M29" s="41"/>
      <c r="N29" s="41"/>
      <c r="O29" s="41"/>
      <c r="P29" s="41"/>
      <c r="Q29" s="41"/>
      <c r="R29" s="41"/>
      <c r="S29" s="41"/>
      <c r="T29" s="41"/>
      <c r="U29" s="41"/>
      <c r="V29" s="41"/>
      <c r="W29" s="41"/>
      <c r="X29" s="41"/>
      <c r="Y29" s="41"/>
      <c r="Z29" s="41"/>
    </row>
    <row r="30" ht="33.75" customHeight="1">
      <c r="A30" s="41"/>
      <c r="B30" s="184" t="s">
        <v>510</v>
      </c>
      <c r="C30" s="13"/>
      <c r="D30" s="13"/>
      <c r="E30" s="14"/>
      <c r="F30" s="41"/>
      <c r="G30" s="41"/>
      <c r="H30" s="41"/>
      <c r="I30" s="41"/>
      <c r="J30" s="41"/>
      <c r="K30" s="41"/>
      <c r="L30" s="41"/>
      <c r="M30" s="41"/>
      <c r="N30" s="41"/>
      <c r="O30" s="41"/>
      <c r="P30" s="41"/>
      <c r="Q30" s="41"/>
      <c r="R30" s="41"/>
      <c r="S30" s="41"/>
      <c r="T30" s="41"/>
      <c r="U30" s="41"/>
      <c r="V30" s="41"/>
      <c r="W30" s="41"/>
      <c r="X30" s="41"/>
      <c r="Y30" s="41"/>
      <c r="Z30" s="41"/>
    </row>
    <row r="31" ht="19.5" customHeight="1">
      <c r="A31" s="41"/>
      <c r="B31" s="102" t="s">
        <v>536</v>
      </c>
      <c r="C31" s="13"/>
      <c r="D31" s="13"/>
      <c r="E31" s="14"/>
      <c r="F31" s="41"/>
      <c r="G31" s="41"/>
      <c r="H31" s="41"/>
      <c r="I31" s="41"/>
      <c r="J31" s="41"/>
      <c r="K31" s="41"/>
      <c r="L31" s="41"/>
      <c r="M31" s="41"/>
      <c r="N31" s="41"/>
      <c r="O31" s="41"/>
      <c r="P31" s="41"/>
      <c r="Q31" s="41"/>
      <c r="R31" s="41"/>
      <c r="S31" s="41"/>
      <c r="T31" s="41"/>
      <c r="U31" s="41"/>
      <c r="V31" s="41"/>
      <c r="W31" s="41"/>
      <c r="X31" s="41"/>
      <c r="Y31" s="41"/>
      <c r="Z31" s="41"/>
    </row>
    <row r="32" ht="19.5" customHeight="1">
      <c r="A32" s="41"/>
      <c r="B32" s="108" t="s">
        <v>37</v>
      </c>
      <c r="C32" s="49" t="s">
        <v>273</v>
      </c>
      <c r="D32" s="49" t="s">
        <v>274</v>
      </c>
      <c r="E32" s="49" t="s">
        <v>5</v>
      </c>
      <c r="F32" s="41"/>
      <c r="G32" s="41"/>
      <c r="H32" s="41"/>
      <c r="I32" s="41"/>
      <c r="J32" s="41"/>
      <c r="K32" s="41"/>
      <c r="L32" s="41"/>
      <c r="M32" s="41"/>
      <c r="N32" s="41"/>
      <c r="O32" s="41"/>
      <c r="P32" s="41"/>
      <c r="Q32" s="41"/>
      <c r="R32" s="41"/>
      <c r="S32" s="41"/>
      <c r="T32" s="41"/>
      <c r="U32" s="41"/>
      <c r="V32" s="41"/>
      <c r="W32" s="41"/>
      <c r="X32" s="41"/>
      <c r="Y32" s="41"/>
      <c r="Z32" s="41"/>
    </row>
    <row r="33" ht="19.5" customHeight="1">
      <c r="A33" s="41"/>
      <c r="B33" s="84" t="s">
        <v>537</v>
      </c>
      <c r="C33" s="156" t="s">
        <v>538</v>
      </c>
      <c r="D33" s="18"/>
      <c r="E33" s="18" t="str">
        <f>IF(mgmt_signed_certs_result="Excluded","Inputs are masked out and only required if Apply Signed Certifcates is chosen from the Post-Deployment Option","")</f>
        <v/>
      </c>
      <c r="F33" s="41"/>
      <c r="G33" s="41"/>
      <c r="H33" s="41"/>
      <c r="I33" s="41"/>
      <c r="J33" s="41"/>
      <c r="K33" s="41"/>
      <c r="L33" s="41"/>
      <c r="M33" s="41"/>
      <c r="N33" s="41"/>
      <c r="O33" s="41"/>
      <c r="P33" s="41"/>
      <c r="Q33" s="41"/>
      <c r="R33" s="41"/>
      <c r="S33" s="41"/>
      <c r="T33" s="41"/>
      <c r="U33" s="41"/>
      <c r="V33" s="41"/>
      <c r="W33" s="41"/>
      <c r="X33" s="41"/>
      <c r="Y33" s="41"/>
      <c r="Z33" s="41"/>
    </row>
    <row r="34" ht="19.5" customHeight="1">
      <c r="A34" s="41"/>
      <c r="B34" s="84" t="s">
        <v>539</v>
      </c>
      <c r="C34" s="110" t="s">
        <v>540</v>
      </c>
      <c r="D34" s="18"/>
      <c r="E34" s="84"/>
      <c r="F34" s="41"/>
      <c r="G34" s="41"/>
      <c r="H34" s="41"/>
      <c r="I34" s="41"/>
      <c r="J34" s="41"/>
      <c r="K34" s="41"/>
      <c r="L34" s="41"/>
      <c r="M34" s="41"/>
      <c r="N34" s="41"/>
      <c r="O34" s="41"/>
      <c r="P34" s="41"/>
      <c r="Q34" s="41"/>
      <c r="R34" s="41"/>
      <c r="S34" s="41"/>
      <c r="T34" s="41"/>
      <c r="U34" s="41"/>
      <c r="V34" s="41"/>
      <c r="W34" s="41"/>
      <c r="X34" s="41"/>
      <c r="Y34" s="41"/>
      <c r="Z34" s="41"/>
    </row>
    <row r="35" ht="19.5" customHeight="1">
      <c r="A35" s="41"/>
      <c r="B35" s="84" t="s">
        <v>296</v>
      </c>
      <c r="C35" s="149" t="s">
        <v>382</v>
      </c>
      <c r="D35" s="18"/>
      <c r="E35" s="84"/>
      <c r="F35" s="41"/>
      <c r="G35" s="41"/>
      <c r="H35" s="41"/>
      <c r="I35" s="41"/>
      <c r="J35" s="41"/>
      <c r="K35" s="41"/>
      <c r="L35" s="41"/>
      <c r="M35" s="41"/>
      <c r="N35" s="41"/>
      <c r="O35" s="41"/>
      <c r="P35" s="41"/>
      <c r="Q35" s="41"/>
      <c r="R35" s="41"/>
      <c r="S35" s="41"/>
      <c r="T35" s="41"/>
      <c r="U35" s="41"/>
      <c r="V35" s="41"/>
      <c r="W35" s="41"/>
      <c r="X35" s="41"/>
      <c r="Y35" s="41"/>
      <c r="Z35" s="41"/>
    </row>
    <row r="36" ht="19.5" customHeight="1">
      <c r="A36" s="41"/>
      <c r="B36" s="102" t="s">
        <v>541</v>
      </c>
      <c r="C36" s="13"/>
      <c r="D36" s="13"/>
      <c r="E36" s="14"/>
      <c r="F36" s="41"/>
      <c r="G36" s="41"/>
      <c r="H36" s="41"/>
      <c r="I36" s="41"/>
      <c r="J36" s="41"/>
      <c r="K36" s="41"/>
      <c r="L36" s="41"/>
      <c r="M36" s="41"/>
      <c r="N36" s="41"/>
      <c r="O36" s="41"/>
      <c r="P36" s="41"/>
      <c r="Q36" s="41"/>
      <c r="R36" s="41"/>
      <c r="S36" s="41"/>
      <c r="T36" s="41"/>
      <c r="U36" s="41"/>
      <c r="V36" s="41"/>
      <c r="W36" s="41"/>
      <c r="X36" s="41"/>
      <c r="Y36" s="41"/>
      <c r="Z36" s="41"/>
    </row>
    <row r="37" ht="19.5" customHeight="1">
      <c r="A37" s="41"/>
      <c r="B37" s="84" t="s">
        <v>537</v>
      </c>
      <c r="C37" s="111" t="str">
        <f>sample_certificate_authority_fqdn</f>
        <v>rpl-ad01.rainpole.io</v>
      </c>
      <c r="D37" s="32" t="str">
        <f>certificate_authority_fqdn</f>
        <v>Value Missing</v>
      </c>
      <c r="E37" s="18" t="str">
        <f>IF(mgmt_signed_certs_result="Excluded","Inputs are masked out and only required if Apply Signed Certifcates is chosen from the Post-Deployment Option","")</f>
        <v/>
      </c>
      <c r="F37" s="41"/>
      <c r="G37" s="41"/>
      <c r="H37" s="41"/>
      <c r="I37" s="41"/>
      <c r="J37" s="41"/>
      <c r="K37" s="41"/>
      <c r="L37" s="41"/>
      <c r="M37" s="41"/>
      <c r="N37" s="41"/>
      <c r="O37" s="41"/>
      <c r="P37" s="41"/>
      <c r="Q37" s="41"/>
      <c r="R37" s="41"/>
      <c r="S37" s="41"/>
      <c r="T37" s="41"/>
      <c r="U37" s="41"/>
      <c r="V37" s="41"/>
      <c r="W37" s="41"/>
      <c r="X37" s="41"/>
      <c r="Y37" s="41"/>
      <c r="Z37" s="41"/>
    </row>
    <row r="38" ht="19.5" customHeight="1">
      <c r="A38" s="41"/>
      <c r="B38" s="84" t="s">
        <v>539</v>
      </c>
      <c r="C38" s="110" t="str">
        <f>sample_ca_administrator_username</f>
        <v>Administrator</v>
      </c>
      <c r="D38" s="32" t="str">
        <f>ca_administrator_username</f>
        <v>Value Missing</v>
      </c>
      <c r="E38" s="84"/>
      <c r="F38" s="41"/>
      <c r="G38" s="41"/>
      <c r="H38" s="41"/>
      <c r="I38" s="41"/>
      <c r="J38" s="41"/>
      <c r="K38" s="41"/>
      <c r="L38" s="41"/>
      <c r="M38" s="41"/>
      <c r="N38" s="41"/>
      <c r="O38" s="41"/>
      <c r="P38" s="41"/>
      <c r="Q38" s="41"/>
      <c r="R38" s="41"/>
      <c r="S38" s="41"/>
      <c r="T38" s="41"/>
      <c r="U38" s="41"/>
      <c r="V38" s="41"/>
      <c r="W38" s="41"/>
      <c r="X38" s="41"/>
      <c r="Y38" s="41"/>
      <c r="Z38" s="41"/>
    </row>
    <row r="39" ht="19.5" customHeight="1">
      <c r="A39" s="41"/>
      <c r="B39" s="84" t="s">
        <v>296</v>
      </c>
      <c r="C39" s="110" t="str">
        <f>sample_ca_administrator_password</f>
        <v>VMw@re1!</v>
      </c>
      <c r="D39" s="32" t="str">
        <f>ca_administrator_password</f>
        <v>Value Missing</v>
      </c>
      <c r="E39" s="84"/>
      <c r="F39" s="41"/>
      <c r="G39" s="41"/>
      <c r="H39" s="41"/>
      <c r="I39" s="41"/>
      <c r="J39" s="41"/>
      <c r="K39" s="41"/>
      <c r="L39" s="41"/>
      <c r="M39" s="41"/>
      <c r="N39" s="41"/>
      <c r="O39" s="41"/>
      <c r="P39" s="41"/>
      <c r="Q39" s="41"/>
      <c r="R39" s="41"/>
      <c r="S39" s="41"/>
      <c r="T39" s="41"/>
      <c r="U39" s="41"/>
      <c r="V39" s="41"/>
      <c r="W39" s="41"/>
      <c r="X39" s="41"/>
      <c r="Y39" s="41"/>
      <c r="Z39" s="41"/>
    </row>
    <row r="40" ht="19.5" customHeight="1">
      <c r="A40" s="41"/>
      <c r="B40" s="84" t="s">
        <v>542</v>
      </c>
      <c r="C40" s="111" t="str">
        <f>sample_certificate_authority_fqdn</f>
        <v>rpl-ad01.rainpole.io</v>
      </c>
      <c r="D40" s="32" t="str">
        <f>certificate_authority_fqdn</f>
        <v>Value Missing</v>
      </c>
      <c r="E40" s="84"/>
      <c r="F40" s="41"/>
      <c r="G40" s="41"/>
      <c r="H40" s="41"/>
      <c r="I40" s="41"/>
      <c r="J40" s="41"/>
      <c r="K40" s="41"/>
      <c r="L40" s="41"/>
      <c r="M40" s="41"/>
      <c r="N40" s="41"/>
      <c r="O40" s="41"/>
      <c r="P40" s="41"/>
      <c r="Q40" s="41"/>
      <c r="R40" s="41"/>
      <c r="S40" s="41"/>
      <c r="T40" s="41"/>
      <c r="U40" s="41"/>
      <c r="V40" s="41"/>
      <c r="W40" s="41"/>
      <c r="X40" s="41"/>
      <c r="Y40" s="41"/>
      <c r="Z40" s="41"/>
    </row>
    <row r="41" ht="19.5" customHeight="1">
      <c r="A41" s="41"/>
      <c r="B41" s="102" t="s">
        <v>543</v>
      </c>
      <c r="C41" s="13"/>
      <c r="D41" s="13"/>
      <c r="E41" s="14"/>
      <c r="F41" s="41"/>
      <c r="G41" s="41"/>
      <c r="H41" s="41"/>
      <c r="I41" s="41"/>
      <c r="J41" s="41"/>
      <c r="K41" s="41"/>
      <c r="L41" s="41"/>
      <c r="M41" s="41"/>
      <c r="N41" s="41"/>
      <c r="O41" s="41"/>
      <c r="P41" s="41"/>
      <c r="Q41" s="41"/>
      <c r="R41" s="41"/>
      <c r="S41" s="41"/>
      <c r="T41" s="41"/>
      <c r="U41" s="41"/>
      <c r="V41" s="41"/>
      <c r="W41" s="41"/>
      <c r="X41" s="41"/>
      <c r="Y41" s="41"/>
      <c r="Z41" s="41"/>
    </row>
    <row r="42" ht="19.5" customHeight="1">
      <c r="A42" s="41"/>
      <c r="B42" s="84" t="s">
        <v>544</v>
      </c>
      <c r="C42" s="111" t="str">
        <f>CONCATENATE("https://",sample_certificate_authority_fqdn)</f>
        <v>https://rpl-ad01.rainpole.io</v>
      </c>
      <c r="D42" s="32" t="str">
        <f>certificate_authority_fqdn</f>
        <v>Value Missing</v>
      </c>
      <c r="E42" s="18" t="str">
        <f>IF(mgmt_signed_certs_result="Excluded","Inputs are masked out and only required if Apply Signed Certifcates is chosen from the Post-Deployment Option","")</f>
        <v/>
      </c>
      <c r="F42" s="41"/>
      <c r="G42" s="41"/>
      <c r="H42" s="41"/>
      <c r="I42" s="41"/>
      <c r="J42" s="41"/>
      <c r="K42" s="41"/>
      <c r="L42" s="41"/>
      <c r="M42" s="41"/>
      <c r="N42" s="41"/>
      <c r="O42" s="41"/>
      <c r="P42" s="41"/>
      <c r="Q42" s="41"/>
      <c r="R42" s="41"/>
      <c r="S42" s="41"/>
      <c r="T42" s="41"/>
      <c r="U42" s="41"/>
      <c r="V42" s="41"/>
      <c r="W42" s="41"/>
      <c r="X42" s="41"/>
      <c r="Y42" s="41"/>
      <c r="Z42" s="41"/>
    </row>
    <row r="43" ht="19.5" customHeight="1">
      <c r="A43" s="41"/>
      <c r="B43" s="84" t="s">
        <v>545</v>
      </c>
      <c r="C43" s="110" t="str">
        <f>sample_ca_administrator_username</f>
        <v>Administrator</v>
      </c>
      <c r="D43" s="32" t="str">
        <f>ca_administrator_username</f>
        <v>Value Missing</v>
      </c>
      <c r="E43" s="84"/>
      <c r="F43" s="41"/>
      <c r="G43" s="41"/>
      <c r="H43" s="41"/>
      <c r="I43" s="41"/>
      <c r="J43" s="41"/>
      <c r="K43" s="41"/>
      <c r="L43" s="41"/>
      <c r="M43" s="41"/>
      <c r="N43" s="41"/>
      <c r="O43" s="41"/>
      <c r="P43" s="41"/>
      <c r="Q43" s="41"/>
      <c r="R43" s="41"/>
      <c r="S43" s="41"/>
      <c r="T43" s="41"/>
      <c r="U43" s="41"/>
      <c r="V43" s="41"/>
      <c r="W43" s="41"/>
      <c r="X43" s="41"/>
      <c r="Y43" s="41"/>
      <c r="Z43" s="41"/>
    </row>
    <row r="44" ht="19.5" customHeight="1">
      <c r="A44" s="41"/>
      <c r="B44" s="84" t="s">
        <v>296</v>
      </c>
      <c r="C44" s="110" t="str">
        <f>sample_ca_administrator_password</f>
        <v>VMw@re1!</v>
      </c>
      <c r="D44" s="32" t="str">
        <f>ca_administrator_password</f>
        <v>Value Missing</v>
      </c>
      <c r="E44" s="84"/>
      <c r="F44" s="41"/>
      <c r="G44" s="41"/>
      <c r="H44" s="41"/>
      <c r="I44" s="41"/>
      <c r="J44" s="41"/>
      <c r="K44" s="41"/>
      <c r="L44" s="41"/>
      <c r="M44" s="41"/>
      <c r="N44" s="41"/>
      <c r="O44" s="41"/>
      <c r="P44" s="41"/>
      <c r="Q44" s="41"/>
      <c r="R44" s="41"/>
      <c r="S44" s="41"/>
      <c r="T44" s="41"/>
      <c r="U44" s="41"/>
      <c r="V44" s="41"/>
      <c r="W44" s="41"/>
      <c r="X44" s="41"/>
      <c r="Y44" s="41"/>
      <c r="Z44" s="41"/>
    </row>
    <row r="45" ht="19.5" customHeight="1">
      <c r="A45" s="41"/>
      <c r="B45" s="84" t="s">
        <v>546</v>
      </c>
      <c r="C45" s="185" t="s">
        <v>547</v>
      </c>
      <c r="D45" s="18"/>
      <c r="E45" s="84"/>
      <c r="F45" s="41"/>
      <c r="G45" s="41"/>
      <c r="H45" s="41"/>
      <c r="I45" s="41"/>
      <c r="J45" s="41"/>
      <c r="K45" s="41"/>
      <c r="L45" s="41"/>
      <c r="M45" s="41"/>
      <c r="N45" s="41"/>
      <c r="O45" s="41"/>
      <c r="P45" s="41"/>
      <c r="Q45" s="41"/>
      <c r="R45" s="41"/>
      <c r="S45" s="41"/>
      <c r="T45" s="41"/>
      <c r="U45" s="41"/>
      <c r="V45" s="41"/>
      <c r="W45" s="41"/>
      <c r="X45" s="41"/>
      <c r="Y45" s="41"/>
      <c r="Z45" s="41"/>
    </row>
    <row r="46" ht="19.5" customHeight="1">
      <c r="A46" s="41"/>
      <c r="B46" s="102" t="s">
        <v>548</v>
      </c>
      <c r="C46" s="13"/>
      <c r="D46" s="13"/>
      <c r="E46" s="14"/>
      <c r="F46" s="41"/>
      <c r="G46" s="41"/>
      <c r="H46" s="41"/>
      <c r="I46" s="41"/>
      <c r="J46" s="41"/>
      <c r="K46" s="41"/>
      <c r="L46" s="41"/>
      <c r="M46" s="41"/>
      <c r="N46" s="41"/>
      <c r="O46" s="41"/>
      <c r="P46" s="41"/>
      <c r="Q46" s="41"/>
      <c r="R46" s="41"/>
      <c r="S46" s="41"/>
      <c r="T46" s="41"/>
      <c r="U46" s="41"/>
      <c r="V46" s="41"/>
      <c r="W46" s="41"/>
      <c r="X46" s="41"/>
      <c r="Y46" s="41"/>
      <c r="Z46" s="41"/>
    </row>
    <row r="47" ht="19.5" customHeight="1">
      <c r="A47" s="41"/>
      <c r="B47" s="84" t="s">
        <v>537</v>
      </c>
      <c r="C47" s="111" t="str">
        <f>sample_certificate_authority_fqdn</f>
        <v>rpl-ad01.rainpole.io</v>
      </c>
      <c r="D47" s="32" t="str">
        <f>certificate_authority_fqdn</f>
        <v>Value Missing</v>
      </c>
      <c r="E47" s="18" t="str">
        <f>IF(mgmt_signed_certs_result="Excluded","Inputs are masked out and only required if Apply Signed Certifcates is chosen from the Post-Deployment Option","")</f>
        <v/>
      </c>
      <c r="F47" s="41"/>
      <c r="G47" s="41"/>
      <c r="H47" s="41"/>
      <c r="I47" s="41"/>
      <c r="J47" s="41"/>
      <c r="K47" s="41"/>
      <c r="L47" s="41"/>
      <c r="M47" s="41"/>
      <c r="N47" s="41"/>
      <c r="O47" s="41"/>
      <c r="P47" s="41"/>
      <c r="Q47" s="41"/>
      <c r="R47" s="41"/>
      <c r="S47" s="41"/>
      <c r="T47" s="41"/>
      <c r="U47" s="41"/>
      <c r="V47" s="41"/>
      <c r="W47" s="41"/>
      <c r="X47" s="41"/>
      <c r="Y47" s="41"/>
      <c r="Z47" s="41"/>
    </row>
    <row r="48" ht="19.5" customHeight="1">
      <c r="A48" s="41"/>
      <c r="B48" s="84" t="s">
        <v>539</v>
      </c>
      <c r="C48" s="110" t="str">
        <f>sample_ca_administrator_username</f>
        <v>Administrator</v>
      </c>
      <c r="D48" s="32" t="str">
        <f>ca_administrator_username</f>
        <v>Value Missing</v>
      </c>
      <c r="E48" s="84"/>
      <c r="F48" s="41"/>
      <c r="G48" s="41"/>
      <c r="H48" s="41"/>
      <c r="I48" s="41"/>
      <c r="J48" s="41"/>
      <c r="K48" s="41"/>
      <c r="L48" s="41"/>
      <c r="M48" s="41"/>
      <c r="N48" s="41"/>
      <c r="O48" s="41"/>
      <c r="P48" s="41"/>
      <c r="Q48" s="41"/>
      <c r="R48" s="41"/>
      <c r="S48" s="41"/>
      <c r="T48" s="41"/>
      <c r="U48" s="41"/>
      <c r="V48" s="41"/>
      <c r="W48" s="41"/>
      <c r="X48" s="41"/>
      <c r="Y48" s="41"/>
      <c r="Z48" s="41"/>
    </row>
    <row r="49" ht="19.5" customHeight="1">
      <c r="A49" s="41"/>
      <c r="B49" s="84" t="s">
        <v>296</v>
      </c>
      <c r="C49" s="110" t="str">
        <f>sample_ca_administrator_password</f>
        <v>VMw@re1!</v>
      </c>
      <c r="D49" s="32" t="str">
        <f>ca_administrator_password</f>
        <v>Value Missing</v>
      </c>
      <c r="E49" s="84"/>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84" t="s">
        <v>549</v>
      </c>
      <c r="C50" s="110" t="s">
        <v>550</v>
      </c>
      <c r="D50" s="18"/>
      <c r="E50" s="84"/>
      <c r="F50" s="41"/>
      <c r="G50" s="41"/>
      <c r="H50" s="41"/>
      <c r="I50" s="41"/>
      <c r="J50" s="41"/>
      <c r="K50" s="41"/>
      <c r="L50" s="41"/>
      <c r="M50" s="41"/>
      <c r="N50" s="41"/>
      <c r="O50" s="41"/>
      <c r="P50" s="41"/>
      <c r="Q50" s="41"/>
      <c r="R50" s="41"/>
      <c r="S50" s="41"/>
      <c r="T50" s="41"/>
      <c r="U50" s="41"/>
      <c r="V50" s="41"/>
      <c r="W50" s="41"/>
      <c r="X50" s="41"/>
      <c r="Y50" s="41"/>
      <c r="Z50" s="41"/>
    </row>
    <row r="51" ht="19.5" customHeight="1">
      <c r="A51" s="41"/>
      <c r="B51" s="102" t="s">
        <v>551</v>
      </c>
      <c r="C51" s="13"/>
      <c r="D51" s="13"/>
      <c r="E51" s="14"/>
      <c r="F51" s="41"/>
      <c r="G51" s="41"/>
      <c r="H51" s="41"/>
      <c r="I51" s="41"/>
      <c r="J51" s="41"/>
      <c r="K51" s="41"/>
      <c r="L51" s="41"/>
      <c r="M51" s="41"/>
      <c r="N51" s="41"/>
      <c r="O51" s="41"/>
      <c r="P51" s="41"/>
      <c r="Q51" s="41"/>
      <c r="R51" s="41"/>
      <c r="S51" s="41"/>
      <c r="T51" s="41"/>
      <c r="U51" s="41"/>
      <c r="V51" s="41"/>
      <c r="W51" s="41"/>
      <c r="X51" s="41"/>
      <c r="Y51" s="41"/>
      <c r="Z51" s="41"/>
    </row>
    <row r="52" ht="19.5" customHeight="1">
      <c r="A52" s="41"/>
      <c r="B52" s="84" t="s">
        <v>110</v>
      </c>
      <c r="C52" s="110" t="s">
        <v>552</v>
      </c>
      <c r="D52" s="18" t="s">
        <v>552</v>
      </c>
      <c r="E52" s="18" t="str">
        <f>IF(mgmt_signed_certs_result="Excluded","Inputs are masked out and only required if Apply Signed Certifcates is chosen from the Post-Deployment Option","")</f>
        <v/>
      </c>
      <c r="F52" s="41"/>
      <c r="G52" s="41"/>
      <c r="H52" s="41"/>
      <c r="I52" s="41"/>
      <c r="J52" s="41"/>
      <c r="K52" s="41"/>
      <c r="L52" s="41"/>
      <c r="M52" s="41"/>
      <c r="N52" s="41"/>
      <c r="O52" s="41"/>
      <c r="P52" s="41"/>
      <c r="Q52" s="41"/>
      <c r="R52" s="41"/>
      <c r="S52" s="41"/>
      <c r="T52" s="41"/>
      <c r="U52" s="41"/>
      <c r="V52" s="41"/>
      <c r="W52" s="41"/>
      <c r="X52" s="41"/>
      <c r="Y52" s="41"/>
      <c r="Z52" s="41"/>
    </row>
    <row r="53" ht="19.5" customHeight="1">
      <c r="A53" s="41"/>
      <c r="B53" s="84" t="s">
        <v>544</v>
      </c>
      <c r="C53" s="110" t="str">
        <f>CONCATENATE("https://",certificate_authority_fqdn,"/certsrv")</f>
        <v>https://Value Missing/certsrv</v>
      </c>
      <c r="D53" s="18" t="str">
        <f>CONCATENATE("https://",certificate_authority_fqdn,"/certsrv")</f>
        <v>https://Value Missing/certsrv</v>
      </c>
      <c r="E53" s="84"/>
      <c r="F53" s="41"/>
      <c r="G53" s="41"/>
      <c r="H53" s="41"/>
      <c r="I53" s="41"/>
      <c r="J53" s="41"/>
      <c r="K53" s="41"/>
      <c r="L53" s="41"/>
      <c r="M53" s="41"/>
      <c r="N53" s="41"/>
      <c r="O53" s="41"/>
      <c r="P53" s="41"/>
      <c r="Q53" s="41"/>
      <c r="R53" s="41"/>
      <c r="S53" s="41"/>
      <c r="T53" s="41"/>
      <c r="U53" s="41"/>
      <c r="V53" s="41"/>
      <c r="W53" s="41"/>
      <c r="X53" s="41"/>
      <c r="Y53" s="41"/>
      <c r="Z53" s="41"/>
    </row>
    <row r="54" ht="19.5" customHeight="1">
      <c r="A54" s="41"/>
      <c r="B54" s="84" t="s">
        <v>294</v>
      </c>
      <c r="C54" s="110" t="str">
        <f>sample_svc_vcf_ca_vcf_user</f>
        <v>svc-vcf-ca</v>
      </c>
      <c r="D54" s="18" t="str">
        <f>user_svc_vcf_ca_vcf</f>
        <v>Value Missing</v>
      </c>
      <c r="E54" s="84"/>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84" t="s">
        <v>296</v>
      </c>
      <c r="C55" s="110" t="s">
        <v>382</v>
      </c>
      <c r="D55" s="18"/>
      <c r="E55" s="84"/>
      <c r="F55" s="41"/>
      <c r="G55" s="41"/>
      <c r="H55" s="41"/>
      <c r="I55" s="41"/>
      <c r="J55" s="41"/>
      <c r="K55" s="41"/>
      <c r="L55" s="41"/>
      <c r="M55" s="41"/>
      <c r="N55" s="41"/>
      <c r="O55" s="41"/>
      <c r="P55" s="41"/>
      <c r="Q55" s="41"/>
      <c r="R55" s="41"/>
      <c r="S55" s="41"/>
      <c r="T55" s="41"/>
      <c r="U55" s="41"/>
      <c r="V55" s="41"/>
      <c r="W55" s="41"/>
      <c r="X55" s="41"/>
      <c r="Y55" s="41"/>
      <c r="Z55" s="41"/>
    </row>
    <row r="56" ht="19.5" customHeight="1">
      <c r="A56" s="41"/>
      <c r="B56" s="84" t="s">
        <v>546</v>
      </c>
      <c r="C56" s="110" t="str">
        <f>sample_ca_template_name</f>
        <v>VMware</v>
      </c>
      <c r="D56" s="32" t="str">
        <f>ca_template_name</f>
        <v>Value Missing</v>
      </c>
      <c r="E56" s="84"/>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102" t="s">
        <v>553</v>
      </c>
      <c r="C57" s="13"/>
      <c r="D57" s="13"/>
      <c r="E57" s="14"/>
      <c r="F57" s="41"/>
      <c r="G57" s="41"/>
      <c r="H57" s="41"/>
      <c r="I57" s="41"/>
      <c r="J57" s="41"/>
      <c r="K57" s="41"/>
      <c r="L57" s="41"/>
      <c r="M57" s="41"/>
      <c r="N57" s="41"/>
      <c r="O57" s="41"/>
      <c r="P57" s="41"/>
      <c r="Q57" s="41"/>
      <c r="R57" s="41"/>
      <c r="S57" s="41"/>
      <c r="T57" s="41"/>
      <c r="U57" s="41"/>
      <c r="V57" s="41"/>
      <c r="W57" s="41"/>
      <c r="X57" s="41"/>
      <c r="Y57" s="41"/>
      <c r="Z57" s="41"/>
    </row>
    <row r="58" ht="19.5" customHeight="1">
      <c r="A58" s="41"/>
      <c r="B58" s="84" t="s">
        <v>554</v>
      </c>
      <c r="C58" s="185" t="s">
        <v>555</v>
      </c>
      <c r="D58" s="18"/>
      <c r="E58" s="18" t="str">
        <f>IF(mgmt_signed_certs_result="Excluded","Inputs are masked out and only required if Apply Signed Certifcates is chosen from the Post-Deployment Option","")</f>
        <v/>
      </c>
      <c r="F58" s="41"/>
      <c r="G58" s="41"/>
      <c r="H58" s="41"/>
      <c r="I58" s="41"/>
      <c r="J58" s="41"/>
      <c r="K58" s="41"/>
      <c r="L58" s="41"/>
      <c r="M58" s="41"/>
      <c r="N58" s="41"/>
      <c r="O58" s="41"/>
      <c r="P58" s="41"/>
      <c r="Q58" s="41"/>
      <c r="R58" s="41"/>
      <c r="S58" s="41"/>
      <c r="T58" s="41"/>
      <c r="U58" s="41"/>
      <c r="V58" s="41"/>
      <c r="W58" s="41"/>
      <c r="X58" s="41"/>
      <c r="Y58" s="41"/>
      <c r="Z58" s="41"/>
    </row>
    <row r="59" ht="19.5" customHeight="1">
      <c r="A59" s="41"/>
      <c r="B59" s="84" t="s">
        <v>556</v>
      </c>
      <c r="C59" s="185" t="s">
        <v>74</v>
      </c>
      <c r="D59" s="18"/>
      <c r="E59" s="84"/>
      <c r="F59" s="41"/>
      <c r="G59" s="41"/>
      <c r="H59" s="41"/>
      <c r="I59" s="41"/>
      <c r="J59" s="41"/>
      <c r="K59" s="41"/>
      <c r="L59" s="41"/>
      <c r="M59" s="41"/>
      <c r="N59" s="41"/>
      <c r="O59" s="41"/>
      <c r="P59" s="41"/>
      <c r="Q59" s="41"/>
      <c r="R59" s="41"/>
      <c r="S59" s="41"/>
      <c r="T59" s="41"/>
      <c r="U59" s="41"/>
      <c r="V59" s="41"/>
      <c r="W59" s="41"/>
      <c r="X59" s="41"/>
      <c r="Y59" s="41"/>
      <c r="Z59" s="41"/>
    </row>
    <row r="60" ht="19.5" customHeight="1">
      <c r="A60" s="41"/>
      <c r="B60" s="84" t="s">
        <v>557</v>
      </c>
      <c r="C60" s="185" t="s">
        <v>558</v>
      </c>
      <c r="D60" s="18"/>
      <c r="E60" s="84"/>
      <c r="F60" s="41"/>
      <c r="G60" s="41"/>
      <c r="H60" s="41"/>
      <c r="I60" s="41"/>
      <c r="J60" s="41"/>
      <c r="K60" s="41"/>
      <c r="L60" s="41"/>
      <c r="M60" s="41"/>
      <c r="N60" s="41"/>
      <c r="O60" s="41"/>
      <c r="P60" s="41"/>
      <c r="Q60" s="41"/>
      <c r="R60" s="41"/>
      <c r="S60" s="41"/>
      <c r="T60" s="41"/>
      <c r="U60" s="41"/>
      <c r="V60" s="41"/>
      <c r="W60" s="41"/>
      <c r="X60" s="41"/>
      <c r="Y60" s="41"/>
      <c r="Z60" s="41"/>
    </row>
    <row r="61" ht="19.5" customHeight="1">
      <c r="A61" s="41"/>
      <c r="B61" s="84" t="s">
        <v>559</v>
      </c>
      <c r="C61" s="185" t="s">
        <v>560</v>
      </c>
      <c r="D61" s="18"/>
      <c r="E61" s="84"/>
      <c r="F61" s="41"/>
      <c r="G61" s="41"/>
      <c r="H61" s="41"/>
      <c r="I61" s="41"/>
      <c r="J61" s="41"/>
      <c r="K61" s="41"/>
      <c r="L61" s="41"/>
      <c r="M61" s="41"/>
      <c r="N61" s="41"/>
      <c r="O61" s="41"/>
      <c r="P61" s="41"/>
      <c r="Q61" s="41"/>
      <c r="R61" s="41"/>
      <c r="S61" s="41"/>
      <c r="T61" s="41"/>
      <c r="U61" s="41"/>
      <c r="V61" s="41"/>
      <c r="W61" s="41"/>
      <c r="X61" s="41"/>
      <c r="Y61" s="41"/>
      <c r="Z61" s="41"/>
    </row>
    <row r="62" ht="19.5" customHeight="1">
      <c r="A62" s="41"/>
      <c r="B62" s="84" t="s">
        <v>561</v>
      </c>
      <c r="C62" s="185" t="s">
        <v>562</v>
      </c>
      <c r="D62" s="18"/>
      <c r="E62" s="84"/>
      <c r="F62" s="41"/>
      <c r="G62" s="41"/>
      <c r="H62" s="41"/>
      <c r="I62" s="41"/>
      <c r="J62" s="41"/>
      <c r="K62" s="41"/>
      <c r="L62" s="41"/>
      <c r="M62" s="41"/>
      <c r="N62" s="41"/>
      <c r="O62" s="41"/>
      <c r="P62" s="41"/>
      <c r="Q62" s="41"/>
      <c r="R62" s="41"/>
      <c r="S62" s="41"/>
      <c r="T62" s="41"/>
      <c r="U62" s="41"/>
      <c r="V62" s="41"/>
      <c r="W62" s="41"/>
      <c r="X62" s="41"/>
      <c r="Y62" s="41"/>
      <c r="Z62" s="41"/>
    </row>
    <row r="63" ht="19.5" customHeight="1">
      <c r="A63" s="41"/>
      <c r="B63" s="84" t="s">
        <v>563</v>
      </c>
      <c r="C63" s="185" t="s">
        <v>564</v>
      </c>
      <c r="D63" s="18"/>
      <c r="E63" s="84"/>
      <c r="F63" s="41"/>
      <c r="G63" s="41"/>
      <c r="H63" s="41"/>
      <c r="I63" s="41"/>
      <c r="J63" s="41"/>
      <c r="K63" s="41"/>
      <c r="L63" s="41"/>
      <c r="M63" s="41"/>
      <c r="N63" s="41"/>
      <c r="O63" s="41"/>
      <c r="P63" s="41"/>
      <c r="Q63" s="41"/>
      <c r="R63" s="41"/>
      <c r="S63" s="41"/>
      <c r="T63" s="41"/>
      <c r="U63" s="41"/>
      <c r="V63" s="41"/>
      <c r="W63" s="41"/>
      <c r="X63" s="41"/>
      <c r="Y63" s="41"/>
      <c r="Z63" s="41"/>
    </row>
    <row r="64" ht="19.5" customHeight="1">
      <c r="A64" s="41"/>
      <c r="B64" s="84" t="s">
        <v>565</v>
      </c>
      <c r="C64" s="185" t="s">
        <v>566</v>
      </c>
      <c r="D64" s="153"/>
      <c r="E64" s="84"/>
      <c r="F64" s="41"/>
      <c r="G64" s="41"/>
      <c r="H64" s="41"/>
      <c r="I64" s="41"/>
      <c r="J64" s="41"/>
      <c r="K64" s="41"/>
      <c r="L64" s="41"/>
      <c r="M64" s="41"/>
      <c r="N64" s="41"/>
      <c r="O64" s="41"/>
      <c r="P64" s="41"/>
      <c r="Q64" s="41"/>
      <c r="R64" s="41"/>
      <c r="S64" s="41"/>
      <c r="T64" s="41"/>
      <c r="U64" s="41"/>
      <c r="V64" s="41"/>
      <c r="W64" s="41"/>
      <c r="X64" s="41"/>
      <c r="Y64" s="41"/>
      <c r="Z64" s="41"/>
    </row>
    <row r="65" ht="19.5" customHeight="1">
      <c r="A65" s="41"/>
      <c r="B65" s="84" t="s">
        <v>567</v>
      </c>
      <c r="C65" s="185">
        <v>4096.0</v>
      </c>
      <c r="D65" s="18"/>
      <c r="E65" s="84"/>
      <c r="F65" s="41"/>
      <c r="G65" s="41"/>
      <c r="H65" s="41"/>
      <c r="I65" s="41"/>
      <c r="J65" s="41"/>
      <c r="K65" s="41"/>
      <c r="L65" s="41"/>
      <c r="M65" s="41"/>
      <c r="N65" s="41"/>
      <c r="O65" s="41"/>
      <c r="P65" s="41"/>
      <c r="Q65" s="41"/>
      <c r="R65" s="41"/>
      <c r="S65" s="41"/>
      <c r="T65" s="41"/>
      <c r="U65" s="41"/>
      <c r="V65" s="41"/>
      <c r="W65" s="41"/>
      <c r="X65" s="41"/>
      <c r="Y65" s="41"/>
      <c r="Z65" s="41"/>
    </row>
    <row r="66" ht="19.5" customHeight="1">
      <c r="A66" s="41"/>
      <c r="B66" s="102" t="s">
        <v>568</v>
      </c>
      <c r="C66" s="13"/>
      <c r="D66" s="13"/>
      <c r="E66" s="14"/>
      <c r="F66" s="41"/>
      <c r="G66" s="41"/>
      <c r="H66" s="41"/>
      <c r="I66" s="41"/>
      <c r="J66" s="41"/>
      <c r="K66" s="41"/>
      <c r="L66" s="41"/>
      <c r="M66" s="41"/>
      <c r="N66" s="41"/>
      <c r="O66" s="41"/>
      <c r="P66" s="41"/>
      <c r="Q66" s="41"/>
      <c r="R66" s="41"/>
      <c r="S66" s="41"/>
      <c r="T66" s="41"/>
      <c r="U66" s="41"/>
      <c r="V66" s="41"/>
      <c r="W66" s="41"/>
      <c r="X66" s="41"/>
      <c r="Y66" s="41"/>
      <c r="Z66" s="41"/>
    </row>
    <row r="67" ht="19.5" customHeight="1">
      <c r="A67" s="41"/>
      <c r="B67" s="84" t="s">
        <v>110</v>
      </c>
      <c r="C67" s="156" t="s">
        <v>569</v>
      </c>
      <c r="D67" s="18"/>
      <c r="E67" s="18" t="str">
        <f>IF(mgmt_signed_certs_result="Excluded","Inputs are masked out and only required if Apply Signed Certifcates is chosen from the Post-Deployment Option","")</f>
        <v/>
      </c>
      <c r="F67" s="41"/>
      <c r="G67" s="41"/>
      <c r="H67" s="41"/>
      <c r="I67" s="41"/>
      <c r="J67" s="41"/>
      <c r="K67" s="41"/>
      <c r="L67" s="41"/>
      <c r="M67" s="41"/>
      <c r="N67" s="41"/>
      <c r="O67" s="41"/>
      <c r="P67" s="41"/>
      <c r="Q67" s="41"/>
      <c r="R67" s="41"/>
      <c r="S67" s="41"/>
      <c r="T67" s="41"/>
      <c r="U67" s="41"/>
      <c r="V67" s="41"/>
      <c r="W67" s="41"/>
      <c r="X67" s="41"/>
      <c r="Y67" s="41"/>
      <c r="Z67" s="41"/>
    </row>
    <row r="68" ht="19.5" customHeight="1">
      <c r="A68" s="41"/>
      <c r="B68" s="84" t="s">
        <v>570</v>
      </c>
      <c r="C68" s="111" t="str">
        <f>sample_sddc_mgr_fqdn</f>
        <v>lax-vcf01.lax.rainpole.io</v>
      </c>
      <c r="D68" s="32"/>
      <c r="E68" s="84"/>
      <c r="F68" s="41"/>
      <c r="G68" s="41"/>
      <c r="H68" s="41"/>
      <c r="I68" s="41"/>
      <c r="J68" s="41"/>
      <c r="K68" s="41"/>
      <c r="L68" s="41"/>
      <c r="M68" s="41"/>
      <c r="N68" s="41"/>
      <c r="O68" s="41"/>
      <c r="P68" s="41"/>
      <c r="Q68" s="41"/>
      <c r="R68" s="41"/>
      <c r="S68" s="41"/>
      <c r="T68" s="41"/>
      <c r="U68" s="41"/>
      <c r="V68" s="41"/>
      <c r="W68" s="41"/>
      <c r="X68" s="41"/>
      <c r="Y68" s="41"/>
      <c r="Z68" s="41"/>
    </row>
    <row r="69" ht="19.5" customHeight="1">
      <c r="A69" s="41"/>
      <c r="B69" s="84" t="s">
        <v>559</v>
      </c>
      <c r="C69" s="110" t="str">
        <f>sample_ca_country</f>
        <v>US</v>
      </c>
      <c r="D69" s="32"/>
      <c r="E69" s="84"/>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84" t="s">
        <v>571</v>
      </c>
      <c r="C70" s="110" t="str">
        <f>sample_ca_locality</f>
        <v>San Francisco</v>
      </c>
      <c r="D70" s="32"/>
      <c r="E70" s="84"/>
      <c r="F70" s="41"/>
      <c r="G70" s="41"/>
      <c r="H70" s="41"/>
      <c r="I70" s="41"/>
      <c r="J70" s="41"/>
      <c r="K70" s="41"/>
      <c r="L70" s="41"/>
      <c r="M70" s="41"/>
      <c r="N70" s="41"/>
      <c r="O70" s="41"/>
      <c r="P70" s="41"/>
      <c r="Q70" s="41"/>
      <c r="R70" s="41"/>
      <c r="S70" s="41"/>
      <c r="T70" s="41"/>
      <c r="U70" s="41"/>
      <c r="V70" s="41"/>
      <c r="W70" s="41"/>
      <c r="X70" s="41"/>
      <c r="Y70" s="41"/>
      <c r="Z70" s="41"/>
    </row>
    <row r="71" ht="19.5" customHeight="1">
      <c r="A71" s="41"/>
      <c r="B71" s="84" t="s">
        <v>572</v>
      </c>
      <c r="C71" s="110" t="str">
        <f>sample_ca_organization_unit</f>
        <v>Rainpole</v>
      </c>
      <c r="D71" s="32"/>
      <c r="E71" s="84"/>
      <c r="F71" s="41"/>
      <c r="G71" s="41"/>
      <c r="H71" s="41"/>
      <c r="I71" s="41"/>
      <c r="J71" s="41"/>
      <c r="K71" s="41"/>
      <c r="L71" s="41"/>
      <c r="M71" s="41"/>
      <c r="N71" s="41"/>
      <c r="O71" s="41"/>
      <c r="P71" s="41"/>
      <c r="Q71" s="41"/>
      <c r="R71" s="41"/>
      <c r="S71" s="41"/>
      <c r="T71" s="41"/>
      <c r="U71" s="41"/>
      <c r="V71" s="41"/>
      <c r="W71" s="41"/>
      <c r="X71" s="41"/>
      <c r="Y71" s="41"/>
      <c r="Z71" s="41"/>
    </row>
    <row r="72" ht="19.5" customHeight="1">
      <c r="A72" s="41"/>
      <c r="B72" s="84" t="s">
        <v>573</v>
      </c>
      <c r="C72" s="110" t="str">
        <f>sample_ca_organization</f>
        <v>IT</v>
      </c>
      <c r="D72" s="32"/>
      <c r="E72" s="84"/>
      <c r="F72" s="41"/>
      <c r="G72" s="41"/>
      <c r="H72" s="41"/>
      <c r="I72" s="41"/>
      <c r="J72" s="41"/>
      <c r="K72" s="41"/>
      <c r="L72" s="41"/>
      <c r="M72" s="41"/>
      <c r="N72" s="41"/>
      <c r="O72" s="41"/>
      <c r="P72" s="41"/>
      <c r="Q72" s="41"/>
      <c r="R72" s="41"/>
      <c r="S72" s="41"/>
      <c r="T72" s="41"/>
      <c r="U72" s="41"/>
      <c r="V72" s="41"/>
      <c r="W72" s="41"/>
      <c r="X72" s="41"/>
      <c r="Y72" s="41"/>
      <c r="Z72" s="41"/>
    </row>
    <row r="73" ht="19.5" customHeight="1">
      <c r="A73" s="41"/>
      <c r="B73" s="84" t="s">
        <v>561</v>
      </c>
      <c r="C73" s="110" t="str">
        <f>sample_ca_state</f>
        <v>CA</v>
      </c>
      <c r="D73" s="32"/>
      <c r="E73" s="84"/>
      <c r="F73" s="41"/>
      <c r="G73" s="41"/>
      <c r="H73" s="41"/>
      <c r="I73" s="41"/>
      <c r="J73" s="41"/>
      <c r="K73" s="41"/>
      <c r="L73" s="41"/>
      <c r="M73" s="41"/>
      <c r="N73" s="41"/>
      <c r="O73" s="41"/>
      <c r="P73" s="41"/>
      <c r="Q73" s="41"/>
      <c r="R73" s="41"/>
      <c r="S73" s="41"/>
      <c r="T73" s="41"/>
      <c r="U73" s="41"/>
      <c r="V73" s="41"/>
      <c r="W73" s="41"/>
      <c r="X73" s="41"/>
      <c r="Y73" s="41"/>
      <c r="Z73" s="41"/>
    </row>
    <row r="74" ht="19.5" customHeight="1">
      <c r="A74" s="41"/>
      <c r="B74" s="102" t="s">
        <v>574</v>
      </c>
      <c r="C74" s="13"/>
      <c r="D74" s="13"/>
      <c r="E74" s="14"/>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84" t="s">
        <v>554</v>
      </c>
      <c r="C75" s="110" t="str">
        <f>sample_ca_algorithm</f>
        <v>RSA</v>
      </c>
      <c r="D75" s="32"/>
      <c r="E75" s="18" t="str">
        <f>IF(mgmt_signed_certs_result="Excluded","Inputs are masked out and only required if Apply Signed Certifcates is chosen from the Post-Deployment Option","")</f>
        <v/>
      </c>
      <c r="F75" s="41"/>
      <c r="G75" s="41"/>
      <c r="H75" s="41"/>
      <c r="I75" s="41"/>
      <c r="J75" s="41"/>
      <c r="K75" s="41"/>
      <c r="L75" s="41"/>
      <c r="M75" s="41"/>
      <c r="N75" s="41"/>
      <c r="O75" s="41"/>
      <c r="P75" s="41"/>
      <c r="Q75" s="41"/>
      <c r="R75" s="41"/>
      <c r="S75" s="41"/>
      <c r="T75" s="41"/>
      <c r="U75" s="41"/>
      <c r="V75" s="41"/>
      <c r="W75" s="41"/>
      <c r="X75" s="41"/>
      <c r="Y75" s="41"/>
      <c r="Z75" s="41"/>
    </row>
    <row r="76" ht="19.5" customHeight="1">
      <c r="A76" s="41"/>
      <c r="B76" s="84" t="s">
        <v>567</v>
      </c>
      <c r="C76" s="110">
        <f>sample_ca_key_size</f>
        <v>4096</v>
      </c>
      <c r="D76" s="32"/>
      <c r="E76" s="84"/>
      <c r="F76" s="41"/>
      <c r="G76" s="41"/>
      <c r="H76" s="41"/>
      <c r="I76" s="41"/>
      <c r="J76" s="41"/>
      <c r="K76" s="41"/>
      <c r="L76" s="41"/>
      <c r="M76" s="41"/>
      <c r="N76" s="41"/>
      <c r="O76" s="41"/>
      <c r="P76" s="41"/>
      <c r="Q76" s="41"/>
      <c r="R76" s="41"/>
      <c r="S76" s="41"/>
      <c r="T76" s="41"/>
      <c r="U76" s="41"/>
      <c r="V76" s="41"/>
      <c r="W76" s="41"/>
      <c r="X76" s="41"/>
      <c r="Y76" s="41"/>
      <c r="Z76" s="41"/>
    </row>
    <row r="77" ht="19.5" customHeight="1">
      <c r="A77" s="41"/>
      <c r="B77" s="84" t="s">
        <v>565</v>
      </c>
      <c r="C77" s="110" t="str">
        <f>sample_ca_email_address</f>
        <v>administrator@rainpole.io</v>
      </c>
      <c r="D77" s="32"/>
      <c r="E77" s="84"/>
      <c r="F77" s="41"/>
      <c r="G77" s="41"/>
      <c r="H77" s="41"/>
      <c r="I77" s="41"/>
      <c r="J77" s="41"/>
      <c r="K77" s="41"/>
      <c r="L77" s="41"/>
      <c r="M77" s="41"/>
      <c r="N77" s="41"/>
      <c r="O77" s="41"/>
      <c r="P77" s="41"/>
      <c r="Q77" s="41"/>
      <c r="R77" s="41"/>
      <c r="S77" s="41"/>
      <c r="T77" s="41"/>
      <c r="U77" s="41"/>
      <c r="V77" s="41"/>
      <c r="W77" s="41"/>
      <c r="X77" s="41"/>
      <c r="Y77" s="41"/>
      <c r="Z77" s="41"/>
    </row>
    <row r="78" ht="19.5" customHeight="1">
      <c r="A78" s="41"/>
      <c r="B78" s="84" t="s">
        <v>557</v>
      </c>
      <c r="C78" s="110" t="str">
        <f>sample_ca_organization</f>
        <v>IT</v>
      </c>
      <c r="D78" s="32"/>
      <c r="E78" s="84"/>
      <c r="F78" s="41"/>
      <c r="G78" s="41"/>
      <c r="H78" s="41"/>
      <c r="I78" s="41"/>
      <c r="J78" s="41"/>
      <c r="K78" s="41"/>
      <c r="L78" s="41"/>
      <c r="M78" s="41"/>
      <c r="N78" s="41"/>
      <c r="O78" s="41"/>
      <c r="P78" s="41"/>
      <c r="Q78" s="41"/>
      <c r="R78" s="41"/>
      <c r="S78" s="41"/>
      <c r="T78" s="41"/>
      <c r="U78" s="41"/>
      <c r="V78" s="41"/>
      <c r="W78" s="41"/>
      <c r="X78" s="41"/>
      <c r="Y78" s="41"/>
      <c r="Z78" s="41"/>
    </row>
    <row r="79" ht="19.5" customHeight="1">
      <c r="A79" s="41"/>
      <c r="B79" s="84" t="s">
        <v>572</v>
      </c>
      <c r="C79" s="110" t="str">
        <f>sample_ca_organization_unit</f>
        <v>Rainpole</v>
      </c>
      <c r="D79" s="32"/>
      <c r="E79" s="84"/>
      <c r="F79" s="41"/>
      <c r="G79" s="41"/>
      <c r="H79" s="41"/>
      <c r="I79" s="41"/>
      <c r="J79" s="41"/>
      <c r="K79" s="41"/>
      <c r="L79" s="41"/>
      <c r="M79" s="41"/>
      <c r="N79" s="41"/>
      <c r="O79" s="41"/>
      <c r="P79" s="41"/>
      <c r="Q79" s="41"/>
      <c r="R79" s="41"/>
      <c r="S79" s="41"/>
      <c r="T79" s="41"/>
      <c r="U79" s="41"/>
      <c r="V79" s="41"/>
      <c r="W79" s="41"/>
      <c r="X79" s="41"/>
      <c r="Y79" s="41"/>
      <c r="Z79" s="41"/>
    </row>
    <row r="80" ht="19.5" customHeight="1">
      <c r="A80" s="41"/>
      <c r="B80" s="84" t="s">
        <v>563</v>
      </c>
      <c r="C80" s="110" t="str">
        <f>sample_ca_locality</f>
        <v>San Francisco</v>
      </c>
      <c r="D80" s="32"/>
      <c r="E80" s="84"/>
      <c r="F80" s="41"/>
      <c r="G80" s="41"/>
      <c r="H80" s="41"/>
      <c r="I80" s="41"/>
      <c r="J80" s="41"/>
      <c r="K80" s="41"/>
      <c r="L80" s="41"/>
      <c r="M80" s="41"/>
      <c r="N80" s="41"/>
      <c r="O80" s="41"/>
      <c r="P80" s="41"/>
      <c r="Q80" s="41"/>
      <c r="R80" s="41"/>
      <c r="S80" s="41"/>
      <c r="T80" s="41"/>
      <c r="U80" s="41"/>
      <c r="V80" s="41"/>
      <c r="W80" s="41"/>
      <c r="X80" s="41"/>
      <c r="Y80" s="41"/>
      <c r="Z80" s="41"/>
    </row>
    <row r="81" ht="19.5" customHeight="1">
      <c r="A81" s="41"/>
      <c r="B81" s="84" t="s">
        <v>561</v>
      </c>
      <c r="C81" s="110" t="str">
        <f>sample_ca_state</f>
        <v>CA</v>
      </c>
      <c r="D81" s="32"/>
      <c r="E81" s="84"/>
      <c r="F81" s="41"/>
      <c r="G81" s="41"/>
      <c r="H81" s="41"/>
      <c r="I81" s="41"/>
      <c r="J81" s="41"/>
      <c r="K81" s="41"/>
      <c r="L81" s="41"/>
      <c r="M81" s="41"/>
      <c r="N81" s="41"/>
      <c r="O81" s="41"/>
      <c r="P81" s="41"/>
      <c r="Q81" s="41"/>
      <c r="R81" s="41"/>
      <c r="S81" s="41"/>
      <c r="T81" s="41"/>
      <c r="U81" s="41"/>
      <c r="V81" s="41"/>
      <c r="W81" s="41"/>
      <c r="X81" s="41"/>
      <c r="Y81" s="41"/>
      <c r="Z81" s="41"/>
    </row>
    <row r="82" ht="19.5" customHeight="1">
      <c r="A82" s="41"/>
      <c r="B82" s="84" t="s">
        <v>559</v>
      </c>
      <c r="C82" s="110" t="str">
        <f>sample_ca_country</f>
        <v>US</v>
      </c>
      <c r="D82" s="32"/>
      <c r="E82" s="84"/>
      <c r="F82" s="41"/>
      <c r="G82" s="41"/>
      <c r="H82" s="41"/>
      <c r="I82" s="41"/>
      <c r="J82" s="41"/>
      <c r="K82" s="41"/>
      <c r="L82" s="41"/>
      <c r="M82" s="41"/>
      <c r="N82" s="41"/>
      <c r="O82" s="41"/>
      <c r="P82" s="41"/>
      <c r="Q82" s="41"/>
      <c r="R82" s="41"/>
      <c r="S82" s="41"/>
      <c r="T82" s="41"/>
      <c r="U82" s="41"/>
      <c r="V82" s="41"/>
      <c r="W82" s="41"/>
      <c r="X82" s="41"/>
      <c r="Y82" s="41"/>
      <c r="Z82" s="41"/>
    </row>
    <row r="83" ht="19.5" customHeight="1">
      <c r="A83" s="41"/>
      <c r="B83" s="84" t="s">
        <v>575</v>
      </c>
      <c r="C83" s="110" t="s">
        <v>576</v>
      </c>
      <c r="D83" s="18"/>
      <c r="E83" s="84"/>
      <c r="F83" s="41"/>
      <c r="G83" s="41"/>
      <c r="H83" s="41"/>
      <c r="I83" s="41"/>
      <c r="J83" s="41"/>
      <c r="K83" s="41"/>
      <c r="L83" s="41"/>
      <c r="M83" s="41"/>
      <c r="N83" s="41"/>
      <c r="O83" s="41"/>
      <c r="P83" s="41"/>
      <c r="Q83" s="41"/>
      <c r="R83" s="41"/>
      <c r="S83" s="41"/>
      <c r="T83" s="41"/>
      <c r="U83" s="41"/>
      <c r="V83" s="41"/>
      <c r="W83" s="41"/>
      <c r="X83" s="41"/>
      <c r="Y83" s="41"/>
      <c r="Z83" s="41"/>
    </row>
    <row r="84" ht="19.5" customHeight="1">
      <c r="A84" s="41"/>
      <c r="B84" s="84" t="s">
        <v>296</v>
      </c>
      <c r="C84" s="110" t="str">
        <f>sample_sddc_mgr_vcf_password</f>
        <v>VMw@re1!VMw@re1!</v>
      </c>
      <c r="D84" s="32"/>
      <c r="E84" s="84"/>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80"/>
      <c r="C85" s="1"/>
      <c r="D85" s="1"/>
      <c r="E85" s="41"/>
      <c r="F85" s="41"/>
      <c r="G85" s="41"/>
      <c r="H85" s="41"/>
      <c r="I85" s="41"/>
      <c r="J85" s="41"/>
      <c r="K85" s="41"/>
      <c r="L85" s="41"/>
      <c r="M85" s="41"/>
      <c r="N85" s="41"/>
      <c r="O85" s="41"/>
      <c r="P85" s="41"/>
      <c r="Q85" s="41"/>
      <c r="R85" s="41"/>
      <c r="S85" s="41"/>
      <c r="T85" s="41"/>
      <c r="U85" s="41"/>
      <c r="V85" s="41"/>
      <c r="W85" s="41"/>
      <c r="X85" s="41"/>
      <c r="Y85" s="41"/>
      <c r="Z85" s="41"/>
    </row>
    <row r="86" ht="33.75" customHeight="1">
      <c r="A86" s="41"/>
      <c r="B86" s="184" t="s">
        <v>577</v>
      </c>
      <c r="C86" s="13"/>
      <c r="D86" s="13"/>
      <c r="E86" s="14"/>
      <c r="F86" s="41"/>
      <c r="G86" s="41"/>
      <c r="H86" s="41"/>
      <c r="I86" s="41"/>
      <c r="J86" s="41"/>
      <c r="K86" s="41"/>
      <c r="L86" s="41"/>
      <c r="M86" s="41"/>
      <c r="N86" s="41"/>
      <c r="O86" s="41"/>
      <c r="P86" s="41"/>
      <c r="Q86" s="41"/>
      <c r="R86" s="41"/>
      <c r="S86" s="41"/>
      <c r="T86" s="41"/>
      <c r="U86" s="41"/>
      <c r="V86" s="41"/>
      <c r="W86" s="41"/>
      <c r="X86" s="41"/>
      <c r="Y86" s="41"/>
      <c r="Z86" s="41"/>
    </row>
    <row r="87" ht="19.5" customHeight="1">
      <c r="A87" s="41"/>
      <c r="B87" s="102" t="s">
        <v>578</v>
      </c>
      <c r="C87" s="13"/>
      <c r="D87" s="13"/>
      <c r="E87" s="14"/>
      <c r="F87" s="41"/>
      <c r="G87" s="41"/>
      <c r="H87" s="41"/>
      <c r="I87" s="41"/>
      <c r="J87" s="41"/>
      <c r="K87" s="41"/>
      <c r="L87" s="41"/>
      <c r="M87" s="41"/>
      <c r="N87" s="41"/>
      <c r="O87" s="41"/>
      <c r="P87" s="41"/>
      <c r="Q87" s="41"/>
      <c r="R87" s="41"/>
      <c r="S87" s="41"/>
      <c r="T87" s="41"/>
      <c r="U87" s="41"/>
      <c r="V87" s="41"/>
      <c r="W87" s="41"/>
      <c r="X87" s="41"/>
      <c r="Y87" s="41"/>
      <c r="Z87" s="41"/>
    </row>
    <row r="88" ht="19.5" customHeight="1">
      <c r="A88" s="41"/>
      <c r="B88" s="108" t="s">
        <v>37</v>
      </c>
      <c r="C88" s="49" t="s">
        <v>273</v>
      </c>
      <c r="D88" s="49" t="s">
        <v>274</v>
      </c>
      <c r="E88" s="49" t="s">
        <v>5</v>
      </c>
      <c r="F88" s="41"/>
      <c r="G88" s="41"/>
      <c r="H88" s="41"/>
      <c r="I88" s="41"/>
      <c r="J88" s="41"/>
      <c r="K88" s="41"/>
      <c r="L88" s="41"/>
      <c r="M88" s="41"/>
      <c r="N88" s="41"/>
      <c r="O88" s="41"/>
      <c r="P88" s="41"/>
      <c r="Q88" s="41"/>
      <c r="R88" s="41"/>
      <c r="S88" s="41"/>
      <c r="T88" s="41"/>
      <c r="U88" s="41"/>
      <c r="V88" s="41"/>
      <c r="W88" s="41"/>
      <c r="X88" s="41"/>
      <c r="Y88" s="41"/>
      <c r="Z88" s="41"/>
    </row>
    <row r="89" ht="19.5" customHeight="1">
      <c r="A89" s="41"/>
      <c r="B89" s="17" t="s">
        <v>579</v>
      </c>
      <c r="C89" s="13"/>
      <c r="D89" s="13"/>
      <c r="E89" s="14"/>
      <c r="F89" s="41"/>
      <c r="G89" s="41"/>
      <c r="H89" s="41"/>
      <c r="I89" s="41"/>
      <c r="J89" s="41"/>
      <c r="K89" s="41"/>
      <c r="L89" s="41"/>
      <c r="M89" s="41"/>
      <c r="N89" s="41"/>
      <c r="O89" s="41"/>
      <c r="P89" s="41"/>
      <c r="Q89" s="41"/>
      <c r="R89" s="41"/>
      <c r="S89" s="41"/>
      <c r="T89" s="41"/>
      <c r="U89" s="41"/>
      <c r="V89" s="41"/>
      <c r="W89" s="41"/>
      <c r="X89" s="41"/>
      <c r="Y89" s="41"/>
      <c r="Z89" s="41"/>
    </row>
    <row r="90" ht="19.5" customHeight="1">
      <c r="A90" s="41"/>
      <c r="B90" s="84" t="s">
        <v>579</v>
      </c>
      <c r="C90" s="110" t="s">
        <v>517</v>
      </c>
      <c r="D90" s="18" t="str">
        <f>mgmt_vns_chosen</f>
        <v>Centralized Connectivity</v>
      </c>
      <c r="E90" s="18" t="str">
        <f>IF(mgmt_vns_result="Excluded","Inputs are masked out and only required if NSX Network Connectivity for MGMT Domain is chosen from the Post-Deployment Option","")</f>
        <v/>
      </c>
      <c r="F90" s="41"/>
      <c r="G90" s="41"/>
      <c r="H90" s="41"/>
      <c r="I90" s="41"/>
      <c r="J90" s="41"/>
      <c r="K90" s="41"/>
      <c r="L90" s="41"/>
      <c r="M90" s="41"/>
      <c r="N90" s="41"/>
      <c r="O90" s="41"/>
      <c r="P90" s="41"/>
      <c r="Q90" s="41"/>
      <c r="R90" s="41"/>
      <c r="S90" s="41"/>
      <c r="T90" s="41"/>
      <c r="U90" s="41"/>
      <c r="V90" s="41"/>
      <c r="W90" s="41"/>
      <c r="X90" s="41"/>
      <c r="Y90" s="41"/>
      <c r="Z90" s="41"/>
    </row>
    <row r="91" ht="19.5" customHeight="1">
      <c r="A91" s="41"/>
      <c r="B91" s="17" t="s">
        <v>580</v>
      </c>
      <c r="C91" s="13"/>
      <c r="D91" s="13"/>
      <c r="E91" s="14"/>
      <c r="F91" s="41"/>
      <c r="G91" s="41"/>
      <c r="H91" s="41"/>
      <c r="I91" s="41"/>
      <c r="J91" s="41"/>
      <c r="K91" s="41"/>
      <c r="L91" s="41"/>
      <c r="M91" s="41"/>
      <c r="N91" s="41"/>
      <c r="O91" s="41"/>
      <c r="P91" s="41"/>
      <c r="Q91" s="41"/>
      <c r="R91" s="41"/>
      <c r="S91" s="41"/>
      <c r="T91" s="41"/>
      <c r="U91" s="41"/>
      <c r="V91" s="41"/>
      <c r="W91" s="41"/>
      <c r="X91" s="41"/>
      <c r="Y91" s="41"/>
      <c r="Z91" s="41"/>
    </row>
    <row r="92" ht="19.5" customHeight="1">
      <c r="A92" s="41"/>
      <c r="B92" s="71" t="s">
        <v>401</v>
      </c>
      <c r="C92" s="110">
        <v>1198.0</v>
      </c>
      <c r="D92" s="18"/>
      <c r="E92" s="18" t="str">
        <f>IF(mgmt_vns_chosen="Centralized Connectivity","Inputs are masked out and only required if Distributed Connectivity Gateway Type is chosen from the Post-Deployment Option","Needs to be a routable network is customers envoirnemt" )</f>
        <v>Inputs are masked out and only required if Distributed Connectivity Gateway Type is chosen from the Post-Deployment Option</v>
      </c>
      <c r="F92" s="41"/>
      <c r="G92" s="41"/>
      <c r="H92" s="41"/>
      <c r="I92" s="41"/>
      <c r="J92" s="41"/>
      <c r="K92" s="41"/>
      <c r="L92" s="41"/>
      <c r="M92" s="41"/>
      <c r="N92" s="41"/>
      <c r="O92" s="41"/>
      <c r="P92" s="41"/>
      <c r="Q92" s="41"/>
      <c r="R92" s="41"/>
      <c r="S92" s="41"/>
      <c r="T92" s="41"/>
      <c r="U92" s="41"/>
      <c r="V92" s="41"/>
      <c r="W92" s="41"/>
      <c r="X92" s="41"/>
      <c r="Y92" s="41"/>
      <c r="Z92" s="41"/>
    </row>
    <row r="93" ht="19.5" customHeight="1">
      <c r="A93" s="41"/>
      <c r="B93" s="71" t="s">
        <v>581</v>
      </c>
      <c r="C93" s="110" t="s">
        <v>582</v>
      </c>
      <c r="D93" s="18"/>
      <c r="E93" s="84"/>
      <c r="F93" s="41"/>
      <c r="G93" s="41"/>
      <c r="H93" s="41"/>
      <c r="I93" s="41"/>
      <c r="J93" s="41"/>
      <c r="K93" s="41"/>
      <c r="L93" s="41"/>
      <c r="M93" s="41"/>
      <c r="N93" s="41"/>
      <c r="O93" s="41"/>
      <c r="P93" s="41"/>
      <c r="Q93" s="41"/>
      <c r="R93" s="41"/>
      <c r="S93" s="41"/>
      <c r="T93" s="41"/>
      <c r="U93" s="41"/>
      <c r="V93" s="41"/>
      <c r="W93" s="41"/>
      <c r="X93" s="41"/>
      <c r="Y93" s="41"/>
      <c r="Z93" s="41"/>
    </row>
    <row r="94" ht="19.5" customHeight="1">
      <c r="A94" s="41"/>
      <c r="B94" s="17" t="s">
        <v>583</v>
      </c>
      <c r="C94" s="13"/>
      <c r="D94" s="13"/>
      <c r="E94" s="14"/>
      <c r="F94" s="41"/>
      <c r="G94" s="41"/>
      <c r="H94" s="41"/>
      <c r="I94" s="41"/>
      <c r="J94" s="41"/>
      <c r="K94" s="41"/>
      <c r="L94" s="41"/>
      <c r="M94" s="41"/>
      <c r="N94" s="41"/>
      <c r="O94" s="41"/>
      <c r="P94" s="41"/>
      <c r="Q94" s="41"/>
      <c r="R94" s="41"/>
      <c r="S94" s="41"/>
      <c r="T94" s="41"/>
      <c r="U94" s="41"/>
      <c r="V94" s="41"/>
      <c r="W94" s="41"/>
      <c r="X94" s="41"/>
      <c r="Y94" s="41"/>
      <c r="Z94" s="41"/>
    </row>
    <row r="95" ht="19.5" customHeight="1">
      <c r="A95" s="41"/>
      <c r="B95" s="84" t="s">
        <v>584</v>
      </c>
      <c r="C95" s="110" t="str">
        <f>CONCATENATE(this_instance,"-m01-ec01")</f>
        <v>lax-m01-ec01</v>
      </c>
      <c r="D95" s="18"/>
      <c r="E95" s="84"/>
      <c r="F95" s="41"/>
      <c r="G95" s="41"/>
      <c r="H95" s="41"/>
      <c r="I95" s="41"/>
      <c r="J95" s="41"/>
      <c r="K95" s="41"/>
      <c r="L95" s="41"/>
      <c r="M95" s="41"/>
      <c r="N95" s="41"/>
      <c r="O95" s="41"/>
      <c r="P95" s="41"/>
      <c r="Q95" s="41"/>
      <c r="R95" s="41"/>
      <c r="S95" s="41"/>
      <c r="T95" s="41"/>
      <c r="U95" s="41"/>
      <c r="V95" s="41"/>
      <c r="W95" s="41"/>
      <c r="X95" s="41"/>
      <c r="Y95" s="41"/>
      <c r="Z95" s="41"/>
    </row>
    <row r="96" ht="19.5" customHeight="1">
      <c r="A96" s="41"/>
      <c r="B96" s="84" t="s">
        <v>585</v>
      </c>
      <c r="C96" s="110">
        <v>1700.0</v>
      </c>
      <c r="D96" s="32"/>
      <c r="E96" s="18" t="s">
        <v>586</v>
      </c>
      <c r="F96" s="41"/>
      <c r="G96" s="41"/>
      <c r="H96" s="41"/>
      <c r="I96" s="41"/>
      <c r="J96" s="41"/>
      <c r="K96" s="41"/>
      <c r="L96" s="41"/>
      <c r="M96" s="41"/>
      <c r="N96" s="41"/>
      <c r="O96" s="41"/>
      <c r="P96" s="41"/>
      <c r="Q96" s="41"/>
      <c r="R96" s="41"/>
      <c r="S96" s="41"/>
      <c r="T96" s="41"/>
      <c r="U96" s="41"/>
      <c r="V96" s="41"/>
      <c r="W96" s="41"/>
      <c r="X96" s="41"/>
      <c r="Y96" s="41"/>
      <c r="Z96" s="41"/>
    </row>
    <row r="97" ht="19.5" customHeight="1">
      <c r="A97" s="41"/>
      <c r="B97" s="84" t="s">
        <v>587</v>
      </c>
      <c r="C97" s="110" t="s">
        <v>212</v>
      </c>
      <c r="D97" s="32" t="s">
        <v>212</v>
      </c>
      <c r="E97" s="84"/>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102" t="s">
        <v>588</v>
      </c>
      <c r="C98" s="13"/>
      <c r="D98" s="13"/>
      <c r="E98" s="14"/>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84" t="s">
        <v>589</v>
      </c>
      <c r="C99" s="160" t="str">
        <f>CONCATENATE(this_instance,"-m01-r01-en01",".",sample_child_dns_zone)</f>
        <v>lax-m01-r01-en01.lax.rainpole.io</v>
      </c>
      <c r="D99" s="18"/>
      <c r="E99" s="84"/>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84" t="s">
        <v>302</v>
      </c>
      <c r="C100" s="110" t="str">
        <f>sample_mgmt_cl01_cluster</f>
        <v>lax-m01-cl01</v>
      </c>
      <c r="D100" s="32" t="str">
        <f>mgmt_cl01_cluster</f>
        <v>Value Missing</v>
      </c>
      <c r="E100" s="186" t="s">
        <v>590</v>
      </c>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84" t="s">
        <v>591</v>
      </c>
      <c r="C101" s="110" t="str">
        <f>CONCATENATE(this_instance,"-m01-cl01-rp-ec01")</f>
        <v>lax-m01-cl01-rp-ec01</v>
      </c>
      <c r="D101" s="32"/>
      <c r="E101" s="18" t="s">
        <v>592</v>
      </c>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84" t="s">
        <v>593</v>
      </c>
      <c r="C102" s="110" t="s">
        <v>594</v>
      </c>
      <c r="D102" s="32" t="s">
        <v>594</v>
      </c>
      <c r="E102" s="18"/>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84" t="s">
        <v>595</v>
      </c>
      <c r="C103" s="110" t="str">
        <f>CONCATENATE(this_instance,"-m01","-host-group-affinity-rule-ec01-en01")</f>
        <v>lax-m01-host-group-affinity-rule-ec01-en01</v>
      </c>
      <c r="D103" s="32"/>
      <c r="E103" s="18"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84" t="s">
        <v>596</v>
      </c>
      <c r="C104" s="110" t="str">
        <f>sample_mgmt_cl01_vsan_datastore</f>
        <v>lax-m01-cl01-ds-nfs01</v>
      </c>
      <c r="D104" s="32" t="str">
        <f>mgmt_cl01_vsan_datastore</f>
        <v>Value Missing</v>
      </c>
      <c r="E104" s="186" t="s">
        <v>597</v>
      </c>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84" t="s">
        <v>598</v>
      </c>
      <c r="C105" s="163" t="s">
        <v>599</v>
      </c>
      <c r="D105" s="32" t="s">
        <v>599</v>
      </c>
      <c r="E105" s="18"/>
      <c r="F105" s="41"/>
      <c r="G105" s="41"/>
      <c r="H105" s="41"/>
      <c r="I105" s="41"/>
      <c r="J105" s="41"/>
      <c r="K105" s="41"/>
      <c r="L105" s="41"/>
      <c r="M105" s="41"/>
      <c r="N105" s="41"/>
      <c r="O105" s="41"/>
      <c r="P105" s="41"/>
      <c r="Q105" s="41"/>
      <c r="R105" s="41"/>
      <c r="S105" s="41"/>
      <c r="T105" s="41"/>
      <c r="U105" s="41"/>
      <c r="V105" s="41"/>
      <c r="W105" s="41"/>
      <c r="X105" s="41"/>
      <c r="Y105" s="41"/>
      <c r="Z105" s="41"/>
    </row>
    <row r="106" ht="19.5" customHeight="1">
      <c r="A106" s="41"/>
      <c r="B106" s="84" t="s">
        <v>600</v>
      </c>
      <c r="C106" s="163" t="str">
        <f>sample_mgmt_cl01_az1_mgmt_vm_pg</f>
        <v>lax-m01-cl01-vds01-pg-vm-mgmt</v>
      </c>
      <c r="D106" s="32" t="str">
        <f>mgmt_cl01_az1_mgmt_vm_pg</f>
        <v>Value Missing</v>
      </c>
      <c r="E106" s="186" t="s">
        <v>601</v>
      </c>
      <c r="F106" s="41"/>
      <c r="G106" s="41"/>
      <c r="H106" s="41"/>
      <c r="I106" s="41"/>
      <c r="J106" s="41"/>
      <c r="K106" s="41"/>
      <c r="L106" s="41"/>
      <c r="M106" s="41"/>
      <c r="N106" s="41"/>
      <c r="O106" s="41"/>
      <c r="P106" s="41"/>
      <c r="Q106" s="41"/>
      <c r="R106" s="41"/>
      <c r="S106" s="41"/>
      <c r="T106" s="41"/>
      <c r="U106" s="41"/>
      <c r="V106" s="41"/>
      <c r="W106" s="41"/>
      <c r="X106" s="41"/>
      <c r="Y106" s="41"/>
      <c r="Z106" s="41"/>
    </row>
    <row r="107" ht="19.5" customHeight="1">
      <c r="A107" s="41"/>
      <c r="B107" s="84" t="s">
        <v>602</v>
      </c>
      <c r="C107" s="163" t="str">
        <f>IF(mgmt_dpg_reuse_result="Included",CONCATENATE(prefix_mgmt_az1_cidr,"10.75","/",INT(RIGHT(sample_mgmt_az1_mgmt_vm_cidr,LEN(sample_mgmt_az1_mgmt_vm_cidr)-FIND("/",sample_mgmt_az1_mgmt_vm_cidr)))),CONCATENATE(prefix_mgmt_az1_cidr,"11.75","/",INT(RIGHT(sample_mgmt_az1_mgmt_cidr,LEN(sample_mgmt_az1_mgmt_cidr)-FIND("/",sample_mgmt_az1_mgmt_cidr)))))</f>
        <v>10.21.10.75/24</v>
      </c>
      <c r="D107" s="32"/>
      <c r="E107" s="18" t="str">
        <f>IF(mgmt_az1_en1_ip_allocation_chosen="DHCP","Inputs are masked out and only required if Static IP Allocation is selected","")</f>
        <v/>
      </c>
      <c r="F107" s="41"/>
      <c r="G107" s="41"/>
      <c r="H107" s="41"/>
      <c r="I107" s="41"/>
      <c r="J107" s="41"/>
      <c r="K107" s="41"/>
      <c r="L107" s="41"/>
      <c r="M107" s="41"/>
      <c r="N107" s="41"/>
      <c r="O107" s="41"/>
      <c r="P107" s="41"/>
      <c r="Q107" s="41"/>
      <c r="R107" s="41"/>
      <c r="S107" s="41"/>
      <c r="T107" s="41"/>
      <c r="U107" s="41"/>
      <c r="V107" s="41"/>
      <c r="W107" s="41"/>
      <c r="X107" s="41"/>
      <c r="Y107" s="41"/>
      <c r="Z107" s="41"/>
    </row>
    <row r="108" ht="19.5" customHeight="1">
      <c r="A108" s="41"/>
      <c r="B108" s="84" t="s">
        <v>603</v>
      </c>
      <c r="C108" s="110" t="str">
        <f>sample_mgmt_az1_mgmt_vm_gateway_ip</f>
        <v>10.21.10.1</v>
      </c>
      <c r="D108" s="32" t="str">
        <f>mgmt_az1_mgmt_vm_gateway_ip</f>
        <v>Value Missing</v>
      </c>
      <c r="E108" s="186" t="s">
        <v>604</v>
      </c>
      <c r="F108" s="41"/>
      <c r="G108" s="41"/>
      <c r="H108" s="41"/>
      <c r="I108" s="41"/>
      <c r="J108" s="41"/>
      <c r="K108" s="41"/>
      <c r="L108" s="41"/>
      <c r="M108" s="41"/>
      <c r="N108" s="41"/>
      <c r="O108" s="41"/>
      <c r="P108" s="41"/>
      <c r="Q108" s="41"/>
      <c r="R108" s="41"/>
      <c r="S108" s="41"/>
      <c r="T108" s="41"/>
      <c r="U108" s="41"/>
      <c r="V108" s="41"/>
      <c r="W108" s="41"/>
      <c r="X108" s="41"/>
      <c r="Y108" s="41"/>
      <c r="Z108" s="41"/>
    </row>
    <row r="109" ht="19.5" customHeight="1">
      <c r="A109" s="41"/>
      <c r="B109" s="84" t="s">
        <v>605</v>
      </c>
      <c r="C109" s="110" t="s">
        <v>606</v>
      </c>
      <c r="D109" s="32" t="s">
        <v>606</v>
      </c>
      <c r="E109" s="84"/>
      <c r="F109" s="41"/>
      <c r="G109" s="41"/>
      <c r="H109" s="41"/>
      <c r="I109" s="41"/>
      <c r="J109" s="41"/>
      <c r="K109" s="41"/>
      <c r="L109" s="41"/>
      <c r="M109" s="41"/>
      <c r="N109" s="41"/>
      <c r="O109" s="41"/>
      <c r="P109" s="41"/>
      <c r="Q109" s="41"/>
      <c r="R109" s="41"/>
      <c r="S109" s="41"/>
      <c r="T109" s="41"/>
      <c r="U109" s="41"/>
      <c r="V109" s="41"/>
      <c r="W109" s="41"/>
      <c r="X109" s="41"/>
      <c r="Y109" s="41"/>
      <c r="Z109" s="41"/>
    </row>
    <row r="110" ht="19.5" customHeight="1">
      <c r="A110" s="41"/>
      <c r="B110" s="102" t="s">
        <v>607</v>
      </c>
      <c r="C110" s="13"/>
      <c r="D110" s="13"/>
      <c r="E110" s="14"/>
      <c r="F110" s="41"/>
      <c r="G110" s="41"/>
      <c r="H110" s="41"/>
      <c r="I110" s="41"/>
      <c r="J110" s="41"/>
      <c r="K110" s="41"/>
      <c r="L110" s="41"/>
      <c r="M110" s="41"/>
      <c r="N110" s="41"/>
      <c r="O110" s="41"/>
      <c r="P110" s="41"/>
      <c r="Q110" s="41"/>
      <c r="R110" s="41"/>
      <c r="S110" s="41"/>
      <c r="T110" s="41"/>
      <c r="U110" s="41"/>
      <c r="V110" s="41"/>
      <c r="W110" s="41"/>
      <c r="X110" s="41"/>
      <c r="Y110" s="41"/>
      <c r="Z110" s="41"/>
    </row>
    <row r="111" ht="19.5" customHeight="1">
      <c r="A111" s="41"/>
      <c r="B111" s="84" t="s">
        <v>608</v>
      </c>
      <c r="C111" s="110" t="str">
        <f>IF(mgmt_cl01_vds_profile_chosen="Storage Traffic and NSX Traffic Separation","vmnic4",IF(mgmt_cl01_vds_profile_chosen="NSX Traffic Separation","vmnic2","vmnic0"))</f>
        <v>vmnic0</v>
      </c>
      <c r="D111" s="32"/>
      <c r="E111" s="18" t="s">
        <v>609</v>
      </c>
      <c r="F111" s="41"/>
      <c r="G111" s="41"/>
      <c r="H111" s="41"/>
      <c r="I111" s="41"/>
      <c r="J111" s="41"/>
      <c r="K111" s="41"/>
      <c r="L111" s="41"/>
      <c r="M111" s="41"/>
      <c r="N111" s="41"/>
      <c r="O111" s="41"/>
      <c r="P111" s="41"/>
      <c r="Q111" s="41"/>
      <c r="R111" s="41"/>
      <c r="S111" s="41"/>
      <c r="T111" s="41"/>
      <c r="U111" s="41"/>
      <c r="V111" s="41"/>
      <c r="W111" s="41"/>
      <c r="X111" s="41"/>
      <c r="Y111" s="41"/>
      <c r="Z111" s="41"/>
    </row>
    <row r="112" ht="19.5" customHeight="1">
      <c r="A112" s="41"/>
      <c r="B112" s="173" t="s">
        <v>608</v>
      </c>
      <c r="C112" s="110" t="str">
        <f>IF(mgmt_cl01_vds_profile_chosen="Storage Traffic and NSX Traffic Separation","vmnic5",IF(mgmt_cl01_vds_profile_chosen="NSX Traffic Separation","vmnic3","vmnic1"))</f>
        <v>vmnic1</v>
      </c>
      <c r="D112" s="32"/>
      <c r="E112" s="18" t="s">
        <v>610</v>
      </c>
      <c r="F112" s="41"/>
      <c r="G112" s="41"/>
      <c r="H112" s="41"/>
      <c r="I112" s="41"/>
      <c r="J112" s="41"/>
      <c r="K112" s="41"/>
      <c r="L112" s="41"/>
      <c r="M112" s="41"/>
      <c r="N112" s="41"/>
      <c r="O112" s="41"/>
      <c r="P112" s="41"/>
      <c r="Q112" s="41"/>
      <c r="R112" s="41"/>
      <c r="S112" s="41"/>
      <c r="T112" s="41"/>
      <c r="U112" s="41"/>
      <c r="V112" s="41"/>
      <c r="W112" s="41"/>
      <c r="X112" s="41"/>
      <c r="Y112" s="41"/>
      <c r="Z112" s="41"/>
    </row>
    <row r="113" ht="19.5" customHeight="1">
      <c r="A113" s="41"/>
      <c r="B113" s="173" t="s">
        <v>611</v>
      </c>
      <c r="C113" s="110" t="str">
        <f>IF(mgmt_cl01_vds_profile_chosen="Storage Traffic and NSX Traffic Separation","vmnic5",IF(mgmt_cl01_vds_profile_chosen="NSX Traffic Separation","vmnic3","vmnic1"))</f>
        <v>vmnic1</v>
      </c>
      <c r="D113" s="32"/>
      <c r="E113" s="18" t="s">
        <v>609</v>
      </c>
      <c r="F113" s="41"/>
      <c r="G113" s="41"/>
      <c r="H113" s="41"/>
      <c r="I113" s="41"/>
      <c r="J113" s="41"/>
      <c r="K113" s="41"/>
      <c r="L113" s="41"/>
      <c r="M113" s="41"/>
      <c r="N113" s="41"/>
      <c r="O113" s="41"/>
      <c r="P113" s="41"/>
      <c r="Q113" s="41"/>
      <c r="R113" s="41"/>
      <c r="S113" s="41"/>
      <c r="T113" s="41"/>
      <c r="U113" s="41"/>
      <c r="V113" s="41"/>
      <c r="W113" s="41"/>
      <c r="X113" s="41"/>
      <c r="Y113" s="41"/>
      <c r="Z113" s="41"/>
    </row>
    <row r="114" ht="19.5" customHeight="1">
      <c r="A114" s="41"/>
      <c r="B114" s="187" t="s">
        <v>611</v>
      </c>
      <c r="C114" s="110" t="str">
        <f>IF(mgmt_cl01_vds_profile_chosen="Storage Traffic and NSX Traffic Separation","vmnic4",IF(mgmt_cl01_vds_profile_chosen="NSX Traffic Separation","vmnic2","vmnic0"))</f>
        <v>vmnic0</v>
      </c>
      <c r="D114" s="32"/>
      <c r="E114" s="18" t="s">
        <v>610</v>
      </c>
      <c r="F114" s="41"/>
      <c r="G114" s="41"/>
      <c r="H114" s="41"/>
      <c r="I114" s="41"/>
      <c r="J114" s="41"/>
      <c r="K114" s="41"/>
      <c r="L114" s="41"/>
      <c r="M114" s="41"/>
      <c r="N114" s="41"/>
      <c r="O114" s="41"/>
      <c r="P114" s="41"/>
      <c r="Q114" s="41"/>
      <c r="R114" s="41"/>
      <c r="S114" s="41"/>
      <c r="T114" s="41"/>
      <c r="U114" s="41"/>
      <c r="V114" s="41"/>
      <c r="W114" s="41"/>
      <c r="X114" s="41"/>
      <c r="Y114" s="41"/>
      <c r="Z114" s="41"/>
    </row>
    <row r="115" ht="19.5" customHeight="1">
      <c r="A115" s="41"/>
      <c r="B115" s="84" t="s">
        <v>612</v>
      </c>
      <c r="C115" s="156" t="str">
        <f>CONCATENATE(prefix_mgmt_az1_vlan,"19")</f>
        <v>2119</v>
      </c>
      <c r="D115" s="18"/>
      <c r="E115" s="18" t="str">
        <f>IF(mgmt_ec01_use_host_overlay_chosen="Selected","Inputs are masked out as host overlay network and edge overlay networks will share the same network configuration","")</f>
        <v/>
      </c>
      <c r="F115" s="41"/>
      <c r="G115" s="41"/>
      <c r="H115" s="41"/>
      <c r="I115" s="41"/>
      <c r="J115" s="41"/>
      <c r="K115" s="41"/>
      <c r="L115" s="41"/>
      <c r="M115" s="41"/>
      <c r="N115" s="41"/>
      <c r="O115" s="41"/>
      <c r="P115" s="41"/>
      <c r="Q115" s="41"/>
      <c r="R115" s="41"/>
      <c r="S115" s="41"/>
      <c r="T115" s="41"/>
      <c r="U115" s="41"/>
      <c r="V115" s="41"/>
      <c r="W115" s="41"/>
      <c r="X115" s="41"/>
      <c r="Y115" s="41"/>
      <c r="Z115" s="41"/>
    </row>
    <row r="116" ht="19.5" customHeight="1">
      <c r="A116" s="41"/>
      <c r="B116" s="84" t="s">
        <v>613</v>
      </c>
      <c r="C116" s="110" t="s">
        <v>614</v>
      </c>
      <c r="D116" s="32" t="s">
        <v>614</v>
      </c>
      <c r="E116" s="84"/>
      <c r="F116" s="41"/>
      <c r="G116" s="41"/>
      <c r="H116" s="41"/>
      <c r="I116" s="41"/>
      <c r="J116" s="41"/>
      <c r="K116" s="41"/>
      <c r="L116" s="41"/>
      <c r="M116" s="41"/>
      <c r="N116" s="41"/>
      <c r="O116" s="41"/>
      <c r="P116" s="41"/>
      <c r="Q116" s="41"/>
      <c r="R116" s="41"/>
      <c r="S116" s="41"/>
      <c r="T116" s="41"/>
      <c r="U116" s="41"/>
      <c r="V116" s="41"/>
      <c r="W116" s="41"/>
      <c r="X116" s="41"/>
      <c r="Y116" s="41"/>
      <c r="Z116" s="41"/>
    </row>
    <row r="117" ht="19.5" customHeight="1">
      <c r="A117" s="41"/>
      <c r="B117" s="84" t="s">
        <v>615</v>
      </c>
      <c r="C117" s="163" t="str">
        <f>CONCATENATE(sample_mgmt_sddc_domain,"-r01-ip-pool02-edge")</f>
        <v>lax-m01-r01-ip-pool02-edge</v>
      </c>
      <c r="D117" s="32"/>
      <c r="E117" s="18" t="str">
        <f>IF(mgmt_az1_en1_edge_overlay_network_ip_allocation_chosen&lt;&gt;"IP Pool","Inputs are masked out and only required if IP Pools are required","")</f>
        <v>Inputs are masked out and only required if IP Pools are required</v>
      </c>
      <c r="F117" s="41"/>
      <c r="G117" s="41"/>
      <c r="H117" s="41"/>
      <c r="I117" s="41"/>
      <c r="J117" s="41"/>
      <c r="K117" s="41"/>
      <c r="L117" s="41"/>
      <c r="M117" s="41"/>
      <c r="N117" s="41"/>
      <c r="O117" s="41"/>
      <c r="P117" s="41"/>
      <c r="Q117" s="41"/>
      <c r="R117" s="41"/>
      <c r="S117" s="41"/>
      <c r="T117" s="41"/>
      <c r="U117" s="41"/>
      <c r="V117" s="41"/>
      <c r="W117" s="41"/>
      <c r="X117" s="41"/>
      <c r="Y117" s="41"/>
      <c r="Z117" s="41"/>
    </row>
    <row r="118" ht="19.5" customHeight="1">
      <c r="A118" s="41"/>
      <c r="B118" s="84" t="s">
        <v>616</v>
      </c>
      <c r="C118" s="163" t="str">
        <f>CONCATENATE(prefix_mgmt_az1_cidr,"19.2")</f>
        <v>10.21.19.2</v>
      </c>
      <c r="D118" s="32"/>
      <c r="E118" s="18" t="str">
        <f>IF(mgmt_az1_en1_edge_overlay_network_ip_allocation_chosen&lt;&gt;"IP Pool","Inputs are masked out and only required if IP Pools are required","")</f>
        <v>Inputs are masked out and only required if IP Pools are required</v>
      </c>
      <c r="F118" s="41"/>
      <c r="G118" s="41"/>
      <c r="H118" s="41"/>
      <c r="I118" s="41"/>
      <c r="J118" s="41"/>
      <c r="K118" s="41"/>
      <c r="L118" s="41"/>
      <c r="M118" s="41"/>
      <c r="N118" s="41"/>
      <c r="O118" s="41"/>
      <c r="P118" s="41"/>
      <c r="Q118" s="41"/>
      <c r="R118" s="41"/>
      <c r="S118" s="41"/>
      <c r="T118" s="41"/>
      <c r="U118" s="41"/>
      <c r="V118" s="41"/>
      <c r="W118" s="41"/>
      <c r="X118" s="41"/>
      <c r="Y118" s="41"/>
      <c r="Z118" s="41"/>
    </row>
    <row r="119" ht="19.5" customHeight="1">
      <c r="A119" s="41"/>
      <c r="B119" s="84" t="s">
        <v>617</v>
      </c>
      <c r="C119" s="163" t="str">
        <f>CONCATENATE(prefix_mgmt_az1_cidr,"19.5")</f>
        <v>10.21.19.5</v>
      </c>
      <c r="D119" s="32"/>
      <c r="E119" s="18" t="str">
        <f>IF(mgmt_az1_en1_edge_overlay_network_ip_allocation_chosen&lt;&gt;"IP Pool","Inputs are masked out and only required if IP Pools are required","")</f>
        <v>Inputs are masked out and only required if IP Pools are required</v>
      </c>
      <c r="F119" s="41"/>
      <c r="G119" s="41"/>
      <c r="H119" s="41"/>
      <c r="I119" s="41"/>
      <c r="J119" s="41"/>
      <c r="K119" s="41"/>
      <c r="L119" s="41"/>
      <c r="M119" s="41"/>
      <c r="N119" s="41"/>
      <c r="O119" s="41"/>
      <c r="P119" s="41"/>
      <c r="Q119" s="41"/>
      <c r="R119" s="41"/>
      <c r="S119" s="41"/>
      <c r="T119" s="41"/>
      <c r="U119" s="41"/>
      <c r="V119" s="41"/>
      <c r="W119" s="41"/>
      <c r="X119" s="41"/>
      <c r="Y119" s="41"/>
      <c r="Z119" s="41"/>
    </row>
    <row r="120" ht="19.5" customHeight="1">
      <c r="A120" s="41"/>
      <c r="B120" s="84" t="s">
        <v>618</v>
      </c>
      <c r="C120" s="163" t="str">
        <f>CONCATENATE(prefix_mgmt_az1_cidr,"19.2")</f>
        <v>10.21.19.2</v>
      </c>
      <c r="D120" s="18"/>
      <c r="E120" s="18" t="str">
        <f>IF(mgmt_az1_en1_edge_overlay_network_ip_allocation_chosen&lt;&gt;"Static IP List","Inputs are masked out and only required if Static IP List are required",IF(mgmt_ec01_use_host_overlay_chosen="Selected","","Overlay IP Address #01 for Edge Node 1"))</f>
        <v>Overlay IP Address #01 for Edge Node 1</v>
      </c>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84" t="s">
        <v>619</v>
      </c>
      <c r="C121" s="163" t="str">
        <f>CONCATENATE(prefix_mgmt_az1_cidr,"19.3")</f>
        <v>10.21.19.3</v>
      </c>
      <c r="D121" s="18"/>
      <c r="E121" s="18" t="str">
        <f>IF(mgmt_az1_en1_edge_overlay_network_ip_allocation_chosen&lt;&gt;"Static IP List","Inputs are masked out and only required if Static IP List are required",IF(mgmt_ec01_use_host_overlay_chosen="Selected","","Overlay IP Address #02 for Edge Node 1"))</f>
        <v>Overlay IP Address #02 for Edge Node 1</v>
      </c>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84" t="s">
        <v>620</v>
      </c>
      <c r="C122" s="156" t="str">
        <f>CONCATENATE(prefix_mgmt_az1_cidr,"19.1")</f>
        <v>10.21.19.1</v>
      </c>
      <c r="D122" s="18"/>
      <c r="E122" s="84"/>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84" t="s">
        <v>621</v>
      </c>
      <c r="C123" s="110" t="s">
        <v>622</v>
      </c>
      <c r="D123" s="32"/>
      <c r="E123" s="84"/>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102" t="s">
        <v>623</v>
      </c>
      <c r="C124" s="13"/>
      <c r="D124" s="13"/>
      <c r="E124" s="14"/>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84" t="s">
        <v>624</v>
      </c>
      <c r="C125" s="188" t="str">
        <f>CONCATENATE(this_instance,"-m01-r01-en02",".",sample_child_dns_zone)</f>
        <v>lax-m01-r01-en02.lax.rainpole.io</v>
      </c>
      <c r="D125" s="18"/>
      <c r="E125" s="84"/>
      <c r="F125" s="41"/>
      <c r="G125" s="41"/>
      <c r="H125" s="41"/>
      <c r="I125" s="41"/>
      <c r="J125" s="41"/>
      <c r="K125" s="41"/>
      <c r="L125" s="41"/>
      <c r="M125" s="41"/>
      <c r="N125" s="41"/>
      <c r="O125" s="41"/>
      <c r="P125" s="41"/>
      <c r="Q125" s="41"/>
      <c r="R125" s="41"/>
      <c r="S125" s="41"/>
      <c r="T125" s="41"/>
      <c r="U125" s="41"/>
      <c r="V125" s="41"/>
      <c r="W125" s="41"/>
      <c r="X125" s="41"/>
      <c r="Y125" s="41"/>
      <c r="Z125" s="41"/>
    </row>
    <row r="126" ht="19.5" customHeight="1">
      <c r="A126" s="41"/>
      <c r="B126" s="84" t="s">
        <v>302</v>
      </c>
      <c r="C126" s="110" t="str">
        <f>sample_mgmt_cl01_cluster</f>
        <v>lax-m01-cl01</v>
      </c>
      <c r="D126" s="32" t="str">
        <f>mgmt_cl01_cluster</f>
        <v>Value Missing</v>
      </c>
      <c r="E126" s="186" t="s">
        <v>590</v>
      </c>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84" t="s">
        <v>591</v>
      </c>
      <c r="C127" s="110" t="str">
        <f>sample_mgmt_ec_rp_name</f>
        <v>lax-m01-cl01-rp-ec01</v>
      </c>
      <c r="D127" s="32" t="str">
        <f>mgmt_ec_rp_name</f>
        <v>Value Missing</v>
      </c>
      <c r="E127" s="18" t="str">
        <f>IF(input_mgmt_ec_rp_name="","Input is masked out based on based Resource Pool value for Edge node 1","")</f>
        <v>Input is masked out based on based Resource Pool value for Edge node 1</v>
      </c>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84" t="s">
        <v>593</v>
      </c>
      <c r="C128" s="110" t="s">
        <v>594</v>
      </c>
      <c r="D128" s="32" t="str">
        <f>IFERROR(__xludf.DUMMYFUNCTION("SINGLE(mgmt_ec01_host_group_affinity_rule_chosen)"),"No")</f>
        <v>No</v>
      </c>
      <c r="E128" s="18" t="s">
        <v>625</v>
      </c>
      <c r="F128" s="41"/>
      <c r="G128" s="41"/>
      <c r="H128" s="41"/>
      <c r="I128" s="41"/>
      <c r="J128" s="41"/>
      <c r="K128" s="41"/>
      <c r="L128" s="41"/>
      <c r="M128" s="41"/>
      <c r="N128" s="41"/>
      <c r="O128" s="41"/>
      <c r="P128" s="41"/>
      <c r="Q128" s="41"/>
      <c r="R128" s="41"/>
      <c r="S128" s="41"/>
      <c r="T128" s="41"/>
      <c r="U128" s="41"/>
      <c r="V128" s="41"/>
      <c r="W128" s="41"/>
      <c r="X128" s="41"/>
      <c r="Y128" s="41"/>
      <c r="Z128" s="41"/>
    </row>
    <row r="129" ht="19.5" customHeight="1">
      <c r="A129" s="41"/>
      <c r="B129" s="84" t="s">
        <v>595</v>
      </c>
      <c r="C129" s="110" t="str">
        <f>CONCATENATE(this_instance,"-m01","-host-group-affinity-rule-ec01-en02")</f>
        <v>lax-m01-host-group-affinity-rule-ec01-en02</v>
      </c>
      <c r="D129" s="32"/>
      <c r="E129" s="18"/>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84" t="s">
        <v>596</v>
      </c>
      <c r="C130" s="110" t="str">
        <f>sample_mgmt_cl01_vsan_datastore</f>
        <v>lax-m01-cl01-ds-nfs01</v>
      </c>
      <c r="D130" s="32" t="str">
        <f>mgmt_cl01_vsan_datastore</f>
        <v>Value Missing</v>
      </c>
      <c r="E130" s="186" t="s">
        <v>597</v>
      </c>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84" t="s">
        <v>598</v>
      </c>
      <c r="C131" s="163" t="s">
        <v>599</v>
      </c>
      <c r="D131" s="18" t="str">
        <f>mgmt_az1_en1_ip_allocation_chosen</f>
        <v>Static</v>
      </c>
      <c r="E131" s="18" t="s">
        <v>626</v>
      </c>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84" t="s">
        <v>600</v>
      </c>
      <c r="C132" s="163" t="str">
        <f>sample_mgmt_cl01_az1_mgmt_vm_pg</f>
        <v>lax-m01-cl01-vds01-pg-vm-mgmt</v>
      </c>
      <c r="D132" s="18" t="str">
        <f>mgmt_cl01_az1_mgmt_vm_pg</f>
        <v>Value Missing</v>
      </c>
      <c r="E132" s="186" t="s">
        <v>601</v>
      </c>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84" t="s">
        <v>627</v>
      </c>
      <c r="C133" s="163" t="str">
        <f>IF(mgmt_dpg_reuse_result="Included",CONCATENATE(prefix_mgmt_az1_cidr,"10.76","/",INT(RIGHT(sample_mgmt_az1_mgmt_vm_cidr,LEN(sample_mgmt_az1_mgmt_vm_cidr)-FIND("/",sample_mgmt_az1_mgmt_vm_cidr)))),CONCATENATE(prefix_mgmt_az1_cidr,"11.76","/",INT(RIGHT(sample_mgmt_az1_mgmt_cidr,LEN(sample_mgmt_az1_mgmt_cidr)-FIND("/",sample_mgmt_az1_mgmt_cidr)))))</f>
        <v>10.21.10.76/24</v>
      </c>
      <c r="D133" s="18"/>
      <c r="E133" s="18" t="str">
        <f>IF(mgmt_az1_en1_ip_allocation_chosen="DHCP","Inputs are masked out and only required if Static IP Allocation is selected","")</f>
        <v/>
      </c>
      <c r="F133" s="41"/>
      <c r="G133" s="41"/>
      <c r="H133" s="41"/>
      <c r="I133" s="41"/>
      <c r="J133" s="41"/>
      <c r="K133" s="41"/>
      <c r="L133" s="41"/>
      <c r="M133" s="41"/>
      <c r="N133" s="41"/>
      <c r="O133" s="41"/>
      <c r="P133" s="41"/>
      <c r="Q133" s="41"/>
      <c r="R133" s="41"/>
      <c r="S133" s="41"/>
      <c r="T133" s="41"/>
      <c r="U133" s="41"/>
      <c r="V133" s="41"/>
      <c r="W133" s="41"/>
      <c r="X133" s="41"/>
      <c r="Y133" s="41"/>
      <c r="Z133" s="41"/>
    </row>
    <row r="134" ht="19.5" customHeight="1">
      <c r="A134" s="41"/>
      <c r="B134" s="84" t="s">
        <v>628</v>
      </c>
      <c r="C134" s="110" t="str">
        <f>sample_mgmt_az1_mgmt_vm_gateway_ip</f>
        <v>10.21.10.1</v>
      </c>
      <c r="D134" s="32" t="str">
        <f>mgmt_az1_mgmt_vm_gateway_ip</f>
        <v>Value Missing</v>
      </c>
      <c r="E134" s="186" t="s">
        <v>604</v>
      </c>
      <c r="F134" s="41"/>
      <c r="G134" s="41"/>
      <c r="H134" s="41"/>
      <c r="I134" s="41"/>
      <c r="J134" s="41"/>
      <c r="K134" s="41"/>
      <c r="L134" s="41"/>
      <c r="M134" s="41"/>
      <c r="N134" s="41"/>
      <c r="O134" s="41"/>
      <c r="P134" s="41"/>
      <c r="Q134" s="41"/>
      <c r="R134" s="41"/>
      <c r="S134" s="41"/>
      <c r="T134" s="41"/>
      <c r="U134" s="41"/>
      <c r="V134" s="41"/>
      <c r="W134" s="41"/>
      <c r="X134" s="41"/>
      <c r="Y134" s="41"/>
      <c r="Z134" s="41"/>
    </row>
    <row r="135" ht="19.5" customHeight="1">
      <c r="A135" s="41"/>
      <c r="B135" s="84" t="s">
        <v>605</v>
      </c>
      <c r="C135" s="110" t="s">
        <v>606</v>
      </c>
      <c r="D135" s="32" t="str">
        <f>mgmt_ec01_use_host_overlay_chosen</f>
        <v>Unselected </v>
      </c>
      <c r="E135" s="18" t="s">
        <v>629</v>
      </c>
      <c r="F135" s="41"/>
      <c r="G135" s="41"/>
      <c r="H135" s="41"/>
      <c r="I135" s="41"/>
      <c r="J135" s="41"/>
      <c r="K135" s="41"/>
      <c r="L135" s="41"/>
      <c r="M135" s="41"/>
      <c r="N135" s="41"/>
      <c r="O135" s="41"/>
      <c r="P135" s="41"/>
      <c r="Q135" s="41"/>
      <c r="R135" s="41"/>
      <c r="S135" s="41"/>
      <c r="T135" s="41"/>
      <c r="U135" s="41"/>
      <c r="V135" s="41"/>
      <c r="W135" s="41"/>
      <c r="X135" s="41"/>
      <c r="Y135" s="41"/>
      <c r="Z135" s="41"/>
    </row>
    <row r="136" ht="19.5" customHeight="1">
      <c r="A136" s="41"/>
      <c r="B136" s="102" t="s">
        <v>630</v>
      </c>
      <c r="C136" s="13"/>
      <c r="D136" s="13"/>
      <c r="E136" s="14"/>
      <c r="F136" s="41"/>
      <c r="G136" s="41"/>
      <c r="H136" s="41"/>
      <c r="I136" s="41"/>
      <c r="J136" s="41"/>
      <c r="K136" s="41"/>
      <c r="L136" s="41"/>
      <c r="M136" s="41"/>
      <c r="N136" s="41"/>
      <c r="O136" s="41"/>
      <c r="P136" s="41"/>
      <c r="Q136" s="41"/>
      <c r="R136" s="41"/>
      <c r="S136" s="41"/>
      <c r="T136" s="41"/>
      <c r="U136" s="41"/>
      <c r="V136" s="41"/>
      <c r="W136" s="41"/>
      <c r="X136" s="41"/>
      <c r="Y136" s="41"/>
      <c r="Z136" s="41"/>
    </row>
    <row r="137" ht="19.5" customHeight="1">
      <c r="A137" s="41"/>
      <c r="B137" s="84" t="s">
        <v>608</v>
      </c>
      <c r="C137" s="110" t="str">
        <f>IF(mgmt_cl01_vds_profile_chosen="Storage Traffic and NSX Traffic Separation","vmnic4",IF(mgmt_cl01_vds_profile_chosen="NSX Traffic Separation","vmnic2","vmnic0"))</f>
        <v>vmnic0</v>
      </c>
      <c r="D137" s="32"/>
      <c r="E137" s="84"/>
      <c r="F137" s="41"/>
      <c r="G137" s="41"/>
      <c r="H137" s="41"/>
      <c r="I137" s="41"/>
      <c r="J137" s="41"/>
      <c r="K137" s="41"/>
      <c r="L137" s="41"/>
      <c r="M137" s="41"/>
      <c r="N137" s="41"/>
      <c r="O137" s="41"/>
      <c r="P137" s="41"/>
      <c r="Q137" s="41"/>
      <c r="R137" s="41"/>
      <c r="S137" s="41"/>
      <c r="T137" s="41"/>
      <c r="U137" s="41"/>
      <c r="V137" s="41"/>
      <c r="W137" s="41"/>
      <c r="X137" s="41"/>
      <c r="Y137" s="41"/>
      <c r="Z137" s="41"/>
    </row>
    <row r="138" ht="19.5" customHeight="1">
      <c r="A138" s="41"/>
      <c r="B138" s="173" t="s">
        <v>608</v>
      </c>
      <c r="C138" s="110" t="str">
        <f>IF(mgmt_cl01_vds_profile_chosen="Storage Traffic and NSX Traffic Separation","vmnic5",IF(mgmt_cl01_vds_profile_chosen="NSX Traffic Separation","vmnic3","vmnic1"))</f>
        <v>vmnic1</v>
      </c>
      <c r="D138" s="32"/>
      <c r="E138" s="84"/>
      <c r="F138" s="41"/>
      <c r="G138" s="41"/>
      <c r="H138" s="41"/>
      <c r="I138" s="41"/>
      <c r="J138" s="41"/>
      <c r="K138" s="41"/>
      <c r="L138" s="41"/>
      <c r="M138" s="41"/>
      <c r="N138" s="41"/>
      <c r="O138" s="41"/>
      <c r="P138" s="41"/>
      <c r="Q138" s="41"/>
      <c r="R138" s="41"/>
      <c r="S138" s="41"/>
      <c r="T138" s="41"/>
      <c r="U138" s="41"/>
      <c r="V138" s="41"/>
      <c r="W138" s="41"/>
      <c r="X138" s="41"/>
      <c r="Y138" s="41"/>
      <c r="Z138" s="41"/>
    </row>
    <row r="139" ht="19.5" customHeight="1">
      <c r="A139" s="41"/>
      <c r="B139" s="173" t="s">
        <v>611</v>
      </c>
      <c r="C139" s="110" t="str">
        <f>IF(mgmt_cl01_vds_profile_chosen="Storage Traffic and NSX Traffic Separation","vmnic5",IF(mgmt_cl01_vds_profile_chosen="NSX Traffic Separation","vmnic3","vmnic1"))</f>
        <v>vmnic1</v>
      </c>
      <c r="D139" s="32"/>
      <c r="E139" s="84"/>
      <c r="F139" s="41"/>
      <c r="G139" s="41"/>
      <c r="H139" s="41"/>
      <c r="I139" s="41"/>
      <c r="J139" s="41"/>
      <c r="K139" s="41"/>
      <c r="L139" s="41"/>
      <c r="M139" s="41"/>
      <c r="N139" s="41"/>
      <c r="O139" s="41"/>
      <c r="P139" s="41"/>
      <c r="Q139" s="41"/>
      <c r="R139" s="41"/>
      <c r="S139" s="41"/>
      <c r="T139" s="41"/>
      <c r="U139" s="41"/>
      <c r="V139" s="41"/>
      <c r="W139" s="41"/>
      <c r="X139" s="41"/>
      <c r="Y139" s="41"/>
      <c r="Z139" s="41"/>
    </row>
    <row r="140" ht="19.5" customHeight="1">
      <c r="A140" s="41"/>
      <c r="B140" s="187" t="s">
        <v>611</v>
      </c>
      <c r="C140" s="110" t="str">
        <f>IF(mgmt_cl01_vds_profile_chosen="Storage Traffic and NSX Traffic Separation","vmnic4",IF(mgmt_cl01_vds_profile_chosen="NSX Traffic Separation","vmnic2","vmnic0"))</f>
        <v>vmnic0</v>
      </c>
      <c r="D140" s="32"/>
      <c r="E140" s="84"/>
      <c r="F140" s="41"/>
      <c r="G140" s="41"/>
      <c r="H140" s="41"/>
      <c r="I140" s="41"/>
      <c r="J140" s="41"/>
      <c r="K140" s="41"/>
      <c r="L140" s="41"/>
      <c r="M140" s="41"/>
      <c r="N140" s="41"/>
      <c r="O140" s="41"/>
      <c r="P140" s="41"/>
      <c r="Q140" s="41"/>
      <c r="R140" s="41"/>
      <c r="S140" s="41"/>
      <c r="T140" s="41"/>
      <c r="U140" s="41"/>
      <c r="V140" s="41"/>
      <c r="W140" s="41"/>
      <c r="X140" s="41"/>
      <c r="Y140" s="41"/>
      <c r="Z140" s="41"/>
    </row>
    <row r="141" ht="19.5" customHeight="1">
      <c r="A141" s="41"/>
      <c r="B141" s="84" t="s">
        <v>612</v>
      </c>
      <c r="C141" s="156" t="str">
        <f>sample_mgmt_az1_edge_overlay_vlan</f>
        <v>2119</v>
      </c>
      <c r="D141" s="18" t="str">
        <f>mgmt_az1_edge_overlay_vlan</f>
        <v>Value Missing</v>
      </c>
      <c r="E141" s="18" t="str">
        <f>IF(mgmt_ec01_use_host_overlay_chosen="Selected","Inputs are masked out as host overlay network and edge overlay networks will share the same network configuration","Value is set based on VLAN  for Edge node 1 ")</f>
        <v>Value is set based on VLAN  for Edge node 1 </v>
      </c>
      <c r="F141" s="41"/>
      <c r="G141" s="41"/>
      <c r="H141" s="41"/>
      <c r="I141" s="41"/>
      <c r="J141" s="41"/>
      <c r="K141" s="41"/>
      <c r="L141" s="41"/>
      <c r="M141" s="41"/>
      <c r="N141" s="41"/>
      <c r="O141" s="41"/>
      <c r="P141" s="41"/>
      <c r="Q141" s="41"/>
      <c r="R141" s="41"/>
      <c r="S141" s="41"/>
      <c r="T141" s="41"/>
      <c r="U141" s="41"/>
      <c r="V141" s="41"/>
      <c r="W141" s="41"/>
      <c r="X141" s="41"/>
      <c r="Y141" s="41"/>
      <c r="Z141" s="41"/>
    </row>
    <row r="142" ht="19.5" customHeight="1">
      <c r="A142" s="41"/>
      <c r="B142" s="84" t="s">
        <v>613</v>
      </c>
      <c r="C142" s="110" t="s">
        <v>614</v>
      </c>
      <c r="D142" s="32" t="str">
        <f>mgmt_az1_en1_edge_overlay_network_ip_allocation_chosen</f>
        <v>Static IP List</v>
      </c>
      <c r="E142" s="18"/>
      <c r="F142" s="41"/>
      <c r="G142" s="41"/>
      <c r="H142" s="41"/>
      <c r="I142" s="41"/>
      <c r="J142" s="41"/>
      <c r="K142" s="41"/>
      <c r="L142" s="41"/>
      <c r="M142" s="41"/>
      <c r="N142" s="41"/>
      <c r="O142" s="41"/>
      <c r="P142" s="41"/>
      <c r="Q142" s="41"/>
      <c r="R142" s="41"/>
      <c r="S142" s="41"/>
      <c r="T142" s="41"/>
      <c r="U142" s="41"/>
      <c r="V142" s="41"/>
      <c r="W142" s="41"/>
      <c r="X142" s="41"/>
      <c r="Y142" s="41"/>
      <c r="Z142" s="41"/>
    </row>
    <row r="143" ht="19.5" customHeight="1">
      <c r="A143" s="41"/>
      <c r="B143" s="84" t="s">
        <v>615</v>
      </c>
      <c r="C143" s="110" t="str">
        <f>sample_mgmt_az1_edge_overlay_network_pool_name</f>
        <v>lax-m01-r01-ip-pool02-edge</v>
      </c>
      <c r="D143" s="32" t="str">
        <f>mgmt_az1_edge_overlay_network_pool_name</f>
        <v>Value Missing</v>
      </c>
      <c r="E143" s="18" t="str">
        <f>IF(mgmt_az1_en1_edge_overlay_network_ip_allocation_chosen&lt;&gt;"IP Pool","Inputs are masked out and only required if IP Pools are required","Value is set based on IP Pool Name for Edge node 1 ")</f>
        <v>Inputs are masked out and only required if IP Pools are required</v>
      </c>
      <c r="F143" s="41"/>
      <c r="G143" s="41"/>
      <c r="H143" s="41"/>
      <c r="I143" s="41"/>
      <c r="J143" s="41"/>
      <c r="K143" s="41"/>
      <c r="L143" s="41"/>
      <c r="M143" s="41"/>
      <c r="N143" s="41"/>
      <c r="O143" s="41"/>
      <c r="P143" s="41"/>
      <c r="Q143" s="41"/>
      <c r="R143" s="41"/>
      <c r="S143" s="41"/>
      <c r="T143" s="41"/>
      <c r="U143" s="41"/>
      <c r="V143" s="41"/>
      <c r="W143" s="41"/>
      <c r="X143" s="41"/>
      <c r="Y143" s="41"/>
      <c r="Z143" s="41"/>
    </row>
    <row r="144" ht="19.5" customHeight="1">
      <c r="A144" s="41"/>
      <c r="B144" s="84" t="s">
        <v>631</v>
      </c>
      <c r="C144" s="163" t="str">
        <f>CONCATENATE(prefix_mgmt_az1_cidr,"19.4")</f>
        <v>10.21.19.4</v>
      </c>
      <c r="D144" s="18"/>
      <c r="E144" s="18" t="str">
        <f>IF(mgmt_az1_en1_edge_overlay_network_ip_allocation_chosen&lt;&gt;"Static IP List","Inputs are masked out and only required if Static IP List are required",IF(mgmt_ec01_use_host_overlay_chosen="Selected","","Overlay IP Address #01 for Edge Node 2"))</f>
        <v>Overlay IP Address #01 for Edge Node 2</v>
      </c>
      <c r="F144" s="41"/>
      <c r="G144" s="41"/>
      <c r="H144" s="41"/>
      <c r="I144" s="41"/>
      <c r="J144" s="41"/>
      <c r="K144" s="41"/>
      <c r="L144" s="41"/>
      <c r="M144" s="41"/>
      <c r="N144" s="41"/>
      <c r="O144" s="41"/>
      <c r="P144" s="41"/>
      <c r="Q144" s="41"/>
      <c r="R144" s="41"/>
      <c r="S144" s="41"/>
      <c r="T144" s="41"/>
      <c r="U144" s="41"/>
      <c r="V144" s="41"/>
      <c r="W144" s="41"/>
      <c r="X144" s="41"/>
      <c r="Y144" s="41"/>
      <c r="Z144" s="41"/>
    </row>
    <row r="145" ht="19.5" customHeight="1">
      <c r="A145" s="41"/>
      <c r="B145" s="84" t="s">
        <v>632</v>
      </c>
      <c r="C145" s="163" t="str">
        <f>CONCATENATE(prefix_mgmt_az1_cidr,"19.5")</f>
        <v>10.21.19.5</v>
      </c>
      <c r="D145" s="18"/>
      <c r="E145" s="18" t="str">
        <f>IF(mgmt_az1_en1_edge_overlay_network_ip_allocation_chosen&lt;&gt;"Static IP List","Inputs are masked out and only required if Static IP List are required",IF(mgmt_ec01_use_host_overlay_chosen="Selected","","Overlay IP Address #02 for Edge Node 2"))</f>
        <v>Overlay IP Address #02 for Edge Node 2</v>
      </c>
      <c r="F145" s="41"/>
      <c r="G145" s="41"/>
      <c r="H145" s="41"/>
      <c r="I145" s="41"/>
      <c r="J145" s="41"/>
      <c r="K145" s="41"/>
      <c r="L145" s="41"/>
      <c r="M145" s="41"/>
      <c r="N145" s="41"/>
      <c r="O145" s="41"/>
      <c r="P145" s="41"/>
      <c r="Q145" s="41"/>
      <c r="R145" s="41"/>
      <c r="S145" s="41"/>
      <c r="T145" s="41"/>
      <c r="U145" s="41"/>
      <c r="V145" s="41"/>
      <c r="W145" s="41"/>
      <c r="X145" s="41"/>
      <c r="Y145" s="41"/>
      <c r="Z145" s="41"/>
    </row>
    <row r="146" ht="19.5" customHeight="1">
      <c r="A146" s="41"/>
      <c r="B146" s="84" t="s">
        <v>620</v>
      </c>
      <c r="C146" s="110" t="str">
        <f>sample_mgmt_az1_edge_overlay_gateway_ip</f>
        <v>10.21.19.1</v>
      </c>
      <c r="D146" s="18" t="str">
        <f>mgmt_az1_edge_overlay_gateway_ip</f>
        <v>Value Missing</v>
      </c>
      <c r="E146" s="18" t="str">
        <f>IF(mgmt_az1_en1_edge_overlay_network_ip_allocation_chosen&lt;&gt;"Static IP List","Inputs are masked out and only required if Static IP List are required","")</f>
        <v/>
      </c>
      <c r="F146" s="41"/>
      <c r="G146" s="41"/>
      <c r="H146" s="41"/>
      <c r="I146" s="41"/>
      <c r="J146" s="41"/>
      <c r="K146" s="41"/>
      <c r="L146" s="41"/>
      <c r="M146" s="41"/>
      <c r="N146" s="41"/>
      <c r="O146" s="41"/>
      <c r="P146" s="41"/>
      <c r="Q146" s="41"/>
      <c r="R146" s="41"/>
      <c r="S146" s="41"/>
      <c r="T146" s="41"/>
      <c r="U146" s="41"/>
      <c r="V146" s="41"/>
      <c r="W146" s="41"/>
      <c r="X146" s="41"/>
      <c r="Y146" s="41"/>
      <c r="Z146" s="41"/>
    </row>
    <row r="147" ht="19.5" customHeight="1">
      <c r="A147" s="41"/>
      <c r="B147" s="84" t="s">
        <v>621</v>
      </c>
      <c r="C147" s="110" t="str">
        <f>sample_mgmt_az1_edge_overlay_mask</f>
        <v>255.255.255.0</v>
      </c>
      <c r="D147" s="32" t="str">
        <f>mgmt_az1_edge_overlay_mask</f>
        <v>Value Missing</v>
      </c>
      <c r="E147" s="18" t="str">
        <f>IF(mgmt_az1_en1_edge_overlay_network_ip_allocation_chosen&lt;&gt;"Static IP List","Inputs are masked out and only required if Static IP List are required","Value is set based on Subnet Mask Value for Edge node 1")</f>
        <v>Value is set based on Subnet Mask Value for Edge node 1</v>
      </c>
      <c r="F147" s="41"/>
      <c r="G147" s="41"/>
      <c r="H147" s="41"/>
      <c r="I147" s="41"/>
      <c r="J147" s="41"/>
      <c r="K147" s="41"/>
      <c r="L147" s="41"/>
      <c r="M147" s="41"/>
      <c r="N147" s="41"/>
      <c r="O147" s="41"/>
      <c r="P147" s="41"/>
      <c r="Q147" s="41"/>
      <c r="R147" s="41"/>
      <c r="S147" s="41"/>
      <c r="T147" s="41"/>
      <c r="U147" s="41"/>
      <c r="V147" s="41"/>
      <c r="W147" s="41"/>
      <c r="X147" s="41"/>
      <c r="Y147" s="41"/>
      <c r="Z147" s="41"/>
    </row>
    <row r="148" ht="19.5" customHeight="1">
      <c r="A148" s="41"/>
      <c r="B148" s="84" t="s">
        <v>633</v>
      </c>
      <c r="C148" s="110" t="s">
        <v>606</v>
      </c>
      <c r="D148" s="32" t="s">
        <v>606</v>
      </c>
      <c r="E148" s="84"/>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84" t="s">
        <v>634</v>
      </c>
      <c r="C149" s="110" t="s">
        <v>297</v>
      </c>
      <c r="D149" s="18"/>
      <c r="E149" s="18" t="str">
        <f>IF(mgmt_az1_ec01_password_creation_chosen="Selected","Inputs are masked out as you have opted to deploy with system generated passwords","Minimum 15 Characters, 1 Uppercase, 1 Special")</f>
        <v>Minimum 15 Characters, 1 Uppercase, 1 Special</v>
      </c>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84" t="s">
        <v>635</v>
      </c>
      <c r="C150" s="110" t="s">
        <v>297</v>
      </c>
      <c r="D150" s="18"/>
      <c r="E150" s="18" t="str">
        <f>IF(mgmt_az1_ec01_password_creation_chosen="Selected","Inputs are masked out as you have opted to deploy with system generated passwords","Minimum 15 Characters, 1 Uppercase, 1 Special")</f>
        <v>Minimum 15 Characters, 1 Uppercase, 1 Special</v>
      </c>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102" t="s">
        <v>636</v>
      </c>
      <c r="C151" s="13"/>
      <c r="D151" s="13"/>
      <c r="E151" s="14"/>
      <c r="F151" s="41"/>
      <c r="G151" s="41"/>
      <c r="H151" s="41"/>
      <c r="I151" s="41"/>
      <c r="J151" s="41"/>
      <c r="K151" s="41"/>
      <c r="L151" s="41"/>
      <c r="M151" s="41"/>
      <c r="N151" s="41"/>
      <c r="O151" s="41"/>
      <c r="P151" s="41"/>
      <c r="Q151" s="41"/>
      <c r="R151" s="41"/>
      <c r="S151" s="41"/>
      <c r="T151" s="41"/>
      <c r="U151" s="41"/>
      <c r="V151" s="41"/>
      <c r="W151" s="41"/>
      <c r="X151" s="41"/>
      <c r="Y151" s="41"/>
      <c r="Z151" s="41"/>
    </row>
    <row r="152" ht="19.5" customHeight="1">
      <c r="A152" s="41"/>
      <c r="B152" s="84" t="s">
        <v>637</v>
      </c>
      <c r="C152" s="110" t="str">
        <f>IF(AND(mgmt_nsxt_federation_chosen="Standby Global Manager",(mgmt_vns_chosen="Centralized Connectivity")),"Selected","Unselected")</f>
        <v>Unselected</v>
      </c>
      <c r="D152" s="18" t="s">
        <v>284</v>
      </c>
      <c r="E152" s="18" t="str">
        <f>IF(AND(OR(mgmt_nsxt_federation_chosen="Standby Global Manager",mgmt_nsxt_federation_chosen="Connect Instance"),(mgmt_vns_chosen="Centralized Connectivity")),"Skip Gateway and Routing Configuration as stretched T0 will be configured as part of NSX Federation configuration","")</f>
        <v/>
      </c>
      <c r="F152" s="41"/>
      <c r="G152" s="41"/>
      <c r="H152" s="41"/>
      <c r="I152" s="41"/>
      <c r="J152" s="41"/>
      <c r="K152" s="41"/>
      <c r="L152" s="41"/>
      <c r="M152" s="41"/>
      <c r="N152" s="41"/>
      <c r="O152" s="41"/>
      <c r="P152" s="41"/>
      <c r="Q152" s="41"/>
      <c r="R152" s="41"/>
      <c r="S152" s="41"/>
      <c r="T152" s="41"/>
      <c r="U152" s="41"/>
      <c r="V152" s="41"/>
      <c r="W152" s="41"/>
      <c r="X152" s="41"/>
      <c r="Y152" s="41"/>
      <c r="Z152" s="41"/>
    </row>
    <row r="153" ht="19.5" customHeight="1">
      <c r="A153" s="41"/>
      <c r="B153" s="84" t="s">
        <v>638</v>
      </c>
      <c r="C153" s="110" t="str">
        <f>CONCATENATE(this_instance,"-m01-ec01-t0-gw01")</f>
        <v>lax-m01-ec01-t0-gw01</v>
      </c>
      <c r="D153" s="18"/>
      <c r="E153" s="84"/>
      <c r="F153" s="41"/>
      <c r="G153" s="41"/>
      <c r="H153" s="41"/>
      <c r="I153" s="41"/>
      <c r="J153" s="41"/>
      <c r="K153" s="41"/>
      <c r="L153" s="41"/>
      <c r="M153" s="41"/>
      <c r="N153" s="41"/>
      <c r="O153" s="41"/>
      <c r="P153" s="41"/>
      <c r="Q153" s="41"/>
      <c r="R153" s="41"/>
      <c r="S153" s="41"/>
      <c r="T153" s="41"/>
      <c r="U153" s="41"/>
      <c r="V153" s="41"/>
      <c r="W153" s="41"/>
      <c r="X153" s="41"/>
      <c r="Y153" s="41"/>
      <c r="Z153" s="41"/>
    </row>
    <row r="154" ht="19.5" customHeight="1">
      <c r="A154" s="41"/>
      <c r="B154" s="84" t="s">
        <v>639</v>
      </c>
      <c r="C154" s="110" t="s">
        <v>640</v>
      </c>
      <c r="D154" s="32" t="s">
        <v>640</v>
      </c>
      <c r="E154" s="84"/>
      <c r="F154" s="41"/>
      <c r="G154" s="41"/>
      <c r="H154" s="41"/>
      <c r="I154" s="41"/>
      <c r="J154" s="41"/>
      <c r="K154" s="41"/>
      <c r="L154" s="41"/>
      <c r="M154" s="41"/>
      <c r="N154" s="41"/>
      <c r="O154" s="41"/>
      <c r="P154" s="41"/>
      <c r="Q154" s="41"/>
      <c r="R154" s="41"/>
      <c r="S154" s="41"/>
      <c r="T154" s="41"/>
      <c r="U154" s="41"/>
      <c r="V154" s="41"/>
      <c r="W154" s="41"/>
      <c r="X154" s="41"/>
      <c r="Y154" s="41"/>
      <c r="Z154" s="41"/>
    </row>
    <row r="155" ht="19.5" customHeight="1">
      <c r="A155" s="41"/>
      <c r="B155" s="84" t="s">
        <v>641</v>
      </c>
      <c r="C155" s="110" t="s">
        <v>642</v>
      </c>
      <c r="D155" s="32" t="s">
        <v>642</v>
      </c>
      <c r="E155" s="84"/>
      <c r="F155" s="41"/>
      <c r="G155" s="41"/>
      <c r="H155" s="41"/>
      <c r="I155" s="41"/>
      <c r="J155" s="41"/>
      <c r="K155" s="41"/>
      <c r="L155" s="41"/>
      <c r="M155" s="41"/>
      <c r="N155" s="41"/>
      <c r="O155" s="41"/>
      <c r="P155" s="41"/>
      <c r="Q155" s="41"/>
      <c r="R155" s="41"/>
      <c r="S155" s="41"/>
      <c r="T155" s="41"/>
      <c r="U155" s="41"/>
      <c r="V155" s="41"/>
      <c r="W155" s="41"/>
      <c r="X155" s="41"/>
      <c r="Y155" s="41"/>
      <c r="Z155" s="41"/>
    </row>
    <row r="156" ht="19.5" customHeight="1">
      <c r="A156" s="41"/>
      <c r="B156" s="84" t="s">
        <v>643</v>
      </c>
      <c r="C156" s="156" t="str">
        <f>IF(mgmt_domain_chosen="First Instance","65101","65201")</f>
        <v>65201</v>
      </c>
      <c r="D156" s="18"/>
      <c r="E156" s="84"/>
      <c r="F156" s="41"/>
      <c r="G156" s="41"/>
      <c r="H156" s="41"/>
      <c r="I156" s="41"/>
      <c r="J156" s="41"/>
      <c r="K156" s="41"/>
      <c r="L156" s="41"/>
      <c r="M156" s="41"/>
      <c r="N156" s="41"/>
      <c r="O156" s="41"/>
      <c r="P156" s="41"/>
      <c r="Q156" s="41"/>
      <c r="R156" s="41"/>
      <c r="S156" s="41"/>
      <c r="T156" s="41"/>
      <c r="U156" s="41"/>
      <c r="V156" s="41"/>
      <c r="W156" s="41"/>
      <c r="X156" s="41"/>
      <c r="Y156" s="41"/>
      <c r="Z156" s="41"/>
    </row>
    <row r="157" ht="19.5" customHeight="1">
      <c r="A157" s="41"/>
      <c r="B157" s="102" t="s">
        <v>644</v>
      </c>
      <c r="C157" s="13"/>
      <c r="D157" s="13"/>
      <c r="E157" s="14"/>
      <c r="F157" s="41"/>
      <c r="G157" s="41"/>
      <c r="H157" s="41"/>
      <c r="I157" s="41"/>
      <c r="J157" s="41"/>
      <c r="K157" s="41"/>
      <c r="L157" s="41"/>
      <c r="M157" s="41"/>
      <c r="N157" s="41"/>
      <c r="O157" s="41"/>
      <c r="P157" s="41"/>
      <c r="Q157" s="41"/>
      <c r="R157" s="41"/>
      <c r="S157" s="41"/>
      <c r="T157" s="41"/>
      <c r="U157" s="41"/>
      <c r="V157" s="41"/>
      <c r="W157" s="41"/>
      <c r="X157" s="41"/>
      <c r="Y157" s="41"/>
      <c r="Z157" s="41"/>
    </row>
    <row r="158" ht="19.5" customHeight="1">
      <c r="A158" s="41"/>
      <c r="B158" s="71" t="s">
        <v>645</v>
      </c>
      <c r="C158" s="156" t="str">
        <f>CONCATENATE(prefix_mgmt_az1_vlan,"17")</f>
        <v>2117</v>
      </c>
      <c r="D158" s="18"/>
      <c r="E158" s="18" t="s">
        <v>646</v>
      </c>
      <c r="F158" s="41"/>
      <c r="G158" s="41"/>
      <c r="H158" s="41"/>
      <c r="I158" s="41"/>
      <c r="J158" s="41"/>
      <c r="K158" s="41"/>
      <c r="L158" s="41"/>
      <c r="M158" s="41"/>
      <c r="N158" s="41"/>
      <c r="O158" s="41"/>
      <c r="P158" s="41"/>
      <c r="Q158" s="41"/>
      <c r="R158" s="41"/>
      <c r="S158" s="41"/>
      <c r="T158" s="41"/>
      <c r="U158" s="41"/>
      <c r="V158" s="41"/>
      <c r="W158" s="41"/>
      <c r="X158" s="41"/>
      <c r="Y158" s="41"/>
      <c r="Z158" s="41"/>
    </row>
    <row r="159" ht="19.5" customHeight="1">
      <c r="A159" s="41"/>
      <c r="B159" s="71" t="s">
        <v>647</v>
      </c>
      <c r="C159" s="163" t="str">
        <f>CONCATENATE(prefix_mgmt_az1_cidr,"17.2","/",INT(RIGHT(sample_mgmt_az1_uplink01_cidr,LEN(sample_mgmt_az1_uplink01_cidr)-FIND("/",sample_mgmt_az1_uplink01_cidr))))</f>
        <v>10.21.17.2/24</v>
      </c>
      <c r="D159" s="18"/>
      <c r="E159" s="18" t="s">
        <v>648</v>
      </c>
      <c r="F159" s="41"/>
      <c r="G159" s="41"/>
      <c r="H159" s="41"/>
      <c r="I159" s="41"/>
      <c r="J159" s="41"/>
      <c r="K159" s="41"/>
      <c r="L159" s="41"/>
      <c r="M159" s="41"/>
      <c r="N159" s="41"/>
      <c r="O159" s="41"/>
      <c r="P159" s="41"/>
      <c r="Q159" s="41"/>
      <c r="R159" s="41"/>
      <c r="S159" s="41"/>
      <c r="T159" s="41"/>
      <c r="U159" s="41"/>
      <c r="V159" s="41"/>
      <c r="W159" s="41"/>
      <c r="X159" s="41"/>
      <c r="Y159" s="41"/>
      <c r="Z159" s="41"/>
    </row>
    <row r="160" ht="19.5" customHeight="1">
      <c r="A160" s="41"/>
      <c r="B160" s="71" t="s">
        <v>649</v>
      </c>
      <c r="C160" s="156" t="str">
        <f>CONCATENATE(prefix_mgmt_az1_cidr,"17.10")</f>
        <v>10.21.17.10</v>
      </c>
      <c r="D160" s="18"/>
      <c r="E160" s="18" t="str">
        <f>IF(mgmt_gateway_routing_type_chosen="STATIC","Value is masked out due to Gateway Routing Type. Value is only requied if BGP is selected", "Top of Rack 1 - IP Address")</f>
        <v>Top of Rack 1 - IP Address</v>
      </c>
      <c r="F160" s="41"/>
      <c r="G160" s="41"/>
      <c r="H160" s="41"/>
      <c r="I160" s="41"/>
      <c r="J160" s="41"/>
      <c r="K160" s="41"/>
      <c r="L160" s="41"/>
      <c r="M160" s="41"/>
      <c r="N160" s="41"/>
      <c r="O160" s="41"/>
      <c r="P160" s="41"/>
      <c r="Q160" s="41"/>
      <c r="R160" s="41"/>
      <c r="S160" s="41"/>
      <c r="T160" s="41"/>
      <c r="U160" s="41"/>
      <c r="V160" s="41"/>
      <c r="W160" s="41"/>
      <c r="X160" s="41"/>
      <c r="Y160" s="41"/>
      <c r="Z160" s="41"/>
    </row>
    <row r="161" ht="19.5" customHeight="1">
      <c r="A161" s="41"/>
      <c r="B161" s="71" t="s">
        <v>650</v>
      </c>
      <c r="C161" s="110" t="s">
        <v>285</v>
      </c>
      <c r="D161" s="18" t="s">
        <v>285</v>
      </c>
      <c r="E161" s="18"/>
      <c r="F161" s="41"/>
      <c r="G161" s="41"/>
      <c r="H161" s="41"/>
      <c r="I161" s="41"/>
      <c r="J161" s="41"/>
      <c r="K161" s="41"/>
      <c r="L161" s="41"/>
      <c r="M161" s="41"/>
      <c r="N161" s="41"/>
      <c r="O161" s="41"/>
      <c r="P161" s="41"/>
      <c r="Q161" s="41"/>
      <c r="R161" s="41"/>
      <c r="S161" s="41"/>
      <c r="T161" s="41"/>
      <c r="U161" s="41"/>
      <c r="V161" s="41"/>
      <c r="W161" s="41"/>
      <c r="X161" s="41"/>
      <c r="Y161" s="41"/>
      <c r="Z161" s="41"/>
    </row>
    <row r="162" ht="19.5" customHeight="1">
      <c r="A162" s="41"/>
      <c r="B162" s="71" t="s">
        <v>404</v>
      </c>
      <c r="C162" s="110">
        <v>9000.0</v>
      </c>
      <c r="D162" s="18"/>
      <c r="E162" s="18"/>
      <c r="F162" s="41"/>
      <c r="G162" s="41"/>
      <c r="H162" s="41"/>
      <c r="I162" s="41"/>
      <c r="J162" s="41"/>
      <c r="K162" s="41"/>
      <c r="L162" s="41"/>
      <c r="M162" s="41"/>
      <c r="N162" s="41"/>
      <c r="O162" s="41"/>
      <c r="P162" s="41"/>
      <c r="Q162" s="41"/>
      <c r="R162" s="41"/>
      <c r="S162" s="41"/>
      <c r="T162" s="41"/>
      <c r="U162" s="41"/>
      <c r="V162" s="41"/>
      <c r="W162" s="41"/>
      <c r="X162" s="41"/>
      <c r="Y162" s="41"/>
      <c r="Z162" s="41"/>
    </row>
    <row r="163" ht="19.5" customHeight="1">
      <c r="A163" s="41"/>
      <c r="B163" s="71" t="s">
        <v>651</v>
      </c>
      <c r="C163" s="156" t="str">
        <f>IF(wld_domain_chosen="First Domain",CONCATENATE(asn_start,asn_instance,asn_mgmt_az1,1),IF(wld_nsxt_federation_result="Included",CONCATENATE(asn_start,asn_instance,asn_mgmt_az1,1),CONCATENATE(asn_start,asn_instance,asn_mgmt_az1,1)))</f>
        <v>211</v>
      </c>
      <c r="D163" s="18"/>
      <c r="E163" s="68" t="str">
        <f>IF(mgmt_gateway_routing_type_chosen="STATIC","Value is masked out due to Gateway Routing Type. Value is only requied if BGP is selected", "Top of Rack 1 - Autonomous System ID")</f>
        <v>Top of Rack 1 - Autonomous System ID</v>
      </c>
      <c r="F163" s="41"/>
      <c r="G163" s="41"/>
      <c r="H163" s="41"/>
      <c r="I163" s="41"/>
      <c r="J163" s="41"/>
      <c r="K163" s="41"/>
      <c r="L163" s="41"/>
      <c r="M163" s="41"/>
      <c r="N163" s="41"/>
      <c r="O163" s="41"/>
      <c r="P163" s="41"/>
      <c r="Q163" s="41"/>
      <c r="R163" s="41"/>
      <c r="S163" s="41"/>
      <c r="T163" s="41"/>
      <c r="U163" s="41"/>
      <c r="V163" s="41"/>
      <c r="W163" s="41"/>
      <c r="X163" s="41"/>
      <c r="Y163" s="41"/>
      <c r="Z163" s="41"/>
    </row>
    <row r="164" ht="19.5" customHeight="1">
      <c r="A164" s="41"/>
      <c r="B164" s="71" t="s">
        <v>652</v>
      </c>
      <c r="C164" s="156" t="s">
        <v>382</v>
      </c>
      <c r="D164" s="18"/>
      <c r="E164" s="68" t="str">
        <f>IF(mgmt_gateway_routing_type_chosen="STATIC","Value is masked out due to Gateway Routing Type. Value is only requied if BGP is selected", "Top of Rack 1 - BGP Neighbor Password")</f>
        <v>Top of Rack 1 - BGP Neighbor Password</v>
      </c>
      <c r="F164" s="41"/>
      <c r="G164" s="41"/>
      <c r="H164" s="41"/>
      <c r="I164" s="41"/>
      <c r="J164" s="41"/>
      <c r="K164" s="41"/>
      <c r="L164" s="41"/>
      <c r="M164" s="41"/>
      <c r="N164" s="41"/>
      <c r="O164" s="41"/>
      <c r="P164" s="41"/>
      <c r="Q164" s="41"/>
      <c r="R164" s="41"/>
      <c r="S164" s="41"/>
      <c r="T164" s="41"/>
      <c r="U164" s="41"/>
      <c r="V164" s="41"/>
      <c r="W164" s="41"/>
      <c r="X164" s="41"/>
      <c r="Y164" s="41"/>
      <c r="Z164" s="41"/>
    </row>
    <row r="165" ht="19.5" customHeight="1">
      <c r="A165" s="41"/>
      <c r="B165" s="71" t="s">
        <v>653</v>
      </c>
      <c r="C165" s="156" t="str">
        <f>CONCATENATE(prefix_mgmt_az1_vlan,"18")</f>
        <v>2118</v>
      </c>
      <c r="D165" s="18"/>
      <c r="E165" s="68" t="s">
        <v>654</v>
      </c>
      <c r="F165" s="41"/>
      <c r="G165" s="41"/>
      <c r="H165" s="41"/>
      <c r="I165" s="41"/>
      <c r="J165" s="41"/>
      <c r="K165" s="41"/>
      <c r="L165" s="41"/>
      <c r="M165" s="41"/>
      <c r="N165" s="41"/>
      <c r="O165" s="41"/>
      <c r="P165" s="41"/>
      <c r="Q165" s="41"/>
      <c r="R165" s="41"/>
      <c r="S165" s="41"/>
      <c r="T165" s="41"/>
      <c r="U165" s="41"/>
      <c r="V165" s="41"/>
      <c r="W165" s="41"/>
      <c r="X165" s="41"/>
      <c r="Y165" s="41"/>
      <c r="Z165" s="41"/>
    </row>
    <row r="166" ht="19.5" customHeight="1">
      <c r="A166" s="41"/>
      <c r="B166" s="71" t="s">
        <v>647</v>
      </c>
      <c r="C166" s="163" t="str">
        <f>CONCATENATE(prefix_mgmt_az1_cidr,"18.2","/",INT(RIGHT(sample_mgmt_az1_uplink02_cidr,LEN(sample_mgmt_az1_uplink02_cidr)-FIND("/",sample_mgmt_az1_uplink02_cidr))))</f>
        <v>10.21.18.2/24</v>
      </c>
      <c r="D166" s="18"/>
      <c r="E166" s="68" t="s">
        <v>655</v>
      </c>
      <c r="F166" s="41"/>
      <c r="G166" s="41"/>
      <c r="H166" s="41"/>
      <c r="I166" s="41"/>
      <c r="J166" s="41"/>
      <c r="K166" s="41"/>
      <c r="L166" s="41"/>
      <c r="M166" s="41"/>
      <c r="N166" s="41"/>
      <c r="O166" s="41"/>
      <c r="P166" s="41"/>
      <c r="Q166" s="41"/>
      <c r="R166" s="41"/>
      <c r="S166" s="41"/>
      <c r="T166" s="41"/>
      <c r="U166" s="41"/>
      <c r="V166" s="41"/>
      <c r="W166" s="41"/>
      <c r="X166" s="41"/>
      <c r="Y166" s="41"/>
      <c r="Z166" s="41"/>
    </row>
    <row r="167" ht="19.5" customHeight="1">
      <c r="A167" s="41"/>
      <c r="B167" s="71" t="s">
        <v>649</v>
      </c>
      <c r="C167" s="156" t="str">
        <f>CONCATENATE(prefix_mgmt_az1_cidr,"18.10")</f>
        <v>10.21.18.10</v>
      </c>
      <c r="D167" s="18"/>
      <c r="E167" s="68" t="str">
        <f>IF(mgmt_gateway_routing_type_chosen="STATIC","Value is masked out due to Gateway Routing Type. Value is only requied if BGP is selected", "Top of Rack 2 - IP Address")</f>
        <v>Top of Rack 2 - IP Address</v>
      </c>
      <c r="F167" s="41"/>
      <c r="G167" s="41"/>
      <c r="H167" s="41"/>
      <c r="I167" s="41"/>
      <c r="J167" s="41"/>
      <c r="K167" s="41"/>
      <c r="L167" s="41"/>
      <c r="M167" s="41"/>
      <c r="N167" s="41"/>
      <c r="O167" s="41"/>
      <c r="P167" s="41"/>
      <c r="Q167" s="41"/>
      <c r="R167" s="41"/>
      <c r="S167" s="41"/>
      <c r="T167" s="41"/>
      <c r="U167" s="41"/>
      <c r="V167" s="41"/>
      <c r="W167" s="41"/>
      <c r="X167" s="41"/>
      <c r="Y167" s="41"/>
      <c r="Z167" s="41"/>
    </row>
    <row r="168" ht="19.5" customHeight="1">
      <c r="A168" s="41"/>
      <c r="B168" s="71" t="s">
        <v>650</v>
      </c>
      <c r="C168" s="110" t="s">
        <v>285</v>
      </c>
      <c r="D168" s="18" t="str">
        <f>mgmt_en01_bfd_chosen</f>
        <v>Selected</v>
      </c>
      <c r="E168" s="68"/>
      <c r="F168" s="41"/>
      <c r="G168" s="41"/>
      <c r="H168" s="41"/>
      <c r="I168" s="41"/>
      <c r="J168" s="41"/>
      <c r="K168" s="41"/>
      <c r="L168" s="41"/>
      <c r="M168" s="41"/>
      <c r="N168" s="41"/>
      <c r="O168" s="41"/>
      <c r="P168" s="41"/>
      <c r="Q168" s="41"/>
      <c r="R168" s="41"/>
      <c r="S168" s="41"/>
      <c r="T168" s="41"/>
      <c r="U168" s="41"/>
      <c r="V168" s="41"/>
      <c r="W168" s="41"/>
      <c r="X168" s="41"/>
      <c r="Y168" s="41"/>
      <c r="Z168" s="41"/>
    </row>
    <row r="169" ht="19.5" customHeight="1">
      <c r="A169" s="41"/>
      <c r="B169" s="71" t="s">
        <v>404</v>
      </c>
      <c r="C169" s="156">
        <v>9000.0</v>
      </c>
      <c r="D169" s="18"/>
      <c r="E169" s="68"/>
      <c r="F169" s="41"/>
      <c r="G169" s="41"/>
      <c r="H169" s="41"/>
      <c r="I169" s="41"/>
      <c r="J169" s="41"/>
      <c r="K169" s="41"/>
      <c r="L169" s="41"/>
      <c r="M169" s="41"/>
      <c r="N169" s="41"/>
      <c r="O169" s="41"/>
      <c r="P169" s="41"/>
      <c r="Q169" s="41"/>
      <c r="R169" s="41"/>
      <c r="S169" s="41"/>
      <c r="T169" s="41"/>
      <c r="U169" s="41"/>
      <c r="V169" s="41"/>
      <c r="W169" s="41"/>
      <c r="X169" s="41"/>
      <c r="Y169" s="41"/>
      <c r="Z169" s="41"/>
    </row>
    <row r="170" ht="19.5" customHeight="1">
      <c r="A170" s="41"/>
      <c r="B170" s="71" t="s">
        <v>651</v>
      </c>
      <c r="C170" s="156" t="str">
        <f>IF(wld_domain_chosen="First Domain",CONCATENATE(asn_start,asn_instance,asn_mgmt_az1,1),IF(wld_nsxt_federation_result="Included",CONCATENATE(asn_start,asn_instance,asn_mgmt_az1,1),CONCATENATE(asn_start,asn_instance,asn_mgmt_az1,1)))</f>
        <v>211</v>
      </c>
      <c r="D170" s="18"/>
      <c r="E170" s="18" t="str">
        <f>IF(mgmt_gateway_routing_type_chosen="STATIC","Value is masked out due to Gateway Routing Type. Value is only requied if BGP is selected", "Top of Rack 2 - Autonomous System ID")</f>
        <v>Top of Rack 2 - Autonomous System ID</v>
      </c>
      <c r="F170" s="41"/>
      <c r="G170" s="41"/>
      <c r="H170" s="41"/>
      <c r="I170" s="41"/>
      <c r="J170" s="41"/>
      <c r="K170" s="41"/>
      <c r="L170" s="41"/>
      <c r="M170" s="41"/>
      <c r="N170" s="41"/>
      <c r="O170" s="41"/>
      <c r="P170" s="41"/>
      <c r="Q170" s="41"/>
      <c r="R170" s="41"/>
      <c r="S170" s="41"/>
      <c r="T170" s="41"/>
      <c r="U170" s="41"/>
      <c r="V170" s="41"/>
      <c r="W170" s="41"/>
      <c r="X170" s="41"/>
      <c r="Y170" s="41"/>
      <c r="Z170" s="41"/>
    </row>
    <row r="171" ht="19.5" customHeight="1">
      <c r="A171" s="41"/>
      <c r="B171" s="71" t="s">
        <v>652</v>
      </c>
      <c r="C171" s="156" t="s">
        <v>382</v>
      </c>
      <c r="D171" s="18"/>
      <c r="E171" s="18" t="str">
        <f>IF(mgmt_gateway_routing_type_chosen="STATIC","Value is masked out due to Gateway Routing Type. Value is only requied if BGP is selected", "Top of Rack 2 - BGP Neighbor Password")</f>
        <v>Top of Rack 2 - BGP Neighbor Password</v>
      </c>
      <c r="F171" s="41"/>
      <c r="G171" s="41"/>
      <c r="H171" s="41"/>
      <c r="I171" s="41"/>
      <c r="J171" s="41"/>
      <c r="K171" s="41"/>
      <c r="L171" s="41"/>
      <c r="M171" s="41"/>
      <c r="N171" s="41"/>
      <c r="O171" s="41"/>
      <c r="P171" s="41"/>
      <c r="Q171" s="41"/>
      <c r="R171" s="41"/>
      <c r="S171" s="41"/>
      <c r="T171" s="41"/>
      <c r="U171" s="41"/>
      <c r="V171" s="41"/>
      <c r="W171" s="41"/>
      <c r="X171" s="41"/>
      <c r="Y171" s="41"/>
      <c r="Z171" s="41"/>
    </row>
    <row r="172" ht="19.5" customHeight="1">
      <c r="A172" s="41"/>
      <c r="B172" s="102" t="s">
        <v>656</v>
      </c>
      <c r="C172" s="13"/>
      <c r="D172" s="13"/>
      <c r="E172" s="14"/>
      <c r="F172" s="41"/>
      <c r="G172" s="41"/>
      <c r="H172" s="41"/>
      <c r="I172" s="41"/>
      <c r="J172" s="41"/>
      <c r="K172" s="41"/>
      <c r="L172" s="41"/>
      <c r="M172" s="41"/>
      <c r="N172" s="41"/>
      <c r="O172" s="41"/>
      <c r="P172" s="41"/>
      <c r="Q172" s="41"/>
      <c r="R172" s="41"/>
      <c r="S172" s="41"/>
      <c r="T172" s="41"/>
      <c r="U172" s="41"/>
      <c r="V172" s="41"/>
      <c r="W172" s="41"/>
      <c r="X172" s="41"/>
      <c r="Y172" s="41"/>
      <c r="Z172" s="41"/>
    </row>
    <row r="173" ht="19.5" customHeight="1">
      <c r="A173" s="41"/>
      <c r="B173" s="173" t="s">
        <v>645</v>
      </c>
      <c r="C173" s="110" t="str">
        <f>sample_mgmt_az1_uplink01_vlan</f>
        <v>2117</v>
      </c>
      <c r="D173" s="32" t="str">
        <f>mgmt_az1_uplink01_vlan</f>
        <v>Value Missing</v>
      </c>
      <c r="E173" s="154" t="s">
        <v>646</v>
      </c>
      <c r="F173" s="41"/>
      <c r="G173" s="41"/>
      <c r="H173" s="41"/>
      <c r="I173" s="41"/>
      <c r="J173" s="41"/>
      <c r="K173" s="41"/>
      <c r="L173" s="41"/>
      <c r="M173" s="41"/>
      <c r="N173" s="41"/>
      <c r="O173" s="41"/>
      <c r="P173" s="41"/>
      <c r="Q173" s="41"/>
      <c r="R173" s="41"/>
      <c r="S173" s="41"/>
      <c r="T173" s="41"/>
      <c r="U173" s="41"/>
      <c r="V173" s="41"/>
      <c r="W173" s="41"/>
      <c r="X173" s="41"/>
      <c r="Y173" s="41"/>
      <c r="Z173" s="41"/>
    </row>
    <row r="174" ht="19.5" customHeight="1">
      <c r="A174" s="41"/>
      <c r="B174" s="173" t="s">
        <v>647</v>
      </c>
      <c r="C174" s="163" t="str">
        <f>CONCATENATE(prefix_mgmt_az1_cidr,"17.3","/",INT(RIGHT(sample_mgmt_az1_uplink01_cidr,LEN(sample_mgmt_az1_uplink01_cidr)-FIND("/",sample_mgmt_az1_uplink01_cidr))))</f>
        <v>10.21.17.3/24</v>
      </c>
      <c r="D174" s="18"/>
      <c r="E174" s="18" t="s">
        <v>657</v>
      </c>
      <c r="F174" s="41"/>
      <c r="G174" s="41"/>
      <c r="H174" s="41"/>
      <c r="I174" s="41"/>
      <c r="J174" s="41"/>
      <c r="K174" s="41"/>
      <c r="L174" s="41"/>
      <c r="M174" s="41"/>
      <c r="N174" s="41"/>
      <c r="O174" s="41"/>
      <c r="P174" s="41"/>
      <c r="Q174" s="41"/>
      <c r="R174" s="41"/>
      <c r="S174" s="41"/>
      <c r="T174" s="41"/>
      <c r="U174" s="41"/>
      <c r="V174" s="41"/>
      <c r="W174" s="41"/>
      <c r="X174" s="41"/>
      <c r="Y174" s="41"/>
      <c r="Z174" s="41"/>
    </row>
    <row r="175" ht="19.5" customHeight="1">
      <c r="A175" s="41"/>
      <c r="B175" s="173" t="s">
        <v>649</v>
      </c>
      <c r="C175" s="110" t="str">
        <f>sample_mgmt_az1_tor1_peer_ip</f>
        <v>10.21.17.10</v>
      </c>
      <c r="D175" s="32" t="str">
        <f>mgmt_az1_tor1_peer_ip</f>
        <v>Value Missing</v>
      </c>
      <c r="E175" s="18" t="s">
        <v>658</v>
      </c>
      <c r="F175" s="41"/>
      <c r="G175" s="41"/>
      <c r="H175" s="41"/>
      <c r="I175" s="41"/>
      <c r="J175" s="41"/>
      <c r="K175" s="41"/>
      <c r="L175" s="41"/>
      <c r="M175" s="41"/>
      <c r="N175" s="41"/>
      <c r="O175" s="41"/>
      <c r="P175" s="41"/>
      <c r="Q175" s="41"/>
      <c r="R175" s="41"/>
      <c r="S175" s="41"/>
      <c r="T175" s="41"/>
      <c r="U175" s="41"/>
      <c r="V175" s="41"/>
      <c r="W175" s="41"/>
      <c r="X175" s="41"/>
      <c r="Y175" s="41"/>
      <c r="Z175" s="41"/>
    </row>
    <row r="176" ht="19.5" customHeight="1">
      <c r="A176" s="41"/>
      <c r="B176" s="173" t="s">
        <v>650</v>
      </c>
      <c r="C176" s="110" t="s">
        <v>285</v>
      </c>
      <c r="D176" s="18" t="s">
        <v>285</v>
      </c>
      <c r="E176" s="189"/>
      <c r="F176" s="41"/>
      <c r="G176" s="41"/>
      <c r="H176" s="41"/>
      <c r="I176" s="41"/>
      <c r="J176" s="41"/>
      <c r="K176" s="41"/>
      <c r="L176" s="41"/>
      <c r="M176" s="41"/>
      <c r="N176" s="41"/>
      <c r="O176" s="41"/>
      <c r="P176" s="41"/>
      <c r="Q176" s="41"/>
      <c r="R176" s="41"/>
      <c r="S176" s="41"/>
      <c r="T176" s="41"/>
      <c r="U176" s="41"/>
      <c r="V176" s="41"/>
      <c r="W176" s="41"/>
      <c r="X176" s="41"/>
      <c r="Y176" s="41"/>
      <c r="Z176" s="41"/>
    </row>
    <row r="177" ht="19.5" customHeight="1">
      <c r="A177" s="41"/>
      <c r="B177" s="173" t="s">
        <v>404</v>
      </c>
      <c r="C177" s="110">
        <v>9000.0</v>
      </c>
      <c r="D177" s="18" t="str">
        <f>mgmt_az1_uplink01_mtu</f>
        <v>Value Missing</v>
      </c>
      <c r="E177" s="68"/>
      <c r="F177" s="41"/>
      <c r="G177" s="41"/>
      <c r="H177" s="41"/>
      <c r="I177" s="41"/>
      <c r="J177" s="41"/>
      <c r="K177" s="41"/>
      <c r="L177" s="41"/>
      <c r="M177" s="41"/>
      <c r="N177" s="41"/>
      <c r="O177" s="41"/>
      <c r="P177" s="41"/>
      <c r="Q177" s="41"/>
      <c r="R177" s="41"/>
      <c r="S177" s="41"/>
      <c r="T177" s="41"/>
      <c r="U177" s="41"/>
      <c r="V177" s="41"/>
      <c r="W177" s="41"/>
      <c r="X177" s="41"/>
      <c r="Y177" s="41"/>
      <c r="Z177" s="41"/>
    </row>
    <row r="178" ht="19.5" customHeight="1">
      <c r="A178" s="41"/>
      <c r="B178" s="173" t="s">
        <v>651</v>
      </c>
      <c r="C178" s="110" t="str">
        <f>sample_mgmt_az1_tor1_peer_asn</f>
        <v>211</v>
      </c>
      <c r="D178" s="32" t="str">
        <f>mgmt_az1_tor1_peer_asn</f>
        <v>Value Missing</v>
      </c>
      <c r="E178" s="18" t="s">
        <v>659</v>
      </c>
      <c r="F178" s="41"/>
      <c r="G178" s="41"/>
      <c r="H178" s="41"/>
      <c r="I178" s="41"/>
      <c r="J178" s="41"/>
      <c r="K178" s="41"/>
      <c r="L178" s="41"/>
      <c r="M178" s="41"/>
      <c r="N178" s="41"/>
      <c r="O178" s="41"/>
      <c r="P178" s="41"/>
      <c r="Q178" s="41"/>
      <c r="R178" s="41"/>
      <c r="S178" s="41"/>
      <c r="T178" s="41"/>
      <c r="U178" s="41"/>
      <c r="V178" s="41"/>
      <c r="W178" s="41"/>
      <c r="X178" s="41"/>
      <c r="Y178" s="41"/>
      <c r="Z178" s="41"/>
    </row>
    <row r="179" ht="19.5" customHeight="1">
      <c r="A179" s="41"/>
      <c r="B179" s="173" t="s">
        <v>652</v>
      </c>
      <c r="C179" s="110" t="str">
        <f>sample_mgmt_az1_tor1_peer_bgp_password</f>
        <v>VMw@re1!</v>
      </c>
      <c r="D179" s="32" t="str">
        <f>mgmt_az1_tor1_peer_bgp_password</f>
        <v>Value Missing</v>
      </c>
      <c r="E179" s="18" t="s">
        <v>660</v>
      </c>
      <c r="F179" s="41"/>
      <c r="G179" s="41"/>
      <c r="H179" s="41"/>
      <c r="I179" s="41"/>
      <c r="J179" s="41"/>
      <c r="K179" s="41"/>
      <c r="L179" s="41"/>
      <c r="M179" s="41"/>
      <c r="N179" s="41"/>
      <c r="O179" s="41"/>
      <c r="P179" s="41"/>
      <c r="Q179" s="41"/>
      <c r="R179" s="41"/>
      <c r="S179" s="41"/>
      <c r="T179" s="41"/>
      <c r="U179" s="41"/>
      <c r="V179" s="41"/>
      <c r="W179" s="41"/>
      <c r="X179" s="41"/>
      <c r="Y179" s="41"/>
      <c r="Z179" s="41"/>
    </row>
    <row r="180" ht="19.5" customHeight="1">
      <c r="A180" s="41"/>
      <c r="B180" s="173" t="s">
        <v>653</v>
      </c>
      <c r="C180" s="110" t="str">
        <f>sample_mgmt_az1_uplink02_vlan</f>
        <v>2118</v>
      </c>
      <c r="D180" s="32" t="str">
        <f>mgmt_az1_uplink02_vlan</f>
        <v>Value Missing</v>
      </c>
      <c r="E180" s="18" t="s">
        <v>654</v>
      </c>
      <c r="F180" s="41"/>
      <c r="G180" s="41"/>
      <c r="H180" s="41"/>
      <c r="I180" s="41"/>
      <c r="J180" s="41"/>
      <c r="K180" s="41"/>
      <c r="L180" s="41"/>
      <c r="M180" s="41"/>
      <c r="N180" s="41"/>
      <c r="O180" s="41"/>
      <c r="P180" s="41"/>
      <c r="Q180" s="41"/>
      <c r="R180" s="41"/>
      <c r="S180" s="41"/>
      <c r="T180" s="41"/>
      <c r="U180" s="41"/>
      <c r="V180" s="41"/>
      <c r="W180" s="41"/>
      <c r="X180" s="41"/>
      <c r="Y180" s="41"/>
      <c r="Z180" s="41"/>
    </row>
    <row r="181" ht="19.5" customHeight="1">
      <c r="A181" s="41"/>
      <c r="B181" s="173" t="s">
        <v>647</v>
      </c>
      <c r="C181" s="163" t="str">
        <f>CONCATENATE(prefix_mgmt_az1_cidr,"18.3","/",INT(RIGHT(sample_mgmt_az1_uplink02_cidr,LEN(sample_mgmt_az1_uplink02_cidr)-FIND("/",sample_mgmt_az1_uplink02_cidr))))</f>
        <v>10.21.18.3/24</v>
      </c>
      <c r="D181" s="18"/>
      <c r="E181" s="18" t="s">
        <v>655</v>
      </c>
      <c r="F181" s="41"/>
      <c r="G181" s="41"/>
      <c r="H181" s="41"/>
      <c r="I181" s="41"/>
      <c r="J181" s="41"/>
      <c r="K181" s="41"/>
      <c r="L181" s="41"/>
      <c r="M181" s="41"/>
      <c r="N181" s="41"/>
      <c r="O181" s="41"/>
      <c r="P181" s="41"/>
      <c r="Q181" s="41"/>
      <c r="R181" s="41"/>
      <c r="S181" s="41"/>
      <c r="T181" s="41"/>
      <c r="U181" s="41"/>
      <c r="V181" s="41"/>
      <c r="W181" s="41"/>
      <c r="X181" s="41"/>
      <c r="Y181" s="41"/>
      <c r="Z181" s="41"/>
    </row>
    <row r="182" ht="19.5" customHeight="1">
      <c r="A182" s="41"/>
      <c r="B182" s="173" t="s">
        <v>649</v>
      </c>
      <c r="C182" s="110" t="str">
        <f>sample_mgmt_az1_tor2_peer_ip</f>
        <v>10.21.18.10</v>
      </c>
      <c r="D182" s="32" t="str">
        <f>mgmt_az1_tor2_peer_ip</f>
        <v>Value Missing</v>
      </c>
      <c r="E182" s="18" t="s">
        <v>661</v>
      </c>
      <c r="F182" s="41"/>
      <c r="G182" s="41"/>
      <c r="H182" s="41"/>
      <c r="I182" s="41"/>
      <c r="J182" s="41"/>
      <c r="K182" s="41"/>
      <c r="L182" s="41"/>
      <c r="M182" s="41"/>
      <c r="N182" s="41"/>
      <c r="O182" s="41"/>
      <c r="P182" s="41"/>
      <c r="Q182" s="41"/>
      <c r="R182" s="41"/>
      <c r="S182" s="41"/>
      <c r="T182" s="41"/>
      <c r="U182" s="41"/>
      <c r="V182" s="41"/>
      <c r="W182" s="41"/>
      <c r="X182" s="41"/>
      <c r="Y182" s="41"/>
      <c r="Z182" s="41"/>
    </row>
    <row r="183" ht="19.5" customHeight="1">
      <c r="A183" s="41"/>
      <c r="B183" s="173" t="s">
        <v>650</v>
      </c>
      <c r="C183" s="110" t="s">
        <v>285</v>
      </c>
      <c r="D183" s="18" t="str">
        <f>mgmt_en02_bfd_chosen</f>
        <v>Selected</v>
      </c>
      <c r="E183" s="189"/>
      <c r="F183" s="41"/>
      <c r="G183" s="41"/>
      <c r="H183" s="41"/>
      <c r="I183" s="41"/>
      <c r="J183" s="41"/>
      <c r="K183" s="41"/>
      <c r="L183" s="41"/>
      <c r="M183" s="41"/>
      <c r="N183" s="41"/>
      <c r="O183" s="41"/>
      <c r="P183" s="41"/>
      <c r="Q183" s="41"/>
      <c r="R183" s="41"/>
      <c r="S183" s="41"/>
      <c r="T183" s="41"/>
      <c r="U183" s="41"/>
      <c r="V183" s="41"/>
      <c r="W183" s="41"/>
      <c r="X183" s="41"/>
      <c r="Y183" s="41"/>
      <c r="Z183" s="41"/>
    </row>
    <row r="184" ht="19.5" customHeight="1">
      <c r="A184" s="41"/>
      <c r="B184" s="173" t="s">
        <v>404</v>
      </c>
      <c r="C184" s="110">
        <v>9000.0</v>
      </c>
      <c r="D184" s="18" t="str">
        <f>mgmt_az1_uplink02_mtu</f>
        <v>Value Missing</v>
      </c>
      <c r="E184" s="68"/>
      <c r="F184" s="41"/>
      <c r="G184" s="41"/>
      <c r="H184" s="41"/>
      <c r="I184" s="41"/>
      <c r="J184" s="41"/>
      <c r="K184" s="41"/>
      <c r="L184" s="41"/>
      <c r="M184" s="41"/>
      <c r="N184" s="41"/>
      <c r="O184" s="41"/>
      <c r="P184" s="41"/>
      <c r="Q184" s="41"/>
      <c r="R184" s="41"/>
      <c r="S184" s="41"/>
      <c r="T184" s="41"/>
      <c r="U184" s="41"/>
      <c r="V184" s="41"/>
      <c r="W184" s="41"/>
      <c r="X184" s="41"/>
      <c r="Y184" s="41"/>
      <c r="Z184" s="41"/>
    </row>
    <row r="185" ht="19.5" customHeight="1">
      <c r="A185" s="41"/>
      <c r="B185" s="173" t="s">
        <v>651</v>
      </c>
      <c r="C185" s="110" t="str">
        <f>sample_mgmt_az1_tor2_peer_asn</f>
        <v>211</v>
      </c>
      <c r="D185" s="32" t="str">
        <f>mgmt_az1_tor2_peer_asn</f>
        <v>Value Missing</v>
      </c>
      <c r="E185" s="18" t="s">
        <v>662</v>
      </c>
      <c r="F185" s="41"/>
      <c r="G185" s="41"/>
      <c r="H185" s="41"/>
      <c r="I185" s="41"/>
      <c r="J185" s="41"/>
      <c r="K185" s="41"/>
      <c r="L185" s="41"/>
      <c r="M185" s="41"/>
      <c r="N185" s="41"/>
      <c r="O185" s="41"/>
      <c r="P185" s="41"/>
      <c r="Q185" s="41"/>
      <c r="R185" s="41"/>
      <c r="S185" s="41"/>
      <c r="T185" s="41"/>
      <c r="U185" s="41"/>
      <c r="V185" s="41"/>
      <c r="W185" s="41"/>
      <c r="X185" s="41"/>
      <c r="Y185" s="41"/>
      <c r="Z185" s="41"/>
    </row>
    <row r="186" ht="19.5" customHeight="1">
      <c r="A186" s="41"/>
      <c r="B186" s="173" t="s">
        <v>652</v>
      </c>
      <c r="C186" s="110" t="str">
        <f>sample_mgmt_az1_tor2_peer_bgp_password</f>
        <v>VMw@re1!</v>
      </c>
      <c r="D186" s="32" t="str">
        <f>mgmt_az1_tor2_peer_bgp_password</f>
        <v>Value Missing</v>
      </c>
      <c r="E186" s="18" t="s">
        <v>663</v>
      </c>
      <c r="F186" s="41"/>
      <c r="G186" s="41"/>
      <c r="H186" s="41"/>
      <c r="I186" s="41"/>
      <c r="J186" s="41"/>
      <c r="K186" s="41"/>
      <c r="L186" s="41"/>
      <c r="M186" s="41"/>
      <c r="N186" s="41"/>
      <c r="O186" s="41"/>
      <c r="P186" s="41"/>
      <c r="Q186" s="41"/>
      <c r="R186" s="41"/>
      <c r="S186" s="41"/>
      <c r="T186" s="41"/>
      <c r="U186" s="41"/>
      <c r="V186" s="41"/>
      <c r="W186" s="41"/>
      <c r="X186" s="41"/>
      <c r="Y186" s="41"/>
      <c r="Z186" s="41"/>
    </row>
    <row r="187" ht="19.5" customHeight="1">
      <c r="A187" s="41"/>
      <c r="B187" s="102" t="s">
        <v>664</v>
      </c>
      <c r="C187" s="13"/>
      <c r="D187" s="13"/>
      <c r="E187" s="14"/>
      <c r="F187" s="41"/>
      <c r="G187" s="41"/>
      <c r="H187" s="41"/>
      <c r="I187" s="41"/>
      <c r="J187" s="41"/>
      <c r="K187" s="41"/>
      <c r="L187" s="41"/>
      <c r="M187" s="41"/>
      <c r="N187" s="41"/>
      <c r="O187" s="41"/>
      <c r="P187" s="41"/>
      <c r="Q187" s="41"/>
      <c r="R187" s="41"/>
      <c r="S187" s="41"/>
      <c r="T187" s="41"/>
      <c r="U187" s="41"/>
      <c r="V187" s="41"/>
      <c r="W187" s="41"/>
      <c r="X187" s="41"/>
      <c r="Y187" s="41"/>
      <c r="Z187" s="41"/>
    </row>
    <row r="188" ht="19.5" customHeight="1">
      <c r="A188" s="41"/>
      <c r="B188" s="84" t="s">
        <v>665</v>
      </c>
      <c r="C188" s="110" t="s">
        <v>666</v>
      </c>
      <c r="D188" s="32"/>
      <c r="E188" s="18" t="s">
        <v>667</v>
      </c>
      <c r="F188" s="41"/>
      <c r="G188" s="41"/>
      <c r="H188" s="41"/>
      <c r="I188" s="41"/>
      <c r="J188" s="41"/>
      <c r="K188" s="41"/>
      <c r="L188" s="41"/>
      <c r="M188" s="41"/>
      <c r="N188" s="41"/>
      <c r="O188" s="41"/>
      <c r="P188" s="41"/>
      <c r="Q188" s="41"/>
      <c r="R188" s="41"/>
      <c r="S188" s="41"/>
      <c r="T188" s="41"/>
      <c r="U188" s="41"/>
      <c r="V188" s="41"/>
      <c r="W188" s="41"/>
      <c r="X188" s="41"/>
      <c r="Y188" s="41"/>
      <c r="Z188" s="41"/>
    </row>
    <row r="189" ht="19.5" customHeight="1">
      <c r="A189" s="41"/>
      <c r="B189" s="84" t="s">
        <v>668</v>
      </c>
      <c r="C189" s="110" t="s">
        <v>669</v>
      </c>
      <c r="D189" s="32"/>
      <c r="E189" s="18" t="s">
        <v>670</v>
      </c>
      <c r="F189" s="41"/>
      <c r="G189" s="41"/>
      <c r="H189" s="41"/>
      <c r="I189" s="41"/>
      <c r="J189" s="41"/>
      <c r="K189" s="41"/>
      <c r="L189" s="41"/>
      <c r="M189" s="41"/>
      <c r="N189" s="41"/>
      <c r="O189" s="41"/>
      <c r="P189" s="41"/>
      <c r="Q189" s="41"/>
      <c r="R189" s="41"/>
      <c r="S189" s="41"/>
      <c r="T189" s="41"/>
      <c r="U189" s="41"/>
      <c r="V189" s="41"/>
      <c r="W189" s="41"/>
      <c r="X189" s="41"/>
      <c r="Y189" s="41"/>
      <c r="Z189" s="41"/>
    </row>
    <row r="190" ht="19.5" customHeight="1">
      <c r="A190" s="41"/>
      <c r="B190" s="102" t="s">
        <v>671</v>
      </c>
      <c r="C190" s="13"/>
      <c r="D190" s="13"/>
      <c r="E190" s="14"/>
      <c r="F190" s="41"/>
      <c r="G190" s="41"/>
      <c r="H190" s="41"/>
      <c r="I190" s="41"/>
      <c r="J190" s="41"/>
      <c r="K190" s="41"/>
      <c r="L190" s="41"/>
      <c r="M190" s="41"/>
      <c r="N190" s="41"/>
      <c r="O190" s="41"/>
      <c r="P190" s="41"/>
      <c r="Q190" s="41"/>
      <c r="R190" s="41"/>
      <c r="S190" s="41"/>
      <c r="T190" s="41"/>
      <c r="U190" s="41"/>
      <c r="V190" s="41"/>
      <c r="W190" s="41"/>
      <c r="X190" s="41"/>
      <c r="Y190" s="41"/>
      <c r="Z190" s="41"/>
    </row>
    <row r="191" ht="19.5" customHeight="1">
      <c r="A191" s="41"/>
      <c r="B191" s="84" t="s">
        <v>672</v>
      </c>
      <c r="C191" s="156" t="s">
        <v>673</v>
      </c>
      <c r="D191" s="18" t="s">
        <v>673</v>
      </c>
      <c r="E191" s="84" t="str">
        <f>IF(mgmt_ec_api_chosen="Exclude","","Use the JSON Generator to create the JSON Spec - PATCH https://sfo-m01-nsx01.sfo.rainpole.io/policy/api/v1/infra")</f>
        <v>Use the JSON Generator to create the JSON Spec - PATCH https://sfo-m01-nsx01.sfo.rainpole.io/policy/api/v1/infra</v>
      </c>
      <c r="F191" s="41"/>
      <c r="G191" s="41"/>
      <c r="H191" s="41"/>
      <c r="I191" s="41"/>
      <c r="J191" s="41"/>
      <c r="K191" s="41"/>
      <c r="L191" s="41"/>
      <c r="M191" s="41"/>
      <c r="N191" s="41"/>
      <c r="O191" s="41"/>
      <c r="P191" s="41"/>
      <c r="Q191" s="41"/>
      <c r="R191" s="41"/>
      <c r="S191" s="41"/>
      <c r="T191" s="41"/>
      <c r="U191" s="41"/>
      <c r="V191" s="41"/>
      <c r="W191" s="41"/>
      <c r="X191" s="41"/>
      <c r="Y191" s="41"/>
      <c r="Z191" s="41"/>
    </row>
    <row r="192" ht="19.5" customHeight="1">
      <c r="A192" s="41"/>
      <c r="B192" s="102" t="s">
        <v>674</v>
      </c>
      <c r="C192" s="13"/>
      <c r="D192" s="13"/>
      <c r="E192" s="14"/>
      <c r="F192" s="41"/>
      <c r="G192" s="41"/>
      <c r="H192" s="41"/>
      <c r="I192" s="41"/>
      <c r="J192" s="41"/>
      <c r="K192" s="41"/>
      <c r="L192" s="41"/>
      <c r="M192" s="41"/>
      <c r="N192" s="41"/>
      <c r="O192" s="41"/>
      <c r="P192" s="41"/>
      <c r="Q192" s="41"/>
      <c r="R192" s="41"/>
      <c r="S192" s="41"/>
      <c r="T192" s="41"/>
      <c r="U192" s="41"/>
      <c r="V192" s="41"/>
      <c r="W192" s="41"/>
      <c r="X192" s="41"/>
      <c r="Y192" s="41"/>
      <c r="Z192" s="41"/>
    </row>
    <row r="193" ht="19.5" customHeight="1">
      <c r="A193" s="41"/>
      <c r="B193" s="84" t="s">
        <v>441</v>
      </c>
      <c r="C193" s="156" t="str">
        <f>CONCATENATE(this_instance,"-m01-cl01-vds01-pg-uplink01")</f>
        <v>lax-m01-cl01-vds01-pg-uplink01</v>
      </c>
      <c r="D193" s="32"/>
      <c r="E193" s="190" t="s">
        <v>675</v>
      </c>
      <c r="F193" s="41"/>
      <c r="G193" s="41"/>
      <c r="H193" s="41"/>
      <c r="I193" s="41"/>
      <c r="J193" s="41"/>
      <c r="K193" s="41"/>
      <c r="L193" s="41"/>
      <c r="M193" s="41"/>
      <c r="N193" s="41"/>
      <c r="O193" s="41"/>
      <c r="P193" s="41"/>
      <c r="Q193" s="41"/>
      <c r="R193" s="41"/>
      <c r="S193" s="41"/>
      <c r="T193" s="41"/>
      <c r="U193" s="41"/>
      <c r="V193" s="41"/>
      <c r="W193" s="41"/>
      <c r="X193" s="41"/>
      <c r="Y193" s="41"/>
      <c r="Z193" s="41"/>
    </row>
    <row r="194" ht="19.5" customHeight="1">
      <c r="A194" s="41"/>
      <c r="B194" s="84" t="s">
        <v>402</v>
      </c>
      <c r="C194" s="156" t="str">
        <f>CONCATENATE(prefix_mgmt_az1_cidr,"17.1")</f>
        <v>10.21.17.1</v>
      </c>
      <c r="D194" s="32"/>
      <c r="E194" s="191"/>
      <c r="F194" s="41"/>
      <c r="G194" s="41"/>
      <c r="H194" s="41"/>
      <c r="I194" s="41"/>
      <c r="J194" s="41"/>
      <c r="K194" s="41"/>
      <c r="L194" s="41"/>
      <c r="M194" s="41"/>
      <c r="N194" s="41"/>
      <c r="O194" s="41"/>
      <c r="P194" s="41"/>
      <c r="Q194" s="41"/>
      <c r="R194" s="41"/>
      <c r="S194" s="41"/>
      <c r="T194" s="41"/>
      <c r="U194" s="41"/>
      <c r="V194" s="41"/>
      <c r="W194" s="41"/>
      <c r="X194" s="41"/>
      <c r="Y194" s="41"/>
      <c r="Z194" s="41"/>
    </row>
    <row r="195" ht="19.5" customHeight="1">
      <c r="A195" s="41"/>
      <c r="B195" s="84" t="s">
        <v>403</v>
      </c>
      <c r="C195" s="156" t="str">
        <f>CONCATENATE(prefix_mgmt_az1_cidr,"17.0/24")</f>
        <v>10.21.17.0/24</v>
      </c>
      <c r="D195" s="32"/>
      <c r="E195" s="191"/>
      <c r="F195" s="41"/>
      <c r="G195" s="41"/>
      <c r="H195" s="41"/>
      <c r="I195" s="41"/>
      <c r="J195" s="41"/>
      <c r="K195" s="41"/>
      <c r="L195" s="41"/>
      <c r="M195" s="41"/>
      <c r="N195" s="41"/>
      <c r="O195" s="41"/>
      <c r="P195" s="41"/>
      <c r="Q195" s="41"/>
      <c r="R195" s="41"/>
      <c r="S195" s="41"/>
      <c r="T195" s="41"/>
      <c r="U195" s="41"/>
      <c r="V195" s="41"/>
      <c r="W195" s="41"/>
      <c r="X195" s="41"/>
      <c r="Y195" s="41"/>
      <c r="Z195" s="41"/>
    </row>
    <row r="196" ht="19.5" customHeight="1">
      <c r="A196" s="41"/>
      <c r="B196" s="102" t="s">
        <v>676</v>
      </c>
      <c r="C196" s="13"/>
      <c r="D196" s="13"/>
      <c r="E196" s="14"/>
      <c r="F196" s="41"/>
      <c r="G196" s="41"/>
      <c r="H196" s="41"/>
      <c r="I196" s="41"/>
      <c r="J196" s="41"/>
      <c r="K196" s="41"/>
      <c r="L196" s="41"/>
      <c r="M196" s="41"/>
      <c r="N196" s="41"/>
      <c r="O196" s="41"/>
      <c r="P196" s="41"/>
      <c r="Q196" s="41"/>
      <c r="R196" s="41"/>
      <c r="S196" s="41"/>
      <c r="T196" s="41"/>
      <c r="U196" s="41"/>
      <c r="V196" s="41"/>
      <c r="W196" s="41"/>
      <c r="X196" s="41"/>
      <c r="Y196" s="41"/>
      <c r="Z196" s="41"/>
    </row>
    <row r="197" ht="19.5" customHeight="1">
      <c r="A197" s="41"/>
      <c r="B197" s="84" t="s">
        <v>441</v>
      </c>
      <c r="C197" s="156" t="str">
        <f>CONCATENATE(this_instance,"-m01-cl01-vds01-pg-uplink02")</f>
        <v>lax-m01-cl01-vds01-pg-uplink02</v>
      </c>
      <c r="D197" s="32"/>
      <c r="E197" s="190" t="s">
        <v>677</v>
      </c>
      <c r="F197" s="41"/>
      <c r="G197" s="41"/>
      <c r="H197" s="41"/>
      <c r="I197" s="41"/>
      <c r="J197" s="41"/>
      <c r="K197" s="41"/>
      <c r="L197" s="41"/>
      <c r="M197" s="41"/>
      <c r="N197" s="41"/>
      <c r="O197" s="41"/>
      <c r="P197" s="41"/>
      <c r="Q197" s="41"/>
      <c r="R197" s="41"/>
      <c r="S197" s="41"/>
      <c r="T197" s="41"/>
      <c r="U197" s="41"/>
      <c r="V197" s="41"/>
      <c r="W197" s="41"/>
      <c r="X197" s="41"/>
      <c r="Y197" s="41"/>
      <c r="Z197" s="41"/>
    </row>
    <row r="198" ht="19.5" customHeight="1">
      <c r="A198" s="41"/>
      <c r="B198" s="84" t="s">
        <v>402</v>
      </c>
      <c r="C198" s="156" t="str">
        <f>CONCATENATE(prefix_mgmt_az1_cidr,"18.1")</f>
        <v>10.21.18.1</v>
      </c>
      <c r="D198" s="32"/>
      <c r="E198" s="191"/>
      <c r="F198" s="41"/>
      <c r="G198" s="41"/>
      <c r="H198" s="41"/>
      <c r="I198" s="41"/>
      <c r="J198" s="41"/>
      <c r="K198" s="41"/>
      <c r="L198" s="41"/>
      <c r="M198" s="41"/>
      <c r="N198" s="41"/>
      <c r="O198" s="41"/>
      <c r="P198" s="41"/>
      <c r="Q198" s="41"/>
      <c r="R198" s="41"/>
      <c r="S198" s="41"/>
      <c r="T198" s="41"/>
      <c r="U198" s="41"/>
      <c r="V198" s="41"/>
      <c r="W198" s="41"/>
      <c r="X198" s="41"/>
      <c r="Y198" s="41"/>
      <c r="Z198" s="41"/>
    </row>
    <row r="199" ht="19.5" customHeight="1">
      <c r="A199" s="41"/>
      <c r="B199" s="84" t="s">
        <v>403</v>
      </c>
      <c r="C199" s="156" t="str">
        <f>CONCATENATE(prefix_mgmt_az1_cidr,"18.0/24")</f>
        <v>10.21.18.0/24</v>
      </c>
      <c r="D199" s="32"/>
      <c r="E199" s="191"/>
      <c r="F199" s="41"/>
      <c r="G199" s="41"/>
      <c r="H199" s="41"/>
      <c r="I199" s="41"/>
      <c r="J199" s="41"/>
      <c r="K199" s="41"/>
      <c r="L199" s="41"/>
      <c r="M199" s="41"/>
      <c r="N199" s="41"/>
      <c r="O199" s="41"/>
      <c r="P199" s="41"/>
      <c r="Q199" s="41"/>
      <c r="R199" s="41"/>
      <c r="S199" s="41"/>
      <c r="T199" s="41"/>
      <c r="U199" s="41"/>
      <c r="V199" s="41"/>
      <c r="W199" s="41"/>
      <c r="X199" s="41"/>
      <c r="Y199" s="41"/>
      <c r="Z199" s="41"/>
    </row>
    <row r="200" ht="19.5" customHeight="1">
      <c r="A200" s="41"/>
      <c r="B200" s="102" t="s">
        <v>678</v>
      </c>
      <c r="C200" s="13"/>
      <c r="D200" s="13"/>
      <c r="E200" s="14"/>
      <c r="F200" s="41"/>
      <c r="G200" s="41"/>
      <c r="H200" s="41"/>
      <c r="I200" s="41"/>
      <c r="J200" s="41"/>
      <c r="K200" s="41"/>
      <c r="L200" s="41"/>
      <c r="M200" s="41"/>
      <c r="N200" s="41"/>
      <c r="O200" s="41"/>
      <c r="P200" s="41"/>
      <c r="Q200" s="41"/>
      <c r="R200" s="41"/>
      <c r="S200" s="41"/>
      <c r="T200" s="41"/>
      <c r="U200" s="41"/>
      <c r="V200" s="41"/>
      <c r="W200" s="41"/>
      <c r="X200" s="41"/>
      <c r="Y200" s="41"/>
      <c r="Z200" s="41"/>
    </row>
    <row r="201" ht="19.5" customHeight="1">
      <c r="A201" s="41"/>
      <c r="B201" s="84" t="s">
        <v>403</v>
      </c>
      <c r="C201" s="156" t="str">
        <f>CONCATENATE(prefix_mgmt_az1_cidr,"19.0/24")</f>
        <v>10.21.19.0/24</v>
      </c>
      <c r="D201" s="32"/>
      <c r="E201" s="191"/>
      <c r="F201" s="41"/>
      <c r="G201" s="41"/>
      <c r="H201" s="41"/>
      <c r="I201" s="41"/>
      <c r="J201" s="41"/>
      <c r="K201" s="41"/>
      <c r="L201" s="41"/>
      <c r="M201" s="41"/>
      <c r="N201" s="41"/>
      <c r="O201" s="41"/>
      <c r="P201" s="41"/>
      <c r="Q201" s="41"/>
      <c r="R201" s="41"/>
      <c r="S201" s="41"/>
      <c r="T201" s="41"/>
      <c r="U201" s="41"/>
      <c r="V201" s="41"/>
      <c r="W201" s="41"/>
      <c r="X201" s="41"/>
      <c r="Y201" s="41"/>
      <c r="Z201" s="41"/>
    </row>
    <row r="202" ht="19.5" customHeight="1">
      <c r="A202" s="41"/>
      <c r="B202" s="84" t="s">
        <v>404</v>
      </c>
      <c r="C202" s="156">
        <v>9000.0</v>
      </c>
      <c r="D202" s="32"/>
      <c r="E202" s="19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1"/>
      <c r="D203" s="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33.75" customHeight="1">
      <c r="A204" s="41"/>
      <c r="B204" s="192" t="s">
        <v>679</v>
      </c>
      <c r="C204" s="193"/>
      <c r="D204" s="193"/>
      <c r="E204" s="194"/>
      <c r="F204" s="41"/>
      <c r="G204" s="195"/>
      <c r="H204" s="41"/>
      <c r="I204" s="41"/>
      <c r="J204" s="41"/>
      <c r="K204" s="41"/>
      <c r="L204" s="41"/>
      <c r="M204" s="41"/>
      <c r="N204" s="41"/>
      <c r="O204" s="41"/>
      <c r="P204" s="41"/>
      <c r="Q204" s="41"/>
      <c r="R204" s="41"/>
      <c r="S204" s="41"/>
      <c r="T204" s="41"/>
      <c r="U204" s="41"/>
      <c r="V204" s="41"/>
      <c r="W204" s="41"/>
      <c r="X204" s="41"/>
      <c r="Y204" s="41"/>
      <c r="Z204" s="41"/>
    </row>
    <row r="205" ht="19.5" customHeight="1">
      <c r="A205" s="41"/>
      <c r="B205" s="102" t="s">
        <v>680</v>
      </c>
      <c r="C205" s="13"/>
      <c r="D205" s="13"/>
      <c r="E205" s="14"/>
      <c r="F205" s="41"/>
      <c r="G205" s="41"/>
      <c r="H205" s="41"/>
      <c r="I205" s="41"/>
      <c r="J205" s="41"/>
      <c r="K205" s="41"/>
      <c r="L205" s="41"/>
      <c r="M205" s="41"/>
      <c r="N205" s="41"/>
      <c r="O205" s="41"/>
      <c r="P205" s="41"/>
      <c r="Q205" s="41"/>
      <c r="R205" s="41"/>
      <c r="S205" s="41"/>
      <c r="T205" s="41"/>
      <c r="U205" s="41"/>
      <c r="V205" s="41"/>
      <c r="W205" s="41"/>
      <c r="X205" s="41"/>
      <c r="Y205" s="41"/>
      <c r="Z205" s="41"/>
    </row>
    <row r="206" ht="19.5" customHeight="1">
      <c r="A206" s="41"/>
      <c r="B206" s="108" t="s">
        <v>37</v>
      </c>
      <c r="C206" s="49" t="s">
        <v>273</v>
      </c>
      <c r="D206" s="49" t="s">
        <v>274</v>
      </c>
      <c r="E206" s="49" t="s">
        <v>5</v>
      </c>
      <c r="F206" s="41"/>
      <c r="G206" s="41"/>
      <c r="H206" s="41"/>
      <c r="I206" s="41"/>
      <c r="J206" s="41"/>
      <c r="K206" s="41"/>
      <c r="L206" s="41"/>
      <c r="M206" s="41"/>
      <c r="N206" s="41"/>
      <c r="O206" s="41"/>
      <c r="P206" s="41"/>
      <c r="Q206" s="41"/>
      <c r="R206" s="41"/>
      <c r="S206" s="41"/>
      <c r="T206" s="41"/>
      <c r="U206" s="41"/>
      <c r="V206" s="41"/>
      <c r="W206" s="41"/>
      <c r="X206" s="41"/>
      <c r="Y206" s="41"/>
      <c r="Z206" s="41"/>
    </row>
    <row r="207" ht="19.5" customHeight="1">
      <c r="A207" s="41"/>
      <c r="B207" s="102" t="s">
        <v>681</v>
      </c>
      <c r="C207" s="13"/>
      <c r="D207" s="13"/>
      <c r="E207" s="14"/>
      <c r="F207" s="41"/>
      <c r="G207" s="195"/>
      <c r="H207" s="41"/>
      <c r="I207" s="41"/>
      <c r="J207" s="41"/>
      <c r="K207" s="41"/>
      <c r="L207" s="41"/>
      <c r="M207" s="41"/>
      <c r="N207" s="41"/>
      <c r="O207" s="41"/>
      <c r="P207" s="41"/>
      <c r="Q207" s="41"/>
      <c r="R207" s="41"/>
      <c r="S207" s="41"/>
      <c r="T207" s="41"/>
      <c r="U207" s="41"/>
      <c r="V207" s="41"/>
      <c r="W207" s="41"/>
      <c r="X207" s="41"/>
      <c r="Y207" s="41"/>
      <c r="Z207" s="41"/>
    </row>
    <row r="208" ht="19.5" customHeight="1">
      <c r="A208" s="41"/>
      <c r="B208" s="84" t="s">
        <v>120</v>
      </c>
      <c r="C208" s="110" t="s">
        <v>682</v>
      </c>
      <c r="D208" s="18"/>
      <c r="E208" s="84"/>
      <c r="F208" s="41"/>
      <c r="G208" s="41"/>
      <c r="H208" s="41"/>
      <c r="I208" s="41"/>
      <c r="J208" s="41"/>
      <c r="K208" s="41"/>
      <c r="L208" s="41"/>
      <c r="M208" s="41"/>
      <c r="N208" s="41"/>
      <c r="O208" s="41"/>
      <c r="P208" s="41"/>
      <c r="Q208" s="41"/>
      <c r="R208" s="41"/>
      <c r="S208" s="41"/>
      <c r="T208" s="41"/>
      <c r="U208" s="41"/>
      <c r="V208" s="41"/>
      <c r="W208" s="41"/>
      <c r="X208" s="41"/>
      <c r="Y208" s="41"/>
      <c r="Z208" s="41"/>
    </row>
    <row r="209" ht="19.5" customHeight="1">
      <c r="A209" s="41"/>
      <c r="B209" s="102" t="s">
        <v>683</v>
      </c>
      <c r="C209" s="13"/>
      <c r="D209" s="13"/>
      <c r="E209" s="14"/>
      <c r="F209" s="41"/>
      <c r="G209" s="41"/>
      <c r="H209" s="41"/>
      <c r="I209" s="41"/>
      <c r="J209" s="41"/>
      <c r="K209" s="41"/>
      <c r="L209" s="41"/>
      <c r="M209" s="41"/>
      <c r="N209" s="41"/>
      <c r="O209" s="41"/>
      <c r="P209" s="41"/>
      <c r="Q209" s="41"/>
      <c r="R209" s="41"/>
      <c r="S209" s="41"/>
      <c r="T209" s="41"/>
      <c r="U209" s="41"/>
      <c r="V209" s="41"/>
      <c r="W209" s="41"/>
      <c r="X209" s="41"/>
      <c r="Y209" s="41"/>
      <c r="Z209" s="41"/>
    </row>
    <row r="210" ht="19.5" customHeight="1">
      <c r="A210" s="41"/>
      <c r="B210" s="84" t="s">
        <v>583</v>
      </c>
      <c r="C210" s="110" t="s">
        <v>212</v>
      </c>
      <c r="D210" s="18" t="s">
        <v>212</v>
      </c>
      <c r="E210" s="84"/>
      <c r="F210" s="41"/>
      <c r="G210" s="41"/>
      <c r="H210" s="41"/>
      <c r="I210" s="41"/>
      <c r="J210" s="41"/>
      <c r="K210" s="41"/>
      <c r="L210" s="41"/>
      <c r="M210" s="41"/>
      <c r="N210" s="41"/>
      <c r="O210" s="41"/>
      <c r="P210" s="41"/>
      <c r="Q210" s="41"/>
      <c r="R210" s="41"/>
      <c r="S210" s="41"/>
      <c r="T210" s="41"/>
      <c r="U210" s="41"/>
      <c r="V210" s="41"/>
      <c r="W210" s="41"/>
      <c r="X210" s="41"/>
      <c r="Y210" s="41"/>
      <c r="Z210" s="41"/>
    </row>
    <row r="211" ht="19.5" customHeight="1">
      <c r="A211" s="41"/>
      <c r="B211" s="102" t="s">
        <v>684</v>
      </c>
      <c r="C211" s="13"/>
      <c r="D211" s="13"/>
      <c r="E211" s="14"/>
      <c r="F211" s="41"/>
      <c r="G211" s="41"/>
      <c r="H211" s="41"/>
      <c r="I211" s="41"/>
      <c r="J211" s="41"/>
      <c r="K211" s="41"/>
      <c r="L211" s="41"/>
      <c r="M211" s="41"/>
      <c r="N211" s="41"/>
      <c r="O211" s="41"/>
      <c r="P211" s="41"/>
      <c r="Q211" s="41"/>
      <c r="R211" s="41"/>
      <c r="S211" s="41"/>
      <c r="T211" s="41"/>
      <c r="U211" s="41"/>
      <c r="V211" s="41"/>
      <c r="W211" s="41"/>
      <c r="X211" s="41"/>
      <c r="Y211" s="41"/>
      <c r="Z211" s="41"/>
    </row>
    <row r="212" ht="19.5" customHeight="1">
      <c r="A212" s="41"/>
      <c r="B212" s="84" t="s">
        <v>685</v>
      </c>
      <c r="C212" s="110" t="s">
        <v>297</v>
      </c>
      <c r="D212" s="18"/>
      <c r="E212" s="18" t="s">
        <v>686</v>
      </c>
      <c r="F212" s="41"/>
      <c r="G212" s="195"/>
      <c r="H212" s="41"/>
      <c r="I212" s="41"/>
      <c r="J212" s="41"/>
      <c r="K212" s="41"/>
      <c r="L212" s="41"/>
      <c r="M212" s="41"/>
      <c r="N212" s="41"/>
      <c r="O212" s="41"/>
      <c r="P212" s="41"/>
      <c r="Q212" s="41"/>
      <c r="R212" s="41"/>
      <c r="S212" s="41"/>
      <c r="T212" s="41"/>
      <c r="U212" s="41"/>
      <c r="V212" s="41"/>
      <c r="W212" s="41"/>
      <c r="X212" s="41"/>
      <c r="Y212" s="41"/>
      <c r="Z212" s="41"/>
    </row>
    <row r="213" ht="19.5" customHeight="1">
      <c r="A213" s="41"/>
      <c r="B213" s="84" t="s">
        <v>687</v>
      </c>
      <c r="C213" s="163" t="str">
        <f>IF(mgmt_dpg_reuse_result="Included",CONCATENATE(prefix_mgmt_az1_cidr,"10.92"),CONCATENATE(prefix_mgmt_az1_cidr,"11.92"))</f>
        <v>10.21.10.92</v>
      </c>
      <c r="D213" s="196"/>
      <c r="E213" s="18" t="s">
        <v>688</v>
      </c>
      <c r="F213" s="41"/>
      <c r="G213" s="41"/>
      <c r="H213" s="41"/>
      <c r="I213" s="41"/>
      <c r="J213" s="41"/>
      <c r="K213" s="41"/>
      <c r="L213" s="41"/>
      <c r="M213" s="41"/>
      <c r="N213" s="41"/>
      <c r="O213" s="41"/>
      <c r="P213" s="41"/>
      <c r="Q213" s="41"/>
      <c r="R213" s="41"/>
      <c r="S213" s="41"/>
      <c r="T213" s="41"/>
      <c r="U213" s="41"/>
      <c r="V213" s="41"/>
      <c r="W213" s="41"/>
      <c r="X213" s="41"/>
      <c r="Y213" s="41"/>
      <c r="Z213" s="41"/>
    </row>
    <row r="214" ht="19.5" customHeight="1">
      <c r="A214" s="41"/>
      <c r="B214" s="84" t="s">
        <v>689</v>
      </c>
      <c r="C214" s="163" t="str">
        <f>IF(mgmt_dpg_reuse_result="Included",CONCATENATE(prefix_mgmt_az1_cidr,"10.93"),CONCATENATE(prefix_mgmt_az1_cidr,"11.93"))</f>
        <v>10.21.10.93</v>
      </c>
      <c r="D214" s="196"/>
      <c r="E214" s="18" t="s">
        <v>690</v>
      </c>
      <c r="F214" s="41"/>
      <c r="G214" s="41"/>
      <c r="H214" s="41"/>
      <c r="I214" s="41"/>
      <c r="J214" s="41"/>
      <c r="K214" s="41"/>
      <c r="L214" s="41"/>
      <c r="M214" s="41"/>
      <c r="N214" s="41"/>
      <c r="O214" s="41"/>
      <c r="P214" s="41"/>
      <c r="Q214" s="41"/>
      <c r="R214" s="41"/>
      <c r="S214" s="41"/>
      <c r="T214" s="41"/>
      <c r="U214" s="41"/>
      <c r="V214" s="41"/>
      <c r="W214" s="41"/>
      <c r="X214" s="41"/>
      <c r="Y214" s="41"/>
      <c r="Z214" s="41"/>
    </row>
    <row r="215" ht="19.5" customHeight="1">
      <c r="A215" s="41"/>
      <c r="B215" s="84" t="s">
        <v>691</v>
      </c>
      <c r="C215" s="163" t="str">
        <f>IF(mgmt_dpg_reuse_result="Included",CONCATENATE(prefix_mgmt_az1_cidr,"10.94"),CONCATENATE(prefix_mgmt_az1_cidr,"11.94"))</f>
        <v>10.21.10.94</v>
      </c>
      <c r="D215" s="196"/>
      <c r="E215" s="18" t="s">
        <v>692</v>
      </c>
      <c r="F215" s="41"/>
      <c r="G215" s="41"/>
      <c r="H215" s="41"/>
      <c r="I215" s="41"/>
      <c r="J215" s="41"/>
      <c r="K215" s="41"/>
      <c r="L215" s="41"/>
      <c r="M215" s="41"/>
      <c r="N215" s="41"/>
      <c r="O215" s="41"/>
      <c r="P215" s="41"/>
      <c r="Q215" s="41"/>
      <c r="R215" s="41"/>
      <c r="S215" s="41"/>
      <c r="T215" s="41"/>
      <c r="U215" s="41"/>
      <c r="V215" s="41"/>
      <c r="W215" s="41"/>
      <c r="X215" s="41"/>
      <c r="Y215" s="41"/>
      <c r="Z215" s="41"/>
    </row>
    <row r="216" ht="19.5" customHeight="1">
      <c r="A216" s="41"/>
      <c r="B216" s="84" t="s">
        <v>693</v>
      </c>
      <c r="C216" s="163" t="str">
        <f>IF(mgmt_dpg_reuse_result="Included",CONCATENATE(prefix_mgmt_az1_cidr,"10.91"),CONCATENATE(prefix_mgmt_az1_cidr,"11.91"))</f>
        <v>10.21.10.91</v>
      </c>
      <c r="D216" s="196"/>
      <c r="E216" s="18" t="s">
        <v>694</v>
      </c>
      <c r="F216" s="41"/>
      <c r="G216" s="41"/>
      <c r="H216" s="41"/>
      <c r="I216" s="41"/>
      <c r="J216" s="41"/>
      <c r="K216" s="41"/>
      <c r="L216" s="41"/>
      <c r="M216" s="41"/>
      <c r="N216" s="41"/>
      <c r="O216" s="41"/>
      <c r="P216" s="41"/>
      <c r="Q216" s="41"/>
      <c r="R216" s="41"/>
      <c r="S216" s="41"/>
      <c r="T216" s="41"/>
      <c r="U216" s="41"/>
      <c r="V216" s="41"/>
      <c r="W216" s="41"/>
      <c r="X216" s="41"/>
      <c r="Y216" s="41"/>
      <c r="Z216" s="41"/>
    </row>
    <row r="217" ht="19.5" customHeight="1">
      <c r="A217" s="41"/>
      <c r="B217" s="84" t="s">
        <v>361</v>
      </c>
      <c r="C217" s="111" t="str">
        <f>CONCATENATE(this_instance,"-m01-avlb01",".",sample_child_dns_zone)</f>
        <v>lax-m01-avlb01.lax.rainpole.io</v>
      </c>
      <c r="D217" s="18"/>
      <c r="E217" s="84"/>
      <c r="F217" s="41"/>
      <c r="G217" s="41"/>
      <c r="H217" s="41"/>
      <c r="I217" s="41"/>
      <c r="J217" s="41"/>
      <c r="K217" s="41"/>
      <c r="L217" s="41"/>
      <c r="M217" s="41"/>
      <c r="N217" s="41"/>
      <c r="O217" s="41"/>
      <c r="P217" s="41"/>
      <c r="Q217" s="41"/>
      <c r="R217" s="41"/>
      <c r="S217" s="41"/>
      <c r="T217" s="41"/>
      <c r="U217" s="41"/>
      <c r="V217" s="41"/>
      <c r="W217" s="41"/>
      <c r="X217" s="41"/>
      <c r="Y217" s="41"/>
      <c r="Z217" s="41"/>
    </row>
    <row r="218" ht="19.5" customHeight="1">
      <c r="A218" s="41"/>
      <c r="B218" s="84" t="s">
        <v>355</v>
      </c>
      <c r="C218" s="110" t="str">
        <f>CONCATENATE(this_instance,"-m01-cl01-avilb01")</f>
        <v>lax-m01-cl01-avilb01</v>
      </c>
      <c r="D218" s="18"/>
      <c r="E218" s="84"/>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1"/>
      <c r="D219" s="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33.75" customHeight="1">
      <c r="A220" s="41"/>
      <c r="B220" s="192" t="s">
        <v>695</v>
      </c>
      <c r="C220" s="193"/>
      <c r="D220" s="193"/>
      <c r="E220" s="194"/>
      <c r="F220" s="41"/>
      <c r="G220" s="195"/>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1"/>
      <c r="D221" s="1"/>
      <c r="E221" s="41"/>
      <c r="F221" s="41"/>
      <c r="G221" s="195"/>
      <c r="H221" s="41"/>
      <c r="I221" s="41"/>
      <c r="J221" s="41"/>
      <c r="K221" s="41"/>
      <c r="L221" s="41"/>
      <c r="M221" s="41"/>
      <c r="N221" s="41"/>
      <c r="O221" s="41"/>
      <c r="P221" s="41"/>
      <c r="Q221" s="41"/>
      <c r="R221" s="41"/>
      <c r="S221" s="41"/>
      <c r="T221" s="41"/>
      <c r="U221" s="41"/>
      <c r="V221" s="41"/>
      <c r="W221" s="41"/>
      <c r="X221" s="41"/>
      <c r="Y221" s="41"/>
      <c r="Z221" s="41"/>
    </row>
    <row r="222" ht="33.75" customHeight="1">
      <c r="A222" s="41"/>
      <c r="B222" s="197" t="s">
        <v>696</v>
      </c>
      <c r="C222" s="13"/>
      <c r="D222" s="13"/>
      <c r="E222" s="14"/>
      <c r="F222" s="41"/>
      <c r="G222" s="41"/>
      <c r="H222" s="41"/>
      <c r="I222" s="41"/>
      <c r="J222" s="41"/>
      <c r="K222" s="41"/>
      <c r="L222" s="41"/>
      <c r="M222" s="41"/>
      <c r="N222" s="41"/>
      <c r="O222" s="41"/>
      <c r="P222" s="41"/>
      <c r="Q222" s="41"/>
      <c r="R222" s="41"/>
      <c r="S222" s="41"/>
      <c r="T222" s="41"/>
      <c r="U222" s="41"/>
      <c r="V222" s="41"/>
      <c r="W222" s="41"/>
      <c r="X222" s="41"/>
      <c r="Y222" s="41"/>
      <c r="Z222" s="41"/>
    </row>
    <row r="223" ht="19.5" customHeight="1">
      <c r="A223" s="41"/>
      <c r="B223" s="108" t="s">
        <v>37</v>
      </c>
      <c r="C223" s="49" t="s">
        <v>273</v>
      </c>
      <c r="D223" s="49" t="s">
        <v>274</v>
      </c>
      <c r="E223" s="49" t="s">
        <v>5</v>
      </c>
      <c r="F223" s="41"/>
      <c r="G223" s="41"/>
      <c r="H223" s="41"/>
      <c r="I223" s="41"/>
      <c r="J223" s="41"/>
      <c r="K223" s="41"/>
      <c r="L223" s="41"/>
      <c r="M223" s="41"/>
      <c r="N223" s="41"/>
      <c r="O223" s="41"/>
      <c r="P223" s="41"/>
      <c r="Q223" s="41"/>
      <c r="R223" s="41"/>
      <c r="S223" s="41"/>
      <c r="T223" s="41"/>
      <c r="U223" s="41"/>
      <c r="V223" s="41"/>
      <c r="W223" s="41"/>
      <c r="X223" s="41"/>
      <c r="Y223" s="41"/>
      <c r="Z223" s="41"/>
    </row>
    <row r="224" ht="19.5" customHeight="1">
      <c r="A224" s="41"/>
      <c r="B224" s="102" t="s">
        <v>400</v>
      </c>
      <c r="C224" s="13"/>
      <c r="D224" s="13"/>
      <c r="E224" s="14"/>
      <c r="F224" s="41"/>
      <c r="G224" s="41"/>
      <c r="H224" s="41"/>
      <c r="I224" s="41"/>
      <c r="J224" s="41"/>
      <c r="K224" s="41"/>
      <c r="L224" s="41"/>
      <c r="M224" s="41"/>
      <c r="N224" s="41"/>
      <c r="O224" s="41"/>
      <c r="P224" s="41"/>
      <c r="Q224" s="41"/>
      <c r="R224" s="41"/>
      <c r="S224" s="41"/>
      <c r="T224" s="41"/>
      <c r="U224" s="41"/>
      <c r="V224" s="41"/>
      <c r="W224" s="41"/>
      <c r="X224" s="41"/>
      <c r="Y224" s="41"/>
      <c r="Z224" s="41"/>
    </row>
    <row r="225" ht="19.5" customHeight="1">
      <c r="A225" s="41"/>
      <c r="B225" s="84" t="s">
        <v>401</v>
      </c>
      <c r="C225" s="156" t="str">
        <f>CONCATENATE(prefix_mgmt_az2_vlan,"11")</f>
        <v>2211</v>
      </c>
      <c r="D225" s="18"/>
      <c r="E225" s="84"/>
      <c r="F225" s="41"/>
      <c r="G225" s="41"/>
      <c r="H225" s="41"/>
      <c r="I225" s="41"/>
      <c r="J225" s="41"/>
      <c r="K225" s="41"/>
      <c r="L225" s="41"/>
      <c r="M225" s="41"/>
      <c r="N225" s="41"/>
      <c r="O225" s="41"/>
      <c r="P225" s="41"/>
      <c r="Q225" s="41"/>
      <c r="R225" s="41"/>
      <c r="S225" s="41"/>
      <c r="T225" s="41"/>
      <c r="U225" s="41"/>
      <c r="V225" s="41"/>
      <c r="W225" s="41"/>
      <c r="X225" s="41"/>
      <c r="Y225" s="41"/>
      <c r="Z225" s="41"/>
    </row>
    <row r="226" ht="19.5" customHeight="1">
      <c r="A226" s="41"/>
      <c r="B226" s="84" t="s">
        <v>402</v>
      </c>
      <c r="C226" s="156" t="str">
        <f>CONCATENATE(prefix_mgmt_az2_cidr,"11.1")</f>
        <v>10.22.11.1</v>
      </c>
      <c r="D226" s="18"/>
      <c r="E226" s="191"/>
      <c r="F226" s="41"/>
      <c r="G226" s="41"/>
      <c r="H226" s="41"/>
      <c r="I226" s="41"/>
      <c r="J226" s="41"/>
      <c r="K226" s="41"/>
      <c r="L226" s="41"/>
      <c r="M226" s="41"/>
      <c r="N226" s="41"/>
      <c r="O226" s="41"/>
      <c r="P226" s="41"/>
      <c r="Q226" s="41"/>
      <c r="R226" s="41"/>
      <c r="S226" s="41"/>
      <c r="T226" s="41"/>
      <c r="U226" s="41"/>
      <c r="V226" s="41"/>
      <c r="W226" s="41"/>
      <c r="X226" s="41"/>
      <c r="Y226" s="41"/>
      <c r="Z226" s="41"/>
    </row>
    <row r="227" ht="19.5" customHeight="1">
      <c r="A227" s="41"/>
      <c r="B227" s="84" t="s">
        <v>403</v>
      </c>
      <c r="C227" s="156" t="str">
        <f>CONCATENATE(prefix_mgmt_az2_cidr,"11.0/24")</f>
        <v>10.22.11.0/24</v>
      </c>
      <c r="D227" s="18"/>
      <c r="E227" s="191"/>
      <c r="F227" s="41"/>
      <c r="G227" s="41"/>
      <c r="H227" s="41"/>
      <c r="I227" s="41"/>
      <c r="J227" s="41"/>
      <c r="K227" s="41"/>
      <c r="L227" s="41"/>
      <c r="M227" s="41"/>
      <c r="N227" s="41"/>
      <c r="O227" s="41"/>
      <c r="P227" s="41"/>
      <c r="Q227" s="41"/>
      <c r="R227" s="41"/>
      <c r="S227" s="41"/>
      <c r="T227" s="41"/>
      <c r="U227" s="41"/>
      <c r="V227" s="41"/>
      <c r="W227" s="41"/>
      <c r="X227" s="41"/>
      <c r="Y227" s="41"/>
      <c r="Z227" s="41"/>
    </row>
    <row r="228" ht="19.5" customHeight="1">
      <c r="A228" s="41"/>
      <c r="B228" s="84" t="s">
        <v>404</v>
      </c>
      <c r="C228" s="156">
        <v>1500.0</v>
      </c>
      <c r="D228" s="18"/>
      <c r="E228" s="191"/>
      <c r="F228" s="41"/>
      <c r="G228" s="41"/>
      <c r="H228" s="41"/>
      <c r="I228" s="41"/>
      <c r="J228" s="41"/>
      <c r="K228" s="41"/>
      <c r="L228" s="41"/>
      <c r="M228" s="41"/>
      <c r="N228" s="41"/>
      <c r="O228" s="41"/>
      <c r="P228" s="41"/>
      <c r="Q228" s="41"/>
      <c r="R228" s="41"/>
      <c r="S228" s="41"/>
      <c r="T228" s="41"/>
      <c r="U228" s="41"/>
      <c r="V228" s="41"/>
      <c r="W228" s="41"/>
      <c r="X228" s="41"/>
      <c r="Y228" s="41"/>
      <c r="Z228" s="41"/>
    </row>
    <row r="229" ht="19.5" customHeight="1">
      <c r="A229" s="41"/>
      <c r="B229" s="17" t="s">
        <v>481</v>
      </c>
      <c r="C229" s="13"/>
      <c r="D229" s="13"/>
      <c r="E229" s="14"/>
      <c r="F229" s="41"/>
      <c r="G229" s="41"/>
      <c r="H229" s="41"/>
      <c r="I229" s="41"/>
      <c r="J229" s="41"/>
      <c r="K229" s="41"/>
      <c r="L229" s="41"/>
      <c r="M229" s="41"/>
      <c r="N229" s="41"/>
      <c r="O229" s="41"/>
      <c r="P229" s="41"/>
      <c r="Q229" s="41"/>
      <c r="R229" s="41"/>
      <c r="S229" s="41"/>
      <c r="T229" s="41"/>
      <c r="U229" s="41"/>
      <c r="V229" s="41"/>
      <c r="W229" s="41"/>
      <c r="X229" s="41"/>
      <c r="Y229" s="41"/>
      <c r="Z229" s="41"/>
    </row>
    <row r="230" ht="19.5" customHeight="1">
      <c r="A230" s="41"/>
      <c r="B230" s="173" t="s">
        <v>697</v>
      </c>
      <c r="C230" s="198" t="str">
        <f>CONCATENATE(prefix_mgmt_az2_cidr,"11.101")</f>
        <v>10.22.11.101</v>
      </c>
      <c r="D230" s="18"/>
      <c r="E230" s="199" t="s">
        <v>482</v>
      </c>
      <c r="F230" s="41"/>
      <c r="G230" s="41"/>
      <c r="H230" s="41"/>
      <c r="I230" s="41"/>
      <c r="J230" s="41"/>
      <c r="K230" s="41"/>
      <c r="L230" s="41"/>
      <c r="M230" s="41"/>
      <c r="N230" s="41"/>
      <c r="O230" s="41"/>
      <c r="P230" s="41"/>
      <c r="Q230" s="41"/>
      <c r="R230" s="41"/>
      <c r="S230" s="41"/>
      <c r="T230" s="41"/>
      <c r="U230" s="41"/>
      <c r="V230" s="41"/>
      <c r="W230" s="41"/>
      <c r="X230" s="41"/>
      <c r="Y230" s="41"/>
      <c r="Z230" s="41"/>
    </row>
    <row r="231" ht="19.5" customHeight="1">
      <c r="A231" s="41"/>
      <c r="B231" s="173" t="s">
        <v>698</v>
      </c>
      <c r="C231" s="198" t="str">
        <f>CONCATENATE(prefix_mgmt_az2_cidr,"11.102")</f>
        <v>10.22.11.102</v>
      </c>
      <c r="D231" s="18"/>
      <c r="E231" s="199" t="s">
        <v>484</v>
      </c>
      <c r="F231" s="41"/>
      <c r="G231" s="41"/>
      <c r="H231" s="41"/>
      <c r="I231" s="41"/>
      <c r="J231" s="41"/>
      <c r="K231" s="41"/>
      <c r="L231" s="41"/>
      <c r="M231" s="41"/>
      <c r="N231" s="41"/>
      <c r="O231" s="41"/>
      <c r="P231" s="41"/>
      <c r="Q231" s="41"/>
      <c r="R231" s="41"/>
      <c r="S231" s="41"/>
      <c r="T231" s="41"/>
      <c r="U231" s="41"/>
      <c r="V231" s="41"/>
      <c r="W231" s="41"/>
      <c r="X231" s="41"/>
      <c r="Y231" s="41"/>
      <c r="Z231" s="41"/>
    </row>
    <row r="232" ht="19.5" customHeight="1">
      <c r="A232" s="41"/>
      <c r="B232" s="173" t="s">
        <v>699</v>
      </c>
      <c r="C232" s="198" t="str">
        <f>CONCATENATE(prefix_mgmt_az2_cidr,"11.103")</f>
        <v>10.22.11.103</v>
      </c>
      <c r="D232" s="18"/>
      <c r="E232" s="199" t="s">
        <v>485</v>
      </c>
      <c r="F232" s="41"/>
      <c r="G232" s="41"/>
      <c r="H232" s="41"/>
      <c r="I232" s="41"/>
      <c r="J232" s="41"/>
      <c r="K232" s="41"/>
      <c r="L232" s="41"/>
      <c r="M232" s="41"/>
      <c r="N232" s="41"/>
      <c r="O232" s="41"/>
      <c r="P232" s="41"/>
      <c r="Q232" s="41"/>
      <c r="R232" s="41"/>
      <c r="S232" s="41"/>
      <c r="T232" s="41"/>
      <c r="U232" s="41"/>
      <c r="V232" s="41"/>
      <c r="W232" s="41"/>
      <c r="X232" s="41"/>
      <c r="Y232" s="41"/>
      <c r="Z232" s="41"/>
    </row>
    <row r="233" ht="19.5" customHeight="1">
      <c r="A233" s="41"/>
      <c r="B233" s="173" t="s">
        <v>700</v>
      </c>
      <c r="C233" s="198" t="str">
        <f>CONCATENATE(prefix_mgmt_az2_cidr,"11.104")</f>
        <v>10.22.11.104</v>
      </c>
      <c r="D233" s="18"/>
      <c r="E233" s="199" t="s">
        <v>486</v>
      </c>
      <c r="F233" s="41"/>
      <c r="G233" s="41"/>
      <c r="H233" s="41"/>
      <c r="I233" s="41"/>
      <c r="J233" s="41"/>
      <c r="K233" s="41"/>
      <c r="L233" s="41"/>
      <c r="M233" s="41"/>
      <c r="N233" s="41"/>
      <c r="O233" s="41"/>
      <c r="P233" s="41"/>
      <c r="Q233" s="41"/>
      <c r="R233" s="41"/>
      <c r="S233" s="41"/>
      <c r="T233" s="41"/>
      <c r="U233" s="41"/>
      <c r="V233" s="41"/>
      <c r="W233" s="41"/>
      <c r="X233" s="41"/>
      <c r="Y233" s="41"/>
      <c r="Z233" s="41"/>
    </row>
    <row r="234" ht="19.5" customHeight="1">
      <c r="A234" s="41"/>
      <c r="B234" s="173" t="s">
        <v>701</v>
      </c>
      <c r="C234" s="198" t="str">
        <f>CONCATENATE(prefix_mgmt_az2_cidr,"11.105")</f>
        <v>10.22.11.105</v>
      </c>
      <c r="D234" s="18"/>
      <c r="E234" s="199" t="s">
        <v>487</v>
      </c>
      <c r="F234" s="41"/>
      <c r="G234" s="41"/>
      <c r="H234" s="41"/>
      <c r="I234" s="41"/>
      <c r="J234" s="41"/>
      <c r="K234" s="41"/>
      <c r="L234" s="41"/>
      <c r="M234" s="41"/>
      <c r="N234" s="41"/>
      <c r="O234" s="41"/>
      <c r="P234" s="41"/>
      <c r="Q234" s="41"/>
      <c r="R234" s="41"/>
      <c r="S234" s="41"/>
      <c r="T234" s="41"/>
      <c r="U234" s="41"/>
      <c r="V234" s="41"/>
      <c r="W234" s="41"/>
      <c r="X234" s="41"/>
      <c r="Y234" s="41"/>
      <c r="Z234" s="41"/>
    </row>
    <row r="235" ht="19.5" customHeight="1">
      <c r="A235" s="41"/>
      <c r="B235" s="173" t="s">
        <v>702</v>
      </c>
      <c r="C235" s="198" t="str">
        <f>CONCATENATE(prefix_mgmt_az2_cidr,"11.106")</f>
        <v>10.22.11.106</v>
      </c>
      <c r="D235" s="18"/>
      <c r="E235" s="199" t="s">
        <v>488</v>
      </c>
      <c r="F235" s="41"/>
      <c r="G235" s="41"/>
      <c r="H235" s="41"/>
      <c r="I235" s="41"/>
      <c r="J235" s="41"/>
      <c r="K235" s="41"/>
      <c r="L235" s="41"/>
      <c r="M235" s="41"/>
      <c r="N235" s="41"/>
      <c r="O235" s="41"/>
      <c r="P235" s="41"/>
      <c r="Q235" s="41"/>
      <c r="R235" s="41"/>
      <c r="S235" s="41"/>
      <c r="T235" s="41"/>
      <c r="U235" s="41"/>
      <c r="V235" s="41"/>
      <c r="W235" s="41"/>
      <c r="X235" s="41"/>
      <c r="Y235" s="41"/>
      <c r="Z235" s="41"/>
    </row>
    <row r="236" ht="19.5" customHeight="1">
      <c r="A236" s="41"/>
      <c r="B236" s="173" t="s">
        <v>703</v>
      </c>
      <c r="C236" s="198" t="str">
        <f>CONCATENATE(prefix_mgmt_az2_cidr,"11.107")</f>
        <v>10.22.11.107</v>
      </c>
      <c r="D236" s="18"/>
      <c r="E236" s="199" t="s">
        <v>489</v>
      </c>
      <c r="F236" s="41"/>
      <c r="G236" s="41"/>
      <c r="H236" s="41"/>
      <c r="I236" s="41"/>
      <c r="J236" s="41"/>
      <c r="K236" s="41"/>
      <c r="L236" s="41"/>
      <c r="M236" s="41"/>
      <c r="N236" s="41"/>
      <c r="O236" s="41"/>
      <c r="P236" s="41"/>
      <c r="Q236" s="41"/>
      <c r="R236" s="41"/>
      <c r="S236" s="41"/>
      <c r="T236" s="41"/>
      <c r="U236" s="41"/>
      <c r="V236" s="41"/>
      <c r="W236" s="41"/>
      <c r="X236" s="41"/>
      <c r="Y236" s="41"/>
      <c r="Z236" s="41"/>
    </row>
    <row r="237" ht="19.5" customHeight="1">
      <c r="A237" s="41"/>
      <c r="B237" s="173" t="s">
        <v>704</v>
      </c>
      <c r="C237" s="198" t="str">
        <f>CONCATENATE(prefix_mgmt_az2_cidr,"11.108")</f>
        <v>10.22.11.108</v>
      </c>
      <c r="D237" s="18"/>
      <c r="E237" s="199" t="s">
        <v>490</v>
      </c>
      <c r="F237" s="41"/>
      <c r="G237" s="41"/>
      <c r="H237" s="41"/>
      <c r="I237" s="41"/>
      <c r="J237" s="41"/>
      <c r="K237" s="41"/>
      <c r="L237" s="41"/>
      <c r="M237" s="41"/>
      <c r="N237" s="41"/>
      <c r="O237" s="41"/>
      <c r="P237" s="41"/>
      <c r="Q237" s="41"/>
      <c r="R237" s="41"/>
      <c r="S237" s="41"/>
      <c r="T237" s="41"/>
      <c r="U237" s="41"/>
      <c r="V237" s="41"/>
      <c r="W237" s="41"/>
      <c r="X237" s="41"/>
      <c r="Y237" s="41"/>
      <c r="Z237" s="41"/>
    </row>
    <row r="238" ht="19.5" customHeight="1">
      <c r="A238" s="41"/>
      <c r="B238" s="173" t="s">
        <v>705</v>
      </c>
      <c r="C238" s="198" t="str">
        <f>CONCATENATE(prefix_mgmt_az2_cidr,"11.109")</f>
        <v>10.22.11.109</v>
      </c>
      <c r="D238" s="18"/>
      <c r="E238" s="199" t="s">
        <v>491</v>
      </c>
      <c r="F238" s="41"/>
      <c r="G238" s="41"/>
      <c r="H238" s="41"/>
      <c r="I238" s="41"/>
      <c r="J238" s="41"/>
      <c r="K238" s="41"/>
      <c r="L238" s="41"/>
      <c r="M238" s="41"/>
      <c r="N238" s="41"/>
      <c r="O238" s="41"/>
      <c r="P238" s="41"/>
      <c r="Q238" s="41"/>
      <c r="R238" s="41"/>
      <c r="S238" s="41"/>
      <c r="T238" s="41"/>
      <c r="U238" s="41"/>
      <c r="V238" s="41"/>
      <c r="W238" s="41"/>
      <c r="X238" s="41"/>
      <c r="Y238" s="41"/>
      <c r="Z238" s="41"/>
    </row>
    <row r="239" ht="19.5" customHeight="1">
      <c r="A239" s="41"/>
      <c r="B239" s="173" t="s">
        <v>706</v>
      </c>
      <c r="C239" s="198" t="str">
        <f>CONCATENATE(prefix_mgmt_az2_cidr,"11.110")</f>
        <v>10.22.11.110</v>
      </c>
      <c r="D239" s="18"/>
      <c r="E239" s="199" t="s">
        <v>492</v>
      </c>
      <c r="F239" s="41"/>
      <c r="G239" s="41"/>
      <c r="H239" s="41"/>
      <c r="I239" s="41"/>
      <c r="J239" s="41"/>
      <c r="K239" s="41"/>
      <c r="L239" s="41"/>
      <c r="M239" s="41"/>
      <c r="N239" s="41"/>
      <c r="O239" s="41"/>
      <c r="P239" s="41"/>
      <c r="Q239" s="41"/>
      <c r="R239" s="41"/>
      <c r="S239" s="41"/>
      <c r="T239" s="41"/>
      <c r="U239" s="41"/>
      <c r="V239" s="41"/>
      <c r="W239" s="41"/>
      <c r="X239" s="41"/>
      <c r="Y239" s="41"/>
      <c r="Z239" s="41"/>
    </row>
    <row r="240" ht="19.5" customHeight="1">
      <c r="A240" s="41"/>
      <c r="B240" s="173" t="s">
        <v>707</v>
      </c>
      <c r="C240" s="198" t="str">
        <f>CONCATENATE(prefix_mgmt_az2_cidr,"11.111")</f>
        <v>10.22.11.111</v>
      </c>
      <c r="D240" s="18"/>
      <c r="E240" s="199" t="s">
        <v>493</v>
      </c>
      <c r="F240" s="41"/>
      <c r="G240" s="41"/>
      <c r="H240" s="41"/>
      <c r="I240" s="41"/>
      <c r="J240" s="41"/>
      <c r="K240" s="41"/>
      <c r="L240" s="41"/>
      <c r="M240" s="41"/>
      <c r="N240" s="41"/>
      <c r="O240" s="41"/>
      <c r="P240" s="41"/>
      <c r="Q240" s="41"/>
      <c r="R240" s="41"/>
      <c r="S240" s="41"/>
      <c r="T240" s="41"/>
      <c r="U240" s="41"/>
      <c r="V240" s="41"/>
      <c r="W240" s="41"/>
      <c r="X240" s="41"/>
      <c r="Y240" s="41"/>
      <c r="Z240" s="41"/>
    </row>
    <row r="241" ht="19.5" customHeight="1">
      <c r="A241" s="41"/>
      <c r="B241" s="173" t="s">
        <v>708</v>
      </c>
      <c r="C241" s="198" t="str">
        <f>CONCATENATE(prefix_mgmt_az2_cidr,"11.112")</f>
        <v>10.22.11.112</v>
      </c>
      <c r="D241" s="18"/>
      <c r="E241" s="199" t="s">
        <v>494</v>
      </c>
      <c r="F241" s="41"/>
      <c r="G241" s="41"/>
      <c r="H241" s="41"/>
      <c r="I241" s="41"/>
      <c r="J241" s="41"/>
      <c r="K241" s="41"/>
      <c r="L241" s="41"/>
      <c r="M241" s="41"/>
      <c r="N241" s="41"/>
      <c r="O241" s="41"/>
      <c r="P241" s="41"/>
      <c r="Q241" s="41"/>
      <c r="R241" s="41"/>
      <c r="S241" s="41"/>
      <c r="T241" s="41"/>
      <c r="U241" s="41"/>
      <c r="V241" s="41"/>
      <c r="W241" s="41"/>
      <c r="X241" s="41"/>
      <c r="Y241" s="41"/>
      <c r="Z241" s="41"/>
    </row>
    <row r="242" ht="19.5" customHeight="1">
      <c r="A242" s="41"/>
      <c r="B242" s="173" t="s">
        <v>709</v>
      </c>
      <c r="C242" s="198" t="str">
        <f>CONCATENATE(prefix_mgmt_az2_cidr,"11.113")</f>
        <v>10.22.11.113</v>
      </c>
      <c r="D242" s="18"/>
      <c r="E242" s="199" t="s">
        <v>495</v>
      </c>
      <c r="F242" s="41"/>
      <c r="G242" s="41"/>
      <c r="H242" s="41"/>
      <c r="I242" s="41"/>
      <c r="J242" s="41"/>
      <c r="K242" s="41"/>
      <c r="L242" s="41"/>
      <c r="M242" s="41"/>
      <c r="N242" s="41"/>
      <c r="O242" s="41"/>
      <c r="P242" s="41"/>
      <c r="Q242" s="41"/>
      <c r="R242" s="41"/>
      <c r="S242" s="41"/>
      <c r="T242" s="41"/>
      <c r="U242" s="41"/>
      <c r="V242" s="41"/>
      <c r="W242" s="41"/>
      <c r="X242" s="41"/>
      <c r="Y242" s="41"/>
      <c r="Z242" s="41"/>
    </row>
    <row r="243" ht="19.5" customHeight="1">
      <c r="A243" s="41"/>
      <c r="B243" s="173" t="s">
        <v>710</v>
      </c>
      <c r="C243" s="198" t="str">
        <f>CONCATENATE(prefix_mgmt_az2_cidr,"11.114")</f>
        <v>10.22.11.114</v>
      </c>
      <c r="D243" s="18"/>
      <c r="E243" s="199" t="s">
        <v>496</v>
      </c>
      <c r="F243" s="41"/>
      <c r="G243" s="41"/>
      <c r="H243" s="41"/>
      <c r="I243" s="41"/>
      <c r="J243" s="41"/>
      <c r="K243" s="41"/>
      <c r="L243" s="41"/>
      <c r="M243" s="41"/>
      <c r="N243" s="41"/>
      <c r="O243" s="41"/>
      <c r="P243" s="41"/>
      <c r="Q243" s="41"/>
      <c r="R243" s="41"/>
      <c r="S243" s="41"/>
      <c r="T243" s="41"/>
      <c r="U243" s="41"/>
      <c r="V243" s="41"/>
      <c r="W243" s="41"/>
      <c r="X243" s="41"/>
      <c r="Y243" s="41"/>
      <c r="Z243" s="41"/>
    </row>
    <row r="244" ht="19.5" customHeight="1">
      <c r="A244" s="41"/>
      <c r="B244" s="173" t="s">
        <v>711</v>
      </c>
      <c r="C244" s="198" t="str">
        <f>CONCATENATE(prefix_mgmt_az2_cidr,"11.115")</f>
        <v>10.22.11.115</v>
      </c>
      <c r="D244" s="18"/>
      <c r="E244" s="199" t="s">
        <v>497</v>
      </c>
      <c r="F244" s="41"/>
      <c r="G244" s="41"/>
      <c r="H244" s="41"/>
      <c r="I244" s="41"/>
      <c r="J244" s="41"/>
      <c r="K244" s="41"/>
      <c r="L244" s="41"/>
      <c r="M244" s="41"/>
      <c r="N244" s="41"/>
      <c r="O244" s="41"/>
      <c r="P244" s="41"/>
      <c r="Q244" s="41"/>
      <c r="R244" s="41"/>
      <c r="S244" s="41"/>
      <c r="T244" s="41"/>
      <c r="U244" s="41"/>
      <c r="V244" s="41"/>
      <c r="W244" s="41"/>
      <c r="X244" s="41"/>
      <c r="Y244" s="41"/>
      <c r="Z244" s="41"/>
    </row>
    <row r="245" ht="19.5" customHeight="1">
      <c r="A245" s="41"/>
      <c r="B245" s="173" t="s">
        <v>712</v>
      </c>
      <c r="C245" s="198" t="str">
        <f>CONCATENATE(prefix_mgmt_az2_cidr,"11.116")</f>
        <v>10.22.11.116</v>
      </c>
      <c r="D245" s="18"/>
      <c r="E245" s="199" t="s">
        <v>498</v>
      </c>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1"/>
      <c r="D246" s="1"/>
      <c r="E246" s="41"/>
      <c r="F246" s="41"/>
      <c r="G246" s="195"/>
      <c r="H246" s="41"/>
      <c r="I246" s="41"/>
      <c r="J246" s="41"/>
      <c r="K246" s="41"/>
      <c r="L246" s="41"/>
      <c r="M246" s="41"/>
      <c r="N246" s="41"/>
      <c r="O246" s="41"/>
      <c r="P246" s="41"/>
      <c r="Q246" s="41"/>
      <c r="R246" s="41"/>
      <c r="S246" s="41"/>
      <c r="T246" s="41"/>
      <c r="U246" s="41"/>
      <c r="V246" s="41"/>
      <c r="W246" s="41"/>
      <c r="X246" s="41"/>
      <c r="Y246" s="41"/>
      <c r="Z246" s="41"/>
    </row>
    <row r="247" ht="33.75" customHeight="1">
      <c r="A247" s="41"/>
      <c r="B247" s="197" t="s">
        <v>713</v>
      </c>
      <c r="C247" s="13"/>
      <c r="D247" s="13"/>
      <c r="E247" s="14"/>
      <c r="F247" s="41"/>
      <c r="G247" s="41"/>
      <c r="H247" s="41"/>
      <c r="I247" s="41"/>
      <c r="J247" s="41"/>
      <c r="K247" s="41"/>
      <c r="L247" s="41"/>
      <c r="M247" s="41"/>
      <c r="N247" s="41"/>
      <c r="O247" s="41"/>
      <c r="P247" s="41"/>
      <c r="Q247" s="41"/>
      <c r="R247" s="41"/>
      <c r="S247" s="41"/>
      <c r="T247" s="41"/>
      <c r="U247" s="41"/>
      <c r="V247" s="41"/>
      <c r="W247" s="41"/>
      <c r="X247" s="41"/>
      <c r="Y247" s="41"/>
      <c r="Z247" s="41"/>
    </row>
    <row r="248" ht="19.5" customHeight="1">
      <c r="A248" s="41"/>
      <c r="B248" s="108" t="s">
        <v>37</v>
      </c>
      <c r="C248" s="49" t="s">
        <v>273</v>
      </c>
      <c r="D248" s="49" t="s">
        <v>274</v>
      </c>
      <c r="E248" s="49" t="s">
        <v>5</v>
      </c>
      <c r="F248" s="41"/>
      <c r="G248" s="41"/>
      <c r="H248" s="41"/>
      <c r="I248" s="41"/>
      <c r="J248" s="41"/>
      <c r="K248" s="41"/>
      <c r="L248" s="41"/>
      <c r="M248" s="41"/>
      <c r="N248" s="41"/>
      <c r="O248" s="41"/>
      <c r="P248" s="41"/>
      <c r="Q248" s="41"/>
      <c r="R248" s="41"/>
      <c r="S248" s="41"/>
      <c r="T248" s="41"/>
      <c r="U248" s="41"/>
      <c r="V248" s="41"/>
      <c r="W248" s="41"/>
      <c r="X248" s="41"/>
      <c r="Y248" s="41"/>
      <c r="Z248" s="41"/>
    </row>
    <row r="249" ht="19.5" customHeight="1">
      <c r="A249" s="41"/>
      <c r="B249" s="84" t="s">
        <v>714</v>
      </c>
      <c r="C249" s="110" t="s">
        <v>715</v>
      </c>
      <c r="D249" s="156" t="s">
        <v>715</v>
      </c>
      <c r="E249" s="18" t="str">
        <f>IF(mgmt_az2_reuse_vcf_networkpool_chosen="Re-use an existing VCF Network Pool","An exisiting VCF Network Pool will be reused","A new VCF Network Pool will be created")</f>
        <v>A new VCF Network Pool will be created</v>
      </c>
      <c r="F249" s="41"/>
      <c r="G249" s="41"/>
      <c r="H249" s="41"/>
      <c r="I249" s="41"/>
      <c r="J249" s="41"/>
      <c r="K249" s="41"/>
      <c r="L249" s="41"/>
      <c r="M249" s="41"/>
      <c r="N249" s="41"/>
      <c r="O249" s="41"/>
      <c r="P249" s="41"/>
      <c r="Q249" s="41"/>
      <c r="R249" s="41"/>
      <c r="S249" s="41"/>
      <c r="T249" s="41"/>
      <c r="U249" s="41"/>
      <c r="V249" s="41"/>
      <c r="W249" s="41"/>
      <c r="X249" s="41"/>
      <c r="Y249" s="41"/>
      <c r="Z249" s="41"/>
    </row>
    <row r="250" ht="19.5" customHeight="1">
      <c r="A250" s="41"/>
      <c r="B250" s="173" t="s">
        <v>716</v>
      </c>
      <c r="C250" s="156" t="str">
        <f>CONCATENATE(this_instance,"02-m01-r01-network-pool-01")</f>
        <v>lax02-m01-r01-network-pool-01</v>
      </c>
      <c r="D250" s="200"/>
      <c r="E250" s="191"/>
      <c r="F250" s="41"/>
      <c r="G250" s="41"/>
      <c r="H250" s="41"/>
      <c r="I250" s="41"/>
      <c r="J250" s="41"/>
      <c r="K250" s="41"/>
      <c r="L250" s="41"/>
      <c r="M250" s="41"/>
      <c r="N250" s="41"/>
      <c r="O250" s="41"/>
      <c r="P250" s="41"/>
      <c r="Q250" s="41"/>
      <c r="R250" s="41"/>
      <c r="S250" s="41"/>
      <c r="T250" s="41"/>
      <c r="U250" s="41"/>
      <c r="V250" s="41"/>
      <c r="W250" s="41"/>
      <c r="X250" s="41"/>
      <c r="Y250" s="41"/>
      <c r="Z250" s="41"/>
    </row>
    <row r="251" ht="19.5" customHeight="1">
      <c r="A251" s="41"/>
      <c r="B251" s="102" t="s">
        <v>407</v>
      </c>
      <c r="C251" s="13"/>
      <c r="D251" s="13"/>
      <c r="E251" s="14"/>
      <c r="F251" s="41"/>
      <c r="G251" s="41"/>
      <c r="H251" s="41"/>
      <c r="I251" s="41"/>
      <c r="J251" s="41"/>
      <c r="K251" s="41"/>
      <c r="L251" s="41"/>
      <c r="M251" s="41"/>
      <c r="N251" s="41"/>
      <c r="O251" s="41"/>
      <c r="P251" s="41"/>
      <c r="Q251" s="41"/>
      <c r="R251" s="41"/>
      <c r="S251" s="41"/>
      <c r="T251" s="41"/>
      <c r="U251" s="41"/>
      <c r="V251" s="41"/>
      <c r="W251" s="41"/>
      <c r="X251" s="41"/>
      <c r="Y251" s="41"/>
      <c r="Z251" s="41"/>
    </row>
    <row r="252" ht="19.5" customHeight="1">
      <c r="A252" s="41"/>
      <c r="B252" s="84" t="s">
        <v>401</v>
      </c>
      <c r="C252" s="156" t="str">
        <f>CONCATENATE(prefix_mgmt_az2_vlan,"12")</f>
        <v>2212</v>
      </c>
      <c r="D252" s="18"/>
      <c r="E252" s="18" t="str">
        <f>IF(mgmt_az2_reuse_vcf_networkpool_chosen="Re-use an existing VCF Network Pool", "Inputs are masked out as existing VCF Network Pool will be used","")</f>
        <v/>
      </c>
      <c r="F252" s="41"/>
      <c r="G252" s="41"/>
      <c r="H252" s="41"/>
      <c r="I252" s="41"/>
      <c r="J252" s="41"/>
      <c r="K252" s="41"/>
      <c r="L252" s="41"/>
      <c r="M252" s="41"/>
      <c r="N252" s="41"/>
      <c r="O252" s="41"/>
      <c r="P252" s="41"/>
      <c r="Q252" s="41"/>
      <c r="R252" s="41"/>
      <c r="S252" s="41"/>
      <c r="T252" s="41"/>
      <c r="U252" s="41"/>
      <c r="V252" s="41"/>
      <c r="W252" s="41"/>
      <c r="X252" s="41"/>
      <c r="Y252" s="41"/>
      <c r="Z252" s="41"/>
    </row>
    <row r="253" ht="19.5" customHeight="1">
      <c r="A253" s="41"/>
      <c r="B253" s="84" t="s">
        <v>404</v>
      </c>
      <c r="C253" s="156">
        <v>9000.0</v>
      </c>
      <c r="D253" s="18"/>
      <c r="E253" s="191"/>
      <c r="F253" s="41"/>
      <c r="G253" s="41"/>
      <c r="H253" s="41"/>
      <c r="I253" s="41"/>
      <c r="J253" s="41"/>
      <c r="K253" s="41"/>
      <c r="L253" s="41"/>
      <c r="M253" s="41"/>
      <c r="N253" s="41"/>
      <c r="O253" s="41"/>
      <c r="P253" s="41"/>
      <c r="Q253" s="41"/>
      <c r="R253" s="41"/>
      <c r="S253" s="41"/>
      <c r="T253" s="41"/>
      <c r="U253" s="41"/>
      <c r="V253" s="41"/>
      <c r="W253" s="41"/>
      <c r="X253" s="41"/>
      <c r="Y253" s="41"/>
      <c r="Z253" s="41"/>
    </row>
    <row r="254" ht="19.5" customHeight="1">
      <c r="A254" s="41"/>
      <c r="B254" s="84" t="s">
        <v>717</v>
      </c>
      <c r="C254" s="156" t="str">
        <f>CONCATENATE(prefix_mgmt_az2_cidr,"12.0")</f>
        <v>10.22.12.0</v>
      </c>
      <c r="D254" s="18"/>
      <c r="E254" s="191"/>
      <c r="F254" s="41"/>
      <c r="G254" s="41"/>
      <c r="H254" s="41"/>
      <c r="I254" s="41"/>
      <c r="J254" s="41"/>
      <c r="K254" s="41"/>
      <c r="L254" s="41"/>
      <c r="M254" s="41"/>
      <c r="N254" s="41"/>
      <c r="O254" s="41"/>
      <c r="P254" s="41"/>
      <c r="Q254" s="41"/>
      <c r="R254" s="41"/>
      <c r="S254" s="41"/>
      <c r="T254" s="41"/>
      <c r="U254" s="41"/>
      <c r="V254" s="41"/>
      <c r="W254" s="41"/>
      <c r="X254" s="41"/>
      <c r="Y254" s="41"/>
      <c r="Z254" s="41"/>
    </row>
    <row r="255" ht="19.5" customHeight="1">
      <c r="A255" s="41"/>
      <c r="B255" s="84" t="s">
        <v>718</v>
      </c>
      <c r="C255" s="156" t="s">
        <v>622</v>
      </c>
      <c r="D255" s="18"/>
      <c r="E255" s="191"/>
      <c r="F255" s="41"/>
      <c r="G255" s="41"/>
      <c r="H255" s="41"/>
      <c r="I255" s="41"/>
      <c r="J255" s="41"/>
      <c r="K255" s="41"/>
      <c r="L255" s="41"/>
      <c r="M255" s="41"/>
      <c r="N255" s="41"/>
      <c r="O255" s="41"/>
      <c r="P255" s="41"/>
      <c r="Q255" s="41"/>
      <c r="R255" s="41"/>
      <c r="S255" s="41"/>
      <c r="T255" s="41"/>
      <c r="U255" s="41"/>
      <c r="V255" s="41"/>
      <c r="W255" s="41"/>
      <c r="X255" s="41"/>
      <c r="Y255" s="41"/>
      <c r="Z255" s="41"/>
    </row>
    <row r="256" ht="19.5" customHeight="1">
      <c r="A256" s="41"/>
      <c r="B256" s="84" t="s">
        <v>719</v>
      </c>
      <c r="C256" s="156" t="str">
        <f>CONCATENATE(prefix_mgmt_az2_cidr,"12.1")</f>
        <v>10.22.12.1</v>
      </c>
      <c r="D256" s="18"/>
      <c r="E256" s="191"/>
      <c r="F256" s="41"/>
      <c r="G256" s="41"/>
      <c r="H256" s="41"/>
      <c r="I256" s="41"/>
      <c r="J256" s="41"/>
      <c r="K256" s="41"/>
      <c r="L256" s="41"/>
      <c r="M256" s="41"/>
      <c r="N256" s="41"/>
      <c r="O256" s="41"/>
      <c r="P256" s="41"/>
      <c r="Q256" s="41"/>
      <c r="R256" s="41"/>
      <c r="S256" s="41"/>
      <c r="T256" s="41"/>
      <c r="U256" s="41"/>
      <c r="V256" s="41"/>
      <c r="W256" s="41"/>
      <c r="X256" s="41"/>
      <c r="Y256" s="41"/>
      <c r="Z256" s="41"/>
    </row>
    <row r="257" ht="19.5" customHeight="1">
      <c r="A257" s="41"/>
      <c r="B257" s="173" t="s">
        <v>465</v>
      </c>
      <c r="C257" s="156" t="str">
        <f>CONCATENATE(prefix_mgmt_az2_cidr,"12.101")</f>
        <v>10.22.12.101</v>
      </c>
      <c r="D257" s="18"/>
      <c r="E257" s="191"/>
      <c r="F257" s="41"/>
      <c r="G257" s="41"/>
      <c r="H257" s="41"/>
      <c r="I257" s="41"/>
      <c r="J257" s="41"/>
      <c r="K257" s="41"/>
      <c r="L257" s="41"/>
      <c r="M257" s="41"/>
      <c r="N257" s="41"/>
      <c r="O257" s="41"/>
      <c r="P257" s="41"/>
      <c r="Q257" s="41"/>
      <c r="R257" s="41"/>
      <c r="S257" s="41"/>
      <c r="T257" s="41"/>
      <c r="U257" s="41"/>
      <c r="V257" s="41"/>
      <c r="W257" s="41"/>
      <c r="X257" s="41"/>
      <c r="Y257" s="41"/>
      <c r="Z257" s="41"/>
    </row>
    <row r="258" ht="19.5" customHeight="1">
      <c r="A258" s="41"/>
      <c r="B258" s="173" t="s">
        <v>466</v>
      </c>
      <c r="C258" s="156" t="str">
        <f>CONCATENATE(prefix_mgmt_az2_cidr,"12.116")</f>
        <v>10.22.12.116</v>
      </c>
      <c r="D258" s="18"/>
      <c r="E258" s="191"/>
      <c r="F258" s="41"/>
      <c r="G258" s="41"/>
      <c r="H258" s="41"/>
      <c r="I258" s="41"/>
      <c r="J258" s="41"/>
      <c r="K258" s="41"/>
      <c r="L258" s="41"/>
      <c r="M258" s="41"/>
      <c r="N258" s="41"/>
      <c r="O258" s="41"/>
      <c r="P258" s="41"/>
      <c r="Q258" s="41"/>
      <c r="R258" s="41"/>
      <c r="S258" s="41"/>
      <c r="T258" s="41"/>
      <c r="U258" s="41"/>
      <c r="V258" s="41"/>
      <c r="W258" s="41"/>
      <c r="X258" s="41"/>
      <c r="Y258" s="41"/>
      <c r="Z258" s="41"/>
    </row>
    <row r="259" ht="19.5" customHeight="1">
      <c r="A259" s="41"/>
      <c r="B259" s="102" t="s">
        <v>410</v>
      </c>
      <c r="C259" s="13"/>
      <c r="D259" s="13"/>
      <c r="E259" s="14"/>
      <c r="F259" s="41"/>
      <c r="G259" s="41"/>
      <c r="H259" s="41"/>
      <c r="I259" s="41"/>
      <c r="J259" s="41"/>
      <c r="K259" s="41"/>
      <c r="L259" s="41"/>
      <c r="M259" s="41"/>
      <c r="N259" s="41"/>
      <c r="O259" s="41"/>
      <c r="P259" s="41"/>
      <c r="Q259" s="41"/>
      <c r="R259" s="41"/>
      <c r="S259" s="41"/>
      <c r="T259" s="41"/>
      <c r="U259" s="41"/>
      <c r="V259" s="41"/>
      <c r="W259" s="41"/>
      <c r="X259" s="41"/>
      <c r="Y259" s="41"/>
      <c r="Z259" s="41"/>
    </row>
    <row r="260" ht="19.5" customHeight="1">
      <c r="A260" s="41"/>
      <c r="B260" s="84" t="s">
        <v>401</v>
      </c>
      <c r="C260" s="156" t="str">
        <f>CONCATENATE(prefix_mgmt_az2_vlan,"13")</f>
        <v>2213</v>
      </c>
      <c r="D260" s="18"/>
      <c r="E260" s="190" t="str">
        <f>IF(mgmt_az2_reuse_vcf_networkpool_chosen="Re-use an existing VCF Network Pool", "Inputs are masked out as existing VCF Network Pool will be used","")</f>
        <v/>
      </c>
      <c r="F260" s="41"/>
      <c r="G260" s="41"/>
      <c r="H260" s="41"/>
      <c r="I260" s="41"/>
      <c r="J260" s="41"/>
      <c r="K260" s="41"/>
      <c r="L260" s="41"/>
      <c r="M260" s="41"/>
      <c r="N260" s="41"/>
      <c r="O260" s="41"/>
      <c r="P260" s="41"/>
      <c r="Q260" s="41"/>
      <c r="R260" s="41"/>
      <c r="S260" s="41"/>
      <c r="T260" s="41"/>
      <c r="U260" s="41"/>
      <c r="V260" s="41"/>
      <c r="W260" s="41"/>
      <c r="X260" s="41"/>
      <c r="Y260" s="41"/>
      <c r="Z260" s="41"/>
    </row>
    <row r="261" ht="19.5" customHeight="1">
      <c r="A261" s="41"/>
      <c r="B261" s="84" t="s">
        <v>404</v>
      </c>
      <c r="C261" s="156">
        <v>9000.0</v>
      </c>
      <c r="D261" s="18"/>
      <c r="E261" s="191"/>
      <c r="F261" s="41"/>
      <c r="G261" s="41"/>
      <c r="H261" s="41"/>
      <c r="I261" s="41"/>
      <c r="J261" s="41"/>
      <c r="K261" s="41"/>
      <c r="L261" s="41"/>
      <c r="M261" s="41"/>
      <c r="N261" s="41"/>
      <c r="O261" s="41"/>
      <c r="P261" s="41"/>
      <c r="Q261" s="41"/>
      <c r="R261" s="41"/>
      <c r="S261" s="41"/>
      <c r="T261" s="41"/>
      <c r="U261" s="41"/>
      <c r="V261" s="41"/>
      <c r="W261" s="41"/>
      <c r="X261" s="41"/>
      <c r="Y261" s="41"/>
      <c r="Z261" s="41"/>
    </row>
    <row r="262" ht="19.5" customHeight="1">
      <c r="A262" s="41"/>
      <c r="B262" s="84" t="s">
        <v>717</v>
      </c>
      <c r="C262" s="156" t="str">
        <f>CONCATENATE(prefix_mgmt_az2_cidr,"13.0")</f>
        <v>10.22.13.0</v>
      </c>
      <c r="D262" s="18"/>
      <c r="E262" s="201"/>
      <c r="F262" s="41"/>
      <c r="G262" s="41"/>
      <c r="H262" s="41"/>
      <c r="I262" s="41"/>
      <c r="J262" s="41"/>
      <c r="K262" s="41"/>
      <c r="L262" s="41"/>
      <c r="M262" s="41"/>
      <c r="N262" s="41"/>
      <c r="O262" s="41"/>
      <c r="P262" s="41"/>
      <c r="Q262" s="41"/>
      <c r="R262" s="41"/>
      <c r="S262" s="41"/>
      <c r="T262" s="41"/>
      <c r="U262" s="41"/>
      <c r="V262" s="41"/>
      <c r="W262" s="41"/>
      <c r="X262" s="41"/>
      <c r="Y262" s="41"/>
      <c r="Z262" s="41"/>
    </row>
    <row r="263" ht="19.5" customHeight="1">
      <c r="A263" s="41"/>
      <c r="B263" s="84" t="s">
        <v>718</v>
      </c>
      <c r="C263" s="156" t="s">
        <v>622</v>
      </c>
      <c r="D263" s="18"/>
      <c r="E263" s="201"/>
      <c r="F263" s="41"/>
      <c r="G263" s="41"/>
      <c r="H263" s="41"/>
      <c r="I263" s="41"/>
      <c r="J263" s="41"/>
      <c r="K263" s="41"/>
      <c r="L263" s="41"/>
      <c r="M263" s="41"/>
      <c r="N263" s="41"/>
      <c r="O263" s="41"/>
      <c r="P263" s="41"/>
      <c r="Q263" s="41"/>
      <c r="R263" s="41"/>
      <c r="S263" s="41"/>
      <c r="T263" s="41"/>
      <c r="U263" s="41"/>
      <c r="V263" s="41"/>
      <c r="W263" s="41"/>
      <c r="X263" s="41"/>
      <c r="Y263" s="41"/>
      <c r="Z263" s="41"/>
    </row>
    <row r="264" ht="19.5" customHeight="1">
      <c r="A264" s="41"/>
      <c r="B264" s="84" t="s">
        <v>719</v>
      </c>
      <c r="C264" s="156" t="str">
        <f>CONCATENATE(prefix_mgmt_az2_cidr,"13.1")</f>
        <v>10.22.13.1</v>
      </c>
      <c r="D264" s="18"/>
      <c r="E264" s="191" t="str">
        <f>IF(AND(mgmt_stretched_cluster_result="Included",mgmt_dpg_reuse_result="Excluded"),"Stretched L2","")</f>
        <v/>
      </c>
      <c r="F264" s="41"/>
      <c r="G264" s="41"/>
      <c r="H264" s="41"/>
      <c r="I264" s="41"/>
      <c r="J264" s="41"/>
      <c r="K264" s="41"/>
      <c r="L264" s="41"/>
      <c r="M264" s="41"/>
      <c r="N264" s="41"/>
      <c r="O264" s="41"/>
      <c r="P264" s="41"/>
      <c r="Q264" s="41"/>
      <c r="R264" s="41"/>
      <c r="S264" s="41"/>
      <c r="T264" s="41"/>
      <c r="U264" s="41"/>
      <c r="V264" s="41"/>
      <c r="W264" s="41"/>
      <c r="X264" s="41"/>
      <c r="Y264" s="41"/>
      <c r="Z264" s="41"/>
    </row>
    <row r="265" ht="19.5" customHeight="1">
      <c r="A265" s="41"/>
      <c r="B265" s="173" t="s">
        <v>465</v>
      </c>
      <c r="C265" s="156" t="str">
        <f>CONCATENATE(prefix_mgmt_az2_cidr,"13.101")</f>
        <v>10.22.13.101</v>
      </c>
      <c r="D265" s="18"/>
      <c r="E265" s="201"/>
      <c r="F265" s="41"/>
      <c r="G265" s="41"/>
      <c r="H265" s="41"/>
      <c r="I265" s="41"/>
      <c r="J265" s="41"/>
      <c r="K265" s="41"/>
      <c r="L265" s="41"/>
      <c r="M265" s="41"/>
      <c r="N265" s="41"/>
      <c r="O265" s="41"/>
      <c r="P265" s="41"/>
      <c r="Q265" s="41"/>
      <c r="R265" s="41"/>
      <c r="S265" s="41"/>
      <c r="T265" s="41"/>
      <c r="U265" s="41"/>
      <c r="V265" s="41"/>
      <c r="W265" s="41"/>
      <c r="X265" s="41"/>
      <c r="Y265" s="41"/>
      <c r="Z265" s="41"/>
    </row>
    <row r="266" ht="19.5" customHeight="1">
      <c r="A266" s="41"/>
      <c r="B266" s="173" t="s">
        <v>466</v>
      </c>
      <c r="C266" s="156" t="str">
        <f>CONCATENATE(prefix_mgmt_az2_cidr,"13.116")</f>
        <v>10.22.13.116</v>
      </c>
      <c r="D266" s="18"/>
      <c r="E266" s="201"/>
      <c r="F266" s="41"/>
      <c r="G266" s="41"/>
      <c r="H266" s="41"/>
      <c r="I266" s="41"/>
      <c r="J266" s="41"/>
      <c r="K266" s="41"/>
      <c r="L266" s="41"/>
      <c r="M266" s="41"/>
      <c r="N266" s="41"/>
      <c r="O266" s="41"/>
      <c r="P266" s="41"/>
      <c r="Q266" s="41"/>
      <c r="R266" s="41"/>
      <c r="S266" s="41"/>
      <c r="T266" s="41"/>
      <c r="U266" s="41"/>
      <c r="V266" s="41"/>
      <c r="W266" s="41"/>
      <c r="X266" s="41"/>
      <c r="Y266" s="41"/>
      <c r="Z266" s="41"/>
    </row>
    <row r="267" ht="19.5" customHeight="1">
      <c r="A267" s="41"/>
      <c r="B267" s="102" t="s">
        <v>413</v>
      </c>
      <c r="C267" s="13"/>
      <c r="D267" s="13"/>
      <c r="E267" s="14"/>
      <c r="F267" s="41"/>
      <c r="G267" s="41"/>
      <c r="H267" s="41"/>
      <c r="I267" s="41"/>
      <c r="J267" s="41"/>
      <c r="K267" s="41"/>
      <c r="L267" s="41"/>
      <c r="M267" s="41"/>
      <c r="N267" s="41"/>
      <c r="O267" s="41"/>
      <c r="P267" s="41"/>
      <c r="Q267" s="41"/>
      <c r="R267" s="41"/>
      <c r="S267" s="41"/>
      <c r="T267" s="41"/>
      <c r="U267" s="41"/>
      <c r="V267" s="41"/>
      <c r="W267" s="41"/>
      <c r="X267" s="41"/>
      <c r="Y267" s="41"/>
      <c r="Z267" s="41"/>
    </row>
    <row r="268" ht="19.5" customHeight="1">
      <c r="A268" s="41"/>
      <c r="B268" s="84" t="s">
        <v>401</v>
      </c>
      <c r="C268" s="157" t="str">
        <f>CONCATENATE(prefix_mgmt_az2_vlan,"15")</f>
        <v>2215</v>
      </c>
      <c r="D268" s="18"/>
      <c r="E268" s="190" t="str">
        <f>IF(mgmt_az2_reuse_vcf_networkpool_chosen="Re-use an existing VCF Network Pool", "Inputs are masked out as existing VCF Network Pool will be used",IF(mgmt_principal_storage_chosen&lt;&gt;"NFSv3","Input is masked out and only required if configuring NFS Storage",""))</f>
        <v/>
      </c>
      <c r="F268" s="41"/>
      <c r="G268" s="41"/>
      <c r="H268" s="41"/>
      <c r="I268" s="41"/>
      <c r="J268" s="41"/>
      <c r="K268" s="41"/>
      <c r="L268" s="41"/>
      <c r="M268" s="41"/>
      <c r="N268" s="41"/>
      <c r="O268" s="41"/>
      <c r="P268" s="41"/>
      <c r="Q268" s="41"/>
      <c r="R268" s="41"/>
      <c r="S268" s="41"/>
      <c r="T268" s="41"/>
      <c r="U268" s="41"/>
      <c r="V268" s="41"/>
      <c r="W268" s="41"/>
      <c r="X268" s="41"/>
      <c r="Y268" s="41"/>
      <c r="Z268" s="41"/>
    </row>
    <row r="269" ht="19.5" customHeight="1">
      <c r="A269" s="41"/>
      <c r="B269" s="84" t="s">
        <v>404</v>
      </c>
      <c r="C269" s="202">
        <v>9000.0</v>
      </c>
      <c r="D269" s="18"/>
      <c r="E269" s="191"/>
      <c r="F269" s="41"/>
      <c r="G269" s="41"/>
      <c r="H269" s="41"/>
      <c r="I269" s="41"/>
      <c r="J269" s="41"/>
      <c r="K269" s="41"/>
      <c r="L269" s="41"/>
      <c r="M269" s="41"/>
      <c r="N269" s="41"/>
      <c r="O269" s="41"/>
      <c r="P269" s="41"/>
      <c r="Q269" s="41"/>
      <c r="R269" s="41"/>
      <c r="S269" s="41"/>
      <c r="T269" s="41"/>
      <c r="U269" s="41"/>
      <c r="V269" s="41"/>
      <c r="W269" s="41"/>
      <c r="X269" s="41"/>
      <c r="Y269" s="41"/>
      <c r="Z269" s="41"/>
    </row>
    <row r="270" ht="19.5" customHeight="1">
      <c r="A270" s="41"/>
      <c r="B270" s="84" t="s">
        <v>717</v>
      </c>
      <c r="C270" s="202" t="str">
        <f>CONCATENATE(prefix_mgmt_az2_cidr,"15.0")</f>
        <v>10.22.15.0</v>
      </c>
      <c r="D270" s="18"/>
      <c r="E270" s="201"/>
      <c r="F270" s="41"/>
      <c r="G270" s="41"/>
      <c r="H270" s="41"/>
      <c r="I270" s="41"/>
      <c r="J270" s="41"/>
      <c r="K270" s="41"/>
      <c r="L270" s="41"/>
      <c r="M270" s="41"/>
      <c r="N270" s="41"/>
      <c r="O270" s="41"/>
      <c r="P270" s="41"/>
      <c r="Q270" s="41"/>
      <c r="R270" s="41"/>
      <c r="S270" s="41"/>
      <c r="T270" s="41"/>
      <c r="U270" s="41"/>
      <c r="V270" s="41"/>
      <c r="W270" s="41"/>
      <c r="X270" s="41"/>
      <c r="Y270" s="41"/>
      <c r="Z270" s="41"/>
    </row>
    <row r="271" ht="19.5" customHeight="1">
      <c r="A271" s="41"/>
      <c r="B271" s="84" t="s">
        <v>718</v>
      </c>
      <c r="C271" s="202" t="s">
        <v>622</v>
      </c>
      <c r="D271" s="18"/>
      <c r="E271" s="201"/>
      <c r="F271" s="41"/>
      <c r="G271" s="41"/>
      <c r="H271" s="41"/>
      <c r="I271" s="41"/>
      <c r="J271" s="41"/>
      <c r="K271" s="41"/>
      <c r="L271" s="41"/>
      <c r="M271" s="41"/>
      <c r="N271" s="41"/>
      <c r="O271" s="41"/>
      <c r="P271" s="41"/>
      <c r="Q271" s="41"/>
      <c r="R271" s="41"/>
      <c r="S271" s="41"/>
      <c r="T271" s="41"/>
      <c r="U271" s="41"/>
      <c r="V271" s="41"/>
      <c r="W271" s="41"/>
      <c r="X271" s="41"/>
      <c r="Y271" s="41"/>
      <c r="Z271" s="41"/>
    </row>
    <row r="272" ht="19.5" customHeight="1">
      <c r="A272" s="41"/>
      <c r="B272" s="84" t="s">
        <v>719</v>
      </c>
      <c r="C272" s="202" t="str">
        <f>CONCATENATE(prefix_mgmt_az2_cidr,"15.1")</f>
        <v>10.22.15.1</v>
      </c>
      <c r="D272" s="18"/>
      <c r="E272" s="191" t="str">
        <f>IF(AND(mgmt_stretched_cluster_result="Included",mgmt_dpg_reuse_result="Excluded"),"Stretched L2","")</f>
        <v/>
      </c>
      <c r="F272" s="41"/>
      <c r="G272" s="41"/>
      <c r="H272" s="41"/>
      <c r="I272" s="41"/>
      <c r="J272" s="41"/>
      <c r="K272" s="41"/>
      <c r="L272" s="41"/>
      <c r="M272" s="41"/>
      <c r="N272" s="41"/>
      <c r="O272" s="41"/>
      <c r="P272" s="41"/>
      <c r="Q272" s="41"/>
      <c r="R272" s="41"/>
      <c r="S272" s="41"/>
      <c r="T272" s="41"/>
      <c r="U272" s="41"/>
      <c r="V272" s="41"/>
      <c r="W272" s="41"/>
      <c r="X272" s="41"/>
      <c r="Y272" s="41"/>
      <c r="Z272" s="41"/>
    </row>
    <row r="273" ht="19.5" customHeight="1">
      <c r="A273" s="41"/>
      <c r="B273" s="173" t="s">
        <v>465</v>
      </c>
      <c r="C273" s="202" t="str">
        <f>CONCATENATE(prefix_mgmt_az2_cidr,"15.101")</f>
        <v>10.22.15.101</v>
      </c>
      <c r="D273" s="18"/>
      <c r="E273" s="201"/>
      <c r="F273" s="41"/>
      <c r="G273" s="41"/>
      <c r="H273" s="41"/>
      <c r="I273" s="41"/>
      <c r="J273" s="41"/>
      <c r="K273" s="41"/>
      <c r="L273" s="41"/>
      <c r="M273" s="41"/>
      <c r="N273" s="41"/>
      <c r="O273" s="41"/>
      <c r="P273" s="41"/>
      <c r="Q273" s="41"/>
      <c r="R273" s="41"/>
      <c r="S273" s="41"/>
      <c r="T273" s="41"/>
      <c r="U273" s="41"/>
      <c r="V273" s="41"/>
      <c r="W273" s="41"/>
      <c r="X273" s="41"/>
      <c r="Y273" s="41"/>
      <c r="Z273" s="41"/>
    </row>
    <row r="274" ht="19.5" customHeight="1">
      <c r="A274" s="41"/>
      <c r="B274" s="173" t="s">
        <v>466</v>
      </c>
      <c r="C274" s="202" t="str">
        <f>CONCATENATE(prefix_mgmt_az2_cidr,"15.116")</f>
        <v>10.22.15.116</v>
      </c>
      <c r="D274" s="18"/>
      <c r="E274" s="20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1"/>
      <c r="D275" s="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33.75" customHeight="1">
      <c r="A276" s="41"/>
      <c r="B276" s="197" t="s">
        <v>720</v>
      </c>
      <c r="C276" s="13"/>
      <c r="D276" s="13"/>
      <c r="E276" s="14"/>
      <c r="F276" s="41"/>
      <c r="G276" s="41"/>
      <c r="H276" s="41"/>
      <c r="I276" s="41"/>
      <c r="J276" s="41"/>
      <c r="K276" s="41"/>
      <c r="L276" s="41"/>
      <c r="M276" s="41"/>
      <c r="N276" s="41"/>
      <c r="O276" s="41"/>
      <c r="P276" s="41"/>
      <c r="Q276" s="41"/>
      <c r="R276" s="41"/>
      <c r="S276" s="41"/>
      <c r="T276" s="41"/>
      <c r="U276" s="41"/>
      <c r="V276" s="41"/>
      <c r="W276" s="41"/>
      <c r="X276" s="41"/>
      <c r="Y276" s="41"/>
      <c r="Z276" s="41"/>
    </row>
    <row r="277" ht="19.5" customHeight="1">
      <c r="A277" s="41"/>
      <c r="B277" s="17" t="s">
        <v>721</v>
      </c>
      <c r="C277" s="13"/>
      <c r="D277" s="13"/>
      <c r="E277" s="14"/>
      <c r="F277" s="41"/>
      <c r="G277" s="41"/>
      <c r="H277" s="41"/>
      <c r="I277" s="41"/>
      <c r="J277" s="41"/>
      <c r="K277" s="41"/>
      <c r="L277" s="41"/>
      <c r="M277" s="41"/>
      <c r="N277" s="41"/>
      <c r="O277" s="41"/>
      <c r="P277" s="41"/>
      <c r="Q277" s="41"/>
      <c r="R277" s="41"/>
      <c r="S277" s="41"/>
      <c r="T277" s="41"/>
      <c r="U277" s="41"/>
      <c r="V277" s="41"/>
      <c r="W277" s="41"/>
      <c r="X277" s="41"/>
      <c r="Y277" s="41"/>
      <c r="Z277" s="41"/>
    </row>
    <row r="278" ht="19.5" customHeight="1">
      <c r="A278" s="41"/>
      <c r="B278" s="108" t="s">
        <v>256</v>
      </c>
      <c r="C278" s="108" t="s">
        <v>722</v>
      </c>
      <c r="D278" s="108" t="s">
        <v>274</v>
      </c>
      <c r="E278" s="108" t="s">
        <v>462</v>
      </c>
      <c r="F278" s="41"/>
      <c r="G278" s="41"/>
      <c r="H278" s="41"/>
      <c r="I278" s="41"/>
      <c r="J278" s="41"/>
      <c r="K278" s="41"/>
      <c r="L278" s="41"/>
      <c r="M278" s="41"/>
      <c r="N278" s="41"/>
      <c r="O278" s="41"/>
      <c r="P278" s="41"/>
      <c r="Q278" s="41"/>
      <c r="R278" s="41"/>
      <c r="S278" s="41"/>
      <c r="T278" s="41"/>
      <c r="U278" s="41"/>
      <c r="V278" s="41"/>
      <c r="W278" s="41"/>
      <c r="X278" s="41"/>
      <c r="Y278" s="41"/>
      <c r="Z278" s="41"/>
    </row>
    <row r="279" ht="19.5" customHeight="1">
      <c r="A279" s="41"/>
      <c r="B279" s="173" t="s">
        <v>697</v>
      </c>
      <c r="C279" s="160" t="str">
        <f>CONCATENATE(this_instance,"02-m01-r01-esx01",".",sample_child_dns_zone)</f>
        <v>lax02-m01-r01-esx01.lax.rainpole.io</v>
      </c>
      <c r="D279" s="18"/>
      <c r="E279" s="191"/>
      <c r="F279" s="41"/>
      <c r="G279" s="41"/>
      <c r="H279" s="41"/>
      <c r="I279" s="41"/>
      <c r="J279" s="41"/>
      <c r="K279" s="41"/>
      <c r="L279" s="41"/>
      <c r="M279" s="41"/>
      <c r="N279" s="41"/>
      <c r="O279" s="41"/>
      <c r="P279" s="41"/>
      <c r="Q279" s="41"/>
      <c r="R279" s="41"/>
      <c r="S279" s="41"/>
      <c r="T279" s="41"/>
      <c r="U279" s="41"/>
      <c r="V279" s="41"/>
      <c r="W279" s="41"/>
      <c r="X279" s="41"/>
      <c r="Y279" s="41"/>
      <c r="Z279" s="41"/>
    </row>
    <row r="280" ht="19.5" customHeight="1">
      <c r="A280" s="41"/>
      <c r="B280" s="173" t="s">
        <v>698</v>
      </c>
      <c r="C280" s="160" t="str">
        <f>CONCATENATE(this_instance,"02-m01-r01-esx02",".",sample_child_dns_zone)</f>
        <v>lax02-m01-r01-esx02.lax.rainpole.io</v>
      </c>
      <c r="D280" s="18"/>
      <c r="E280" s="191"/>
      <c r="F280" s="41"/>
      <c r="G280" s="41"/>
      <c r="H280" s="41"/>
      <c r="I280" s="41"/>
      <c r="J280" s="41"/>
      <c r="K280" s="41"/>
      <c r="L280" s="41"/>
      <c r="M280" s="41"/>
      <c r="N280" s="41"/>
      <c r="O280" s="41"/>
      <c r="P280" s="41"/>
      <c r="Q280" s="41"/>
      <c r="R280" s="41"/>
      <c r="S280" s="41"/>
      <c r="T280" s="41"/>
      <c r="U280" s="41"/>
      <c r="V280" s="41"/>
      <c r="W280" s="41"/>
      <c r="X280" s="41"/>
      <c r="Y280" s="41"/>
      <c r="Z280" s="41"/>
    </row>
    <row r="281" ht="19.5" customHeight="1">
      <c r="A281" s="41"/>
      <c r="B281" s="173" t="s">
        <v>699</v>
      </c>
      <c r="C281" s="160" t="str">
        <f>CONCATENATE(this_instance,"02-m01-r01-esx03",".",sample_child_dns_zone)</f>
        <v>lax02-m01-r01-esx03.lax.rainpole.io</v>
      </c>
      <c r="D281" s="18"/>
      <c r="E281" s="191"/>
      <c r="F281" s="41"/>
      <c r="G281" s="41"/>
      <c r="H281" s="41"/>
      <c r="I281" s="41"/>
      <c r="J281" s="41"/>
      <c r="K281" s="41"/>
      <c r="L281" s="41"/>
      <c r="M281" s="41"/>
      <c r="N281" s="41"/>
      <c r="O281" s="41"/>
      <c r="P281" s="41"/>
      <c r="Q281" s="41"/>
      <c r="R281" s="41"/>
      <c r="S281" s="41"/>
      <c r="T281" s="41"/>
      <c r="U281" s="41"/>
      <c r="V281" s="41"/>
      <c r="W281" s="41"/>
      <c r="X281" s="41"/>
      <c r="Y281" s="41"/>
      <c r="Z281" s="41"/>
    </row>
    <row r="282" ht="19.5" customHeight="1">
      <c r="A282" s="41"/>
      <c r="B282" s="173" t="s">
        <v>700</v>
      </c>
      <c r="C282" s="160" t="str">
        <f>CONCATENATE(this_instance,"02-m01-r01-esx04",".",sample_child_dns_zone)</f>
        <v>lax02-m01-r01-esx04.lax.rainpole.io</v>
      </c>
      <c r="D282" s="18"/>
      <c r="E282" s="191"/>
      <c r="F282" s="41"/>
      <c r="G282" s="41"/>
      <c r="H282" s="41"/>
      <c r="I282" s="41"/>
      <c r="J282" s="41"/>
      <c r="K282" s="41"/>
      <c r="L282" s="41"/>
      <c r="M282" s="41"/>
      <c r="N282" s="41"/>
      <c r="O282" s="41"/>
      <c r="P282" s="41"/>
      <c r="Q282" s="41"/>
      <c r="R282" s="41"/>
      <c r="S282" s="41"/>
      <c r="T282" s="41"/>
      <c r="U282" s="41"/>
      <c r="V282" s="41"/>
      <c r="W282" s="41"/>
      <c r="X282" s="41"/>
      <c r="Y282" s="41"/>
      <c r="Z282" s="41"/>
    </row>
    <row r="283" ht="19.5" customHeight="1">
      <c r="A283" s="41"/>
      <c r="B283" s="173" t="s">
        <v>701</v>
      </c>
      <c r="C283" s="160" t="str">
        <f>CONCATENATE(this_instance,"02-m01-r01-esx05",".",sample_child_dns_zone)</f>
        <v>lax02-m01-r01-esx05.lax.rainpole.io</v>
      </c>
      <c r="D283" s="18"/>
      <c r="E283" s="191"/>
      <c r="F283" s="41"/>
      <c r="G283" s="41"/>
      <c r="H283" s="41"/>
      <c r="I283" s="41"/>
      <c r="J283" s="41"/>
      <c r="K283" s="41"/>
      <c r="L283" s="41"/>
      <c r="M283" s="41"/>
      <c r="N283" s="41"/>
      <c r="O283" s="41"/>
      <c r="P283" s="41"/>
      <c r="Q283" s="41"/>
      <c r="R283" s="41"/>
      <c r="S283" s="41"/>
      <c r="T283" s="41"/>
      <c r="U283" s="41"/>
      <c r="V283" s="41"/>
      <c r="W283" s="41"/>
      <c r="X283" s="41"/>
      <c r="Y283" s="41"/>
      <c r="Z283" s="41"/>
    </row>
    <row r="284" ht="19.5" customHeight="1">
      <c r="A284" s="41"/>
      <c r="B284" s="173" t="s">
        <v>702</v>
      </c>
      <c r="C284" s="160" t="str">
        <f>CONCATENATE(this_instance,"02-m01-r01-esx06",".",sample_child_dns_zone)</f>
        <v>lax02-m01-r01-esx06.lax.rainpole.io</v>
      </c>
      <c r="D284" s="18"/>
      <c r="E284" s="191"/>
      <c r="F284" s="41"/>
      <c r="G284" s="41"/>
      <c r="H284" s="41"/>
      <c r="I284" s="41"/>
      <c r="J284" s="41"/>
      <c r="K284" s="41"/>
      <c r="L284" s="41"/>
      <c r="M284" s="41"/>
      <c r="N284" s="41"/>
      <c r="O284" s="41"/>
      <c r="P284" s="41"/>
      <c r="Q284" s="41"/>
      <c r="R284" s="41"/>
      <c r="S284" s="41"/>
      <c r="T284" s="41"/>
      <c r="U284" s="41"/>
      <c r="V284" s="41"/>
      <c r="W284" s="41"/>
      <c r="X284" s="41"/>
      <c r="Y284" s="41"/>
      <c r="Z284" s="41"/>
    </row>
    <row r="285" ht="19.5" customHeight="1">
      <c r="A285" s="41"/>
      <c r="B285" s="173" t="s">
        <v>703</v>
      </c>
      <c r="C285" s="160" t="str">
        <f>CONCATENATE(this_instance,"02-m01-r01-esx07",".",sample_child_dns_zone)</f>
        <v>lax02-m01-r01-esx07.lax.rainpole.io</v>
      </c>
      <c r="D285" s="18"/>
      <c r="E285" s="191"/>
      <c r="F285" s="41"/>
      <c r="G285" s="41"/>
      <c r="H285" s="41"/>
      <c r="I285" s="41"/>
      <c r="J285" s="41"/>
      <c r="K285" s="41"/>
      <c r="L285" s="41"/>
      <c r="M285" s="41"/>
      <c r="N285" s="41"/>
      <c r="O285" s="41"/>
      <c r="P285" s="41"/>
      <c r="Q285" s="41"/>
      <c r="R285" s="41"/>
      <c r="S285" s="41"/>
      <c r="T285" s="41"/>
      <c r="U285" s="41"/>
      <c r="V285" s="41"/>
      <c r="W285" s="41"/>
      <c r="X285" s="41"/>
      <c r="Y285" s="41"/>
      <c r="Z285" s="41"/>
    </row>
    <row r="286" ht="19.5" customHeight="1">
      <c r="A286" s="41"/>
      <c r="B286" s="173" t="s">
        <v>704</v>
      </c>
      <c r="C286" s="160" t="str">
        <f>CONCATENATE(this_instance,"02-m01-r01-esx08",".",sample_child_dns_zone)</f>
        <v>lax02-m01-r01-esx08.lax.rainpole.io</v>
      </c>
      <c r="D286" s="18"/>
      <c r="E286" s="191"/>
      <c r="F286" s="41"/>
      <c r="G286" s="41"/>
      <c r="H286" s="41"/>
      <c r="I286" s="41"/>
      <c r="J286" s="41"/>
      <c r="K286" s="41"/>
      <c r="L286" s="41"/>
      <c r="M286" s="41"/>
      <c r="N286" s="41"/>
      <c r="O286" s="41"/>
      <c r="P286" s="41"/>
      <c r="Q286" s="41"/>
      <c r="R286" s="41"/>
      <c r="S286" s="41"/>
      <c r="T286" s="41"/>
      <c r="U286" s="41"/>
      <c r="V286" s="41"/>
      <c r="W286" s="41"/>
      <c r="X286" s="41"/>
      <c r="Y286" s="41"/>
      <c r="Z286" s="41"/>
    </row>
    <row r="287" ht="19.5" customHeight="1">
      <c r="A287" s="41"/>
      <c r="B287" s="173" t="s">
        <v>705</v>
      </c>
      <c r="C287" s="160" t="str">
        <f>CONCATENATE(this_instance,"02-m01-r01-esx09",".",sample_child_dns_zone)</f>
        <v>lax02-m01-r01-esx09.lax.rainpole.io</v>
      </c>
      <c r="D287" s="18"/>
      <c r="E287" s="191"/>
      <c r="F287" s="41"/>
      <c r="G287" s="41"/>
      <c r="H287" s="41"/>
      <c r="I287" s="41"/>
      <c r="J287" s="41"/>
      <c r="K287" s="41"/>
      <c r="L287" s="41"/>
      <c r="M287" s="41"/>
      <c r="N287" s="41"/>
      <c r="O287" s="41"/>
      <c r="P287" s="41"/>
      <c r="Q287" s="41"/>
      <c r="R287" s="41"/>
      <c r="S287" s="41"/>
      <c r="T287" s="41"/>
      <c r="U287" s="41"/>
      <c r="V287" s="41"/>
      <c r="W287" s="41"/>
      <c r="X287" s="41"/>
      <c r="Y287" s="41"/>
      <c r="Z287" s="41"/>
    </row>
    <row r="288" ht="19.5" customHeight="1">
      <c r="A288" s="41"/>
      <c r="B288" s="173" t="s">
        <v>706</v>
      </c>
      <c r="C288" s="160" t="str">
        <f>CONCATENATE(this_instance,"02-m01-r01-esx10",".",sample_child_dns_zone)</f>
        <v>lax02-m01-r01-esx10.lax.rainpole.io</v>
      </c>
      <c r="D288" s="18"/>
      <c r="E288" s="191"/>
      <c r="F288" s="41"/>
      <c r="G288" s="41"/>
      <c r="H288" s="41"/>
      <c r="I288" s="41"/>
      <c r="J288" s="41"/>
      <c r="K288" s="41"/>
      <c r="L288" s="41"/>
      <c r="M288" s="41"/>
      <c r="N288" s="41"/>
      <c r="O288" s="41"/>
      <c r="P288" s="41"/>
      <c r="Q288" s="41"/>
      <c r="R288" s="41"/>
      <c r="S288" s="41"/>
      <c r="T288" s="41"/>
      <c r="U288" s="41"/>
      <c r="V288" s="41"/>
      <c r="W288" s="41"/>
      <c r="X288" s="41"/>
      <c r="Y288" s="41"/>
      <c r="Z288" s="41"/>
    </row>
    <row r="289" ht="19.5" customHeight="1">
      <c r="A289" s="41"/>
      <c r="B289" s="173" t="s">
        <v>707</v>
      </c>
      <c r="C289" s="160" t="str">
        <f>CONCATENATE(this_instance,"02-m01-r01-esx11",".",sample_child_dns_zone)</f>
        <v>lax02-m01-r01-esx11.lax.rainpole.io</v>
      </c>
      <c r="D289" s="18"/>
      <c r="E289" s="191"/>
      <c r="F289" s="41"/>
      <c r="G289" s="41"/>
      <c r="H289" s="41"/>
      <c r="I289" s="41"/>
      <c r="J289" s="41"/>
      <c r="K289" s="41"/>
      <c r="L289" s="41"/>
      <c r="M289" s="41"/>
      <c r="N289" s="41"/>
      <c r="O289" s="41"/>
      <c r="P289" s="41"/>
      <c r="Q289" s="41"/>
      <c r="R289" s="41"/>
      <c r="S289" s="41"/>
      <c r="T289" s="41"/>
      <c r="U289" s="41"/>
      <c r="V289" s="41"/>
      <c r="W289" s="41"/>
      <c r="X289" s="41"/>
      <c r="Y289" s="41"/>
      <c r="Z289" s="41"/>
    </row>
    <row r="290" ht="19.5" customHeight="1">
      <c r="A290" s="41"/>
      <c r="B290" s="173" t="s">
        <v>708</v>
      </c>
      <c r="C290" s="160" t="str">
        <f>CONCATENATE(this_instance,"02-m01-r01-esx12",".",sample_child_dns_zone)</f>
        <v>lax02-m01-r01-esx12.lax.rainpole.io</v>
      </c>
      <c r="D290" s="18"/>
      <c r="E290" s="191"/>
      <c r="F290" s="41"/>
      <c r="G290" s="41"/>
      <c r="H290" s="41"/>
      <c r="I290" s="41"/>
      <c r="J290" s="41"/>
      <c r="K290" s="41"/>
      <c r="L290" s="41"/>
      <c r="M290" s="41"/>
      <c r="N290" s="41"/>
      <c r="O290" s="41"/>
      <c r="P290" s="41"/>
      <c r="Q290" s="41"/>
      <c r="R290" s="41"/>
      <c r="S290" s="41"/>
      <c r="T290" s="41"/>
      <c r="U290" s="41"/>
      <c r="V290" s="41"/>
      <c r="W290" s="41"/>
      <c r="X290" s="41"/>
      <c r="Y290" s="41"/>
      <c r="Z290" s="41"/>
    </row>
    <row r="291" ht="19.5" customHeight="1">
      <c r="A291" s="41"/>
      <c r="B291" s="173" t="s">
        <v>709</v>
      </c>
      <c r="C291" s="160" t="str">
        <f>CONCATENATE(this_instance,"02-m01-r01-esx13",".",sample_child_dns_zone)</f>
        <v>lax02-m01-r01-esx13.lax.rainpole.io</v>
      </c>
      <c r="D291" s="18"/>
      <c r="E291" s="191"/>
      <c r="F291" s="41"/>
      <c r="G291" s="41"/>
      <c r="H291" s="41"/>
      <c r="I291" s="41"/>
      <c r="J291" s="41"/>
      <c r="K291" s="41"/>
      <c r="L291" s="41"/>
      <c r="M291" s="41"/>
      <c r="N291" s="41"/>
      <c r="O291" s="41"/>
      <c r="P291" s="41"/>
      <c r="Q291" s="41"/>
      <c r="R291" s="41"/>
      <c r="S291" s="41"/>
      <c r="T291" s="41"/>
      <c r="U291" s="41"/>
      <c r="V291" s="41"/>
      <c r="W291" s="41"/>
      <c r="X291" s="41"/>
      <c r="Y291" s="41"/>
      <c r="Z291" s="41"/>
    </row>
    <row r="292" ht="19.5" customHeight="1">
      <c r="A292" s="41"/>
      <c r="B292" s="173" t="s">
        <v>710</v>
      </c>
      <c r="C292" s="160" t="str">
        <f>CONCATENATE(this_instance,"02-m01-r01-esx14",".",sample_child_dns_zone)</f>
        <v>lax02-m01-r01-esx14.lax.rainpole.io</v>
      </c>
      <c r="D292" s="18"/>
      <c r="E292" s="191"/>
      <c r="F292" s="41"/>
      <c r="G292" s="41"/>
      <c r="H292" s="41"/>
      <c r="I292" s="41"/>
      <c r="J292" s="41"/>
      <c r="K292" s="41"/>
      <c r="L292" s="41"/>
      <c r="M292" s="41"/>
      <c r="N292" s="41"/>
      <c r="O292" s="41"/>
      <c r="P292" s="41"/>
      <c r="Q292" s="41"/>
      <c r="R292" s="41"/>
      <c r="S292" s="41"/>
      <c r="T292" s="41"/>
      <c r="U292" s="41"/>
      <c r="V292" s="41"/>
      <c r="W292" s="41"/>
      <c r="X292" s="41"/>
      <c r="Y292" s="41"/>
      <c r="Z292" s="41"/>
    </row>
    <row r="293" ht="19.5" customHeight="1">
      <c r="A293" s="41"/>
      <c r="B293" s="173" t="s">
        <v>711</v>
      </c>
      <c r="C293" s="160" t="str">
        <f>CONCATENATE(this_instance,"02-m01-r01-esx15",".",sample_child_dns_zone)</f>
        <v>lax02-m01-r01-esx15.lax.rainpole.io</v>
      </c>
      <c r="D293" s="18"/>
      <c r="E293" s="191"/>
      <c r="F293" s="41"/>
      <c r="G293" s="41"/>
      <c r="H293" s="41"/>
      <c r="I293" s="41"/>
      <c r="J293" s="41"/>
      <c r="K293" s="41"/>
      <c r="L293" s="41"/>
      <c r="M293" s="41"/>
      <c r="N293" s="41"/>
      <c r="O293" s="41"/>
      <c r="P293" s="41"/>
      <c r="Q293" s="41"/>
      <c r="R293" s="41"/>
      <c r="S293" s="41"/>
      <c r="T293" s="41"/>
      <c r="U293" s="41"/>
      <c r="V293" s="41"/>
      <c r="W293" s="41"/>
      <c r="X293" s="41"/>
      <c r="Y293" s="41"/>
      <c r="Z293" s="41"/>
    </row>
    <row r="294" ht="19.5" customHeight="1">
      <c r="A294" s="41"/>
      <c r="B294" s="173" t="s">
        <v>712</v>
      </c>
      <c r="C294" s="160" t="str">
        <f>CONCATENATE(this_instance,"02-m01-r01-esx16",".",sample_child_dns_zone)</f>
        <v>lax02-m01-r01-esx16.lax.rainpole.io</v>
      </c>
      <c r="D294" s="18"/>
      <c r="E294" s="191"/>
      <c r="F294" s="41"/>
      <c r="G294" s="41"/>
      <c r="H294" s="41"/>
      <c r="I294" s="41"/>
      <c r="J294" s="41"/>
      <c r="K294" s="41"/>
      <c r="L294" s="41"/>
      <c r="M294" s="41"/>
      <c r="N294" s="41"/>
      <c r="O294" s="41"/>
      <c r="P294" s="41"/>
      <c r="Q294" s="41"/>
      <c r="R294" s="41"/>
      <c r="S294" s="41"/>
      <c r="T294" s="41"/>
      <c r="U294" s="41"/>
      <c r="V294" s="41"/>
      <c r="W294" s="41"/>
      <c r="X294" s="41"/>
      <c r="Y294" s="41"/>
      <c r="Z294" s="41"/>
    </row>
    <row r="295" ht="19.5" customHeight="1">
      <c r="A295" s="41"/>
      <c r="B295" s="173" t="s">
        <v>723</v>
      </c>
      <c r="C295" s="149" t="s">
        <v>724</v>
      </c>
      <c r="D295" s="18" t="s">
        <v>724</v>
      </c>
      <c r="E295" s="191"/>
      <c r="F295" s="41"/>
      <c r="G295" s="41"/>
      <c r="H295" s="41"/>
      <c r="I295" s="41"/>
      <c r="J295" s="41"/>
      <c r="K295" s="41"/>
      <c r="L295" s="41"/>
      <c r="M295" s="41"/>
      <c r="N295" s="41"/>
      <c r="O295" s="41"/>
      <c r="P295" s="41"/>
      <c r="Q295" s="41"/>
      <c r="R295" s="41"/>
      <c r="S295" s="41"/>
      <c r="T295" s="41"/>
      <c r="U295" s="41"/>
      <c r="V295" s="41"/>
      <c r="W295" s="41"/>
      <c r="X295" s="41"/>
      <c r="Y295" s="41"/>
      <c r="Z295" s="41"/>
    </row>
    <row r="296" ht="19.5" customHeight="1">
      <c r="A296" s="41"/>
      <c r="B296" s="173" t="s">
        <v>725</v>
      </c>
      <c r="C296" s="149" t="s">
        <v>726</v>
      </c>
      <c r="D296" s="18" t="s">
        <v>726</v>
      </c>
      <c r="E296" s="191"/>
      <c r="F296" s="41"/>
      <c r="G296" s="41"/>
      <c r="H296" s="41"/>
      <c r="I296" s="41"/>
      <c r="J296" s="41"/>
      <c r="K296" s="41"/>
      <c r="L296" s="41"/>
      <c r="M296" s="41"/>
      <c r="N296" s="41"/>
      <c r="O296" s="41"/>
      <c r="P296" s="41"/>
      <c r="Q296" s="41"/>
      <c r="R296" s="41"/>
      <c r="S296" s="41"/>
      <c r="T296" s="41"/>
      <c r="U296" s="41"/>
      <c r="V296" s="41"/>
      <c r="W296" s="41"/>
      <c r="X296" s="41"/>
      <c r="Y296" s="41"/>
      <c r="Z296" s="41"/>
    </row>
    <row r="297" ht="19.5" customHeight="1">
      <c r="A297" s="41"/>
      <c r="B297" s="173" t="s">
        <v>727</v>
      </c>
      <c r="C297" s="149" t="s">
        <v>285</v>
      </c>
      <c r="D297" s="18" t="str">
        <f>IF(mgmt_principal_storage_chosen="vSAN-ESA","Selected","Unselected")</f>
        <v>Unselected</v>
      </c>
      <c r="E297" s="191"/>
      <c r="F297" s="41"/>
      <c r="G297" s="41"/>
      <c r="H297" s="41"/>
      <c r="I297" s="41"/>
      <c r="J297" s="41"/>
      <c r="K297" s="41"/>
      <c r="L297" s="41"/>
      <c r="M297" s="41"/>
      <c r="N297" s="41"/>
      <c r="O297" s="41"/>
      <c r="P297" s="41"/>
      <c r="Q297" s="41"/>
      <c r="R297" s="41"/>
      <c r="S297" s="41"/>
      <c r="T297" s="41"/>
      <c r="U297" s="41"/>
      <c r="V297" s="41"/>
      <c r="W297" s="41"/>
      <c r="X297" s="41"/>
      <c r="Y297" s="41"/>
      <c r="Z297" s="41"/>
    </row>
    <row r="298" ht="19.5" customHeight="1">
      <c r="A298" s="41"/>
      <c r="B298" s="173" t="s">
        <v>716</v>
      </c>
      <c r="C298" s="149" t="str">
        <f>sample_mgmt_az2_pool_name</f>
        <v>lax02-m01-r01-network-pool-01</v>
      </c>
      <c r="D298" s="18" t="str">
        <f>mgmt_az2_pool_name</f>
        <v>Value Missing</v>
      </c>
      <c r="E298" s="191"/>
      <c r="F298" s="41"/>
      <c r="G298" s="41"/>
      <c r="H298" s="41"/>
      <c r="I298" s="41"/>
      <c r="J298" s="41"/>
      <c r="K298" s="41"/>
      <c r="L298" s="41"/>
      <c r="M298" s="41"/>
      <c r="N298" s="41"/>
      <c r="O298" s="41"/>
      <c r="P298" s="41"/>
      <c r="Q298" s="41"/>
      <c r="R298" s="41"/>
      <c r="S298" s="41"/>
      <c r="T298" s="41"/>
      <c r="U298" s="41"/>
      <c r="V298" s="41"/>
      <c r="W298" s="41"/>
      <c r="X298" s="41"/>
      <c r="Y298" s="41"/>
      <c r="Z298" s="41"/>
    </row>
    <row r="299" ht="19.5" customHeight="1">
      <c r="A299" s="41"/>
      <c r="B299" s="173" t="s">
        <v>545</v>
      </c>
      <c r="C299" s="149" t="s">
        <v>728</v>
      </c>
      <c r="D299" s="18"/>
      <c r="E299" s="191"/>
      <c r="F299" s="41"/>
      <c r="G299" s="41"/>
      <c r="H299" s="41"/>
      <c r="I299" s="41"/>
      <c r="J299" s="41"/>
      <c r="K299" s="41"/>
      <c r="L299" s="41"/>
      <c r="M299" s="41"/>
      <c r="N299" s="41"/>
      <c r="O299" s="41"/>
      <c r="P299" s="41"/>
      <c r="Q299" s="41"/>
      <c r="R299" s="41"/>
      <c r="S299" s="41"/>
      <c r="T299" s="41"/>
      <c r="U299" s="41"/>
      <c r="V299" s="41"/>
      <c r="W299" s="41"/>
      <c r="X299" s="41"/>
      <c r="Y299" s="41"/>
      <c r="Z299" s="41"/>
    </row>
    <row r="300" ht="19.5" customHeight="1">
      <c r="A300" s="41"/>
      <c r="B300" s="173" t="s">
        <v>296</v>
      </c>
      <c r="C300" s="149" t="s">
        <v>382</v>
      </c>
      <c r="D300" s="18"/>
      <c r="E300" s="19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1"/>
      <c r="D301" s="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33.75" customHeight="1">
      <c r="A302" s="41"/>
      <c r="B302" s="197" t="s">
        <v>729</v>
      </c>
      <c r="C302" s="13"/>
      <c r="D302" s="13"/>
      <c r="E302" s="14"/>
      <c r="F302" s="41"/>
      <c r="G302" s="41"/>
      <c r="H302" s="41"/>
      <c r="I302" s="41"/>
      <c r="J302" s="41"/>
      <c r="K302" s="41"/>
      <c r="L302" s="41"/>
      <c r="M302" s="41"/>
      <c r="N302" s="41"/>
      <c r="O302" s="41"/>
      <c r="P302" s="41"/>
      <c r="Q302" s="41"/>
      <c r="R302" s="41"/>
      <c r="S302" s="41"/>
      <c r="T302" s="41"/>
      <c r="U302" s="41"/>
      <c r="V302" s="41"/>
      <c r="W302" s="41"/>
      <c r="X302" s="41"/>
      <c r="Y302" s="41"/>
      <c r="Z302" s="41"/>
    </row>
    <row r="303" ht="19.5" customHeight="1">
      <c r="A303" s="41"/>
      <c r="B303" s="102" t="s">
        <v>730</v>
      </c>
      <c r="C303" s="13"/>
      <c r="D303" s="13"/>
      <c r="E303" s="14"/>
      <c r="F303" s="41"/>
      <c r="G303" s="41"/>
      <c r="H303" s="41"/>
      <c r="I303" s="41"/>
      <c r="J303" s="41"/>
      <c r="K303" s="41"/>
      <c r="L303" s="41"/>
      <c r="M303" s="41"/>
      <c r="N303" s="41"/>
      <c r="O303" s="41"/>
      <c r="P303" s="41"/>
      <c r="Q303" s="41"/>
      <c r="R303" s="41"/>
      <c r="S303" s="41"/>
      <c r="T303" s="41"/>
      <c r="U303" s="41"/>
      <c r="V303" s="41"/>
      <c r="W303" s="41"/>
      <c r="X303" s="41"/>
      <c r="Y303" s="41"/>
      <c r="Z303" s="41"/>
    </row>
    <row r="304" ht="19.5" customHeight="1">
      <c r="A304" s="41"/>
      <c r="B304" s="108" t="s">
        <v>256</v>
      </c>
      <c r="C304" s="108" t="s">
        <v>722</v>
      </c>
      <c r="D304" s="108" t="s">
        <v>274</v>
      </c>
      <c r="E304" s="108" t="s">
        <v>462</v>
      </c>
      <c r="F304" s="41"/>
      <c r="G304" s="41"/>
      <c r="H304" s="41"/>
      <c r="I304" s="41"/>
      <c r="J304" s="41"/>
      <c r="K304" s="41"/>
      <c r="L304" s="41"/>
      <c r="M304" s="41"/>
      <c r="N304" s="41"/>
      <c r="O304" s="41"/>
      <c r="P304" s="41"/>
      <c r="Q304" s="41"/>
      <c r="R304" s="41"/>
      <c r="S304" s="41"/>
      <c r="T304" s="41"/>
      <c r="U304" s="41"/>
      <c r="V304" s="41"/>
      <c r="W304" s="41"/>
      <c r="X304" s="41"/>
      <c r="Y304" s="41"/>
      <c r="Z304" s="41"/>
    </row>
    <row r="305" ht="19.5" customHeight="1">
      <c r="A305" s="41"/>
      <c r="B305" s="84" t="s">
        <v>401</v>
      </c>
      <c r="C305" s="156" t="str">
        <f>IF(mgmt_dpg_reuse_result="Included",CONCATENATE(prefix_mgmt_witness_vlan,"10"),CONCATENATE(prefix_mgmt_witness_vlan,"11"))</f>
        <v>1110</v>
      </c>
      <c r="D305" s="18"/>
      <c r="E305" s="191"/>
      <c r="F305" s="41"/>
      <c r="G305" s="41"/>
      <c r="H305" s="41"/>
      <c r="I305" s="41"/>
      <c r="J305" s="41"/>
      <c r="K305" s="41"/>
      <c r="L305" s="41"/>
      <c r="M305" s="41"/>
      <c r="N305" s="41"/>
      <c r="O305" s="41"/>
      <c r="P305" s="41"/>
      <c r="Q305" s="41"/>
      <c r="R305" s="41"/>
      <c r="S305" s="41"/>
      <c r="T305" s="41"/>
      <c r="U305" s="41"/>
      <c r="V305" s="41"/>
      <c r="W305" s="41"/>
      <c r="X305" s="41"/>
      <c r="Y305" s="41"/>
      <c r="Z305" s="41"/>
    </row>
    <row r="306" ht="19.5" customHeight="1">
      <c r="A306" s="41"/>
      <c r="B306" s="84" t="s">
        <v>402</v>
      </c>
      <c r="C306" s="110" t="str">
        <f>IF(mgmt_dpg_reuse_result="Included",CONCATENATE(prefix_mgmt_witness_cidr,"10.1"),CONCATENATE(prefix_mgmt_witness_cidr,"11.1"))</f>
        <v>10.11.10.1</v>
      </c>
      <c r="D306" s="18"/>
      <c r="E306" s="191" t="str">
        <f>IF(AND(mgmt_stretched_cluster_result="Included",mgmt_dpg_reuse_result="Excluded"),"Stretched L2","")</f>
        <v/>
      </c>
      <c r="F306" s="41"/>
      <c r="G306" s="41"/>
      <c r="H306" s="41"/>
      <c r="I306" s="41"/>
      <c r="J306" s="41"/>
      <c r="K306" s="41"/>
      <c r="L306" s="41"/>
      <c r="M306" s="41"/>
      <c r="N306" s="41"/>
      <c r="O306" s="41"/>
      <c r="P306" s="41"/>
      <c r="Q306" s="41"/>
      <c r="R306" s="41"/>
      <c r="S306" s="41"/>
      <c r="T306" s="41"/>
      <c r="U306" s="41"/>
      <c r="V306" s="41"/>
      <c r="W306" s="41"/>
      <c r="X306" s="41"/>
      <c r="Y306" s="41"/>
      <c r="Z306" s="41"/>
    </row>
    <row r="307" ht="19.5" customHeight="1">
      <c r="A307" s="41"/>
      <c r="B307" s="84" t="s">
        <v>403</v>
      </c>
      <c r="C307" s="110" t="str">
        <f>IF(mgmt_dpg_reuse_result="Included",CONCATENATE(prefix_mgmt_witness_cidr,"10.0/24"),CONCATENATE(prefix_mgmt_witness_cidr,"11.0/24"))</f>
        <v>10.11.10.0/24</v>
      </c>
      <c r="D307" s="18"/>
      <c r="E307" s="191"/>
      <c r="F307" s="41"/>
      <c r="G307" s="41"/>
      <c r="H307" s="41"/>
      <c r="I307" s="41"/>
      <c r="J307" s="41"/>
      <c r="K307" s="41"/>
      <c r="L307" s="41"/>
      <c r="M307" s="41"/>
      <c r="N307" s="41"/>
      <c r="O307" s="41"/>
      <c r="P307" s="41"/>
      <c r="Q307" s="41"/>
      <c r="R307" s="41"/>
      <c r="S307" s="41"/>
      <c r="T307" s="41"/>
      <c r="U307" s="41"/>
      <c r="V307" s="41"/>
      <c r="W307" s="41"/>
      <c r="X307" s="41"/>
      <c r="Y307" s="41"/>
      <c r="Z307" s="41"/>
    </row>
    <row r="308" ht="19.5" customHeight="1">
      <c r="A308" s="41"/>
      <c r="B308" s="84" t="s">
        <v>404</v>
      </c>
      <c r="C308" s="156">
        <v>1500.0</v>
      </c>
      <c r="D308" s="18"/>
      <c r="E308" s="191"/>
      <c r="F308" s="41"/>
      <c r="G308" s="41"/>
      <c r="H308" s="41"/>
      <c r="I308" s="41"/>
      <c r="J308" s="41"/>
      <c r="K308" s="41"/>
      <c r="L308" s="41"/>
      <c r="M308" s="41"/>
      <c r="N308" s="41"/>
      <c r="O308" s="41"/>
      <c r="P308" s="41"/>
      <c r="Q308" s="41"/>
      <c r="R308" s="41"/>
      <c r="S308" s="41"/>
      <c r="T308" s="41"/>
      <c r="U308" s="41"/>
      <c r="V308" s="41"/>
      <c r="W308" s="41"/>
      <c r="X308" s="41"/>
      <c r="Y308" s="41"/>
      <c r="Z308" s="41"/>
    </row>
    <row r="309" ht="19.5" customHeight="1">
      <c r="A309" s="41"/>
      <c r="B309" s="17" t="s">
        <v>731</v>
      </c>
      <c r="C309" s="13"/>
      <c r="D309" s="13"/>
      <c r="E309" s="14"/>
      <c r="F309" s="41"/>
      <c r="G309" s="41"/>
      <c r="H309" s="41"/>
      <c r="I309" s="41"/>
      <c r="J309" s="41"/>
      <c r="K309" s="41"/>
      <c r="L309" s="41"/>
      <c r="M309" s="41"/>
      <c r="N309" s="41"/>
      <c r="O309" s="41"/>
      <c r="P309" s="41"/>
      <c r="Q309" s="41"/>
      <c r="R309" s="41"/>
      <c r="S309" s="41"/>
      <c r="T309" s="41"/>
      <c r="U309" s="41"/>
      <c r="V309" s="41"/>
      <c r="W309" s="41"/>
      <c r="X309" s="41"/>
      <c r="Y309" s="41"/>
      <c r="Z309" s="41"/>
    </row>
    <row r="310" ht="19.5" customHeight="1">
      <c r="A310" s="41"/>
      <c r="B310" s="84" t="s">
        <v>732</v>
      </c>
      <c r="C310" s="188" t="str">
        <f>CONCATENATE(other_instance,"-m01-vc01.",other_instance,".rainpole.io")</f>
        <v>sfo-m01-vc01.sfo.rainpole.io</v>
      </c>
      <c r="D310" s="196"/>
      <c r="E310" s="18" t="s">
        <v>733</v>
      </c>
      <c r="F310" s="41"/>
      <c r="G310" s="41"/>
      <c r="H310" s="41"/>
      <c r="I310" s="41"/>
      <c r="J310" s="41"/>
      <c r="K310" s="41"/>
      <c r="L310" s="41"/>
      <c r="M310" s="41"/>
      <c r="N310" s="41"/>
      <c r="O310" s="41"/>
      <c r="P310" s="41"/>
      <c r="Q310" s="41"/>
      <c r="R310" s="41"/>
      <c r="S310" s="41"/>
      <c r="T310" s="41"/>
      <c r="U310" s="41"/>
      <c r="V310" s="41"/>
      <c r="W310" s="41"/>
      <c r="X310" s="41"/>
      <c r="Y310" s="41"/>
      <c r="Z310" s="41"/>
    </row>
    <row r="311" ht="19.5" customHeight="1">
      <c r="A311" s="41"/>
      <c r="B311" s="84" t="s">
        <v>734</v>
      </c>
      <c r="C311" s="203" t="str">
        <f>IF(mgmt_dpg_reuse_result="Included",CONCATENATE(prefix_other_region_az1_cidr,"10.70"),CONCATENATE(prefix_other_region_az1_cidr,"11.70"))</f>
        <v>10.11.10.70</v>
      </c>
      <c r="D311" s="95"/>
      <c r="E311" s="84"/>
      <c r="F311" s="41"/>
      <c r="G311" s="41"/>
      <c r="H311" s="41"/>
      <c r="I311" s="41"/>
      <c r="J311" s="41"/>
      <c r="K311" s="41"/>
      <c r="L311" s="41"/>
      <c r="M311" s="41"/>
      <c r="N311" s="41"/>
      <c r="O311" s="41"/>
      <c r="P311" s="41"/>
      <c r="Q311" s="41"/>
      <c r="R311" s="41"/>
      <c r="S311" s="41"/>
      <c r="T311" s="41"/>
      <c r="U311" s="41"/>
      <c r="V311" s="41"/>
      <c r="W311" s="41"/>
      <c r="X311" s="41"/>
      <c r="Y311" s="41"/>
      <c r="Z311" s="41"/>
    </row>
    <row r="312" ht="19.5" customHeight="1">
      <c r="A312" s="41"/>
      <c r="B312" s="84" t="s">
        <v>735</v>
      </c>
      <c r="C312" s="203" t="str">
        <f>CONCATENATE(this_instance,"-m01-cl01-vsw01")</f>
        <v>lax-m01-cl01-vsw01</v>
      </c>
      <c r="D312" s="196"/>
      <c r="E312" s="84"/>
      <c r="F312" s="41"/>
      <c r="G312" s="41"/>
      <c r="H312" s="41"/>
      <c r="I312" s="41"/>
      <c r="J312" s="41"/>
      <c r="K312" s="41"/>
      <c r="L312" s="41"/>
      <c r="M312" s="41"/>
      <c r="N312" s="41"/>
      <c r="O312" s="41"/>
      <c r="P312" s="41"/>
      <c r="Q312" s="41"/>
      <c r="R312" s="41"/>
      <c r="S312" s="41"/>
      <c r="T312" s="41"/>
      <c r="U312" s="41"/>
      <c r="V312" s="41"/>
      <c r="W312" s="41"/>
      <c r="X312" s="41"/>
      <c r="Y312" s="41"/>
      <c r="Z312" s="41"/>
    </row>
    <row r="313" ht="19.5" customHeight="1">
      <c r="A313" s="41"/>
      <c r="B313" s="84" t="s">
        <v>736</v>
      </c>
      <c r="C313" s="110" t="str">
        <f>CONCATENATE(other_instance,"-m01-cl01")</f>
        <v>sfo-m01-cl01</v>
      </c>
      <c r="D313" s="196"/>
      <c r="E313" s="84"/>
      <c r="F313" s="41"/>
      <c r="G313" s="41"/>
      <c r="H313" s="41"/>
      <c r="I313" s="41"/>
      <c r="J313" s="41"/>
      <c r="K313" s="41"/>
      <c r="L313" s="41"/>
      <c r="M313" s="41"/>
      <c r="N313" s="41"/>
      <c r="O313" s="41"/>
      <c r="P313" s="41"/>
      <c r="Q313" s="41"/>
      <c r="R313" s="41"/>
      <c r="S313" s="41"/>
      <c r="T313" s="41"/>
      <c r="U313" s="41"/>
      <c r="V313" s="41"/>
      <c r="W313" s="41"/>
      <c r="X313" s="41"/>
      <c r="Y313" s="41"/>
      <c r="Z313" s="41"/>
    </row>
    <row r="314" ht="19.5" customHeight="1">
      <c r="A314" s="41"/>
      <c r="B314" s="84" t="s">
        <v>737</v>
      </c>
      <c r="C314" s="110" t="str">
        <f>CONCATENATE(other_instance,"-m01","-fd-mgmt")</f>
        <v>sfo-m01-fd-mgmt</v>
      </c>
      <c r="D314" s="196"/>
      <c r="E314" s="84"/>
      <c r="F314" s="41"/>
      <c r="G314" s="41"/>
      <c r="H314" s="41"/>
      <c r="I314" s="41"/>
      <c r="J314" s="41"/>
      <c r="K314" s="41"/>
      <c r="L314" s="41"/>
      <c r="M314" s="41"/>
      <c r="N314" s="41"/>
      <c r="O314" s="41"/>
      <c r="P314" s="41"/>
      <c r="Q314" s="41"/>
      <c r="R314" s="41"/>
      <c r="S314" s="41"/>
      <c r="T314" s="41"/>
      <c r="U314" s="41"/>
      <c r="V314" s="41"/>
      <c r="W314" s="41"/>
      <c r="X314" s="41"/>
      <c r="Y314" s="41"/>
      <c r="Z314" s="41"/>
    </row>
    <row r="315" ht="19.5" customHeight="1">
      <c r="A315" s="41"/>
      <c r="B315" s="84" t="s">
        <v>738</v>
      </c>
      <c r="C315" s="110" t="str">
        <f>CONCATENATE(other_instance,"-m01-cl01-ds-vsan01")</f>
        <v>sfo-m01-cl01-ds-vsan01</v>
      </c>
      <c r="D315" s="196"/>
      <c r="E315" s="84"/>
      <c r="F315" s="41"/>
      <c r="G315" s="41"/>
      <c r="H315" s="41"/>
      <c r="I315" s="41"/>
      <c r="J315" s="41"/>
      <c r="K315" s="41"/>
      <c r="L315" s="41"/>
      <c r="M315" s="41"/>
      <c r="N315" s="41"/>
      <c r="O315" s="41"/>
      <c r="P315" s="41"/>
      <c r="Q315" s="41"/>
      <c r="R315" s="41"/>
      <c r="S315" s="41"/>
      <c r="T315" s="41"/>
      <c r="U315" s="41"/>
      <c r="V315" s="41"/>
      <c r="W315" s="41"/>
      <c r="X315" s="41"/>
      <c r="Y315" s="41"/>
      <c r="Z315" s="41"/>
    </row>
    <row r="316" ht="19.5" customHeight="1">
      <c r="A316" s="41"/>
      <c r="B316" s="84" t="s">
        <v>739</v>
      </c>
      <c r="C316" s="110" t="str">
        <f>CONCATENATE(other_instance,"01-m01-cl01-vds01-pg-mgmt")</f>
        <v>sfo01-m01-cl01-vds01-pg-mgmt</v>
      </c>
      <c r="D316" s="196"/>
      <c r="E316" s="84"/>
      <c r="F316" s="41"/>
      <c r="G316" s="41"/>
      <c r="H316" s="41"/>
      <c r="I316" s="41"/>
      <c r="J316" s="41"/>
      <c r="K316" s="41"/>
      <c r="L316" s="41"/>
      <c r="M316" s="41"/>
      <c r="N316" s="41"/>
      <c r="O316" s="41"/>
      <c r="P316" s="41"/>
      <c r="Q316" s="41"/>
      <c r="R316" s="41"/>
      <c r="S316" s="41"/>
      <c r="T316" s="41"/>
      <c r="U316" s="41"/>
      <c r="V316" s="41"/>
      <c r="W316" s="41"/>
      <c r="X316" s="41"/>
      <c r="Y316" s="41"/>
      <c r="Z316" s="41"/>
    </row>
    <row r="317" ht="19.5" customHeight="1">
      <c r="A317" s="41"/>
      <c r="B317" s="84" t="s">
        <v>740</v>
      </c>
      <c r="C317" s="110" t="str">
        <f>sample_mgmt_witness_mgmt_pg</f>
        <v>sfo01-m01-cl01-vds01-pg-mgmt</v>
      </c>
      <c r="D317" s="196" t="str">
        <f>mgmt_witness_mgmt_pg</f>
        <v>Value Missing</v>
      </c>
      <c r="E317" s="84"/>
      <c r="F317" s="41"/>
      <c r="G317" s="41"/>
      <c r="H317" s="41"/>
      <c r="I317" s="41"/>
      <c r="J317" s="41"/>
      <c r="K317" s="41"/>
      <c r="L317" s="41"/>
      <c r="M317" s="41"/>
      <c r="N317" s="41"/>
      <c r="O317" s="41"/>
      <c r="P317" s="41"/>
      <c r="Q317" s="41"/>
      <c r="R317" s="41"/>
      <c r="S317" s="41"/>
      <c r="T317" s="41"/>
      <c r="U317" s="41"/>
      <c r="V317" s="41"/>
      <c r="W317" s="41"/>
      <c r="X317" s="41"/>
      <c r="Y317" s="41"/>
      <c r="Z317" s="41"/>
    </row>
    <row r="318" ht="19.5" customHeight="1">
      <c r="A318" s="41"/>
      <c r="B318" s="84" t="s">
        <v>338</v>
      </c>
      <c r="C318" s="110" t="s">
        <v>382</v>
      </c>
      <c r="D318" s="196"/>
      <c r="E318" s="84"/>
      <c r="F318" s="41"/>
      <c r="G318" s="41"/>
      <c r="H318" s="41"/>
      <c r="I318" s="41"/>
      <c r="J318" s="41"/>
      <c r="K318" s="41"/>
      <c r="L318" s="41"/>
      <c r="M318" s="41"/>
      <c r="N318" s="41"/>
      <c r="O318" s="41"/>
      <c r="P318" s="41"/>
      <c r="Q318" s="41"/>
      <c r="R318" s="41"/>
      <c r="S318" s="41"/>
      <c r="T318" s="41"/>
      <c r="U318" s="41"/>
      <c r="V318" s="41"/>
      <c r="W318" s="41"/>
      <c r="X318" s="41"/>
      <c r="Y318" s="41"/>
      <c r="Z318" s="41"/>
    </row>
    <row r="319" ht="19.5" customHeight="1">
      <c r="A319" s="41"/>
      <c r="B319" s="84" t="s">
        <v>741</v>
      </c>
      <c r="C319" s="203" t="str">
        <f>IF(mgmt_dpg_reuse_result="Included",CONCATENATE(prefix_other_region_az1_cidr,"10.218"),CONCATENATE(prefix_other_region_az1_cidr,"11.219"))</f>
        <v>10.11.10.218</v>
      </c>
      <c r="D319" s="196"/>
      <c r="E319" s="18" t="s">
        <v>742</v>
      </c>
      <c r="F319" s="41"/>
      <c r="G319" s="41"/>
      <c r="H319" s="41"/>
      <c r="I319" s="41"/>
      <c r="J319" s="41"/>
      <c r="K319" s="41"/>
      <c r="L319" s="41"/>
      <c r="M319" s="41"/>
      <c r="N319" s="41"/>
      <c r="O319" s="41"/>
      <c r="P319" s="41"/>
      <c r="Q319" s="41"/>
      <c r="R319" s="41"/>
      <c r="S319" s="41"/>
      <c r="T319" s="41"/>
      <c r="U319" s="41"/>
      <c r="V319" s="41"/>
      <c r="W319" s="41"/>
      <c r="X319" s="41"/>
      <c r="Y319" s="41"/>
      <c r="Z319" s="41"/>
    </row>
    <row r="320" ht="19.5" customHeight="1">
      <c r="A320" s="41"/>
      <c r="B320" s="84" t="s">
        <v>743</v>
      </c>
      <c r="C320" s="110" t="s">
        <v>622</v>
      </c>
      <c r="D320" s="196" t="str">
        <f>mgmt_witnessaz_mgmt_mask</f>
        <v>Value Missing</v>
      </c>
      <c r="E320" s="84"/>
      <c r="F320" s="41"/>
      <c r="G320" s="41"/>
      <c r="H320" s="41"/>
      <c r="I320" s="41"/>
      <c r="J320" s="41"/>
      <c r="K320" s="41"/>
      <c r="L320" s="41"/>
      <c r="M320" s="41"/>
      <c r="N320" s="41"/>
      <c r="O320" s="41"/>
      <c r="P320" s="41"/>
      <c r="Q320" s="41"/>
      <c r="R320" s="41"/>
      <c r="S320" s="41"/>
      <c r="T320" s="41"/>
      <c r="U320" s="41"/>
      <c r="V320" s="41"/>
      <c r="W320" s="41"/>
      <c r="X320" s="41"/>
      <c r="Y320" s="41"/>
      <c r="Z320" s="41"/>
    </row>
    <row r="321" ht="19.5" customHeight="1">
      <c r="A321" s="41"/>
      <c r="B321" s="84" t="s">
        <v>402</v>
      </c>
      <c r="C321" s="110" t="str">
        <f>sample_mgmt_witnessaz_mgmt_gateway_ip</f>
        <v>10.11.10.1</v>
      </c>
      <c r="D321" s="196" t="str">
        <f>mgmt_witnessaz_mgmt_gateway_ip</f>
        <v>Value Missing</v>
      </c>
      <c r="E321" s="84"/>
      <c r="F321" s="41"/>
      <c r="G321" s="41"/>
      <c r="H321" s="41"/>
      <c r="I321" s="41"/>
      <c r="J321" s="41"/>
      <c r="K321" s="41"/>
      <c r="L321" s="41"/>
      <c r="M321" s="41"/>
      <c r="N321" s="41"/>
      <c r="O321" s="41"/>
      <c r="P321" s="41"/>
      <c r="Q321" s="41"/>
      <c r="R321" s="41"/>
      <c r="S321" s="41"/>
      <c r="T321" s="41"/>
      <c r="U321" s="41"/>
      <c r="V321" s="41"/>
      <c r="W321" s="41"/>
      <c r="X321" s="41"/>
      <c r="Y321" s="41"/>
      <c r="Z321" s="41"/>
    </row>
    <row r="322" ht="19.5" customHeight="1">
      <c r="A322" s="41"/>
      <c r="B322" s="84" t="s">
        <v>744</v>
      </c>
      <c r="C322" s="111" t="str">
        <f>sample_child_dns_zone</f>
        <v>lax.rainpole.io</v>
      </c>
      <c r="D322" s="196"/>
      <c r="E322" s="84"/>
      <c r="F322" s="41"/>
      <c r="G322" s="41"/>
      <c r="H322" s="41"/>
      <c r="I322" s="41"/>
      <c r="J322" s="41"/>
      <c r="K322" s="41"/>
      <c r="L322" s="41"/>
      <c r="M322" s="41"/>
      <c r="N322" s="41"/>
      <c r="O322" s="41"/>
      <c r="P322" s="41"/>
      <c r="Q322" s="41"/>
      <c r="R322" s="41"/>
      <c r="S322" s="41"/>
      <c r="T322" s="41"/>
      <c r="U322" s="41"/>
      <c r="V322" s="41"/>
      <c r="W322" s="41"/>
      <c r="X322" s="41"/>
      <c r="Y322" s="41"/>
      <c r="Z322" s="41"/>
    </row>
    <row r="323" ht="19.5" customHeight="1">
      <c r="A323" s="41"/>
      <c r="B323" s="84" t="s">
        <v>745</v>
      </c>
      <c r="C323" s="110" t="str">
        <f>CONCATENATE(this_instance,"-m01-cl01-vsw01")</f>
        <v>lax-m01-cl01-vsw01</v>
      </c>
      <c r="D323" s="196" t="str">
        <f>mgmt_witness_hostname</f>
        <v>Value Missing</v>
      </c>
      <c r="E323" s="84"/>
      <c r="F323" s="41"/>
      <c r="G323" s="41"/>
      <c r="H323" s="41"/>
      <c r="I323" s="41"/>
      <c r="J323" s="41"/>
      <c r="K323" s="41"/>
      <c r="L323" s="41"/>
      <c r="M323" s="41"/>
      <c r="N323" s="41"/>
      <c r="O323" s="41"/>
      <c r="P323" s="41"/>
      <c r="Q323" s="41"/>
      <c r="R323" s="41"/>
      <c r="S323" s="41"/>
      <c r="T323" s="41"/>
      <c r="U323" s="41"/>
      <c r="V323" s="41"/>
      <c r="W323" s="41"/>
      <c r="X323" s="41"/>
      <c r="Y323" s="41"/>
      <c r="Z323" s="41"/>
    </row>
    <row r="324" ht="19.5" customHeight="1">
      <c r="A324" s="41"/>
      <c r="B324" s="84" t="s">
        <v>746</v>
      </c>
      <c r="C324" s="156" t="str">
        <f>IF(mgmt_dpg_reuse_result="Included",CONCATENATE(prefix_other_region_az1_cidr,"10.4"),CONCATENATE(prefix_other_region_az1_cidr,"11.4"))</f>
        <v>10.11.10.4</v>
      </c>
      <c r="D324" s="196"/>
      <c r="E324" s="18" t="s">
        <v>747</v>
      </c>
      <c r="F324" s="41"/>
      <c r="G324" s="41"/>
      <c r="H324" s="41"/>
      <c r="I324" s="41"/>
      <c r="J324" s="41"/>
      <c r="K324" s="41"/>
      <c r="L324" s="41"/>
      <c r="M324" s="41"/>
      <c r="N324" s="41"/>
      <c r="O324" s="41"/>
      <c r="P324" s="41"/>
      <c r="Q324" s="41"/>
      <c r="R324" s="41"/>
      <c r="S324" s="41"/>
      <c r="T324" s="41"/>
      <c r="U324" s="41"/>
      <c r="V324" s="41"/>
      <c r="W324" s="41"/>
      <c r="X324" s="41"/>
      <c r="Y324" s="41"/>
      <c r="Z324" s="41"/>
    </row>
    <row r="325" ht="19.5" customHeight="1">
      <c r="A325" s="41"/>
      <c r="B325" s="84" t="s">
        <v>748</v>
      </c>
      <c r="C325" s="156" t="str">
        <f>IF(mgmt_dpg_reuse_result="Included",CONCATENATE(prefix_other_region_az1_cidr,"10.5"),CONCATENATE(prefix_other_region_az1_cidr,"11.5"))</f>
        <v>10.11.10.5</v>
      </c>
      <c r="D325" s="196"/>
      <c r="E325" s="18" t="s">
        <v>749</v>
      </c>
      <c r="F325" s="41"/>
      <c r="G325" s="41"/>
      <c r="H325" s="41"/>
      <c r="I325" s="41"/>
      <c r="J325" s="41"/>
      <c r="K325" s="41"/>
      <c r="L325" s="41"/>
      <c r="M325" s="41"/>
      <c r="N325" s="41"/>
      <c r="O325" s="41"/>
      <c r="P325" s="41"/>
      <c r="Q325" s="41"/>
      <c r="R325" s="41"/>
      <c r="S325" s="41"/>
      <c r="T325" s="41"/>
      <c r="U325" s="41"/>
      <c r="V325" s="41"/>
      <c r="W325" s="41"/>
      <c r="X325" s="41"/>
      <c r="Y325" s="41"/>
      <c r="Z325" s="41"/>
    </row>
    <row r="326" ht="19.5" customHeight="1">
      <c r="A326" s="41"/>
      <c r="B326" s="84" t="s">
        <v>750</v>
      </c>
      <c r="C326" s="204" t="str">
        <f>CONCATENATE("ntp0.",this_instance,".rainpole.io")</f>
        <v>ntp0.lax.rainpole.io</v>
      </c>
      <c r="D326" s="196"/>
      <c r="E326" s="18"/>
      <c r="F326" s="41"/>
      <c r="G326" s="41"/>
      <c r="H326" s="41"/>
      <c r="I326" s="41"/>
      <c r="J326" s="41"/>
      <c r="K326" s="41"/>
      <c r="L326" s="41"/>
      <c r="M326" s="41"/>
      <c r="N326" s="41"/>
      <c r="O326" s="41"/>
      <c r="P326" s="41"/>
      <c r="Q326" s="41"/>
      <c r="R326" s="41"/>
      <c r="S326" s="41"/>
      <c r="T326" s="41"/>
      <c r="U326" s="41"/>
      <c r="V326" s="41"/>
      <c r="W326" s="41"/>
      <c r="X326" s="41"/>
      <c r="Y326" s="41"/>
      <c r="Z326" s="41"/>
    </row>
    <row r="327" ht="19.5" customHeight="1">
      <c r="A327" s="41"/>
      <c r="B327" s="84" t="s">
        <v>751</v>
      </c>
      <c r="C327" s="205" t="str">
        <f>CONCATENATE("ntp1.",this_instance,".rainpole.io")</f>
        <v>ntp1.lax.rainpole.io</v>
      </c>
      <c r="D327" s="196"/>
      <c r="E327" s="84"/>
      <c r="F327" s="41"/>
      <c r="G327" s="195"/>
      <c r="H327" s="41"/>
      <c r="I327" s="41"/>
      <c r="J327" s="41"/>
      <c r="K327" s="41"/>
      <c r="L327" s="41"/>
      <c r="M327" s="41"/>
      <c r="N327" s="41"/>
      <c r="O327" s="41"/>
      <c r="P327" s="41"/>
      <c r="Q327" s="41"/>
      <c r="R327" s="41"/>
      <c r="S327" s="41"/>
      <c r="T327" s="41"/>
      <c r="U327" s="41"/>
      <c r="V327" s="41"/>
      <c r="W327" s="41"/>
      <c r="X327" s="41"/>
      <c r="Y327" s="41"/>
      <c r="Z327" s="41"/>
    </row>
    <row r="328" ht="19.5" customHeight="1">
      <c r="A328" s="41"/>
      <c r="B328" s="17" t="s">
        <v>752</v>
      </c>
      <c r="C328" s="13"/>
      <c r="D328" s="13"/>
      <c r="E328" s="14"/>
      <c r="F328" s="41"/>
      <c r="G328" s="41"/>
      <c r="H328" s="41"/>
      <c r="I328" s="41"/>
      <c r="J328" s="41"/>
      <c r="K328" s="41"/>
      <c r="L328" s="41"/>
      <c r="M328" s="41"/>
      <c r="N328" s="41"/>
      <c r="O328" s="41"/>
      <c r="P328" s="41"/>
      <c r="Q328" s="41"/>
      <c r="R328" s="41"/>
      <c r="S328" s="41"/>
      <c r="T328" s="41"/>
      <c r="U328" s="41"/>
      <c r="V328" s="41"/>
      <c r="W328" s="41"/>
      <c r="X328" s="41"/>
      <c r="Y328" s="41"/>
      <c r="Z328" s="41"/>
    </row>
    <row r="329" ht="19.5" customHeight="1">
      <c r="A329" s="41"/>
      <c r="B329" s="84" t="s">
        <v>732</v>
      </c>
      <c r="C329" s="111" t="str">
        <f>sample_mgmt_vc_fqdn</f>
        <v>lax-m01-vc01.lax.rainpole.io</v>
      </c>
      <c r="D329" s="32" t="str">
        <f>mgmt_vc_fqdn</f>
        <v>Value Missing</v>
      </c>
      <c r="E329" s="84"/>
      <c r="F329" s="41"/>
      <c r="G329" s="195"/>
      <c r="H329" s="41"/>
      <c r="I329" s="41"/>
      <c r="J329" s="41"/>
      <c r="K329" s="41"/>
      <c r="L329" s="41"/>
      <c r="M329" s="41"/>
      <c r="N329" s="41"/>
      <c r="O329" s="41"/>
      <c r="P329" s="41"/>
      <c r="Q329" s="41"/>
      <c r="R329" s="41"/>
      <c r="S329" s="41"/>
      <c r="T329" s="41"/>
      <c r="U329" s="41"/>
      <c r="V329" s="41"/>
      <c r="W329" s="41"/>
      <c r="X329" s="41"/>
      <c r="Y329" s="41"/>
      <c r="Z329" s="41"/>
    </row>
    <row r="330" ht="19.5" customHeight="1">
      <c r="A330" s="41"/>
      <c r="B330" s="84" t="s">
        <v>753</v>
      </c>
      <c r="C330" s="110" t="str">
        <f>sample_mgmt_datacenter</f>
        <v>lax-m01-dc01</v>
      </c>
      <c r="D330" s="32" t="str">
        <f>mgmt_datacenter</f>
        <v>Value Missing</v>
      </c>
      <c r="E330" s="84"/>
      <c r="F330" s="41"/>
      <c r="G330" s="41"/>
      <c r="H330" s="41"/>
      <c r="I330" s="41"/>
      <c r="J330" s="41"/>
      <c r="K330" s="41"/>
      <c r="L330" s="41"/>
      <c r="M330" s="41"/>
      <c r="N330" s="41"/>
      <c r="O330" s="41"/>
      <c r="P330" s="41"/>
      <c r="Q330" s="41"/>
      <c r="R330" s="41"/>
      <c r="S330" s="41"/>
      <c r="T330" s="41"/>
      <c r="U330" s="41"/>
      <c r="V330" s="41"/>
      <c r="W330" s="41"/>
      <c r="X330" s="41"/>
      <c r="Y330" s="41"/>
      <c r="Z330" s="41"/>
    </row>
    <row r="331" ht="19.5" customHeight="1">
      <c r="A331" s="41"/>
      <c r="B331" s="84" t="s">
        <v>537</v>
      </c>
      <c r="C331" s="110" t="str">
        <f>sample_mgmt_witness_hostname</f>
        <v>lax-m01-cl01-vsw01</v>
      </c>
      <c r="D331" s="32" t="str">
        <f>mgmt_witness_hostname</f>
        <v>Value Missing</v>
      </c>
      <c r="E331" s="84"/>
      <c r="F331" s="41"/>
      <c r="G331" s="41"/>
      <c r="H331" s="41"/>
      <c r="I331" s="41"/>
      <c r="J331" s="41"/>
      <c r="K331" s="41"/>
      <c r="L331" s="41"/>
      <c r="M331" s="41"/>
      <c r="N331" s="41"/>
      <c r="O331" s="41"/>
      <c r="P331" s="41"/>
      <c r="Q331" s="41"/>
      <c r="R331" s="41"/>
      <c r="S331" s="41"/>
      <c r="T331" s="41"/>
      <c r="U331" s="41"/>
      <c r="V331" s="41"/>
      <c r="W331" s="41"/>
      <c r="X331" s="41"/>
      <c r="Y331" s="41"/>
      <c r="Z331" s="41"/>
    </row>
    <row r="332" ht="19.5" customHeight="1">
      <c r="A332" s="41"/>
      <c r="B332" s="84" t="s">
        <v>754</v>
      </c>
      <c r="C332" s="110" t="str">
        <f>sample_mgmt_witness_root_password</f>
        <v>VMw@re1!</v>
      </c>
      <c r="D332" s="32" t="str">
        <f>mgmt_witness_root_password</f>
        <v>Value Missing</v>
      </c>
      <c r="E332" s="84"/>
      <c r="F332" s="41"/>
      <c r="G332" s="41"/>
      <c r="H332" s="41"/>
      <c r="I332" s="41"/>
      <c r="J332" s="41"/>
      <c r="K332" s="41"/>
      <c r="L332" s="41"/>
      <c r="M332" s="41"/>
      <c r="N332" s="41"/>
      <c r="O332" s="41"/>
      <c r="P332" s="41"/>
      <c r="Q332" s="41"/>
      <c r="R332" s="41"/>
      <c r="S332" s="41"/>
      <c r="T332" s="41"/>
      <c r="U332" s="41"/>
      <c r="V332" s="41"/>
      <c r="W332" s="41"/>
      <c r="X332" s="41"/>
      <c r="Y332" s="41"/>
      <c r="Z332" s="41"/>
    </row>
    <row r="333" ht="19.5" customHeight="1">
      <c r="A333" s="41"/>
      <c r="B333" s="17" t="s">
        <v>755</v>
      </c>
      <c r="C333" s="13"/>
      <c r="D333" s="13"/>
      <c r="E333" s="14"/>
      <c r="F333" s="41"/>
      <c r="G333" s="41"/>
      <c r="H333" s="41"/>
      <c r="I333" s="41"/>
      <c r="J333" s="41"/>
      <c r="K333" s="41"/>
      <c r="L333" s="41"/>
      <c r="M333" s="41"/>
      <c r="N333" s="41"/>
      <c r="O333" s="41"/>
      <c r="P333" s="41"/>
      <c r="Q333" s="41"/>
      <c r="R333" s="41"/>
      <c r="S333" s="41"/>
      <c r="T333" s="41"/>
      <c r="U333" s="41"/>
      <c r="V333" s="41"/>
      <c r="W333" s="41"/>
      <c r="X333" s="41"/>
      <c r="Y333" s="41"/>
      <c r="Z333" s="41"/>
    </row>
    <row r="334" ht="19.5" customHeight="1">
      <c r="A334" s="41"/>
      <c r="B334" s="84" t="s">
        <v>732</v>
      </c>
      <c r="C334" s="111" t="str">
        <f>sample_mgmt_vc_fqdn</f>
        <v>lax-m01-vc01.lax.rainpole.io</v>
      </c>
      <c r="D334" s="32" t="str">
        <f>mgmt_vc_fqdn</f>
        <v>Value Missing</v>
      </c>
      <c r="E334" s="84"/>
      <c r="F334" s="41"/>
      <c r="G334" s="41"/>
      <c r="H334" s="41"/>
      <c r="I334" s="41"/>
      <c r="J334" s="41"/>
      <c r="K334" s="41"/>
      <c r="L334" s="41"/>
      <c r="M334" s="41"/>
      <c r="N334" s="41"/>
      <c r="O334" s="41"/>
      <c r="P334" s="41"/>
      <c r="Q334" s="41"/>
      <c r="R334" s="41"/>
      <c r="S334" s="41"/>
      <c r="T334" s="41"/>
      <c r="U334" s="41"/>
      <c r="V334" s="41"/>
      <c r="W334" s="41"/>
      <c r="X334" s="41"/>
      <c r="Y334" s="41"/>
      <c r="Z334" s="41"/>
    </row>
    <row r="335" ht="19.5" customHeight="1">
      <c r="A335" s="41"/>
      <c r="B335" s="84" t="s">
        <v>756</v>
      </c>
      <c r="C335" s="110" t="str">
        <f>CONCATENATE(this_instance,"-m01-cl01-vsw01")</f>
        <v>lax-m01-cl01-vsw01</v>
      </c>
      <c r="D335" s="32" t="str">
        <f>mgmt_witness_hostname</f>
        <v>Value Missing</v>
      </c>
      <c r="E335" s="84"/>
      <c r="F335" s="41"/>
      <c r="G335" s="41"/>
      <c r="H335" s="41"/>
      <c r="I335" s="41"/>
      <c r="J335" s="41"/>
      <c r="K335" s="41"/>
      <c r="L335" s="41"/>
      <c r="M335" s="41"/>
      <c r="N335" s="41"/>
      <c r="O335" s="41"/>
      <c r="P335" s="41"/>
      <c r="Q335" s="41"/>
      <c r="R335" s="41"/>
      <c r="S335" s="41"/>
      <c r="T335" s="41"/>
      <c r="U335" s="41"/>
      <c r="V335" s="41"/>
      <c r="W335" s="41"/>
      <c r="X335" s="41"/>
      <c r="Y335" s="41"/>
      <c r="Z335" s="41"/>
    </row>
    <row r="336" ht="19.5" customHeight="1">
      <c r="A336" s="41"/>
      <c r="B336" s="84" t="s">
        <v>757</v>
      </c>
      <c r="C336" s="110" t="str">
        <f>CONCATENATE(sample_mgmt_witness_ntp1_server,",",sample_mgmt_witness_ntp2_server)</f>
        <v>ntp0.lax.rainpole.io,ntp1.lax.rainpole.io</v>
      </c>
      <c r="D336" s="32" t="str">
        <f>IF(AND((NOT(ISBLANK(witness_ntp2_server))),(witness_ntp2_server&lt;&gt;"n/a"),(witness_ntp2_server&lt;&gt;"")),CONCATENATE(witness_ntp1_server,",",witness_ntp2_server))</f>
        <v>Value Missing,Value Missing</v>
      </c>
      <c r="E336" s="191"/>
      <c r="F336" s="41"/>
      <c r="G336" s="195"/>
      <c r="H336" s="41"/>
      <c r="I336" s="41"/>
      <c r="J336" s="41"/>
      <c r="K336" s="41"/>
      <c r="L336" s="41"/>
      <c r="M336" s="41"/>
      <c r="N336" s="41"/>
      <c r="O336" s="41"/>
      <c r="P336" s="41"/>
      <c r="Q336" s="41"/>
      <c r="R336" s="41"/>
      <c r="S336" s="41"/>
      <c r="T336" s="41"/>
      <c r="U336" s="41"/>
      <c r="V336" s="41"/>
      <c r="W336" s="41"/>
      <c r="X336" s="41"/>
      <c r="Y336" s="41"/>
      <c r="Z336" s="41"/>
    </row>
    <row r="337" ht="19.5" customHeight="1">
      <c r="A337" s="41"/>
      <c r="B337" s="17" t="s">
        <v>758</v>
      </c>
      <c r="C337" s="13"/>
      <c r="D337" s="13"/>
      <c r="E337" s="14"/>
      <c r="F337" s="41"/>
      <c r="G337" s="41"/>
      <c r="H337" s="41"/>
      <c r="I337" s="41"/>
      <c r="J337" s="41"/>
      <c r="K337" s="41"/>
      <c r="L337" s="41"/>
      <c r="M337" s="41"/>
      <c r="N337" s="41"/>
      <c r="O337" s="41"/>
      <c r="P337" s="41"/>
      <c r="Q337" s="41"/>
      <c r="R337" s="41"/>
      <c r="S337" s="41"/>
      <c r="T337" s="41"/>
      <c r="U337" s="41"/>
      <c r="V337" s="41"/>
      <c r="W337" s="41"/>
      <c r="X337" s="41"/>
      <c r="Y337" s="41"/>
      <c r="Z337" s="41"/>
    </row>
    <row r="338" ht="19.5" customHeight="1">
      <c r="A338" s="41"/>
      <c r="B338" s="84" t="s">
        <v>732</v>
      </c>
      <c r="C338" s="111" t="str">
        <f>sample_mgmt_vc_fqdn</f>
        <v>lax-m01-vc01.lax.rainpole.io</v>
      </c>
      <c r="D338" s="32" t="str">
        <f>mgmt_vc_fqdn</f>
        <v>Value Missing</v>
      </c>
      <c r="E338" s="84"/>
      <c r="F338" s="41"/>
      <c r="G338" s="41"/>
      <c r="H338" s="41"/>
      <c r="I338" s="41"/>
      <c r="J338" s="41"/>
      <c r="K338" s="41"/>
      <c r="L338" s="41"/>
      <c r="M338" s="41"/>
      <c r="N338" s="41"/>
      <c r="O338" s="41"/>
      <c r="P338" s="41"/>
      <c r="Q338" s="41"/>
      <c r="R338" s="41"/>
      <c r="S338" s="41"/>
      <c r="T338" s="41"/>
      <c r="U338" s="41"/>
      <c r="V338" s="41"/>
      <c r="W338" s="41"/>
      <c r="X338" s="41"/>
      <c r="Y338" s="41"/>
      <c r="Z338" s="41"/>
    </row>
    <row r="339" ht="19.5" customHeight="1">
      <c r="A339" s="41"/>
      <c r="B339" s="84" t="s">
        <v>759</v>
      </c>
      <c r="C339" s="110" t="str">
        <f>sample_mgmt_datacenter</f>
        <v>lax-m01-dc01</v>
      </c>
      <c r="D339" s="32" t="str">
        <f>mgmt_datacenter</f>
        <v>Value Missing</v>
      </c>
      <c r="E339" s="84"/>
      <c r="F339" s="41"/>
      <c r="G339" s="41"/>
      <c r="H339" s="41"/>
      <c r="I339" s="41"/>
      <c r="J339" s="41"/>
      <c r="K339" s="41"/>
      <c r="L339" s="41"/>
      <c r="M339" s="41"/>
      <c r="N339" s="41"/>
      <c r="O339" s="41"/>
      <c r="P339" s="41"/>
      <c r="Q339" s="41"/>
      <c r="R339" s="41"/>
      <c r="S339" s="41"/>
      <c r="T339" s="41"/>
      <c r="U339" s="41"/>
      <c r="V339" s="41"/>
      <c r="W339" s="41"/>
      <c r="X339" s="41"/>
      <c r="Y339" s="41"/>
      <c r="Z339" s="41"/>
    </row>
    <row r="340" ht="19.5" customHeight="1">
      <c r="A340" s="41"/>
      <c r="B340" s="84" t="s">
        <v>760</v>
      </c>
      <c r="C340" s="110" t="str">
        <f>sample_mgmt_witness_hostname</f>
        <v>lax-m01-cl01-vsw01</v>
      </c>
      <c r="D340" s="32" t="str">
        <f>mgmt_witness_hostname</f>
        <v>Value Missing</v>
      </c>
      <c r="E340" s="84"/>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1"/>
      <c r="D341" s="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33.75" customHeight="1">
      <c r="A342" s="41"/>
      <c r="B342" s="197" t="s">
        <v>761</v>
      </c>
      <c r="C342" s="13"/>
      <c r="D342" s="13"/>
      <c r="E342" s="14"/>
      <c r="F342" s="41"/>
      <c r="G342" s="41"/>
      <c r="H342" s="41"/>
      <c r="I342" s="41"/>
      <c r="J342" s="41"/>
      <c r="K342" s="41"/>
      <c r="L342" s="41"/>
      <c r="M342" s="41"/>
      <c r="N342" s="41"/>
      <c r="O342" s="41"/>
      <c r="P342" s="41"/>
      <c r="Q342" s="41"/>
      <c r="R342" s="41"/>
      <c r="S342" s="41"/>
      <c r="T342" s="41"/>
      <c r="U342" s="41"/>
      <c r="V342" s="41"/>
      <c r="W342" s="41"/>
      <c r="X342" s="41"/>
      <c r="Y342" s="41"/>
      <c r="Z342" s="41"/>
    </row>
    <row r="343" ht="19.5" customHeight="1">
      <c r="A343" s="41"/>
      <c r="B343" s="108" t="s">
        <v>256</v>
      </c>
      <c r="C343" s="108" t="s">
        <v>722</v>
      </c>
      <c r="D343" s="108" t="s">
        <v>274</v>
      </c>
      <c r="E343" s="108" t="s">
        <v>462</v>
      </c>
      <c r="F343" s="41"/>
      <c r="G343" s="41"/>
      <c r="H343" s="41"/>
      <c r="I343" s="41"/>
      <c r="J343" s="41"/>
      <c r="K343" s="41"/>
      <c r="L343" s="41"/>
      <c r="M343" s="41"/>
      <c r="N343" s="41"/>
      <c r="O343" s="41"/>
      <c r="P343" s="41"/>
      <c r="Q343" s="41"/>
      <c r="R343" s="41"/>
      <c r="S343" s="41"/>
      <c r="T343" s="41"/>
      <c r="U343" s="41"/>
      <c r="V343" s="41"/>
      <c r="W343" s="41"/>
      <c r="X343" s="41"/>
      <c r="Y343" s="41"/>
      <c r="Z343" s="41"/>
    </row>
    <row r="344" ht="19.5" customHeight="1">
      <c r="A344" s="41"/>
      <c r="B344" s="17" t="s">
        <v>762</v>
      </c>
      <c r="C344" s="13"/>
      <c r="D344" s="13"/>
      <c r="E344" s="14"/>
      <c r="F344" s="41"/>
      <c r="G344" s="41"/>
      <c r="H344" s="41"/>
      <c r="I344" s="41"/>
      <c r="J344" s="41"/>
      <c r="K344" s="41"/>
      <c r="L344" s="41"/>
      <c r="M344" s="41"/>
      <c r="N344" s="41"/>
      <c r="O344" s="41"/>
      <c r="P344" s="41"/>
      <c r="Q344" s="41"/>
      <c r="R344" s="41"/>
      <c r="S344" s="41"/>
      <c r="T344" s="41"/>
      <c r="U344" s="41"/>
      <c r="V344" s="41"/>
      <c r="W344" s="41"/>
      <c r="X344" s="41"/>
      <c r="Y344" s="41"/>
      <c r="Z344" s="41"/>
    </row>
    <row r="345" ht="19.5" customHeight="1">
      <c r="A345" s="41"/>
      <c r="B345" s="84" t="str">
        <f t="array" ref="B345:B360">mgmt_az2_host_fqdns</f>
        <v>Value Missing</v>
      </c>
      <c r="C345" s="110" t="s">
        <v>763</v>
      </c>
      <c r="D345" s="32"/>
      <c r="E345" s="206" t="s">
        <v>764</v>
      </c>
      <c r="F345" s="41"/>
      <c r="G345" s="41"/>
      <c r="H345" s="41"/>
      <c r="I345" s="41"/>
      <c r="J345" s="41"/>
      <c r="K345" s="41"/>
      <c r="L345" s="41"/>
      <c r="M345" s="41"/>
      <c r="N345" s="41"/>
      <c r="O345" s="41"/>
      <c r="P345" s="41"/>
      <c r="Q345" s="41"/>
      <c r="R345" s="41"/>
      <c r="S345" s="41"/>
      <c r="T345" s="41"/>
      <c r="U345" s="41"/>
      <c r="V345" s="41"/>
      <c r="W345" s="41"/>
      <c r="X345" s="41"/>
      <c r="Y345" s="41"/>
      <c r="Z345" s="41"/>
    </row>
    <row r="346" ht="19.5" customHeight="1">
      <c r="A346" s="41"/>
      <c r="B346" s="84" t="s">
        <v>483</v>
      </c>
      <c r="C346" s="110" t="s">
        <v>765</v>
      </c>
      <c r="D346" s="32"/>
      <c r="E346" s="207" t="s">
        <v>766</v>
      </c>
      <c r="F346" s="41"/>
      <c r="G346" s="41"/>
      <c r="H346" s="41"/>
      <c r="I346" s="41"/>
      <c r="J346" s="41"/>
      <c r="K346" s="41"/>
      <c r="L346" s="41"/>
      <c r="M346" s="41"/>
      <c r="N346" s="41"/>
      <c r="O346" s="41"/>
      <c r="P346" s="41"/>
      <c r="Q346" s="41"/>
      <c r="R346" s="41"/>
      <c r="S346" s="41"/>
      <c r="T346" s="41"/>
      <c r="U346" s="41"/>
      <c r="V346" s="41"/>
      <c r="W346" s="41"/>
      <c r="X346" s="41"/>
      <c r="Y346" s="41"/>
      <c r="Z346" s="41"/>
    </row>
    <row r="347" ht="19.5" customHeight="1">
      <c r="A347" s="41"/>
      <c r="B347" s="84" t="s">
        <v>483</v>
      </c>
      <c r="C347" s="110" t="s">
        <v>767</v>
      </c>
      <c r="D347" s="32"/>
      <c r="E347" s="207" t="s">
        <v>768</v>
      </c>
      <c r="F347" s="41"/>
      <c r="G347" s="41"/>
      <c r="H347" s="41"/>
      <c r="I347" s="41"/>
      <c r="J347" s="41"/>
      <c r="K347" s="41"/>
      <c r="L347" s="41"/>
      <c r="M347" s="41"/>
      <c r="N347" s="41"/>
      <c r="O347" s="41"/>
      <c r="P347" s="41"/>
      <c r="Q347" s="41"/>
      <c r="R347" s="41"/>
      <c r="S347" s="41"/>
      <c r="T347" s="41"/>
      <c r="U347" s="41"/>
      <c r="V347" s="41"/>
      <c r="W347" s="41"/>
      <c r="X347" s="41"/>
      <c r="Y347" s="41"/>
      <c r="Z347" s="41"/>
    </row>
    <row r="348" ht="19.5" customHeight="1">
      <c r="A348" s="41"/>
      <c r="B348" s="84" t="s">
        <v>483</v>
      </c>
      <c r="C348" s="110" t="s">
        <v>769</v>
      </c>
      <c r="D348" s="32"/>
      <c r="E348" s="207" t="s">
        <v>770</v>
      </c>
      <c r="F348" s="41"/>
      <c r="G348" s="41"/>
      <c r="H348" s="41"/>
      <c r="I348" s="41"/>
      <c r="J348" s="41"/>
      <c r="K348" s="41"/>
      <c r="L348" s="41"/>
      <c r="M348" s="41"/>
      <c r="N348" s="41"/>
      <c r="O348" s="41"/>
      <c r="P348" s="41"/>
      <c r="Q348" s="41"/>
      <c r="R348" s="41"/>
      <c r="S348" s="41"/>
      <c r="T348" s="41"/>
      <c r="U348" s="41"/>
      <c r="V348" s="41"/>
      <c r="W348" s="41"/>
      <c r="X348" s="41"/>
      <c r="Y348" s="41"/>
      <c r="Z348" s="41"/>
    </row>
    <row r="349" ht="19.5" customHeight="1">
      <c r="A349" s="41"/>
      <c r="B349" s="84" t="s">
        <v>483</v>
      </c>
      <c r="C349" s="208" t="s">
        <v>771</v>
      </c>
      <c r="D349" s="32"/>
      <c r="E349" s="207" t="s">
        <v>772</v>
      </c>
      <c r="F349" s="41"/>
      <c r="G349" s="41"/>
      <c r="H349" s="41"/>
      <c r="I349" s="41"/>
      <c r="J349" s="41"/>
      <c r="K349" s="41"/>
      <c r="L349" s="41"/>
      <c r="M349" s="41"/>
      <c r="N349" s="41"/>
      <c r="O349" s="41"/>
      <c r="P349" s="41"/>
      <c r="Q349" s="41"/>
      <c r="R349" s="41"/>
      <c r="S349" s="41"/>
      <c r="T349" s="41"/>
      <c r="U349" s="41"/>
      <c r="V349" s="41"/>
      <c r="W349" s="41"/>
      <c r="X349" s="41"/>
      <c r="Y349" s="41"/>
      <c r="Z349" s="41"/>
    </row>
    <row r="350" ht="19.5" customHeight="1">
      <c r="A350" s="41"/>
      <c r="B350" s="84" t="s">
        <v>483</v>
      </c>
      <c r="C350" s="208" t="s">
        <v>773</v>
      </c>
      <c r="D350" s="32"/>
      <c r="E350" s="207" t="s">
        <v>774</v>
      </c>
      <c r="F350" s="41"/>
      <c r="G350" s="41"/>
      <c r="H350" s="41"/>
      <c r="I350" s="41"/>
      <c r="J350" s="41"/>
      <c r="K350" s="41"/>
      <c r="L350" s="41"/>
      <c r="M350" s="41"/>
      <c r="N350" s="41"/>
      <c r="O350" s="41"/>
      <c r="P350" s="41"/>
      <c r="Q350" s="41"/>
      <c r="R350" s="41"/>
      <c r="S350" s="41"/>
      <c r="T350" s="41"/>
      <c r="U350" s="41"/>
      <c r="V350" s="41"/>
      <c r="W350" s="41"/>
      <c r="X350" s="41"/>
      <c r="Y350" s="41"/>
      <c r="Z350" s="41"/>
    </row>
    <row r="351" ht="19.5" customHeight="1">
      <c r="A351" s="41"/>
      <c r="B351" s="84" t="s">
        <v>483</v>
      </c>
      <c r="C351" s="208" t="s">
        <v>775</v>
      </c>
      <c r="D351" s="32"/>
      <c r="E351" s="207" t="s">
        <v>776</v>
      </c>
      <c r="F351" s="41"/>
      <c r="G351" s="41"/>
      <c r="H351" s="41"/>
      <c r="I351" s="41"/>
      <c r="J351" s="41"/>
      <c r="K351" s="41"/>
      <c r="L351" s="41"/>
      <c r="M351" s="41"/>
      <c r="N351" s="41"/>
      <c r="O351" s="41"/>
      <c r="P351" s="41"/>
      <c r="Q351" s="41"/>
      <c r="R351" s="41"/>
      <c r="S351" s="41"/>
      <c r="T351" s="41"/>
      <c r="U351" s="41"/>
      <c r="V351" s="41"/>
      <c r="W351" s="41"/>
      <c r="X351" s="41"/>
      <c r="Y351" s="41"/>
      <c r="Z351" s="41"/>
    </row>
    <row r="352" ht="19.5" customHeight="1">
      <c r="A352" s="41"/>
      <c r="B352" s="84" t="s">
        <v>483</v>
      </c>
      <c r="C352" s="208" t="s">
        <v>777</v>
      </c>
      <c r="D352" s="32"/>
      <c r="E352" s="207" t="s">
        <v>778</v>
      </c>
      <c r="F352" s="41"/>
      <c r="G352" s="41"/>
      <c r="H352" s="41"/>
      <c r="I352" s="41"/>
      <c r="J352" s="41"/>
      <c r="K352" s="41"/>
      <c r="L352" s="41"/>
      <c r="M352" s="41"/>
      <c r="N352" s="41"/>
      <c r="O352" s="41"/>
      <c r="P352" s="41"/>
      <c r="Q352" s="41"/>
      <c r="R352" s="41"/>
      <c r="S352" s="41"/>
      <c r="T352" s="41"/>
      <c r="U352" s="41"/>
      <c r="V352" s="41"/>
      <c r="W352" s="41"/>
      <c r="X352" s="41"/>
      <c r="Y352" s="41"/>
      <c r="Z352" s="41"/>
    </row>
    <row r="353" ht="19.5" customHeight="1">
      <c r="A353" s="41"/>
      <c r="B353" s="84" t="s">
        <v>483</v>
      </c>
      <c r="C353" s="208" t="s">
        <v>779</v>
      </c>
      <c r="D353" s="32"/>
      <c r="E353" s="207" t="s">
        <v>780</v>
      </c>
      <c r="F353" s="41"/>
      <c r="G353" s="41"/>
      <c r="H353" s="41"/>
      <c r="I353" s="41"/>
      <c r="J353" s="41"/>
      <c r="K353" s="41"/>
      <c r="L353" s="41"/>
      <c r="M353" s="41"/>
      <c r="N353" s="41"/>
      <c r="O353" s="41"/>
      <c r="P353" s="41"/>
      <c r="Q353" s="41"/>
      <c r="R353" s="41"/>
      <c r="S353" s="41"/>
      <c r="T353" s="41"/>
      <c r="U353" s="41"/>
      <c r="V353" s="41"/>
      <c r="W353" s="41"/>
      <c r="X353" s="41"/>
      <c r="Y353" s="41"/>
      <c r="Z353" s="41"/>
    </row>
    <row r="354" ht="19.5" customHeight="1">
      <c r="A354" s="41"/>
      <c r="B354" s="84" t="s">
        <v>483</v>
      </c>
      <c r="C354" s="208" t="s">
        <v>781</v>
      </c>
      <c r="D354" s="32"/>
      <c r="E354" s="207" t="s">
        <v>782</v>
      </c>
      <c r="F354" s="41"/>
      <c r="G354" s="41"/>
      <c r="H354" s="41"/>
      <c r="I354" s="41"/>
      <c r="J354" s="41"/>
      <c r="K354" s="41"/>
      <c r="L354" s="41"/>
      <c r="M354" s="41"/>
      <c r="N354" s="41"/>
      <c r="O354" s="41"/>
      <c r="P354" s="41"/>
      <c r="Q354" s="41"/>
      <c r="R354" s="41"/>
      <c r="S354" s="41"/>
      <c r="T354" s="41"/>
      <c r="U354" s="41"/>
      <c r="V354" s="41"/>
      <c r="W354" s="41"/>
      <c r="X354" s="41"/>
      <c r="Y354" s="41"/>
      <c r="Z354" s="41"/>
    </row>
    <row r="355" ht="19.5" customHeight="1">
      <c r="A355" s="41"/>
      <c r="B355" s="84" t="s">
        <v>483</v>
      </c>
      <c r="C355" s="208" t="s">
        <v>783</v>
      </c>
      <c r="D355" s="32"/>
      <c r="E355" s="207" t="s">
        <v>784</v>
      </c>
      <c r="F355" s="41"/>
      <c r="G355" s="195"/>
      <c r="H355" s="41"/>
      <c r="I355" s="41"/>
      <c r="J355" s="41"/>
      <c r="K355" s="41"/>
      <c r="L355" s="41"/>
      <c r="M355" s="41"/>
      <c r="N355" s="41"/>
      <c r="O355" s="41"/>
      <c r="P355" s="41"/>
      <c r="Q355" s="41"/>
      <c r="R355" s="41"/>
      <c r="S355" s="41"/>
      <c r="T355" s="41"/>
      <c r="U355" s="41"/>
      <c r="V355" s="41"/>
      <c r="W355" s="41"/>
      <c r="X355" s="41"/>
      <c r="Y355" s="41"/>
      <c r="Z355" s="41"/>
    </row>
    <row r="356" ht="19.5" customHeight="1">
      <c r="A356" s="41"/>
      <c r="B356" s="84" t="s">
        <v>483</v>
      </c>
      <c r="C356" s="208" t="s">
        <v>785</v>
      </c>
      <c r="D356" s="32"/>
      <c r="E356" s="207" t="s">
        <v>786</v>
      </c>
      <c r="F356" s="41"/>
      <c r="G356" s="195"/>
      <c r="H356" s="41"/>
      <c r="I356" s="41"/>
      <c r="J356" s="41"/>
      <c r="K356" s="41"/>
      <c r="L356" s="41"/>
      <c r="M356" s="41"/>
      <c r="N356" s="41"/>
      <c r="O356" s="41"/>
      <c r="P356" s="41"/>
      <c r="Q356" s="41"/>
      <c r="R356" s="41"/>
      <c r="S356" s="41"/>
      <c r="T356" s="41"/>
      <c r="U356" s="41"/>
      <c r="V356" s="41"/>
      <c r="W356" s="41"/>
      <c r="X356" s="41"/>
      <c r="Y356" s="41"/>
      <c r="Z356" s="41"/>
    </row>
    <row r="357" ht="19.5" customHeight="1">
      <c r="A357" s="41"/>
      <c r="B357" s="84" t="s">
        <v>483</v>
      </c>
      <c r="C357" s="208" t="s">
        <v>787</v>
      </c>
      <c r="D357" s="32"/>
      <c r="E357" s="207" t="s">
        <v>788</v>
      </c>
      <c r="F357" s="41"/>
      <c r="G357" s="195"/>
      <c r="H357" s="41"/>
      <c r="I357" s="41"/>
      <c r="J357" s="41"/>
      <c r="K357" s="41"/>
      <c r="L357" s="41"/>
      <c r="M357" s="41"/>
      <c r="N357" s="41"/>
      <c r="O357" s="41"/>
      <c r="P357" s="41"/>
      <c r="Q357" s="41"/>
      <c r="R357" s="41"/>
      <c r="S357" s="41"/>
      <c r="T357" s="41"/>
      <c r="U357" s="41"/>
      <c r="V357" s="41"/>
      <c r="W357" s="41"/>
      <c r="X357" s="41"/>
      <c r="Y357" s="41"/>
      <c r="Z357" s="41"/>
    </row>
    <row r="358" ht="19.5" customHeight="1">
      <c r="A358" s="41"/>
      <c r="B358" s="84" t="s">
        <v>483</v>
      </c>
      <c r="C358" s="208" t="s">
        <v>789</v>
      </c>
      <c r="D358" s="32"/>
      <c r="E358" s="207" t="s">
        <v>790</v>
      </c>
      <c r="F358" s="41"/>
      <c r="G358" s="195"/>
      <c r="H358" s="41"/>
      <c r="I358" s="41"/>
      <c r="J358" s="41"/>
      <c r="K358" s="41"/>
      <c r="L358" s="41"/>
      <c r="M358" s="41"/>
      <c r="N358" s="41"/>
      <c r="O358" s="41"/>
      <c r="P358" s="41"/>
      <c r="Q358" s="41"/>
      <c r="R358" s="41"/>
      <c r="S358" s="41"/>
      <c r="T358" s="41"/>
      <c r="U358" s="41"/>
      <c r="V358" s="41"/>
      <c r="W358" s="41"/>
      <c r="X358" s="41"/>
      <c r="Y358" s="41"/>
      <c r="Z358" s="41"/>
    </row>
    <row r="359" ht="19.5" customHeight="1">
      <c r="A359" s="41"/>
      <c r="B359" s="84" t="s">
        <v>483</v>
      </c>
      <c r="C359" s="208" t="s">
        <v>791</v>
      </c>
      <c r="D359" s="32"/>
      <c r="E359" s="207" t="s">
        <v>792</v>
      </c>
      <c r="F359" s="41"/>
      <c r="G359" s="195"/>
      <c r="H359" s="41"/>
      <c r="I359" s="41"/>
      <c r="J359" s="41"/>
      <c r="K359" s="41"/>
      <c r="L359" s="41"/>
      <c r="M359" s="41"/>
      <c r="N359" s="41"/>
      <c r="O359" s="41"/>
      <c r="P359" s="41"/>
      <c r="Q359" s="41"/>
      <c r="R359" s="41"/>
      <c r="S359" s="41"/>
      <c r="T359" s="41"/>
      <c r="U359" s="41"/>
      <c r="V359" s="41"/>
      <c r="W359" s="41"/>
      <c r="X359" s="41"/>
      <c r="Y359" s="41"/>
      <c r="Z359" s="41"/>
    </row>
    <row r="360" ht="19.5" customHeight="1">
      <c r="A360" s="41"/>
      <c r="B360" s="84" t="s">
        <v>483</v>
      </c>
      <c r="C360" s="208" t="s">
        <v>793</v>
      </c>
      <c r="D360" s="32"/>
      <c r="E360" s="207" t="s">
        <v>794</v>
      </c>
      <c r="F360" s="41"/>
      <c r="G360" s="195"/>
      <c r="H360" s="41"/>
      <c r="I360" s="41"/>
      <c r="J360" s="41"/>
      <c r="K360" s="41"/>
      <c r="L360" s="41"/>
      <c r="M360" s="41"/>
      <c r="N360" s="41"/>
      <c r="O360" s="41"/>
      <c r="P360" s="41"/>
      <c r="Q360" s="41"/>
      <c r="R360" s="41"/>
      <c r="S360" s="41"/>
      <c r="T360" s="41"/>
      <c r="U360" s="41"/>
      <c r="V360" s="41"/>
      <c r="W360" s="41"/>
      <c r="X360" s="41"/>
      <c r="Y360" s="41"/>
      <c r="Z360" s="41"/>
    </row>
    <row r="361" ht="19.5" customHeight="1">
      <c r="A361" s="41"/>
      <c r="B361" s="84" t="s">
        <v>795</v>
      </c>
      <c r="C361" s="110" t="str">
        <f>CONCATENATE(this_instance,"02-",sample_mgmt_cl01_cluster,"-r01-network-profile")</f>
        <v>lax02-lax-m01-cl01-r01-network-profile</v>
      </c>
      <c r="D361" s="200"/>
      <c r="E361" s="18"/>
      <c r="F361" s="41"/>
      <c r="G361" s="195"/>
      <c r="H361" s="41"/>
      <c r="I361" s="41"/>
      <c r="J361" s="41"/>
      <c r="K361" s="41"/>
      <c r="L361" s="41"/>
      <c r="M361" s="41"/>
      <c r="N361" s="41"/>
      <c r="O361" s="41"/>
      <c r="P361" s="41"/>
      <c r="Q361" s="41"/>
      <c r="R361" s="41"/>
      <c r="S361" s="41"/>
      <c r="T361" s="41"/>
      <c r="U361" s="41"/>
      <c r="V361" s="41"/>
      <c r="W361" s="41"/>
      <c r="X361" s="41"/>
      <c r="Y361" s="41"/>
      <c r="Z361" s="41"/>
    </row>
    <row r="362" ht="19.5" customHeight="1">
      <c r="A362" s="41"/>
      <c r="B362" s="84" t="s">
        <v>796</v>
      </c>
      <c r="C362" s="110" t="s">
        <v>797</v>
      </c>
      <c r="D362" s="200" t="s">
        <v>797</v>
      </c>
      <c r="E362" s="1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c r="F362" s="41"/>
      <c r="G362" s="41"/>
      <c r="H362" s="41"/>
      <c r="I362" s="41"/>
      <c r="J362" s="41"/>
      <c r="K362" s="41"/>
      <c r="L362" s="41"/>
      <c r="M362" s="41"/>
      <c r="N362" s="41"/>
      <c r="O362" s="41"/>
      <c r="P362" s="41"/>
      <c r="Q362" s="41"/>
      <c r="R362" s="41"/>
      <c r="S362" s="41"/>
      <c r="T362" s="41"/>
      <c r="U362" s="41"/>
      <c r="V362" s="41"/>
      <c r="W362" s="41"/>
      <c r="X362" s="41"/>
      <c r="Y362" s="41"/>
      <c r="Z362" s="41"/>
    </row>
    <row r="363" ht="19.5" customHeight="1">
      <c r="A363" s="41"/>
      <c r="B363" s="84" t="s">
        <v>798</v>
      </c>
      <c r="C363" s="110" t="str">
        <f>CONCATENATE(this_instance,"02-m01","-r01-ip-pool01-host")</f>
        <v>lax02-m01-r01-ip-pool01-host</v>
      </c>
      <c r="D363" s="200"/>
      <c r="E363" s="84"/>
      <c r="F363" s="41"/>
      <c r="G363" s="195"/>
      <c r="H363" s="41"/>
      <c r="I363" s="41"/>
      <c r="J363" s="41"/>
      <c r="K363" s="41"/>
      <c r="L363" s="41"/>
      <c r="M363" s="41"/>
      <c r="N363" s="41"/>
      <c r="O363" s="41"/>
      <c r="P363" s="41"/>
      <c r="Q363" s="41"/>
      <c r="R363" s="41"/>
      <c r="S363" s="41"/>
      <c r="T363" s="41"/>
      <c r="U363" s="41"/>
      <c r="V363" s="41"/>
      <c r="W363" s="41"/>
      <c r="X363" s="41"/>
      <c r="Y363" s="41"/>
      <c r="Z363" s="41"/>
    </row>
    <row r="364" ht="19.5" customHeight="1">
      <c r="A364" s="41"/>
      <c r="B364" s="84" t="s">
        <v>799</v>
      </c>
      <c r="C364" s="110" t="str">
        <f>CONCATENATE(this_instance,"02-m01","-r01-uplink-profile01")</f>
        <v>lax02-m01-r01-uplink-profile01</v>
      </c>
      <c r="D364" s="200"/>
      <c r="E364" s="84"/>
      <c r="F364" s="41"/>
      <c r="G364" s="195"/>
      <c r="H364" s="41"/>
      <c r="I364" s="41"/>
      <c r="J364" s="41"/>
      <c r="K364" s="41"/>
      <c r="L364" s="41"/>
      <c r="M364" s="41"/>
      <c r="N364" s="41"/>
      <c r="O364" s="41"/>
      <c r="P364" s="41"/>
      <c r="Q364" s="41"/>
      <c r="R364" s="41"/>
      <c r="S364" s="41"/>
      <c r="T364" s="41"/>
      <c r="U364" s="41"/>
      <c r="V364" s="41"/>
      <c r="W364" s="41"/>
      <c r="X364" s="41"/>
      <c r="Y364" s="41"/>
      <c r="Z364" s="41"/>
    </row>
    <row r="365" ht="19.5" customHeight="1">
      <c r="A365" s="41"/>
      <c r="B365" s="173" t="s">
        <v>800</v>
      </c>
      <c r="C365" s="156" t="str">
        <f>CONCATENATE(prefix_mgmt_az2_vlan,"14")</f>
        <v>2214</v>
      </c>
      <c r="D365" s="200"/>
      <c r="E365" s="173"/>
      <c r="F365" s="41"/>
      <c r="G365" s="195"/>
      <c r="H365" s="41"/>
      <c r="I365" s="41"/>
      <c r="J365" s="41"/>
      <c r="K365" s="41"/>
      <c r="L365" s="41"/>
      <c r="M365" s="41"/>
      <c r="N365" s="41"/>
      <c r="O365" s="41"/>
      <c r="P365" s="41"/>
      <c r="Q365" s="41"/>
      <c r="R365" s="41"/>
      <c r="S365" s="41"/>
      <c r="T365" s="41"/>
      <c r="U365" s="41"/>
      <c r="V365" s="41"/>
      <c r="W365" s="41"/>
      <c r="X365" s="41"/>
      <c r="Y365" s="41"/>
      <c r="Z365" s="41"/>
    </row>
    <row r="366" ht="19.5" customHeight="1">
      <c r="A366" s="41"/>
      <c r="B366" s="84" t="s">
        <v>801</v>
      </c>
      <c r="C366" s="156" t="str">
        <f>CONCATENATE(prefix_mgmt_az2_cidr,"14.1")</f>
        <v>10.22.14.1</v>
      </c>
      <c r="D366" s="200"/>
      <c r="E366" s="187"/>
      <c r="F366" s="41"/>
      <c r="G366" s="195"/>
      <c r="H366" s="41"/>
      <c r="I366" s="41"/>
      <c r="J366" s="41"/>
      <c r="K366" s="41"/>
      <c r="L366" s="41"/>
      <c r="M366" s="41"/>
      <c r="N366" s="41"/>
      <c r="O366" s="41"/>
      <c r="P366" s="41"/>
      <c r="Q366" s="41"/>
      <c r="R366" s="41"/>
      <c r="S366" s="41"/>
      <c r="T366" s="41"/>
      <c r="U366" s="41"/>
      <c r="V366" s="41"/>
      <c r="W366" s="41"/>
      <c r="X366" s="41"/>
      <c r="Y366" s="41"/>
      <c r="Z366" s="41"/>
    </row>
    <row r="367" ht="19.5" customHeight="1">
      <c r="A367" s="41"/>
      <c r="B367" s="84" t="s">
        <v>802</v>
      </c>
      <c r="C367" s="156" t="str">
        <f>CONCATENATE(prefix_mgmt_az2_cidr,"14.0/24")</f>
        <v>10.22.14.0/24</v>
      </c>
      <c r="D367" s="200"/>
      <c r="E367" s="187"/>
      <c r="F367" s="41"/>
      <c r="G367" s="195"/>
      <c r="H367" s="41"/>
      <c r="I367" s="41"/>
      <c r="J367" s="41"/>
      <c r="K367" s="41"/>
      <c r="L367" s="41"/>
      <c r="M367" s="41"/>
      <c r="N367" s="41"/>
      <c r="O367" s="41"/>
      <c r="P367" s="41"/>
      <c r="Q367" s="41"/>
      <c r="R367" s="41"/>
      <c r="S367" s="41"/>
      <c r="T367" s="41"/>
      <c r="U367" s="41"/>
      <c r="V367" s="41"/>
      <c r="W367" s="41"/>
      <c r="X367" s="41"/>
      <c r="Y367" s="41"/>
      <c r="Z367" s="41"/>
    </row>
    <row r="368" ht="19.5" customHeight="1">
      <c r="A368" s="41"/>
      <c r="B368" s="84" t="s">
        <v>803</v>
      </c>
      <c r="C368" s="156">
        <f>9000</f>
        <v>9000</v>
      </c>
      <c r="D368" s="200"/>
      <c r="E368" s="187"/>
      <c r="F368" s="41"/>
      <c r="G368" s="195"/>
      <c r="H368" s="41"/>
      <c r="I368" s="41"/>
      <c r="J368" s="41"/>
      <c r="K368" s="41"/>
      <c r="L368" s="41"/>
      <c r="M368" s="41"/>
      <c r="N368" s="41"/>
      <c r="O368" s="41"/>
      <c r="P368" s="41"/>
      <c r="Q368" s="41"/>
      <c r="R368" s="41"/>
      <c r="S368" s="41"/>
      <c r="T368" s="41"/>
      <c r="U368" s="41"/>
      <c r="V368" s="41"/>
      <c r="W368" s="41"/>
      <c r="X368" s="41"/>
      <c r="Y368" s="41"/>
      <c r="Z368" s="41"/>
    </row>
    <row r="369" ht="19.5" customHeight="1">
      <c r="A369" s="41"/>
      <c r="B369" s="173" t="s">
        <v>465</v>
      </c>
      <c r="C369" s="156" t="str">
        <f>CONCATENATE(prefix_mgmt_az2_cidr,"14.101")</f>
        <v>10.22.14.101</v>
      </c>
      <c r="D369" s="200"/>
      <c r="E369" s="187"/>
      <c r="F369" s="41"/>
      <c r="G369" s="195"/>
      <c r="H369" s="41"/>
      <c r="I369" s="41"/>
      <c r="J369" s="41"/>
      <c r="K369" s="41"/>
      <c r="L369" s="41"/>
      <c r="M369" s="41"/>
      <c r="N369" s="41"/>
      <c r="O369" s="41"/>
      <c r="P369" s="41"/>
      <c r="Q369" s="41"/>
      <c r="R369" s="41"/>
      <c r="S369" s="41"/>
      <c r="T369" s="41"/>
      <c r="U369" s="41"/>
      <c r="V369" s="41"/>
      <c r="W369" s="41"/>
      <c r="X369" s="41"/>
      <c r="Y369" s="41"/>
      <c r="Z369" s="41"/>
    </row>
    <row r="370" ht="19.5" customHeight="1">
      <c r="A370" s="41"/>
      <c r="B370" s="173" t="s">
        <v>466</v>
      </c>
      <c r="C370" s="156" t="str">
        <f>CONCATENATE(prefix_mgmt_az2_cidr,"14.132")</f>
        <v>10.22.14.132</v>
      </c>
      <c r="D370" s="200"/>
      <c r="E370" s="187"/>
      <c r="F370" s="41"/>
      <c r="G370" s="195"/>
      <c r="H370" s="41"/>
      <c r="I370" s="41"/>
      <c r="J370" s="41"/>
      <c r="K370" s="41"/>
      <c r="L370" s="41"/>
      <c r="M370" s="41"/>
      <c r="N370" s="41"/>
      <c r="O370" s="41"/>
      <c r="P370" s="41"/>
      <c r="Q370" s="41"/>
      <c r="R370" s="41"/>
      <c r="S370" s="41"/>
      <c r="T370" s="41"/>
      <c r="U370" s="41"/>
      <c r="V370" s="41"/>
      <c r="W370" s="41"/>
      <c r="X370" s="41"/>
      <c r="Y370" s="41"/>
      <c r="Z370" s="41"/>
    </row>
    <row r="371" ht="19.5" customHeight="1">
      <c r="A371" s="41"/>
      <c r="B371" s="84" t="s">
        <v>804</v>
      </c>
      <c r="C371" s="111" t="str">
        <f>CONCATENATE(this_instance,"-m01-cl01-vsw01.",sample_child_dns_zone)</f>
        <v>lax-m01-cl01-vsw01.lax.rainpole.io</v>
      </c>
      <c r="D371" s="200"/>
      <c r="E371" s="18"/>
      <c r="F371" s="41"/>
      <c r="G371" s="195"/>
      <c r="H371" s="41"/>
      <c r="I371" s="41"/>
      <c r="J371" s="41"/>
      <c r="K371" s="41"/>
      <c r="L371" s="41"/>
      <c r="M371" s="41"/>
      <c r="N371" s="41"/>
      <c r="O371" s="41"/>
      <c r="P371" s="41"/>
      <c r="Q371" s="41"/>
      <c r="R371" s="41"/>
      <c r="S371" s="41"/>
      <c r="T371" s="41"/>
      <c r="U371" s="41"/>
      <c r="V371" s="41"/>
      <c r="W371" s="41"/>
      <c r="X371" s="41"/>
      <c r="Y371" s="41"/>
      <c r="Z371" s="41"/>
    </row>
    <row r="372" ht="19.5" customHeight="1">
      <c r="A372" s="41"/>
      <c r="B372" s="84" t="s">
        <v>805</v>
      </c>
      <c r="C372" s="110" t="str">
        <f>sample_mgmt_witnessaz_mgmt_cidr</f>
        <v>10.11.10.0/24</v>
      </c>
      <c r="D372" s="200" t="str">
        <f>mgmt_witnessaz_mgmt_cidr</f>
        <v>Value Missing</v>
      </c>
      <c r="E372" s="18" t="s">
        <v>806</v>
      </c>
      <c r="F372" s="41"/>
      <c r="G372" s="195"/>
      <c r="H372" s="41"/>
      <c r="I372" s="41"/>
      <c r="J372" s="41"/>
      <c r="K372" s="41"/>
      <c r="L372" s="41"/>
      <c r="M372" s="41"/>
      <c r="N372" s="41"/>
      <c r="O372" s="41"/>
      <c r="P372" s="41"/>
      <c r="Q372" s="41"/>
      <c r="R372" s="41"/>
      <c r="S372" s="41"/>
      <c r="T372" s="41"/>
      <c r="U372" s="41"/>
      <c r="V372" s="41"/>
      <c r="W372" s="41"/>
      <c r="X372" s="41"/>
      <c r="Y372" s="41"/>
      <c r="Z372" s="41"/>
    </row>
    <row r="373" ht="19.5" customHeight="1">
      <c r="A373" s="41"/>
      <c r="B373" s="84" t="s">
        <v>807</v>
      </c>
      <c r="C373" s="163" t="str">
        <f>sample_mgmt_witness_ip</f>
        <v>10.11.10.218</v>
      </c>
      <c r="D373" s="200" t="str">
        <f>mgmt_witness_mgmt_ip</f>
        <v>#NAME?</v>
      </c>
      <c r="E373" s="18" t="s">
        <v>808</v>
      </c>
      <c r="F373" s="41"/>
      <c r="G373" s="195"/>
      <c r="H373" s="41"/>
      <c r="I373" s="41"/>
      <c r="J373" s="41"/>
      <c r="K373" s="41"/>
      <c r="L373" s="41"/>
      <c r="M373" s="41"/>
      <c r="N373" s="41"/>
      <c r="O373" s="41"/>
      <c r="P373" s="41"/>
      <c r="Q373" s="41"/>
      <c r="R373" s="41"/>
      <c r="S373" s="41"/>
      <c r="T373" s="41"/>
      <c r="U373" s="41"/>
      <c r="V373" s="41"/>
      <c r="W373" s="41"/>
      <c r="X373" s="41"/>
      <c r="Y373" s="41"/>
      <c r="Z373" s="41"/>
    </row>
    <row r="374" ht="19.5" customHeight="1">
      <c r="A374" s="41"/>
      <c r="B374" s="84" t="s">
        <v>809</v>
      </c>
      <c r="C374" s="110" t="s">
        <v>810</v>
      </c>
      <c r="D374" s="200"/>
      <c r="E374" s="18" t="s">
        <v>811</v>
      </c>
      <c r="F374" s="41"/>
      <c r="G374" s="41"/>
      <c r="H374" s="41"/>
      <c r="I374" s="41"/>
      <c r="J374" s="41"/>
      <c r="K374" s="41"/>
      <c r="L374" s="41"/>
      <c r="M374" s="41"/>
      <c r="N374" s="41"/>
      <c r="O374" s="41"/>
      <c r="P374" s="41"/>
      <c r="Q374" s="41"/>
      <c r="R374" s="41"/>
      <c r="S374" s="41"/>
      <c r="T374" s="41"/>
      <c r="U374" s="41"/>
      <c r="V374" s="41"/>
      <c r="W374" s="41"/>
      <c r="X374" s="41"/>
      <c r="Y374" s="41"/>
      <c r="Z374" s="41"/>
    </row>
    <row r="375" ht="19.5" customHeight="1">
      <c r="A375" s="41"/>
      <c r="B375" s="79"/>
      <c r="C375" s="13"/>
      <c r="D375" s="13"/>
      <c r="E375" s="13"/>
      <c r="F375" s="41"/>
      <c r="G375" s="41"/>
      <c r="H375" s="41"/>
      <c r="I375" s="41"/>
      <c r="J375" s="41"/>
      <c r="K375" s="41"/>
      <c r="L375" s="41"/>
      <c r="M375" s="41"/>
      <c r="N375" s="41"/>
      <c r="O375" s="41"/>
      <c r="P375" s="41"/>
      <c r="Q375" s="41"/>
      <c r="R375" s="41"/>
      <c r="S375" s="41"/>
      <c r="T375" s="41"/>
      <c r="U375" s="41"/>
      <c r="V375" s="41"/>
      <c r="W375" s="41"/>
      <c r="X375" s="41"/>
      <c r="Y375" s="41"/>
      <c r="Z375" s="41"/>
    </row>
    <row r="376" ht="33.75" customHeight="1">
      <c r="A376" s="41"/>
      <c r="B376" s="197" t="s">
        <v>812</v>
      </c>
      <c r="C376" s="13"/>
      <c r="D376" s="13"/>
      <c r="E376" s="14"/>
      <c r="F376" s="41"/>
      <c r="G376" s="41"/>
      <c r="H376" s="41"/>
      <c r="I376" s="41"/>
      <c r="J376" s="41"/>
      <c r="K376" s="41"/>
      <c r="L376" s="41"/>
      <c r="M376" s="41"/>
      <c r="N376" s="41"/>
      <c r="O376" s="41"/>
      <c r="P376" s="41"/>
      <c r="Q376" s="41"/>
      <c r="R376" s="41"/>
      <c r="S376" s="41"/>
      <c r="T376" s="41"/>
      <c r="U376" s="41"/>
      <c r="V376" s="41"/>
      <c r="W376" s="41"/>
      <c r="X376" s="41"/>
      <c r="Y376" s="41"/>
      <c r="Z376" s="41"/>
    </row>
    <row r="377" ht="19.5" customHeight="1">
      <c r="A377" s="41"/>
      <c r="B377" s="17" t="s">
        <v>813</v>
      </c>
      <c r="C377" s="13"/>
      <c r="D377" s="13"/>
      <c r="E377" s="14"/>
      <c r="F377" s="41"/>
      <c r="G377" s="41"/>
      <c r="H377" s="41"/>
      <c r="I377" s="41"/>
      <c r="J377" s="41"/>
      <c r="K377" s="41"/>
      <c r="L377" s="41"/>
      <c r="M377" s="41"/>
      <c r="N377" s="41"/>
      <c r="O377" s="41"/>
      <c r="P377" s="41"/>
      <c r="Q377" s="41"/>
      <c r="R377" s="41"/>
      <c r="S377" s="41"/>
      <c r="T377" s="41"/>
      <c r="U377" s="41"/>
      <c r="V377" s="41"/>
      <c r="W377" s="41"/>
      <c r="X377" s="41"/>
      <c r="Y377" s="41"/>
      <c r="Z377" s="41"/>
    </row>
    <row r="378" ht="19.5" customHeight="1">
      <c r="A378" s="41"/>
      <c r="B378" s="84" t="s">
        <v>814</v>
      </c>
      <c r="C378" s="111" t="str">
        <f>sample_mgmt_nsxt_vip_fqdn</f>
        <v>lax-m01-nsx01.lax.rainpole.io</v>
      </c>
      <c r="D378" s="18" t="str">
        <f>mgmt_nsxt_vip_fqdn</f>
        <v>Value Missing</v>
      </c>
      <c r="E378" s="18" t="b">
        <f>IF(mgmt_vns_chosen&lt;&gt;"Centralized Connectivity", "These sections are masked out as NSX connectivity has not be configured or selected in Post-Deployment Options" )</f>
        <v>0</v>
      </c>
      <c r="F378" s="41"/>
      <c r="G378" s="41"/>
      <c r="H378" s="41"/>
      <c r="I378" s="41"/>
      <c r="J378" s="41"/>
      <c r="K378" s="41"/>
      <c r="L378" s="41"/>
      <c r="M378" s="41"/>
      <c r="N378" s="41"/>
      <c r="O378" s="41"/>
      <c r="P378" s="41"/>
      <c r="Q378" s="41"/>
      <c r="R378" s="41"/>
      <c r="S378" s="41"/>
      <c r="T378" s="41"/>
      <c r="U378" s="41"/>
      <c r="V378" s="41"/>
      <c r="W378" s="41"/>
      <c r="X378" s="41"/>
      <c r="Y378" s="41"/>
      <c r="Z378" s="41"/>
    </row>
    <row r="379" ht="19.5" customHeight="1">
      <c r="A379" s="41"/>
      <c r="B379" s="17" t="s">
        <v>815</v>
      </c>
      <c r="C379" s="13"/>
      <c r="D379" s="13"/>
      <c r="E379" s="14"/>
      <c r="F379" s="41"/>
      <c r="G379" s="41"/>
      <c r="H379" s="41"/>
      <c r="I379" s="41"/>
      <c r="J379" s="41"/>
      <c r="K379" s="41"/>
      <c r="L379" s="41"/>
      <c r="M379" s="41"/>
      <c r="N379" s="41"/>
      <c r="O379" s="41"/>
      <c r="P379" s="41"/>
      <c r="Q379" s="41"/>
      <c r="R379" s="41"/>
      <c r="S379" s="41"/>
      <c r="T379" s="41"/>
      <c r="U379" s="41"/>
      <c r="V379" s="41"/>
      <c r="W379" s="41"/>
      <c r="X379" s="41"/>
      <c r="Y379" s="41"/>
      <c r="Z379" s="41"/>
    </row>
    <row r="380" ht="19.5" customHeight="1">
      <c r="A380" s="41"/>
      <c r="B380" s="84" t="s">
        <v>814</v>
      </c>
      <c r="C380" s="111" t="str">
        <f>sample_mgmt_nsxt_vip_fqdn</f>
        <v>lax-m01-nsx01.lax.rainpole.io</v>
      </c>
      <c r="D380" s="32" t="str">
        <f>mgmt_nsxt_vip_fqdn</f>
        <v>Value Missing</v>
      </c>
      <c r="E380" s="84"/>
      <c r="F380" s="41"/>
      <c r="G380" s="41"/>
      <c r="H380" s="41"/>
      <c r="I380" s="41"/>
      <c r="J380" s="41"/>
      <c r="K380" s="41"/>
      <c r="L380" s="41"/>
      <c r="M380" s="41"/>
      <c r="N380" s="41"/>
      <c r="O380" s="41"/>
      <c r="P380" s="41"/>
      <c r="Q380" s="41"/>
      <c r="R380" s="41"/>
      <c r="S380" s="41"/>
      <c r="T380" s="41"/>
      <c r="U380" s="41"/>
      <c r="V380" s="41"/>
      <c r="W380" s="41"/>
      <c r="X380" s="41"/>
      <c r="Y380" s="41"/>
      <c r="Z380" s="41"/>
    </row>
    <row r="381" ht="19.5" customHeight="1">
      <c r="A381" s="41"/>
      <c r="B381" s="84" t="s">
        <v>816</v>
      </c>
      <c r="C381" s="110" t="str">
        <f>sample_mgmt_en_asn</f>
        <v>65201</v>
      </c>
      <c r="D381" s="32" t="str">
        <f>mgmt_en_asn</f>
        <v>Value Missing</v>
      </c>
      <c r="E381" s="84"/>
      <c r="F381" s="41"/>
      <c r="G381" s="41"/>
      <c r="H381" s="41"/>
      <c r="I381" s="41"/>
      <c r="J381" s="41"/>
      <c r="K381" s="41"/>
      <c r="L381" s="41"/>
      <c r="M381" s="41"/>
      <c r="N381" s="41"/>
      <c r="O381" s="41"/>
      <c r="P381" s="41"/>
      <c r="Q381" s="41"/>
      <c r="R381" s="41"/>
      <c r="S381" s="41"/>
      <c r="T381" s="41"/>
      <c r="U381" s="41"/>
      <c r="V381" s="41"/>
      <c r="W381" s="41"/>
      <c r="X381" s="41"/>
      <c r="Y381" s="41"/>
      <c r="Z381" s="41"/>
    </row>
    <row r="382" ht="19.5" customHeight="1">
      <c r="A382" s="41"/>
      <c r="B382" s="17" t="s">
        <v>817</v>
      </c>
      <c r="C382" s="13"/>
      <c r="D382" s="13"/>
      <c r="E382" s="14"/>
      <c r="F382" s="41"/>
      <c r="G382" s="41"/>
      <c r="H382" s="41"/>
      <c r="I382" s="41"/>
      <c r="J382" s="41"/>
      <c r="K382" s="41"/>
      <c r="L382" s="41"/>
      <c r="M382" s="41"/>
      <c r="N382" s="41"/>
      <c r="O382" s="41"/>
      <c r="P382" s="41"/>
      <c r="Q382" s="41"/>
      <c r="R382" s="41"/>
      <c r="S382" s="41"/>
      <c r="T382" s="41"/>
      <c r="U382" s="41"/>
      <c r="V382" s="41"/>
      <c r="W382" s="41"/>
      <c r="X382" s="41"/>
      <c r="Y382" s="41"/>
      <c r="Z382" s="41"/>
    </row>
    <row r="383" ht="19.5" customHeight="1">
      <c r="A383" s="41"/>
      <c r="B383" s="84" t="s">
        <v>814</v>
      </c>
      <c r="C383" s="111" t="str">
        <f>sample_mgmt_nsxt_vip_fqdn</f>
        <v>lax-m01-nsx01.lax.rainpole.io</v>
      </c>
      <c r="D383" s="32" t="str">
        <f>mgmt_nsxt_vip_fqdn</f>
        <v>Value Missing</v>
      </c>
      <c r="E383" s="18"/>
      <c r="F383" s="41"/>
      <c r="G383" s="41"/>
      <c r="H383" s="41"/>
      <c r="I383" s="41"/>
      <c r="J383" s="41"/>
      <c r="K383" s="41"/>
      <c r="L383" s="41"/>
      <c r="M383" s="41"/>
      <c r="N383" s="41"/>
      <c r="O383" s="41"/>
      <c r="P383" s="41"/>
      <c r="Q383" s="41"/>
      <c r="R383" s="41"/>
      <c r="S383" s="41"/>
      <c r="T383" s="41"/>
      <c r="U383" s="41"/>
      <c r="V383" s="41"/>
      <c r="W383" s="41"/>
      <c r="X383" s="41"/>
      <c r="Y383" s="41"/>
      <c r="Z383" s="41"/>
    </row>
    <row r="384" ht="19.5" customHeight="1">
      <c r="A384" s="41"/>
      <c r="B384" s="84" t="s">
        <v>818</v>
      </c>
      <c r="C384" s="110" t="str">
        <f>CONCATENATE(prefix_mgmt_az1_cidr,"17.11")</f>
        <v>10.21.17.11</v>
      </c>
      <c r="D384" s="18"/>
      <c r="E384" s="18" t="s">
        <v>658</v>
      </c>
      <c r="F384" s="41"/>
      <c r="G384" s="41"/>
      <c r="H384" s="41"/>
      <c r="I384" s="41"/>
      <c r="J384" s="41"/>
      <c r="K384" s="41"/>
      <c r="L384" s="41"/>
      <c r="M384" s="41"/>
      <c r="N384" s="41"/>
      <c r="O384" s="41"/>
      <c r="P384" s="41"/>
      <c r="Q384" s="41"/>
      <c r="R384" s="41"/>
      <c r="S384" s="41"/>
      <c r="T384" s="41"/>
      <c r="U384" s="41"/>
      <c r="V384" s="41"/>
      <c r="W384" s="41"/>
      <c r="X384" s="41"/>
      <c r="Y384" s="41"/>
      <c r="Z384" s="41"/>
    </row>
    <row r="385" ht="19.5" customHeight="1">
      <c r="A385" s="41"/>
      <c r="B385" s="84" t="s">
        <v>819</v>
      </c>
      <c r="C385" s="110" t="str">
        <f>IF(wld_domain_chosen="First Domain",CONCATENATE(asn_start,asn_instance,asn_mgmt_az2,1),IF(wld_nsxt_federation_result="Included",CONCATENATE(asn_start,asn_instance,asn_mgmt_az2,1),CONCATENATE(asn_start,asn_instance,asn_mgmt_az2,1)))</f>
        <v>221</v>
      </c>
      <c r="D385" s="18"/>
      <c r="E385" s="18" t="s">
        <v>659</v>
      </c>
      <c r="F385" s="41"/>
      <c r="G385" s="41"/>
      <c r="H385" s="41"/>
      <c r="I385" s="41"/>
      <c r="J385" s="41"/>
      <c r="K385" s="41"/>
      <c r="L385" s="41"/>
      <c r="M385" s="41"/>
      <c r="N385" s="41"/>
      <c r="O385" s="41"/>
      <c r="P385" s="41"/>
      <c r="Q385" s="41"/>
      <c r="R385" s="41"/>
      <c r="S385" s="41"/>
      <c r="T385" s="41"/>
      <c r="U385" s="41"/>
      <c r="V385" s="41"/>
      <c r="W385" s="41"/>
      <c r="X385" s="41"/>
      <c r="Y385" s="41"/>
      <c r="Z385" s="41"/>
    </row>
    <row r="386" ht="19.5" customHeight="1">
      <c r="A386" s="41"/>
      <c r="B386" s="84" t="s">
        <v>820</v>
      </c>
      <c r="C386" s="110" t="str">
        <f>sample_mgmt_az1_en1_uplink01_interface_cidr</f>
        <v>10.21.17.2/24</v>
      </c>
      <c r="D386" s="32" t="str">
        <f>mgmt_az1_en1_uplink01_interface_cidr</f>
        <v>Value Missing</v>
      </c>
      <c r="E386" s="18"/>
      <c r="F386" s="41"/>
      <c r="G386" s="41"/>
      <c r="H386" s="41"/>
      <c r="I386" s="41"/>
      <c r="J386" s="41"/>
      <c r="K386" s="41"/>
      <c r="L386" s="41"/>
      <c r="M386" s="41"/>
      <c r="N386" s="41"/>
      <c r="O386" s="41"/>
      <c r="P386" s="41"/>
      <c r="Q386" s="41"/>
      <c r="R386" s="41"/>
      <c r="S386" s="41"/>
      <c r="T386" s="41"/>
      <c r="U386" s="41"/>
      <c r="V386" s="41"/>
      <c r="W386" s="41"/>
      <c r="X386" s="41"/>
      <c r="Y386" s="41"/>
      <c r="Z386" s="41"/>
    </row>
    <row r="387" ht="19.5" customHeight="1">
      <c r="A387" s="41"/>
      <c r="B387" s="84" t="s">
        <v>821</v>
      </c>
      <c r="C387" s="110" t="str">
        <f>sample_mgmt_az1_en2_uplink01_interface_cidr</f>
        <v>10.21.17.3/24</v>
      </c>
      <c r="D387" s="32" t="str">
        <f>mgmt_az1_en2_uplink01_interface_cidr</f>
        <v>Value Missing</v>
      </c>
      <c r="E387" s="18"/>
      <c r="F387" s="41"/>
      <c r="G387" s="41"/>
      <c r="H387" s="41"/>
      <c r="I387" s="41"/>
      <c r="J387" s="41"/>
      <c r="K387" s="41"/>
      <c r="L387" s="41"/>
      <c r="M387" s="41"/>
      <c r="N387" s="41"/>
      <c r="O387" s="41"/>
      <c r="P387" s="41"/>
      <c r="Q387" s="41"/>
      <c r="R387" s="41"/>
      <c r="S387" s="41"/>
      <c r="T387" s="41"/>
      <c r="U387" s="41"/>
      <c r="V387" s="41"/>
      <c r="W387" s="41"/>
      <c r="X387" s="41"/>
      <c r="Y387" s="41"/>
      <c r="Z387" s="41"/>
    </row>
    <row r="388" ht="19.5" customHeight="1">
      <c r="A388" s="41"/>
      <c r="B388" s="84" t="s">
        <v>822</v>
      </c>
      <c r="C388" s="110" t="s">
        <v>382</v>
      </c>
      <c r="D388" s="18"/>
      <c r="E388" s="18" t="s">
        <v>660</v>
      </c>
      <c r="F388" s="41"/>
      <c r="G388" s="41"/>
      <c r="H388" s="41"/>
      <c r="I388" s="41"/>
      <c r="J388" s="41"/>
      <c r="K388" s="41"/>
      <c r="L388" s="41"/>
      <c r="M388" s="41"/>
      <c r="N388" s="41"/>
      <c r="O388" s="41"/>
      <c r="P388" s="41"/>
      <c r="Q388" s="41"/>
      <c r="R388" s="41"/>
      <c r="S388" s="41"/>
      <c r="T388" s="41"/>
      <c r="U388" s="41"/>
      <c r="V388" s="41"/>
      <c r="W388" s="41"/>
      <c r="X388" s="41"/>
      <c r="Y388" s="41"/>
      <c r="Z388" s="41"/>
    </row>
    <row r="389" ht="19.5" customHeight="1">
      <c r="A389" s="41"/>
      <c r="B389" s="84" t="s">
        <v>823</v>
      </c>
      <c r="C389" s="110" t="str">
        <f>CONCATENATE(prefix_mgmt_az1_cidr,"18.11")</f>
        <v>10.21.18.11</v>
      </c>
      <c r="D389" s="18"/>
      <c r="E389" s="18" t="s">
        <v>661</v>
      </c>
      <c r="F389" s="41"/>
      <c r="G389" s="41"/>
      <c r="H389" s="41"/>
      <c r="I389" s="41"/>
      <c r="J389" s="41"/>
      <c r="K389" s="41"/>
      <c r="L389" s="41"/>
      <c r="M389" s="41"/>
      <c r="N389" s="41"/>
      <c r="O389" s="41"/>
      <c r="P389" s="41"/>
      <c r="Q389" s="41"/>
      <c r="R389" s="41"/>
      <c r="S389" s="41"/>
      <c r="T389" s="41"/>
      <c r="U389" s="41"/>
      <c r="V389" s="41"/>
      <c r="W389" s="41"/>
      <c r="X389" s="41"/>
      <c r="Y389" s="41"/>
      <c r="Z389" s="41"/>
    </row>
    <row r="390" ht="19.5" customHeight="1">
      <c r="A390" s="41"/>
      <c r="B390" s="84" t="s">
        <v>820</v>
      </c>
      <c r="C390" s="110" t="str">
        <f>sample_mgmt_az1_en1_uplink02_interface_cidr</f>
        <v>10.21.18.2/24</v>
      </c>
      <c r="D390" s="32" t="str">
        <f>mgmt_az1_en1_uplink02_interface_cidr</f>
        <v>Value Missing</v>
      </c>
      <c r="E390" s="18"/>
      <c r="F390" s="41"/>
      <c r="G390" s="41"/>
      <c r="H390" s="41"/>
      <c r="I390" s="41"/>
      <c r="J390" s="41"/>
      <c r="K390" s="41"/>
      <c r="L390" s="41"/>
      <c r="M390" s="41"/>
      <c r="N390" s="41"/>
      <c r="O390" s="41"/>
      <c r="P390" s="41"/>
      <c r="Q390" s="41"/>
      <c r="R390" s="41"/>
      <c r="S390" s="41"/>
      <c r="T390" s="41"/>
      <c r="U390" s="41"/>
      <c r="V390" s="41"/>
      <c r="W390" s="41"/>
      <c r="X390" s="41"/>
      <c r="Y390" s="41"/>
      <c r="Z390" s="41"/>
    </row>
    <row r="391" ht="19.5" customHeight="1">
      <c r="A391" s="41"/>
      <c r="B391" s="84" t="s">
        <v>821</v>
      </c>
      <c r="C391" s="110" t="str">
        <f>sample_mgmt_az1_en2_uplink02_interface_cidr</f>
        <v>10.21.18.3/24</v>
      </c>
      <c r="D391" s="32" t="str">
        <f>mgmt_az1_en2_uplink02_interface_cidr</f>
        <v>Value Missing</v>
      </c>
      <c r="E391" s="18"/>
      <c r="F391" s="41"/>
      <c r="G391" s="41"/>
      <c r="H391" s="41"/>
      <c r="I391" s="41"/>
      <c r="J391" s="41"/>
      <c r="K391" s="41"/>
      <c r="L391" s="41"/>
      <c r="M391" s="41"/>
      <c r="N391" s="41"/>
      <c r="O391" s="41"/>
      <c r="P391" s="41"/>
      <c r="Q391" s="41"/>
      <c r="R391" s="41"/>
      <c r="S391" s="41"/>
      <c r="T391" s="41"/>
      <c r="U391" s="41"/>
      <c r="V391" s="41"/>
      <c r="W391" s="41"/>
      <c r="X391" s="41"/>
      <c r="Y391" s="41"/>
      <c r="Z391" s="41"/>
    </row>
    <row r="392" ht="19.5" customHeight="1">
      <c r="A392" s="41"/>
      <c r="B392" s="84" t="s">
        <v>824</v>
      </c>
      <c r="C392" s="110" t="str">
        <f>IF(wld_domain_chosen="First Domain",CONCATENATE(asn_start,asn_instance,asn_mgmt_az2,1),IF(wld_nsxt_federation_result="Included",CONCATENATE(asn_start,asn_instance,asn_mgmt_az2,1),CONCATENATE(asn_start,asn_instance,asn_mgmt_az2,1)))</f>
        <v>221</v>
      </c>
      <c r="D392" s="18"/>
      <c r="E392" s="18" t="s">
        <v>662</v>
      </c>
      <c r="F392" s="41"/>
      <c r="G392" s="41"/>
      <c r="H392" s="41"/>
      <c r="I392" s="41"/>
      <c r="J392" s="41"/>
      <c r="K392" s="41"/>
      <c r="L392" s="41"/>
      <c r="M392" s="41"/>
      <c r="N392" s="41"/>
      <c r="O392" s="41"/>
      <c r="P392" s="41"/>
      <c r="Q392" s="41"/>
      <c r="R392" s="41"/>
      <c r="S392" s="41"/>
      <c r="T392" s="41"/>
      <c r="U392" s="41"/>
      <c r="V392" s="41"/>
      <c r="W392" s="41"/>
      <c r="X392" s="41"/>
      <c r="Y392" s="41"/>
      <c r="Z392" s="41"/>
    </row>
    <row r="393" ht="19.5" customHeight="1">
      <c r="A393" s="41"/>
      <c r="B393" s="84" t="s">
        <v>822</v>
      </c>
      <c r="C393" s="110" t="s">
        <v>382</v>
      </c>
      <c r="D393" s="18"/>
      <c r="E393" s="18" t="s">
        <v>663</v>
      </c>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1"/>
      <c r="D394" s="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33.75" customHeight="1">
      <c r="A395" s="41"/>
      <c r="B395" s="184" t="s">
        <v>514</v>
      </c>
      <c r="C395" s="13"/>
      <c r="D395" s="13"/>
      <c r="E395" s="14"/>
      <c r="F395" s="41"/>
      <c r="G395" s="41"/>
      <c r="H395" s="41"/>
      <c r="I395" s="41"/>
      <c r="J395" s="41"/>
      <c r="K395" s="41"/>
      <c r="L395" s="41"/>
      <c r="M395" s="41"/>
      <c r="N395" s="41"/>
      <c r="O395" s="41"/>
      <c r="P395" s="41"/>
      <c r="Q395" s="41"/>
      <c r="R395" s="41"/>
      <c r="S395" s="41"/>
      <c r="T395" s="41"/>
      <c r="U395" s="41"/>
      <c r="V395" s="41"/>
      <c r="W395" s="41"/>
      <c r="X395" s="41"/>
      <c r="Y395" s="41"/>
      <c r="Z395" s="41"/>
    </row>
    <row r="396" ht="19.5" customHeight="1">
      <c r="A396" s="41"/>
      <c r="B396" s="17" t="s">
        <v>825</v>
      </c>
      <c r="C396" s="13"/>
      <c r="D396" s="13"/>
      <c r="E396" s="14"/>
      <c r="F396" s="41"/>
      <c r="G396" s="41"/>
      <c r="H396" s="41"/>
      <c r="I396" s="41"/>
      <c r="J396" s="41"/>
      <c r="K396" s="41"/>
      <c r="L396" s="41"/>
      <c r="M396" s="41"/>
      <c r="N396" s="41"/>
      <c r="O396" s="41"/>
      <c r="P396" s="41"/>
      <c r="Q396" s="41"/>
      <c r="R396" s="41"/>
      <c r="S396" s="41"/>
      <c r="T396" s="41"/>
      <c r="U396" s="41"/>
      <c r="V396" s="41"/>
      <c r="W396" s="41"/>
      <c r="X396" s="41"/>
      <c r="Y396" s="41"/>
      <c r="Z396" s="41"/>
    </row>
    <row r="397" ht="19.5" customHeight="1">
      <c r="A397" s="41"/>
      <c r="B397" s="108" t="s">
        <v>256</v>
      </c>
      <c r="C397" s="108" t="s">
        <v>722</v>
      </c>
      <c r="D397" s="108" t="s">
        <v>274</v>
      </c>
      <c r="E397" s="108" t="s">
        <v>462</v>
      </c>
      <c r="F397" s="41"/>
      <c r="G397" s="41"/>
      <c r="H397" s="41"/>
      <c r="I397" s="41"/>
      <c r="J397" s="41"/>
      <c r="K397" s="41"/>
      <c r="L397" s="41"/>
      <c r="M397" s="41"/>
      <c r="N397" s="41"/>
      <c r="O397" s="41"/>
      <c r="P397" s="41"/>
      <c r="Q397" s="41"/>
      <c r="R397" s="41"/>
      <c r="S397" s="41"/>
      <c r="T397" s="41"/>
      <c r="U397" s="41"/>
      <c r="V397" s="41"/>
      <c r="W397" s="41"/>
      <c r="X397" s="41"/>
      <c r="Y397" s="41"/>
      <c r="Z397" s="41"/>
    </row>
    <row r="398" ht="19.5" customHeight="1">
      <c r="A398" s="41"/>
      <c r="B398" s="84" t="s">
        <v>826</v>
      </c>
      <c r="C398" s="155" t="str">
        <f>sample_mgmt_vc_fqdn</f>
        <v>lax-m01-vc01.lax.rainpole.io</v>
      </c>
      <c r="D398" s="18" t="str">
        <f>mgmt_vc_fqdn</f>
        <v>Value Missing</v>
      </c>
      <c r="E398" s="84"/>
      <c r="F398" s="41"/>
      <c r="G398" s="41"/>
      <c r="H398" s="41"/>
      <c r="I398" s="41"/>
      <c r="J398" s="41"/>
      <c r="K398" s="41"/>
      <c r="L398" s="41"/>
      <c r="M398" s="41"/>
      <c r="N398" s="41"/>
      <c r="O398" s="41"/>
      <c r="P398" s="41"/>
      <c r="Q398" s="41"/>
      <c r="R398" s="41"/>
      <c r="S398" s="41"/>
      <c r="T398" s="41"/>
      <c r="U398" s="41"/>
      <c r="V398" s="41"/>
      <c r="W398" s="41"/>
      <c r="X398" s="41"/>
      <c r="Y398" s="41"/>
      <c r="Z398" s="41"/>
    </row>
    <row r="399" ht="19.5" customHeight="1">
      <c r="A399" s="41"/>
      <c r="B399" s="17" t="s">
        <v>827</v>
      </c>
      <c r="C399" s="13"/>
      <c r="D399" s="13"/>
      <c r="E399" s="14"/>
      <c r="F399" s="41"/>
      <c r="G399" s="41"/>
      <c r="H399" s="41"/>
      <c r="I399" s="41"/>
      <c r="J399" s="41"/>
      <c r="K399" s="41"/>
      <c r="L399" s="41"/>
      <c r="M399" s="41"/>
      <c r="N399" s="41"/>
      <c r="O399" s="41"/>
      <c r="P399" s="41"/>
      <c r="Q399" s="41"/>
      <c r="R399" s="41"/>
      <c r="S399" s="41"/>
      <c r="T399" s="41"/>
      <c r="U399" s="41"/>
      <c r="V399" s="41"/>
      <c r="W399" s="41"/>
      <c r="X399" s="41"/>
      <c r="Y399" s="41"/>
      <c r="Z399" s="41"/>
    </row>
    <row r="400" ht="19.5" customHeight="1">
      <c r="A400" s="41"/>
      <c r="B400" s="84" t="s">
        <v>828</v>
      </c>
      <c r="C400" s="209" t="str">
        <f>CONCATENATE(this_instance,"-m01-nsx-gm01a")</f>
        <v>lax-m01-nsx-gm01a</v>
      </c>
      <c r="D400" s="196"/>
      <c r="E400" s="84"/>
      <c r="F400" s="41"/>
      <c r="G400" s="41"/>
      <c r="H400" s="41"/>
      <c r="I400" s="41"/>
      <c r="J400" s="41"/>
      <c r="K400" s="41"/>
      <c r="L400" s="41"/>
      <c r="M400" s="41"/>
      <c r="N400" s="41"/>
      <c r="O400" s="41"/>
      <c r="P400" s="41"/>
      <c r="Q400" s="41"/>
      <c r="R400" s="41"/>
      <c r="S400" s="41"/>
      <c r="T400" s="41"/>
      <c r="U400" s="41"/>
      <c r="V400" s="41"/>
      <c r="W400" s="41"/>
      <c r="X400" s="41"/>
      <c r="Y400" s="41"/>
      <c r="Z400" s="41"/>
    </row>
    <row r="401" ht="19.5" customHeight="1">
      <c r="A401" s="41"/>
      <c r="B401" s="84" t="s">
        <v>829</v>
      </c>
      <c r="C401" s="185" t="str">
        <f>sample_mgmt_datacenter</f>
        <v>lax-m01-dc01</v>
      </c>
      <c r="D401" s="18" t="str">
        <f>mgmt_datacenter</f>
        <v>Value Missing</v>
      </c>
      <c r="E401" s="84"/>
      <c r="F401" s="41"/>
      <c r="G401" s="41"/>
      <c r="H401" s="41"/>
      <c r="I401" s="41"/>
      <c r="J401" s="41"/>
      <c r="K401" s="41"/>
      <c r="L401" s="41"/>
      <c r="M401" s="41"/>
      <c r="N401" s="41"/>
      <c r="O401" s="41"/>
      <c r="P401" s="41"/>
      <c r="Q401" s="41"/>
      <c r="R401" s="41"/>
      <c r="S401" s="41"/>
      <c r="T401" s="41"/>
      <c r="U401" s="41"/>
      <c r="V401" s="41"/>
      <c r="W401" s="41"/>
      <c r="X401" s="41"/>
      <c r="Y401" s="41"/>
      <c r="Z401" s="41"/>
    </row>
    <row r="402" ht="19.5" customHeight="1">
      <c r="A402" s="41"/>
      <c r="B402" s="84" t="s">
        <v>830</v>
      </c>
      <c r="C402" s="185" t="str">
        <f>sample_mgmt_cl01_cluster</f>
        <v>lax-m01-cl01</v>
      </c>
      <c r="D402" s="18" t="str">
        <f>mgmt_cl01_cluster</f>
        <v>Value Missing</v>
      </c>
      <c r="E402" s="84"/>
      <c r="F402" s="41"/>
      <c r="G402" s="41"/>
      <c r="H402" s="41"/>
      <c r="I402" s="41"/>
      <c r="J402" s="41"/>
      <c r="K402" s="41"/>
      <c r="L402" s="41"/>
      <c r="M402" s="41"/>
      <c r="N402" s="41"/>
      <c r="O402" s="41"/>
      <c r="P402" s="41"/>
      <c r="Q402" s="41"/>
      <c r="R402" s="41"/>
      <c r="S402" s="41"/>
      <c r="T402" s="41"/>
      <c r="U402" s="41"/>
      <c r="V402" s="41"/>
      <c r="W402" s="41"/>
      <c r="X402" s="41"/>
      <c r="Y402" s="41"/>
      <c r="Z402" s="41"/>
    </row>
    <row r="403" ht="19.5" customHeight="1">
      <c r="A403" s="41"/>
      <c r="B403" s="84" t="s">
        <v>831</v>
      </c>
      <c r="C403" s="185" t="s">
        <v>212</v>
      </c>
      <c r="D403" s="18" t="s">
        <v>212</v>
      </c>
      <c r="E403" s="84"/>
      <c r="F403" s="41"/>
      <c r="G403" s="41"/>
      <c r="H403" s="41"/>
      <c r="I403" s="41"/>
      <c r="J403" s="41"/>
      <c r="K403" s="41"/>
      <c r="L403" s="41"/>
      <c r="M403" s="41"/>
      <c r="N403" s="41"/>
      <c r="O403" s="41"/>
      <c r="P403" s="41"/>
      <c r="Q403" s="41"/>
      <c r="R403" s="41"/>
      <c r="S403" s="41"/>
      <c r="T403" s="41"/>
      <c r="U403" s="41"/>
      <c r="V403" s="41"/>
      <c r="W403" s="41"/>
      <c r="X403" s="41"/>
      <c r="Y403" s="41"/>
      <c r="Z403" s="41"/>
    </row>
    <row r="404" ht="19.5" customHeight="1">
      <c r="A404" s="41"/>
      <c r="B404" s="84" t="s">
        <v>832</v>
      </c>
      <c r="C404" s="185" t="str">
        <f>sample_mgmt_cl01_vsan_datastore</f>
        <v>lax-m01-cl01-ds-nfs01</v>
      </c>
      <c r="D404" s="18" t="str">
        <f>mgmt_cl01_vsan_datastore</f>
        <v>Value Missing</v>
      </c>
      <c r="E404" s="84"/>
      <c r="F404" s="41"/>
      <c r="G404" s="41"/>
      <c r="H404" s="41"/>
      <c r="I404" s="41"/>
      <c r="J404" s="41"/>
      <c r="K404" s="41"/>
      <c r="L404" s="41"/>
      <c r="M404" s="41"/>
      <c r="N404" s="41"/>
      <c r="O404" s="41"/>
      <c r="P404" s="41"/>
      <c r="Q404" s="41"/>
      <c r="R404" s="41"/>
      <c r="S404" s="41"/>
      <c r="T404" s="41"/>
      <c r="U404" s="41"/>
      <c r="V404" s="41"/>
      <c r="W404" s="41"/>
      <c r="X404" s="41"/>
      <c r="Y404" s="41"/>
      <c r="Z404" s="41"/>
    </row>
    <row r="405" ht="19.5" customHeight="1">
      <c r="A405" s="41"/>
      <c r="B405" s="84" t="s">
        <v>833</v>
      </c>
      <c r="C405" s="210" t="str">
        <f>sample_mgmt_cl01_az1_mgmt_vm_pg</f>
        <v>lax-m01-cl01-vds01-pg-vm-mgmt</v>
      </c>
      <c r="D405" s="18" t="str">
        <f>mgmt_cl01_az1_mgmt_vm_pg</f>
        <v>Value Missing</v>
      </c>
      <c r="E405" s="84"/>
      <c r="F405" s="41"/>
      <c r="G405" s="41"/>
      <c r="H405" s="41"/>
      <c r="I405" s="41"/>
      <c r="J405" s="41"/>
      <c r="K405" s="41"/>
      <c r="L405" s="41"/>
      <c r="M405" s="41"/>
      <c r="N405" s="41"/>
      <c r="O405" s="41"/>
      <c r="P405" s="41"/>
      <c r="Q405" s="41"/>
      <c r="R405" s="41"/>
      <c r="S405" s="41"/>
      <c r="T405" s="41"/>
      <c r="U405" s="41"/>
      <c r="V405" s="41"/>
      <c r="W405" s="41"/>
      <c r="X405" s="41"/>
      <c r="Y405" s="41"/>
      <c r="Z405" s="41"/>
    </row>
    <row r="406" ht="19.5" customHeight="1">
      <c r="A406" s="41"/>
      <c r="B406" s="84" t="s">
        <v>834</v>
      </c>
      <c r="C406" s="185" t="s">
        <v>297</v>
      </c>
      <c r="D406" s="18"/>
      <c r="E406" s="84"/>
      <c r="F406" s="41"/>
      <c r="G406" s="41"/>
      <c r="H406" s="41"/>
      <c r="I406" s="41"/>
      <c r="J406" s="41"/>
      <c r="K406" s="41"/>
      <c r="L406" s="41"/>
      <c r="M406" s="41"/>
      <c r="N406" s="41"/>
      <c r="O406" s="41"/>
      <c r="P406" s="41"/>
      <c r="Q406" s="41"/>
      <c r="R406" s="41"/>
      <c r="S406" s="41"/>
      <c r="T406" s="41"/>
      <c r="U406" s="41"/>
      <c r="V406" s="41"/>
      <c r="W406" s="41"/>
      <c r="X406" s="41"/>
      <c r="Y406" s="41"/>
      <c r="Z406" s="41"/>
    </row>
    <row r="407" ht="19.5" customHeight="1">
      <c r="A407" s="41"/>
      <c r="B407" s="84" t="s">
        <v>835</v>
      </c>
      <c r="C407" s="185" t="s">
        <v>297</v>
      </c>
      <c r="D407" s="18"/>
      <c r="E407" s="84"/>
      <c r="F407" s="41"/>
      <c r="G407" s="41"/>
      <c r="H407" s="41"/>
      <c r="I407" s="41"/>
      <c r="J407" s="41"/>
      <c r="K407" s="41"/>
      <c r="L407" s="41"/>
      <c r="M407" s="41"/>
      <c r="N407" s="41"/>
      <c r="O407" s="41"/>
      <c r="P407" s="41"/>
      <c r="Q407" s="41"/>
      <c r="R407" s="41"/>
      <c r="S407" s="41"/>
      <c r="T407" s="41"/>
      <c r="U407" s="41"/>
      <c r="V407" s="41"/>
      <c r="W407" s="41"/>
      <c r="X407" s="41"/>
      <c r="Y407" s="41"/>
      <c r="Z407" s="41"/>
    </row>
    <row r="408" ht="19.5" customHeight="1">
      <c r="A408" s="41"/>
      <c r="B408" s="84" t="s">
        <v>836</v>
      </c>
      <c r="C408" s="185" t="s">
        <v>297</v>
      </c>
      <c r="D408" s="18"/>
      <c r="E408" s="84"/>
      <c r="F408" s="41"/>
      <c r="G408" s="41"/>
      <c r="H408" s="41"/>
      <c r="I408" s="41"/>
      <c r="J408" s="41"/>
      <c r="K408" s="41"/>
      <c r="L408" s="41"/>
      <c r="M408" s="41"/>
      <c r="N408" s="41"/>
      <c r="O408" s="41"/>
      <c r="P408" s="41"/>
      <c r="Q408" s="41"/>
      <c r="R408" s="41"/>
      <c r="S408" s="41"/>
      <c r="T408" s="41"/>
      <c r="U408" s="41"/>
      <c r="V408" s="41"/>
      <c r="W408" s="41"/>
      <c r="X408" s="41"/>
      <c r="Y408" s="41"/>
      <c r="Z408" s="41"/>
    </row>
    <row r="409" ht="19.5" customHeight="1">
      <c r="A409" s="41"/>
      <c r="B409" s="84" t="s">
        <v>837</v>
      </c>
      <c r="C409" s="155" t="str">
        <f>CONCATENATE(sample_mgmt_nsxt_global_mgra_hostname,".",sample_child_dns_zone)</f>
        <v>lax-m01-nsx-gm01a.lax.rainpole.io</v>
      </c>
      <c r="D409" s="18"/>
      <c r="E409" s="18" t="s">
        <v>838</v>
      </c>
      <c r="F409" s="41"/>
      <c r="G409" s="41"/>
      <c r="H409" s="41"/>
      <c r="I409" s="41"/>
      <c r="J409" s="41"/>
      <c r="K409" s="41"/>
      <c r="L409" s="41"/>
      <c r="M409" s="41"/>
      <c r="N409" s="41"/>
      <c r="O409" s="41"/>
      <c r="P409" s="41"/>
      <c r="Q409" s="41"/>
      <c r="R409" s="41"/>
      <c r="S409" s="41"/>
      <c r="T409" s="41"/>
      <c r="U409" s="41"/>
      <c r="V409" s="41"/>
      <c r="W409" s="41"/>
      <c r="X409" s="41"/>
      <c r="Y409" s="41"/>
      <c r="Z409" s="41"/>
    </row>
    <row r="410" ht="19.5" customHeight="1">
      <c r="A410" s="41"/>
      <c r="B410" s="84" t="s">
        <v>839</v>
      </c>
      <c r="C410" s="209" t="str">
        <f>IF(mgmt_dpg_reuse_result="Included",CONCATENATE(prefix_mgmt_az1_cidr,"10.82"),CONCATENATE(prefix_mgmt_az1_cidr,"11.82"))</f>
        <v>10.21.10.82</v>
      </c>
      <c r="D410" s="196"/>
      <c r="E410" s="84"/>
      <c r="F410" s="41"/>
      <c r="G410" s="41"/>
      <c r="H410" s="41"/>
      <c r="I410" s="41"/>
      <c r="J410" s="41"/>
      <c r="K410" s="41"/>
      <c r="L410" s="41"/>
      <c r="M410" s="41"/>
      <c r="N410" s="41"/>
      <c r="O410" s="41"/>
      <c r="P410" s="41"/>
      <c r="Q410" s="41"/>
      <c r="R410" s="41"/>
      <c r="S410" s="41"/>
      <c r="T410" s="41"/>
      <c r="U410" s="41"/>
      <c r="V410" s="41"/>
      <c r="W410" s="41"/>
      <c r="X410" s="41"/>
      <c r="Y410" s="41"/>
      <c r="Z410" s="41"/>
    </row>
    <row r="411" ht="19.5" customHeight="1">
      <c r="A411" s="41"/>
      <c r="B411" s="84" t="s">
        <v>840</v>
      </c>
      <c r="C411" s="185" t="s">
        <v>622</v>
      </c>
      <c r="D411" s="18" t="str">
        <f>mgmt_az1_mgmt_vm_mask</f>
        <v>Value Missing</v>
      </c>
      <c r="E411" s="84"/>
      <c r="F411" s="41"/>
      <c r="G411" s="41"/>
      <c r="H411" s="41"/>
      <c r="I411" s="41"/>
      <c r="J411" s="41"/>
      <c r="K411" s="41"/>
      <c r="L411" s="41"/>
      <c r="M411" s="41"/>
      <c r="N411" s="41"/>
      <c r="O411" s="41"/>
      <c r="P411" s="41"/>
      <c r="Q411" s="41"/>
      <c r="R411" s="41"/>
      <c r="S411" s="41"/>
      <c r="T411" s="41"/>
      <c r="U411" s="41"/>
      <c r="V411" s="41"/>
      <c r="W411" s="41"/>
      <c r="X411" s="41"/>
      <c r="Y411" s="41"/>
      <c r="Z411" s="41"/>
    </row>
    <row r="412" ht="19.5" customHeight="1">
      <c r="A412" s="41"/>
      <c r="B412" s="84" t="s">
        <v>841</v>
      </c>
      <c r="C412" s="185" t="str">
        <f>sample_mgmt_az1_mgmt_vm_gateway_ip</f>
        <v>10.21.10.1</v>
      </c>
      <c r="D412" s="18" t="str">
        <f>mgmt_az1_mgmt_vm_gateway_ip</f>
        <v>Value Missing</v>
      </c>
      <c r="E412" s="84"/>
      <c r="F412" s="41"/>
      <c r="G412" s="41"/>
      <c r="H412" s="41"/>
      <c r="I412" s="41"/>
      <c r="J412" s="41"/>
      <c r="K412" s="41"/>
      <c r="L412" s="41"/>
      <c r="M412" s="41"/>
      <c r="N412" s="41"/>
      <c r="O412" s="41"/>
      <c r="P412" s="41"/>
      <c r="Q412" s="41"/>
      <c r="R412" s="41"/>
      <c r="S412" s="41"/>
      <c r="T412" s="41"/>
      <c r="U412" s="41"/>
      <c r="V412" s="41"/>
      <c r="W412" s="41"/>
      <c r="X412" s="41"/>
      <c r="Y412" s="41"/>
      <c r="Z412" s="41"/>
    </row>
    <row r="413" ht="19.5" customHeight="1">
      <c r="A413" s="41"/>
      <c r="B413" s="84" t="s">
        <v>842</v>
      </c>
      <c r="C413" s="185" t="str">
        <f>CONCATENATE(sample_mgmt_witness_dns1_ip,",",sample_mgmt_witness_dns2_ip)</f>
        <v>10.11.10.4,10.11.10.5</v>
      </c>
      <c r="D413" s="18" t="str">
        <f>IF(ISBLANK(input_region_dns1_ip),"Value Missing",CONCATENATE(region_dns1_ip,",",IF(ISBLANK(input_region_dns2_ip),"Value Missing",region_dns2_ip)))</f>
        <v>Value Missing</v>
      </c>
      <c r="E413" s="84"/>
      <c r="F413" s="41"/>
      <c r="G413" s="41"/>
      <c r="H413" s="41"/>
      <c r="I413" s="41"/>
      <c r="J413" s="41"/>
      <c r="K413" s="41"/>
      <c r="L413" s="41"/>
      <c r="M413" s="41"/>
      <c r="N413" s="41"/>
      <c r="O413" s="41"/>
      <c r="P413" s="41"/>
      <c r="Q413" s="41"/>
      <c r="R413" s="41"/>
      <c r="S413" s="41"/>
      <c r="T413" s="41"/>
      <c r="U413" s="41"/>
      <c r="V413" s="41"/>
      <c r="W413" s="41"/>
      <c r="X413" s="41"/>
      <c r="Y413" s="41"/>
      <c r="Z413" s="41"/>
    </row>
    <row r="414" ht="19.5" customHeight="1">
      <c r="A414" s="41"/>
      <c r="B414" s="84" t="s">
        <v>843</v>
      </c>
      <c r="C414" s="185" t="str">
        <f>CONCATENATE(sample_child_dns_zone,",",sample_parent_dns_zone)</f>
        <v>lax.rainpole.io,rainpole.io</v>
      </c>
      <c r="D414" s="18" t="str">
        <f>child_dns_zone</f>
        <v>Value Missing</v>
      </c>
      <c r="E414" s="84"/>
      <c r="F414" s="41"/>
      <c r="G414" s="195"/>
      <c r="H414" s="41"/>
      <c r="I414" s="41"/>
      <c r="J414" s="41"/>
      <c r="K414" s="41"/>
      <c r="L414" s="41"/>
      <c r="M414" s="41"/>
      <c r="N414" s="41"/>
      <c r="O414" s="41"/>
      <c r="P414" s="41"/>
      <c r="Q414" s="41"/>
      <c r="R414" s="41"/>
      <c r="S414" s="41"/>
      <c r="T414" s="41"/>
      <c r="U414" s="41"/>
      <c r="V414" s="41"/>
      <c r="W414" s="41"/>
      <c r="X414" s="41"/>
      <c r="Y414" s="41"/>
      <c r="Z414" s="41"/>
    </row>
    <row r="415" ht="19.5" customHeight="1">
      <c r="A415" s="41"/>
      <c r="B415" s="84" t="s">
        <v>844</v>
      </c>
      <c r="C415" s="185" t="str">
        <f>IF(AND((NOT(ISBLANK(sample_region_ntp2_server))),(sample_region_ntp2_server &lt;&gt; "n/a")),CONCATENATE(sample_region_ntp1_server,",",sample_region_ntp2_server),sample_region_ntp1_server)</f>
        <v>ntp0.lax.rainpole.io,ntp1.lax.rainpole.io</v>
      </c>
      <c r="D415" s="18" t="str">
        <f>IF(AND((NOT(ISBLANK(region_ntp2_server))),(region_ntp2_server&lt;&gt;"n/a"),(region_ntp2_server&lt;&gt;"")),CONCATENATE(region_ntp1_server,",",region_ntp2_server,region_ntp1_server))</f>
        <v>Value Missing,Value MissingValue Missing</v>
      </c>
      <c r="E415" s="84"/>
      <c r="F415" s="41"/>
      <c r="G415" s="41"/>
      <c r="H415" s="41"/>
      <c r="I415" s="41"/>
      <c r="J415" s="41"/>
      <c r="K415" s="41"/>
      <c r="L415" s="41"/>
      <c r="M415" s="41"/>
      <c r="N415" s="41"/>
      <c r="O415" s="41"/>
      <c r="P415" s="41"/>
      <c r="Q415" s="41"/>
      <c r="R415" s="41"/>
      <c r="S415" s="41"/>
      <c r="T415" s="41"/>
      <c r="U415" s="41"/>
      <c r="V415" s="41"/>
      <c r="W415" s="41"/>
      <c r="X415" s="41"/>
      <c r="Y415" s="41"/>
      <c r="Z415" s="41"/>
    </row>
    <row r="416" ht="19.5" customHeight="1">
      <c r="A416" s="41"/>
      <c r="B416" s="17" t="s">
        <v>845</v>
      </c>
      <c r="C416" s="13"/>
      <c r="D416" s="13"/>
      <c r="E416" s="14"/>
      <c r="F416" s="41"/>
      <c r="G416" s="41"/>
      <c r="H416" s="41"/>
      <c r="I416" s="41"/>
      <c r="J416" s="41"/>
      <c r="K416" s="41"/>
      <c r="L416" s="41"/>
      <c r="M416" s="41"/>
      <c r="N416" s="41"/>
      <c r="O416" s="41"/>
      <c r="P416" s="41"/>
      <c r="Q416" s="41"/>
      <c r="R416" s="41"/>
      <c r="S416" s="41"/>
      <c r="T416" s="41"/>
      <c r="U416" s="41"/>
      <c r="V416" s="41"/>
      <c r="W416" s="41"/>
      <c r="X416" s="41"/>
      <c r="Y416" s="41"/>
      <c r="Z416" s="41"/>
    </row>
    <row r="417" ht="19.5" customHeight="1">
      <c r="A417" s="41"/>
      <c r="B417" s="84" t="s">
        <v>846</v>
      </c>
      <c r="C417" s="209" t="str">
        <f>CONCATENATE(this_instance,"-m01-nsx-gm01b")</f>
        <v>lax-m01-nsx-gm01b</v>
      </c>
      <c r="D417" s="196"/>
      <c r="E417" s="84"/>
      <c r="F417" s="41"/>
      <c r="G417" s="41"/>
      <c r="H417" s="41"/>
      <c r="I417" s="41"/>
      <c r="J417" s="41"/>
      <c r="K417" s="41"/>
      <c r="L417" s="41"/>
      <c r="M417" s="41"/>
      <c r="N417" s="41"/>
      <c r="O417" s="41"/>
      <c r="P417" s="41"/>
      <c r="Q417" s="41"/>
      <c r="R417" s="41"/>
      <c r="S417" s="41"/>
      <c r="T417" s="41"/>
      <c r="U417" s="41"/>
      <c r="V417" s="41"/>
      <c r="W417" s="41"/>
      <c r="X417" s="41"/>
      <c r="Y417" s="41"/>
      <c r="Z417" s="41"/>
    </row>
    <row r="418" ht="19.5" customHeight="1">
      <c r="A418" s="41"/>
      <c r="B418" s="84" t="s">
        <v>847</v>
      </c>
      <c r="C418" s="185" t="str">
        <f>sample_mgmt_datacenter</f>
        <v>lax-m01-dc01</v>
      </c>
      <c r="D418" s="18" t="str">
        <f>mgmt_datacenter</f>
        <v>Value Missing</v>
      </c>
      <c r="E418" s="84"/>
      <c r="F418" s="41"/>
      <c r="G418" s="41"/>
      <c r="H418" s="41"/>
      <c r="I418" s="41"/>
      <c r="J418" s="41"/>
      <c r="K418" s="41"/>
      <c r="L418" s="41"/>
      <c r="M418" s="41"/>
      <c r="N418" s="41"/>
      <c r="O418" s="41"/>
      <c r="P418" s="41"/>
      <c r="Q418" s="41"/>
      <c r="R418" s="41"/>
      <c r="S418" s="41"/>
      <c r="T418" s="41"/>
      <c r="U418" s="41"/>
      <c r="V418" s="41"/>
      <c r="W418" s="41"/>
      <c r="X418" s="41"/>
      <c r="Y418" s="41"/>
      <c r="Z418" s="41"/>
    </row>
    <row r="419" ht="19.5" customHeight="1">
      <c r="A419" s="41"/>
      <c r="B419" s="84" t="s">
        <v>848</v>
      </c>
      <c r="C419" s="185" t="str">
        <f>sample_mgmt_cl01_cluster</f>
        <v>lax-m01-cl01</v>
      </c>
      <c r="D419" s="18" t="str">
        <f>mgmt_cl01_cluster</f>
        <v>Value Missing</v>
      </c>
      <c r="E419" s="84"/>
      <c r="F419" s="41"/>
      <c r="G419" s="41"/>
      <c r="H419" s="41"/>
      <c r="I419" s="41"/>
      <c r="J419" s="41"/>
      <c r="K419" s="41"/>
      <c r="L419" s="41"/>
      <c r="M419" s="41"/>
      <c r="N419" s="41"/>
      <c r="O419" s="41"/>
      <c r="P419" s="41"/>
      <c r="Q419" s="41"/>
      <c r="R419" s="41"/>
      <c r="S419" s="41"/>
      <c r="T419" s="41"/>
      <c r="U419" s="41"/>
      <c r="V419" s="41"/>
      <c r="W419" s="41"/>
      <c r="X419" s="41"/>
      <c r="Y419" s="41"/>
      <c r="Z419" s="41"/>
    </row>
    <row r="420" ht="19.5" customHeight="1">
      <c r="A420" s="41"/>
      <c r="B420" s="84" t="s">
        <v>849</v>
      </c>
      <c r="C420" s="185" t="s">
        <v>212</v>
      </c>
      <c r="D420" s="18" t="str">
        <f>D403</f>
        <v>Medium</v>
      </c>
      <c r="E420" s="84"/>
      <c r="F420" s="41"/>
      <c r="G420" s="41"/>
      <c r="H420" s="41"/>
      <c r="I420" s="41"/>
      <c r="J420" s="41"/>
      <c r="K420" s="41"/>
      <c r="L420" s="41"/>
      <c r="M420" s="41"/>
      <c r="N420" s="41"/>
      <c r="O420" s="41"/>
      <c r="P420" s="41"/>
      <c r="Q420" s="41"/>
      <c r="R420" s="41"/>
      <c r="S420" s="41"/>
      <c r="T420" s="41"/>
      <c r="U420" s="41"/>
      <c r="V420" s="41"/>
      <c r="W420" s="41"/>
      <c r="X420" s="41"/>
      <c r="Y420" s="41"/>
      <c r="Z420" s="41"/>
    </row>
    <row r="421" ht="19.5" customHeight="1">
      <c r="A421" s="41"/>
      <c r="B421" s="84" t="s">
        <v>850</v>
      </c>
      <c r="C421" s="185" t="str">
        <f>sample_mgmt_cl01_vsan_datastore</f>
        <v>lax-m01-cl01-ds-nfs01</v>
      </c>
      <c r="D421" s="18" t="str">
        <f>mgmt_cl01_vsan_datastore</f>
        <v>Value Missing</v>
      </c>
      <c r="E421" s="84"/>
      <c r="F421" s="41"/>
      <c r="G421" s="41"/>
      <c r="H421" s="41"/>
      <c r="I421" s="41"/>
      <c r="J421" s="41"/>
      <c r="K421" s="41"/>
      <c r="L421" s="41"/>
      <c r="M421" s="41"/>
      <c r="N421" s="41"/>
      <c r="O421" s="41"/>
      <c r="P421" s="41"/>
      <c r="Q421" s="41"/>
      <c r="R421" s="41"/>
      <c r="S421" s="41"/>
      <c r="T421" s="41"/>
      <c r="U421" s="41"/>
      <c r="V421" s="41"/>
      <c r="W421" s="41"/>
      <c r="X421" s="41"/>
      <c r="Y421" s="41"/>
      <c r="Z421" s="41"/>
    </row>
    <row r="422" ht="19.5" customHeight="1">
      <c r="A422" s="41"/>
      <c r="B422" s="84" t="s">
        <v>851</v>
      </c>
      <c r="C422" s="210" t="str">
        <f>sample_mgmt_cl01_az1_mgmt_vm_pg</f>
        <v>lax-m01-cl01-vds01-pg-vm-mgmt</v>
      </c>
      <c r="D422" s="18" t="str">
        <f>mgmt_cl01_az1_mgmt_vm_pg</f>
        <v>Value Missing</v>
      </c>
      <c r="E422" s="84"/>
      <c r="F422" s="41"/>
      <c r="G422" s="41"/>
      <c r="H422" s="41"/>
      <c r="I422" s="41"/>
      <c r="J422" s="41"/>
      <c r="K422" s="41"/>
      <c r="L422" s="41"/>
      <c r="M422" s="41"/>
      <c r="N422" s="41"/>
      <c r="O422" s="41"/>
      <c r="P422" s="41"/>
      <c r="Q422" s="41"/>
      <c r="R422" s="41"/>
      <c r="S422" s="41"/>
      <c r="T422" s="41"/>
      <c r="U422" s="41"/>
      <c r="V422" s="41"/>
      <c r="W422" s="41"/>
      <c r="X422" s="41"/>
      <c r="Y422" s="41"/>
      <c r="Z422" s="41"/>
    </row>
    <row r="423" ht="19.5" customHeight="1">
      <c r="A423" s="41"/>
      <c r="B423" s="84" t="s">
        <v>852</v>
      </c>
      <c r="C423" s="185" t="str">
        <f>sample_nsxt_gm_root_password</f>
        <v>VMw@re1!VMw@re1!</v>
      </c>
      <c r="D423" s="18" t="str">
        <f>nsxt_gm_root_password</f>
        <v>Value Missing</v>
      </c>
      <c r="E423" s="84"/>
      <c r="F423" s="41"/>
      <c r="G423" s="41"/>
      <c r="H423" s="41"/>
      <c r="I423" s="41"/>
      <c r="J423" s="41"/>
      <c r="K423" s="41"/>
      <c r="L423" s="41"/>
      <c r="M423" s="41"/>
      <c r="N423" s="41"/>
      <c r="O423" s="41"/>
      <c r="P423" s="41"/>
      <c r="Q423" s="41"/>
      <c r="R423" s="41"/>
      <c r="S423" s="41"/>
      <c r="T423" s="41"/>
      <c r="U423" s="41"/>
      <c r="V423" s="41"/>
      <c r="W423" s="41"/>
      <c r="X423" s="41"/>
      <c r="Y423" s="41"/>
      <c r="Z423" s="41"/>
    </row>
    <row r="424" ht="19.5" customHeight="1">
      <c r="A424" s="41"/>
      <c r="B424" s="84" t="s">
        <v>853</v>
      </c>
      <c r="C424" s="185" t="str">
        <f>sample_nsxt_gm_audit_password</f>
        <v>VMw@re1!VMw@re1!</v>
      </c>
      <c r="D424" s="18" t="str">
        <f>nsxt_gm_admin_password</f>
        <v>Value Missing</v>
      </c>
      <c r="E424" s="84"/>
      <c r="F424" s="41"/>
      <c r="G424" s="41"/>
      <c r="H424" s="41"/>
      <c r="I424" s="41"/>
      <c r="J424" s="41"/>
      <c r="K424" s="41"/>
      <c r="L424" s="41"/>
      <c r="M424" s="41"/>
      <c r="N424" s="41"/>
      <c r="O424" s="41"/>
      <c r="P424" s="41"/>
      <c r="Q424" s="41"/>
      <c r="R424" s="41"/>
      <c r="S424" s="41"/>
      <c r="T424" s="41"/>
      <c r="U424" s="41"/>
      <c r="V424" s="41"/>
      <c r="W424" s="41"/>
      <c r="X424" s="41"/>
      <c r="Y424" s="41"/>
      <c r="Z424" s="41"/>
    </row>
    <row r="425" ht="19.5" customHeight="1">
      <c r="A425" s="41"/>
      <c r="B425" s="84" t="s">
        <v>854</v>
      </c>
      <c r="C425" s="185" t="str">
        <f>sample_nsxt_gm_audit_password</f>
        <v>VMw@re1!VMw@re1!</v>
      </c>
      <c r="D425" s="18" t="str">
        <f>nsxt_gm_audit_password</f>
        <v>Value Missing</v>
      </c>
      <c r="E425" s="84"/>
      <c r="F425" s="41"/>
      <c r="G425" s="41"/>
      <c r="H425" s="41"/>
      <c r="I425" s="41"/>
      <c r="J425" s="41"/>
      <c r="K425" s="41"/>
      <c r="L425" s="41"/>
      <c r="M425" s="41"/>
      <c r="N425" s="41"/>
      <c r="O425" s="41"/>
      <c r="P425" s="41"/>
      <c r="Q425" s="41"/>
      <c r="R425" s="41"/>
      <c r="S425" s="41"/>
      <c r="T425" s="41"/>
      <c r="U425" s="41"/>
      <c r="V425" s="41"/>
      <c r="W425" s="41"/>
      <c r="X425" s="41"/>
      <c r="Y425" s="41"/>
      <c r="Z425" s="41"/>
    </row>
    <row r="426" ht="19.5" customHeight="1">
      <c r="A426" s="41"/>
      <c r="B426" s="84" t="s">
        <v>855</v>
      </c>
      <c r="C426" s="155" t="str">
        <f>CONCATENATE(sample_mgmt_nsxt_global_mgrb_hostname,".",sample_child_dns_zone)</f>
        <v>lax-m01-nsx-gm01b.lax.rainpole.io</v>
      </c>
      <c r="D426" s="18"/>
      <c r="E426" s="84"/>
      <c r="F426" s="41"/>
      <c r="G426" s="41"/>
      <c r="H426" s="41"/>
      <c r="I426" s="41"/>
      <c r="J426" s="41"/>
      <c r="K426" s="41"/>
      <c r="L426" s="41"/>
      <c r="M426" s="41"/>
      <c r="N426" s="41"/>
      <c r="O426" s="41"/>
      <c r="P426" s="41"/>
      <c r="Q426" s="41"/>
      <c r="R426" s="41"/>
      <c r="S426" s="41"/>
      <c r="T426" s="41"/>
      <c r="U426" s="41"/>
      <c r="V426" s="41"/>
      <c r="W426" s="41"/>
      <c r="X426" s="41"/>
      <c r="Y426" s="41"/>
      <c r="Z426" s="41"/>
    </row>
    <row r="427" ht="19.5" customHeight="1">
      <c r="A427" s="41"/>
      <c r="B427" s="84" t="s">
        <v>856</v>
      </c>
      <c r="C427" s="209" t="str">
        <f>IF(mgmt_dpg_reuse_result="Included",CONCATENATE(prefix_mgmt_az1_cidr,"10.83"),CONCATENATE(prefix_mgmt_az1_cidr,"11.83"))</f>
        <v>10.21.10.83</v>
      </c>
      <c r="D427" s="196"/>
      <c r="E427" s="84"/>
      <c r="F427" s="41"/>
      <c r="G427" s="41"/>
      <c r="H427" s="41"/>
      <c r="I427" s="41"/>
      <c r="J427" s="41"/>
      <c r="K427" s="41"/>
      <c r="L427" s="41"/>
      <c r="M427" s="41"/>
      <c r="N427" s="41"/>
      <c r="O427" s="41"/>
      <c r="P427" s="41"/>
      <c r="Q427" s="41"/>
      <c r="R427" s="41"/>
      <c r="S427" s="41"/>
      <c r="T427" s="41"/>
      <c r="U427" s="41"/>
      <c r="V427" s="41"/>
      <c r="W427" s="41"/>
      <c r="X427" s="41"/>
      <c r="Y427" s="41"/>
      <c r="Z427" s="41"/>
    </row>
    <row r="428" ht="19.5" customHeight="1">
      <c r="A428" s="41"/>
      <c r="B428" s="84" t="s">
        <v>857</v>
      </c>
      <c r="C428" s="185" t="s">
        <v>622</v>
      </c>
      <c r="D428" s="18" t="str">
        <f>mgmt_az1_mgmt_vm_mask</f>
        <v>Value Missing</v>
      </c>
      <c r="E428" s="84"/>
      <c r="F428" s="41"/>
      <c r="G428" s="41"/>
      <c r="H428" s="41"/>
      <c r="I428" s="41"/>
      <c r="J428" s="41"/>
      <c r="K428" s="41"/>
      <c r="L428" s="41"/>
      <c r="M428" s="41"/>
      <c r="N428" s="41"/>
      <c r="O428" s="41"/>
      <c r="P428" s="41"/>
      <c r="Q428" s="41"/>
      <c r="R428" s="41"/>
      <c r="S428" s="41"/>
      <c r="T428" s="41"/>
      <c r="U428" s="41"/>
      <c r="V428" s="41"/>
      <c r="W428" s="41"/>
      <c r="X428" s="41"/>
      <c r="Y428" s="41"/>
      <c r="Z428" s="41"/>
    </row>
    <row r="429" ht="19.5" customHeight="1">
      <c r="A429" s="41"/>
      <c r="B429" s="84" t="s">
        <v>858</v>
      </c>
      <c r="C429" s="185" t="str">
        <f>sample_mgmt_az1_mgmt_vm_gateway_ip</f>
        <v>10.21.10.1</v>
      </c>
      <c r="D429" s="18" t="str">
        <f>mgmt_az1_mgmt_vm_gateway_ip</f>
        <v>Value Missing</v>
      </c>
      <c r="E429" s="84"/>
      <c r="F429" s="41"/>
      <c r="G429" s="41"/>
      <c r="H429" s="41"/>
      <c r="I429" s="41"/>
      <c r="J429" s="41"/>
      <c r="K429" s="41"/>
      <c r="L429" s="41"/>
      <c r="M429" s="41"/>
      <c r="N429" s="41"/>
      <c r="O429" s="41"/>
      <c r="P429" s="41"/>
      <c r="Q429" s="41"/>
      <c r="R429" s="41"/>
      <c r="S429" s="41"/>
      <c r="T429" s="41"/>
      <c r="U429" s="41"/>
      <c r="V429" s="41"/>
      <c r="W429" s="41"/>
      <c r="X429" s="41"/>
      <c r="Y429" s="41"/>
      <c r="Z429" s="41"/>
    </row>
    <row r="430" ht="19.5" customHeight="1">
      <c r="A430" s="41"/>
      <c r="B430" s="84" t="s">
        <v>859</v>
      </c>
      <c r="C430" s="185" t="str">
        <f>CONCATENATE(sample_mgmt_witness_dns1_ip,",",sample_mgmt_witness_dns2_ip)</f>
        <v>10.11.10.4,10.11.10.5</v>
      </c>
      <c r="D430" s="18" t="str">
        <f>IF(ISBLANK(input_region_dns1_ip),"Value Missing",CONCATENATE(region_dns1_ip,",",IF(ISBLANK(input_region_dns2_ip),"Value Missing",region_dns2_ip)))</f>
        <v>Value Missing</v>
      </c>
      <c r="E430" s="84"/>
      <c r="F430" s="41"/>
      <c r="G430" s="41"/>
      <c r="H430" s="41"/>
      <c r="I430" s="41"/>
      <c r="J430" s="41"/>
      <c r="K430" s="41"/>
      <c r="L430" s="41"/>
      <c r="M430" s="41"/>
      <c r="N430" s="41"/>
      <c r="O430" s="41"/>
      <c r="P430" s="41"/>
      <c r="Q430" s="41"/>
      <c r="R430" s="41"/>
      <c r="S430" s="41"/>
      <c r="T430" s="41"/>
      <c r="U430" s="41"/>
      <c r="V430" s="41"/>
      <c r="W430" s="41"/>
      <c r="X430" s="41"/>
      <c r="Y430" s="41"/>
      <c r="Z430" s="41"/>
    </row>
    <row r="431" ht="19.5" customHeight="1">
      <c r="A431" s="41"/>
      <c r="B431" s="84" t="s">
        <v>860</v>
      </c>
      <c r="C431" s="185" t="str">
        <f>CONCATENATE(sample_child_dns_zone,",",sample_parent_dns_zone)</f>
        <v>lax.rainpole.io,rainpole.io</v>
      </c>
      <c r="D431" s="18" t="str">
        <f>CONCATENATE(child_dns_zone,",",parent_dns_zone)</f>
        <v>Value Missing,Value Missing</v>
      </c>
      <c r="E431" s="84"/>
      <c r="F431" s="41"/>
      <c r="G431" s="41"/>
      <c r="H431" s="41"/>
      <c r="I431" s="41"/>
      <c r="J431" s="41"/>
      <c r="K431" s="41"/>
      <c r="L431" s="41"/>
      <c r="M431" s="41"/>
      <c r="N431" s="41"/>
      <c r="O431" s="41"/>
      <c r="P431" s="41"/>
      <c r="Q431" s="41"/>
      <c r="R431" s="41"/>
      <c r="S431" s="41"/>
      <c r="T431" s="41"/>
      <c r="U431" s="41"/>
      <c r="V431" s="41"/>
      <c r="W431" s="41"/>
      <c r="X431" s="41"/>
      <c r="Y431" s="41"/>
      <c r="Z431" s="41"/>
    </row>
    <row r="432" ht="19.5" customHeight="1">
      <c r="A432" s="41"/>
      <c r="B432" s="84" t="s">
        <v>861</v>
      </c>
      <c r="C432" s="185" t="str">
        <f>IF(AND((NOT(ISBLANK(sample_region_ntp2_server))),(sample_region_ntp2_server &lt;&gt; "n/a")),CONCATENATE(sample_region_ntp1_server,",",sample_region_ntp2_server),sample_region_ntp1_server)</f>
        <v>ntp0.lax.rainpole.io,ntp1.lax.rainpole.io</v>
      </c>
      <c r="D432" s="18" t="str">
        <f>IF(AND((NOT(ISBLANK(region_ntp2_server))),(region_ntp2_server &lt;&gt; "n/a")),CONCATENATE(region_ntp1_server,",",region_ntp2_server),region_ntp1_server)</f>
        <v>Value Missing,Value Missing</v>
      </c>
      <c r="E432" s="84"/>
      <c r="F432" s="41"/>
      <c r="G432" s="41"/>
      <c r="H432" s="41"/>
      <c r="I432" s="41"/>
      <c r="J432" s="41"/>
      <c r="K432" s="41"/>
      <c r="L432" s="41"/>
      <c r="M432" s="41"/>
      <c r="N432" s="41"/>
      <c r="O432" s="41"/>
      <c r="P432" s="41"/>
      <c r="Q432" s="41"/>
      <c r="R432" s="41"/>
      <c r="S432" s="41"/>
      <c r="T432" s="41"/>
      <c r="U432" s="41"/>
      <c r="V432" s="41"/>
      <c r="W432" s="41"/>
      <c r="X432" s="41"/>
      <c r="Y432" s="41"/>
      <c r="Z432" s="41"/>
    </row>
    <row r="433" ht="19.5" customHeight="1">
      <c r="A433" s="41"/>
      <c r="B433" s="17" t="s">
        <v>862</v>
      </c>
      <c r="C433" s="13"/>
      <c r="D433" s="13"/>
      <c r="E433" s="14"/>
      <c r="F433" s="41"/>
      <c r="G433" s="41"/>
      <c r="H433" s="41"/>
      <c r="I433" s="41"/>
      <c r="J433" s="41"/>
      <c r="K433" s="41"/>
      <c r="L433" s="41"/>
      <c r="M433" s="41"/>
      <c r="N433" s="41"/>
      <c r="O433" s="41"/>
      <c r="P433" s="41"/>
      <c r="Q433" s="41"/>
      <c r="R433" s="41"/>
      <c r="S433" s="41"/>
      <c r="T433" s="41"/>
      <c r="U433" s="41"/>
      <c r="V433" s="41"/>
      <c r="W433" s="41"/>
      <c r="X433" s="41"/>
      <c r="Y433" s="41"/>
      <c r="Z433" s="41"/>
    </row>
    <row r="434" ht="19.5" customHeight="1">
      <c r="A434" s="41"/>
      <c r="B434" s="84" t="s">
        <v>863</v>
      </c>
      <c r="C434" s="209" t="str">
        <f>CONCATENATE(this_instance,"-m01-nsx-gm01c")</f>
        <v>lax-m01-nsx-gm01c</v>
      </c>
      <c r="D434" s="196"/>
      <c r="E434" s="84"/>
      <c r="F434" s="41"/>
      <c r="G434" s="195"/>
      <c r="H434" s="41"/>
      <c r="I434" s="41"/>
      <c r="J434" s="41"/>
      <c r="K434" s="41"/>
      <c r="L434" s="41"/>
      <c r="M434" s="41"/>
      <c r="N434" s="41"/>
      <c r="O434" s="41"/>
      <c r="P434" s="41"/>
      <c r="Q434" s="41"/>
      <c r="R434" s="41"/>
      <c r="S434" s="41"/>
      <c r="T434" s="41"/>
      <c r="U434" s="41"/>
      <c r="V434" s="41"/>
      <c r="W434" s="41"/>
      <c r="X434" s="41"/>
      <c r="Y434" s="41"/>
      <c r="Z434" s="41"/>
    </row>
    <row r="435" ht="19.5" customHeight="1">
      <c r="A435" s="41"/>
      <c r="B435" s="84" t="s">
        <v>864</v>
      </c>
      <c r="C435" s="185" t="str">
        <f>sample_mgmt_datacenter</f>
        <v>lax-m01-dc01</v>
      </c>
      <c r="D435" s="18" t="str">
        <f>mgmt_datacenter</f>
        <v>Value Missing</v>
      </c>
      <c r="E435" s="84"/>
      <c r="F435" s="41"/>
      <c r="G435" s="41"/>
      <c r="H435" s="41"/>
      <c r="I435" s="41"/>
      <c r="J435" s="41"/>
      <c r="K435" s="41"/>
      <c r="L435" s="41"/>
      <c r="M435" s="41"/>
      <c r="N435" s="41"/>
      <c r="O435" s="41"/>
      <c r="P435" s="41"/>
      <c r="Q435" s="41"/>
      <c r="R435" s="41"/>
      <c r="S435" s="41"/>
      <c r="T435" s="41"/>
      <c r="U435" s="41"/>
      <c r="V435" s="41"/>
      <c r="W435" s="41"/>
      <c r="X435" s="41"/>
      <c r="Y435" s="41"/>
      <c r="Z435" s="41"/>
    </row>
    <row r="436" ht="19.5" customHeight="1">
      <c r="A436" s="41"/>
      <c r="B436" s="84" t="s">
        <v>865</v>
      </c>
      <c r="C436" s="185" t="str">
        <f>sample_mgmt_cl01_cluster</f>
        <v>lax-m01-cl01</v>
      </c>
      <c r="D436" s="18" t="str">
        <f>mgmt_cl01_cluster</f>
        <v>Value Missing</v>
      </c>
      <c r="E436" s="84"/>
      <c r="F436" s="41"/>
      <c r="G436" s="41"/>
      <c r="H436" s="41"/>
      <c r="I436" s="41"/>
      <c r="J436" s="41"/>
      <c r="K436" s="41"/>
      <c r="L436" s="41"/>
      <c r="M436" s="41"/>
      <c r="N436" s="41"/>
      <c r="O436" s="41"/>
      <c r="P436" s="41"/>
      <c r="Q436" s="41"/>
      <c r="R436" s="41"/>
      <c r="S436" s="41"/>
      <c r="T436" s="41"/>
      <c r="U436" s="41"/>
      <c r="V436" s="41"/>
      <c r="W436" s="41"/>
      <c r="X436" s="41"/>
      <c r="Y436" s="41"/>
      <c r="Z436" s="41"/>
    </row>
    <row r="437" ht="19.5" customHeight="1">
      <c r="A437" s="41"/>
      <c r="B437" s="84" t="s">
        <v>866</v>
      </c>
      <c r="C437" s="185" t="s">
        <v>212</v>
      </c>
      <c r="D437" s="18" t="str">
        <f>D420</f>
        <v>Medium</v>
      </c>
      <c r="E437" s="84"/>
      <c r="F437" s="41"/>
      <c r="G437" s="41"/>
      <c r="H437" s="41"/>
      <c r="I437" s="41"/>
      <c r="J437" s="41"/>
      <c r="K437" s="41"/>
      <c r="L437" s="41"/>
      <c r="M437" s="41"/>
      <c r="N437" s="41"/>
      <c r="O437" s="41"/>
      <c r="P437" s="41"/>
      <c r="Q437" s="41"/>
      <c r="R437" s="41"/>
      <c r="S437" s="41"/>
      <c r="T437" s="41"/>
      <c r="U437" s="41"/>
      <c r="V437" s="41"/>
      <c r="W437" s="41"/>
      <c r="X437" s="41"/>
      <c r="Y437" s="41"/>
      <c r="Z437" s="41"/>
    </row>
    <row r="438" ht="19.5" customHeight="1">
      <c r="A438" s="41"/>
      <c r="B438" s="84" t="s">
        <v>867</v>
      </c>
      <c r="C438" s="185" t="str">
        <f>sample_mgmt_cl01_vsan_datastore</f>
        <v>lax-m01-cl01-ds-nfs01</v>
      </c>
      <c r="D438" s="18" t="str">
        <f>mgmt_cl01_vsan_datastore</f>
        <v>Value Missing</v>
      </c>
      <c r="E438" s="84"/>
      <c r="F438" s="41"/>
      <c r="G438" s="41"/>
      <c r="H438" s="41"/>
      <c r="I438" s="41"/>
      <c r="J438" s="41"/>
      <c r="K438" s="41"/>
      <c r="L438" s="41"/>
      <c r="M438" s="41"/>
      <c r="N438" s="41"/>
      <c r="O438" s="41"/>
      <c r="P438" s="41"/>
      <c r="Q438" s="41"/>
      <c r="R438" s="41"/>
      <c r="S438" s="41"/>
      <c r="T438" s="41"/>
      <c r="U438" s="41"/>
      <c r="V438" s="41"/>
      <c r="W438" s="41"/>
      <c r="X438" s="41"/>
      <c r="Y438" s="41"/>
      <c r="Z438" s="41"/>
    </row>
    <row r="439" ht="19.5" customHeight="1">
      <c r="A439" s="41"/>
      <c r="B439" s="84" t="s">
        <v>868</v>
      </c>
      <c r="C439" s="210" t="str">
        <f>sample_mgmt_cl01_az1_mgmt_vm_pg</f>
        <v>lax-m01-cl01-vds01-pg-vm-mgmt</v>
      </c>
      <c r="D439" s="18" t="str">
        <f>mgmt_cl01_az1_mgmt_vm_pg</f>
        <v>Value Missing</v>
      </c>
      <c r="E439" s="84"/>
      <c r="F439" s="41"/>
      <c r="G439" s="41"/>
      <c r="H439" s="41"/>
      <c r="I439" s="41"/>
      <c r="J439" s="41"/>
      <c r="K439" s="41"/>
      <c r="L439" s="41"/>
      <c r="M439" s="41"/>
      <c r="N439" s="41"/>
      <c r="O439" s="41"/>
      <c r="P439" s="41"/>
      <c r="Q439" s="41"/>
      <c r="R439" s="41"/>
      <c r="S439" s="41"/>
      <c r="T439" s="41"/>
      <c r="U439" s="41"/>
      <c r="V439" s="41"/>
      <c r="W439" s="41"/>
      <c r="X439" s="41"/>
      <c r="Y439" s="41"/>
      <c r="Z439" s="41"/>
    </row>
    <row r="440" ht="19.5" customHeight="1">
      <c r="A440" s="41"/>
      <c r="B440" s="84" t="s">
        <v>869</v>
      </c>
      <c r="C440" s="185" t="str">
        <f>sample_nsxt_gm_root_password</f>
        <v>VMw@re1!VMw@re1!</v>
      </c>
      <c r="D440" s="18" t="str">
        <f>nsxt_gm_root_password</f>
        <v>Value Missing</v>
      </c>
      <c r="E440" s="84"/>
      <c r="F440" s="41"/>
      <c r="G440" s="41"/>
      <c r="H440" s="41"/>
      <c r="I440" s="41"/>
      <c r="J440" s="41"/>
      <c r="K440" s="41"/>
      <c r="L440" s="41"/>
      <c r="M440" s="41"/>
      <c r="N440" s="41"/>
      <c r="O440" s="41"/>
      <c r="P440" s="41"/>
      <c r="Q440" s="41"/>
      <c r="R440" s="41"/>
      <c r="S440" s="41"/>
      <c r="T440" s="41"/>
      <c r="U440" s="41"/>
      <c r="V440" s="41"/>
      <c r="W440" s="41"/>
      <c r="X440" s="41"/>
      <c r="Y440" s="41"/>
      <c r="Z440" s="41"/>
    </row>
    <row r="441" ht="19.5" customHeight="1">
      <c r="A441" s="41"/>
      <c r="B441" s="84" t="s">
        <v>870</v>
      </c>
      <c r="C441" s="185" t="str">
        <f>sample_nsxt_gm_admin_password</f>
        <v>VMw@re1!VMw@re1!</v>
      </c>
      <c r="D441" s="18" t="str">
        <f>nsxt_gm_admin_password</f>
        <v>Value Missing</v>
      </c>
      <c r="E441" s="84"/>
      <c r="F441" s="41"/>
      <c r="G441" s="41"/>
      <c r="H441" s="41"/>
      <c r="I441" s="41"/>
      <c r="J441" s="41"/>
      <c r="K441" s="41"/>
      <c r="L441" s="41"/>
      <c r="M441" s="41"/>
      <c r="N441" s="41"/>
      <c r="O441" s="41"/>
      <c r="P441" s="41"/>
      <c r="Q441" s="41"/>
      <c r="R441" s="41"/>
      <c r="S441" s="41"/>
      <c r="T441" s="41"/>
      <c r="U441" s="41"/>
      <c r="V441" s="41"/>
      <c r="W441" s="41"/>
      <c r="X441" s="41"/>
      <c r="Y441" s="41"/>
      <c r="Z441" s="41"/>
    </row>
    <row r="442" ht="19.5" customHeight="1">
      <c r="A442" s="41"/>
      <c r="B442" s="84" t="s">
        <v>871</v>
      </c>
      <c r="C442" s="185" t="str">
        <f>sample_nsxt_gm_audit_password</f>
        <v>VMw@re1!VMw@re1!</v>
      </c>
      <c r="D442" s="18" t="str">
        <f>nsxt_gm_audit_password</f>
        <v>Value Missing</v>
      </c>
      <c r="E442" s="84"/>
      <c r="F442" s="41"/>
      <c r="G442" s="195"/>
      <c r="H442" s="41"/>
      <c r="I442" s="41"/>
      <c r="J442" s="41"/>
      <c r="K442" s="41"/>
      <c r="L442" s="41"/>
      <c r="M442" s="41"/>
      <c r="N442" s="41"/>
      <c r="O442" s="41"/>
      <c r="P442" s="41"/>
      <c r="Q442" s="41"/>
      <c r="R442" s="41"/>
      <c r="S442" s="41"/>
      <c r="T442" s="41"/>
      <c r="U442" s="41"/>
      <c r="V442" s="41"/>
      <c r="W442" s="41"/>
      <c r="X442" s="41"/>
      <c r="Y442" s="41"/>
      <c r="Z442" s="41"/>
    </row>
    <row r="443" ht="19.5" customHeight="1">
      <c r="A443" s="41"/>
      <c r="B443" s="84" t="s">
        <v>872</v>
      </c>
      <c r="C443" s="155" t="str">
        <f>CONCATENATE(sample_mgmt_nsxt_global_mgrc_hostname,".",sample_child_dns_zone)</f>
        <v>lax-m01-nsx-gm01c.lax.rainpole.io</v>
      </c>
      <c r="D443" s="18"/>
      <c r="E443" s="84"/>
      <c r="F443" s="41"/>
      <c r="G443" s="41"/>
      <c r="H443" s="41"/>
      <c r="I443" s="41"/>
      <c r="J443" s="41"/>
      <c r="K443" s="41"/>
      <c r="L443" s="41"/>
      <c r="M443" s="41"/>
      <c r="N443" s="41"/>
      <c r="O443" s="41"/>
      <c r="P443" s="41"/>
      <c r="Q443" s="41"/>
      <c r="R443" s="41"/>
      <c r="S443" s="41"/>
      <c r="T443" s="41"/>
      <c r="U443" s="41"/>
      <c r="V443" s="41"/>
      <c r="W443" s="41"/>
      <c r="X443" s="41"/>
      <c r="Y443" s="41"/>
      <c r="Z443" s="41"/>
    </row>
    <row r="444" ht="19.5" customHeight="1">
      <c r="A444" s="41"/>
      <c r="B444" s="84" t="s">
        <v>873</v>
      </c>
      <c r="C444" s="209" t="str">
        <f>IF(mgmt_dpg_reuse_result="Included",CONCATENATE(prefix_mgmt_az1_cidr,"10.84"),CONCATENATE(prefix_mgmt_az1_cidr,"11.84"))</f>
        <v>10.21.10.84</v>
      </c>
      <c r="D444" s="196"/>
      <c r="E444" s="84"/>
      <c r="F444" s="41"/>
      <c r="G444" s="41"/>
      <c r="H444" s="41"/>
      <c r="I444" s="41"/>
      <c r="J444" s="41"/>
      <c r="K444" s="41"/>
      <c r="L444" s="41"/>
      <c r="M444" s="41"/>
      <c r="N444" s="41"/>
      <c r="O444" s="41"/>
      <c r="P444" s="41"/>
      <c r="Q444" s="41"/>
      <c r="R444" s="41"/>
      <c r="S444" s="41"/>
      <c r="T444" s="41"/>
      <c r="U444" s="41"/>
      <c r="V444" s="41"/>
      <c r="W444" s="41"/>
      <c r="X444" s="41"/>
      <c r="Y444" s="41"/>
      <c r="Z444" s="41"/>
    </row>
    <row r="445" ht="19.5" customHeight="1">
      <c r="A445" s="41"/>
      <c r="B445" s="84" t="s">
        <v>874</v>
      </c>
      <c r="C445" s="185" t="s">
        <v>622</v>
      </c>
      <c r="D445" s="18" t="str">
        <f>mgmt_az1_mgmt_vm_mask</f>
        <v>Value Missing</v>
      </c>
      <c r="E445" s="84"/>
      <c r="F445" s="41"/>
      <c r="G445" s="41"/>
      <c r="H445" s="41"/>
      <c r="I445" s="41"/>
      <c r="J445" s="41"/>
      <c r="K445" s="41"/>
      <c r="L445" s="41"/>
      <c r="M445" s="41"/>
      <c r="N445" s="41"/>
      <c r="O445" s="41"/>
      <c r="P445" s="41"/>
      <c r="Q445" s="41"/>
      <c r="R445" s="41"/>
      <c r="S445" s="41"/>
      <c r="T445" s="41"/>
      <c r="U445" s="41"/>
      <c r="V445" s="41"/>
      <c r="W445" s="41"/>
      <c r="X445" s="41"/>
      <c r="Y445" s="41"/>
      <c r="Z445" s="41"/>
    </row>
    <row r="446" ht="19.5" customHeight="1">
      <c r="A446" s="41"/>
      <c r="B446" s="84" t="s">
        <v>875</v>
      </c>
      <c r="C446" s="185" t="str">
        <f>sample_mgmt_az1_mgmt_vm_gateway_ip</f>
        <v>10.21.10.1</v>
      </c>
      <c r="D446" s="18" t="str">
        <f>mgmt_az1_mgmt_vm_gateway_ip</f>
        <v>Value Missing</v>
      </c>
      <c r="E446" s="84"/>
      <c r="F446" s="41"/>
      <c r="G446" s="41"/>
      <c r="H446" s="41"/>
      <c r="I446" s="41"/>
      <c r="J446" s="41"/>
      <c r="K446" s="41"/>
      <c r="L446" s="41"/>
      <c r="M446" s="41"/>
      <c r="N446" s="41"/>
      <c r="O446" s="41"/>
      <c r="P446" s="41"/>
      <c r="Q446" s="41"/>
      <c r="R446" s="41"/>
      <c r="S446" s="41"/>
      <c r="T446" s="41"/>
      <c r="U446" s="41"/>
      <c r="V446" s="41"/>
      <c r="W446" s="41"/>
      <c r="X446" s="41"/>
      <c r="Y446" s="41"/>
      <c r="Z446" s="41"/>
    </row>
    <row r="447" ht="19.5" customHeight="1">
      <c r="A447" s="41"/>
      <c r="B447" s="84" t="s">
        <v>876</v>
      </c>
      <c r="C447" s="185" t="str">
        <f>CONCATENATE(sample_mgmt_witness_dns1_ip,",",sample_mgmt_witness_dns2_ip)</f>
        <v>10.11.10.4,10.11.10.5</v>
      </c>
      <c r="D447" s="18" t="str">
        <f>IF(ISBLANK(input_region_dns1_ip),"Value Missing",CONCATENATE(region_dns1_ip,",",IF(ISBLANK(input_region_dns2_ip),"Value Missing",region_dns2_ip)))</f>
        <v>Value Missing</v>
      </c>
      <c r="E447" s="84"/>
      <c r="F447" s="41"/>
      <c r="G447" s="41"/>
      <c r="H447" s="41"/>
      <c r="I447" s="41"/>
      <c r="J447" s="41"/>
      <c r="K447" s="41"/>
      <c r="L447" s="41"/>
      <c r="M447" s="41"/>
      <c r="N447" s="41"/>
      <c r="O447" s="41"/>
      <c r="P447" s="41"/>
      <c r="Q447" s="41"/>
      <c r="R447" s="41"/>
      <c r="S447" s="41"/>
      <c r="T447" s="41"/>
      <c r="U447" s="41"/>
      <c r="V447" s="41"/>
      <c r="W447" s="41"/>
      <c r="X447" s="41"/>
      <c r="Y447" s="41"/>
      <c r="Z447" s="41"/>
    </row>
    <row r="448" ht="19.5" customHeight="1">
      <c r="A448" s="41"/>
      <c r="B448" s="84" t="s">
        <v>877</v>
      </c>
      <c r="C448" s="185" t="str">
        <f>CONCATENATE(sample_child_dns_zone,",",sample_parent_dns_zone)</f>
        <v>lax.rainpole.io,rainpole.io</v>
      </c>
      <c r="D448" s="18" t="str">
        <f>CONCATENATE(child_dns_zone,",",parent_dns_zone)</f>
        <v>Value Missing,Value Missing</v>
      </c>
      <c r="E448" s="84"/>
      <c r="F448" s="41"/>
      <c r="G448" s="195"/>
      <c r="H448" s="41"/>
      <c r="I448" s="41"/>
      <c r="J448" s="41"/>
      <c r="K448" s="41"/>
      <c r="L448" s="41"/>
      <c r="M448" s="41"/>
      <c r="N448" s="41"/>
      <c r="O448" s="41"/>
      <c r="P448" s="41"/>
      <c r="Q448" s="41"/>
      <c r="R448" s="41"/>
      <c r="S448" s="41"/>
      <c r="T448" s="41"/>
      <c r="U448" s="41"/>
      <c r="V448" s="41"/>
      <c r="W448" s="41"/>
      <c r="X448" s="41"/>
      <c r="Y448" s="41"/>
      <c r="Z448" s="41"/>
    </row>
    <row r="449" ht="19.5" customHeight="1">
      <c r="A449" s="41"/>
      <c r="B449" s="84" t="s">
        <v>878</v>
      </c>
      <c r="C449" s="185" t="str">
        <f>IF(AND((NOT(ISBLANK(sample_region_ntp2_server))),(sample_region_ntp2_server &lt;&gt; "n/a")),CONCATENATE(sample_region_ntp1_server,",",sample_region_ntp2_server),sample_region_ntp1_server)</f>
        <v>ntp0.lax.rainpole.io,ntp1.lax.rainpole.io</v>
      </c>
      <c r="D449" s="18" t="str">
        <f>IF(AND((NOT(ISBLANK(region_ntp2_server))),(region_ntp2_server &lt;&gt; "n/a")),CONCATENATE(region_ntp1_server,",",region_ntp2_server),region_ntp1_server)</f>
        <v>Value Missing,Value Missing</v>
      </c>
      <c r="E449" s="84"/>
      <c r="F449" s="41"/>
      <c r="G449" s="41"/>
      <c r="H449" s="41"/>
      <c r="I449" s="41"/>
      <c r="J449" s="41"/>
      <c r="K449" s="41"/>
      <c r="L449" s="41"/>
      <c r="M449" s="41"/>
      <c r="N449" s="41"/>
      <c r="O449" s="41"/>
      <c r="P449" s="41"/>
      <c r="Q449" s="41"/>
      <c r="R449" s="41"/>
      <c r="S449" s="41"/>
      <c r="T449" s="41"/>
      <c r="U449" s="41"/>
      <c r="V449" s="41"/>
      <c r="W449" s="41"/>
      <c r="X449" s="41"/>
      <c r="Y449" s="41"/>
      <c r="Z449" s="41"/>
    </row>
    <row r="450" ht="19.5" customHeight="1">
      <c r="A450" s="41"/>
      <c r="B450" s="84" t="s">
        <v>879</v>
      </c>
      <c r="C450" s="211" t="str">
        <f>CONCATENATE(this_instance,"-m01-nsx-gm01",".",sample_child_dns_zone)</f>
        <v>lax-m01-nsx-gm01.lax.rainpole.io</v>
      </c>
      <c r="D450" s="196"/>
      <c r="E450" s="84"/>
      <c r="F450" s="41"/>
      <c r="G450" s="41"/>
      <c r="H450" s="41"/>
      <c r="I450" s="41"/>
      <c r="J450" s="41"/>
      <c r="K450" s="41"/>
      <c r="L450" s="41"/>
      <c r="M450" s="41"/>
      <c r="N450" s="41"/>
      <c r="O450" s="41"/>
      <c r="P450" s="41"/>
      <c r="Q450" s="41"/>
      <c r="R450" s="41"/>
      <c r="S450" s="41"/>
      <c r="T450" s="41"/>
      <c r="U450" s="41"/>
      <c r="V450" s="41"/>
      <c r="W450" s="41"/>
      <c r="X450" s="41"/>
      <c r="Y450" s="41"/>
      <c r="Z450" s="41"/>
    </row>
    <row r="451" ht="19.5" customHeight="1">
      <c r="A451" s="41"/>
      <c r="B451" s="17" t="s">
        <v>880</v>
      </c>
      <c r="C451" s="13"/>
      <c r="D451" s="13"/>
      <c r="E451" s="14"/>
      <c r="F451" s="41"/>
      <c r="G451" s="195"/>
      <c r="H451" s="41"/>
      <c r="I451" s="41"/>
      <c r="J451" s="41"/>
      <c r="K451" s="41"/>
      <c r="L451" s="41"/>
      <c r="M451" s="41"/>
      <c r="N451" s="41"/>
      <c r="O451" s="41"/>
      <c r="P451" s="41"/>
      <c r="Q451" s="41"/>
      <c r="R451" s="41"/>
      <c r="S451" s="41"/>
      <c r="T451" s="41"/>
      <c r="U451" s="41"/>
      <c r="V451" s="41"/>
      <c r="W451" s="41"/>
      <c r="X451" s="41"/>
      <c r="Y451" s="41"/>
      <c r="Z451" s="41"/>
    </row>
    <row r="452" ht="19.5" customHeight="1">
      <c r="A452" s="41"/>
      <c r="B452" s="173" t="s">
        <v>826</v>
      </c>
      <c r="C452" s="111" t="str">
        <f>sample_mgmt_vc_fqdn</f>
        <v>lax-m01-vc01.lax.rainpole.io</v>
      </c>
      <c r="D452" s="32" t="str">
        <f>mgmt_vc_fqdn</f>
        <v>Value Missing</v>
      </c>
      <c r="E452" s="84"/>
      <c r="F452" s="41"/>
      <c r="G452" s="41"/>
      <c r="H452" s="41"/>
      <c r="I452" s="41"/>
      <c r="J452" s="41"/>
      <c r="K452" s="41"/>
      <c r="L452" s="41"/>
      <c r="M452" s="41"/>
      <c r="N452" s="41"/>
      <c r="O452" s="41"/>
      <c r="P452" s="41"/>
      <c r="Q452" s="41"/>
      <c r="R452" s="41"/>
      <c r="S452" s="41"/>
      <c r="T452" s="41"/>
      <c r="U452" s="41"/>
      <c r="V452" s="41"/>
      <c r="W452" s="41"/>
      <c r="X452" s="41"/>
      <c r="Y452" s="41"/>
      <c r="Z452" s="41"/>
    </row>
    <row r="453" ht="19.5" customHeight="1">
      <c r="A453" s="41"/>
      <c r="B453" s="173" t="s">
        <v>881</v>
      </c>
      <c r="C453" s="185" t="s">
        <v>882</v>
      </c>
      <c r="D453" s="18"/>
      <c r="E453" s="153"/>
      <c r="F453" s="41"/>
      <c r="G453" s="41"/>
      <c r="H453" s="41"/>
      <c r="I453" s="41"/>
      <c r="J453" s="41"/>
      <c r="K453" s="41"/>
      <c r="L453" s="41"/>
      <c r="M453" s="41"/>
      <c r="N453" s="41"/>
      <c r="O453" s="41"/>
      <c r="P453" s="41"/>
      <c r="Q453" s="41"/>
      <c r="R453" s="41"/>
      <c r="S453" s="41"/>
      <c r="T453" s="41"/>
      <c r="U453" s="41"/>
      <c r="V453" s="41"/>
      <c r="W453" s="41"/>
      <c r="X453" s="41"/>
      <c r="Y453" s="41"/>
      <c r="Z453" s="41"/>
    </row>
    <row r="454" ht="19.5" customHeight="1">
      <c r="A454" s="41"/>
      <c r="B454" s="173" t="s">
        <v>883</v>
      </c>
      <c r="C454" s="185" t="s">
        <v>884</v>
      </c>
      <c r="D454" s="18"/>
      <c r="E454" s="153"/>
      <c r="F454" s="41"/>
      <c r="G454" s="41"/>
      <c r="H454" s="41"/>
      <c r="I454" s="41"/>
      <c r="J454" s="41"/>
      <c r="K454" s="41"/>
      <c r="L454" s="41"/>
      <c r="M454" s="41"/>
      <c r="N454" s="41"/>
      <c r="O454" s="41"/>
      <c r="P454" s="41"/>
      <c r="Q454" s="41"/>
      <c r="R454" s="41"/>
      <c r="S454" s="41"/>
      <c r="T454" s="41"/>
      <c r="U454" s="41"/>
      <c r="V454" s="41"/>
      <c r="W454" s="41"/>
      <c r="X454" s="41"/>
      <c r="Y454" s="41"/>
      <c r="Z454" s="41"/>
    </row>
    <row r="455" ht="19.5" customHeight="1">
      <c r="A455" s="41"/>
      <c r="B455" s="173" t="s">
        <v>885</v>
      </c>
      <c r="C455" s="110" t="str">
        <f>sample_mgmt_nsxt_global_mgrb_hostname</f>
        <v>lax-m01-nsx-gm01b</v>
      </c>
      <c r="D455" s="32" t="str">
        <f>mgmt_nsxt_global_mgrb_fqdn</f>
        <v>Value Missing</v>
      </c>
      <c r="E455" s="153"/>
      <c r="F455" s="41"/>
      <c r="G455" s="41"/>
      <c r="H455" s="41"/>
      <c r="I455" s="41"/>
      <c r="J455" s="41"/>
      <c r="K455" s="41"/>
      <c r="L455" s="41"/>
      <c r="M455" s="41"/>
      <c r="N455" s="41"/>
      <c r="O455" s="41"/>
      <c r="P455" s="41"/>
      <c r="Q455" s="41"/>
      <c r="R455" s="41"/>
      <c r="S455" s="41"/>
      <c r="T455" s="41"/>
      <c r="U455" s="41"/>
      <c r="V455" s="41"/>
      <c r="W455" s="41"/>
      <c r="X455" s="41"/>
      <c r="Y455" s="41"/>
      <c r="Z455" s="41"/>
    </row>
    <row r="456" ht="19.5" customHeight="1">
      <c r="A456" s="41"/>
      <c r="B456" s="173" t="s">
        <v>886</v>
      </c>
      <c r="C456" s="110" t="str">
        <f>sample_mgmt_nsxt_global_mgra_ip</f>
        <v>10.21.10.82</v>
      </c>
      <c r="D456" s="32" t="str">
        <f>mgmt_nsxt_global_mgra_ip</f>
        <v>Value Missing</v>
      </c>
      <c r="E456" s="153"/>
      <c r="F456" s="41"/>
      <c r="G456" s="41"/>
      <c r="H456" s="41"/>
      <c r="I456" s="41"/>
      <c r="J456" s="41"/>
      <c r="K456" s="41"/>
      <c r="L456" s="41"/>
      <c r="M456" s="41"/>
      <c r="N456" s="41"/>
      <c r="O456" s="41"/>
      <c r="P456" s="41"/>
      <c r="Q456" s="41"/>
      <c r="R456" s="41"/>
      <c r="S456" s="41"/>
      <c r="T456" s="41"/>
      <c r="U456" s="41"/>
      <c r="V456" s="41"/>
      <c r="W456" s="41"/>
      <c r="X456" s="41"/>
      <c r="Y456" s="41"/>
      <c r="Z456" s="41"/>
    </row>
    <row r="457" ht="19.5" customHeight="1">
      <c r="A457" s="41"/>
      <c r="B457" s="173" t="s">
        <v>887</v>
      </c>
      <c r="C457" s="110" t="str">
        <f>sample_mgmt_nsxt_global_mgr_cluster_id</f>
        <v>ca3bd7dc-aa06-4f2d-a9e1-0c4999354c9b</v>
      </c>
      <c r="D457" s="32" t="str">
        <f>mgmt_nsxt_global_mgr_cluster_id</f>
        <v>Value Missing</v>
      </c>
      <c r="E457" s="153"/>
      <c r="F457" s="41"/>
      <c r="G457" s="195"/>
      <c r="H457" s="41"/>
      <c r="I457" s="41"/>
      <c r="J457" s="41"/>
      <c r="K457" s="41"/>
      <c r="L457" s="41"/>
      <c r="M457" s="41"/>
      <c r="N457" s="41"/>
      <c r="O457" s="41"/>
      <c r="P457" s="41"/>
      <c r="Q457" s="41"/>
      <c r="R457" s="41"/>
      <c r="S457" s="41"/>
      <c r="T457" s="41"/>
      <c r="U457" s="41"/>
      <c r="V457" s="41"/>
      <c r="W457" s="41"/>
      <c r="X457" s="41"/>
      <c r="Y457" s="41"/>
      <c r="Z457" s="41"/>
    </row>
    <row r="458" ht="19.5" customHeight="1">
      <c r="A458" s="41"/>
      <c r="B458" s="173" t="s">
        <v>888</v>
      </c>
      <c r="C458" s="110" t="s">
        <v>889</v>
      </c>
      <c r="D458" s="32"/>
      <c r="E458" s="153"/>
      <c r="F458" s="41"/>
      <c r="G458" s="41"/>
      <c r="H458" s="41"/>
      <c r="I458" s="41"/>
      <c r="J458" s="41"/>
      <c r="K458" s="41"/>
      <c r="L458" s="41"/>
      <c r="M458" s="41"/>
      <c r="N458" s="41"/>
      <c r="O458" s="41"/>
      <c r="P458" s="41"/>
      <c r="Q458" s="41"/>
      <c r="R458" s="41"/>
      <c r="S458" s="41"/>
      <c r="T458" s="41"/>
      <c r="U458" s="41"/>
      <c r="V458" s="41"/>
      <c r="W458" s="41"/>
      <c r="X458" s="41"/>
      <c r="Y458" s="41"/>
      <c r="Z458" s="41"/>
    </row>
    <row r="459" ht="19.5" customHeight="1">
      <c r="A459" s="41"/>
      <c r="B459" s="173" t="s">
        <v>890</v>
      </c>
      <c r="C459" s="110" t="str">
        <f>sample_nsxt_gm_admin_password</f>
        <v>VMw@re1!VMw@re1!</v>
      </c>
      <c r="D459" s="32" t="str">
        <f>nsxt_gm_admin_password</f>
        <v>Value Missing</v>
      </c>
      <c r="E459" s="153"/>
      <c r="F459" s="41"/>
      <c r="G459" s="41"/>
      <c r="H459" s="41"/>
      <c r="I459" s="41"/>
      <c r="J459" s="41"/>
      <c r="K459" s="41"/>
      <c r="L459" s="41"/>
      <c r="M459" s="41"/>
      <c r="N459" s="41"/>
      <c r="O459" s="41"/>
      <c r="P459" s="41"/>
      <c r="Q459" s="41"/>
      <c r="R459" s="41"/>
      <c r="S459" s="41"/>
      <c r="T459" s="41"/>
      <c r="U459" s="41"/>
      <c r="V459" s="41"/>
      <c r="W459" s="41"/>
      <c r="X459" s="41"/>
      <c r="Y459" s="41"/>
      <c r="Z459" s="41"/>
    </row>
    <row r="460" ht="19.5" customHeight="1">
      <c r="A460" s="41"/>
      <c r="B460" s="173" t="s">
        <v>891</v>
      </c>
      <c r="C460" s="110" t="str">
        <f>sample_mgmt_nsxt_global_mgr_vmca_signed_thumbprint</f>
        <v>c7a6264cd8f74033e851944a205110afdeb046386af42ce47240939c417acb93</v>
      </c>
      <c r="D460" s="32" t="str">
        <f>mgmt_nsxt_global_mgr_vmca_signed_thumbprint</f>
        <v>Value Missing</v>
      </c>
      <c r="E460" s="153"/>
      <c r="F460" s="41"/>
      <c r="G460" s="41"/>
      <c r="H460" s="41"/>
      <c r="I460" s="41"/>
      <c r="J460" s="41"/>
      <c r="K460" s="41"/>
      <c r="L460" s="41"/>
      <c r="M460" s="41"/>
      <c r="N460" s="41"/>
      <c r="O460" s="41"/>
      <c r="P460" s="41"/>
      <c r="Q460" s="41"/>
      <c r="R460" s="41"/>
      <c r="S460" s="41"/>
      <c r="T460" s="41"/>
      <c r="U460" s="41"/>
      <c r="V460" s="41"/>
      <c r="W460" s="41"/>
      <c r="X460" s="41"/>
      <c r="Y460" s="41"/>
      <c r="Z460" s="41"/>
    </row>
    <row r="461" ht="19.5" customHeight="1">
      <c r="A461" s="41"/>
      <c r="B461" s="173" t="s">
        <v>892</v>
      </c>
      <c r="C461" s="110" t="str">
        <f>sample_mgmt_nsxt_global_mgrc_hostname</f>
        <v>lax-m01-nsx-gm01c</v>
      </c>
      <c r="D461" s="32" t="str">
        <f>mgmt_nsxt_global_mgrc_fqdn</f>
        <v>Value Missing</v>
      </c>
      <c r="E461" s="153"/>
      <c r="F461" s="41"/>
      <c r="G461" s="41"/>
      <c r="H461" s="41"/>
      <c r="I461" s="41"/>
      <c r="J461" s="41"/>
      <c r="K461" s="41"/>
      <c r="L461" s="41"/>
      <c r="M461" s="41"/>
      <c r="N461" s="41"/>
      <c r="O461" s="41"/>
      <c r="P461" s="41"/>
      <c r="Q461" s="41"/>
      <c r="R461" s="41"/>
      <c r="S461" s="41"/>
      <c r="T461" s="41"/>
      <c r="U461" s="41"/>
      <c r="V461" s="41"/>
      <c r="W461" s="41"/>
      <c r="X461" s="41"/>
      <c r="Y461" s="41"/>
      <c r="Z461" s="41"/>
    </row>
    <row r="462" ht="19.5" customHeight="1">
      <c r="A462" s="41"/>
      <c r="B462" s="173" t="s">
        <v>893</v>
      </c>
      <c r="C462" s="110" t="str">
        <f>sample_mgmt_nsxt_global_mgra_ip</f>
        <v>10.21.10.82</v>
      </c>
      <c r="D462" s="32" t="str">
        <f>mgmt_nsxt_global_mgra_ip</f>
        <v>Value Missing</v>
      </c>
      <c r="E462" s="153"/>
      <c r="F462" s="41"/>
      <c r="G462" s="41"/>
      <c r="H462" s="41"/>
      <c r="I462" s="41"/>
      <c r="J462" s="41"/>
      <c r="K462" s="41"/>
      <c r="L462" s="41"/>
      <c r="M462" s="41"/>
      <c r="N462" s="41"/>
      <c r="O462" s="41"/>
      <c r="P462" s="41"/>
      <c r="Q462" s="41"/>
      <c r="R462" s="41"/>
      <c r="S462" s="41"/>
      <c r="T462" s="41"/>
      <c r="U462" s="41"/>
      <c r="V462" s="41"/>
      <c r="W462" s="41"/>
      <c r="X462" s="41"/>
      <c r="Y462" s="41"/>
      <c r="Z462" s="41"/>
    </row>
    <row r="463" ht="19.5" customHeight="1">
      <c r="A463" s="41"/>
      <c r="B463" s="173" t="s">
        <v>894</v>
      </c>
      <c r="C463" s="110" t="str">
        <f>sample_mgmt_nsxt_global_mgr_cluster_id</f>
        <v>ca3bd7dc-aa06-4f2d-a9e1-0c4999354c9b</v>
      </c>
      <c r="D463" s="32" t="str">
        <f>mgmt_nsxt_global_mgr_cluster_id</f>
        <v>Value Missing</v>
      </c>
      <c r="E463" s="153"/>
      <c r="F463" s="41"/>
      <c r="G463" s="41"/>
      <c r="H463" s="41"/>
      <c r="I463" s="41"/>
      <c r="J463" s="41"/>
      <c r="K463" s="41"/>
      <c r="L463" s="41"/>
      <c r="M463" s="41"/>
      <c r="N463" s="41"/>
      <c r="O463" s="41"/>
      <c r="P463" s="41"/>
      <c r="Q463" s="41"/>
      <c r="R463" s="41"/>
      <c r="S463" s="41"/>
      <c r="T463" s="41"/>
      <c r="U463" s="41"/>
      <c r="V463" s="41"/>
      <c r="W463" s="41"/>
      <c r="X463" s="41"/>
      <c r="Y463" s="41"/>
      <c r="Z463" s="41"/>
    </row>
    <row r="464" ht="19.5" customHeight="1">
      <c r="A464" s="41"/>
      <c r="B464" s="173" t="s">
        <v>895</v>
      </c>
      <c r="C464" s="110" t="s">
        <v>889</v>
      </c>
      <c r="D464" s="32"/>
      <c r="E464" s="153"/>
      <c r="F464" s="41"/>
      <c r="G464" s="195"/>
      <c r="H464" s="41"/>
      <c r="I464" s="41"/>
      <c r="J464" s="41"/>
      <c r="K464" s="41"/>
      <c r="L464" s="41"/>
      <c r="M464" s="41"/>
      <c r="N464" s="41"/>
      <c r="O464" s="41"/>
      <c r="P464" s="41"/>
      <c r="Q464" s="41"/>
      <c r="R464" s="41"/>
      <c r="S464" s="41"/>
      <c r="T464" s="41"/>
      <c r="U464" s="41"/>
      <c r="V464" s="41"/>
      <c r="W464" s="41"/>
      <c r="X464" s="41"/>
      <c r="Y464" s="41"/>
      <c r="Z464" s="41"/>
    </row>
    <row r="465" ht="19.5" customHeight="1">
      <c r="A465" s="41"/>
      <c r="B465" s="173" t="s">
        <v>896</v>
      </c>
      <c r="C465" s="110" t="str">
        <f>sample_nsxt_gm_admin_password</f>
        <v>VMw@re1!VMw@re1!</v>
      </c>
      <c r="D465" s="32" t="str">
        <f>nsxt_gm_admin_password</f>
        <v>Value Missing</v>
      </c>
      <c r="E465" s="153"/>
      <c r="F465" s="41"/>
      <c r="G465" s="41"/>
      <c r="H465" s="41"/>
      <c r="I465" s="41"/>
      <c r="J465" s="41"/>
      <c r="K465" s="41"/>
      <c r="L465" s="41"/>
      <c r="M465" s="41"/>
      <c r="N465" s="41"/>
      <c r="O465" s="41"/>
      <c r="P465" s="41"/>
      <c r="Q465" s="41"/>
      <c r="R465" s="41"/>
      <c r="S465" s="41"/>
      <c r="T465" s="41"/>
      <c r="U465" s="41"/>
      <c r="V465" s="41"/>
      <c r="W465" s="41"/>
      <c r="X465" s="41"/>
      <c r="Y465" s="41"/>
      <c r="Z465" s="41"/>
    </row>
    <row r="466" ht="19.5" customHeight="1">
      <c r="A466" s="41"/>
      <c r="B466" s="173" t="s">
        <v>897</v>
      </c>
      <c r="C466" s="110" t="str">
        <f>sample_mgmt_nsxt_global_mgr_vmca_signed_thumbprint</f>
        <v>c7a6264cd8f74033e851944a205110afdeb046386af42ce47240939c417acb93</v>
      </c>
      <c r="D466" s="32" t="str">
        <f>mgmt_nsxt_global_mgr_vmca_signed_thumbprint</f>
        <v>Value Missing</v>
      </c>
      <c r="E466" s="153"/>
      <c r="F466" s="41"/>
      <c r="G466" s="41"/>
      <c r="H466" s="41"/>
      <c r="I466" s="41"/>
      <c r="J466" s="41"/>
      <c r="K466" s="41"/>
      <c r="L466" s="41"/>
      <c r="M466" s="41"/>
      <c r="N466" s="41"/>
      <c r="O466" s="41"/>
      <c r="P466" s="41"/>
      <c r="Q466" s="41"/>
      <c r="R466" s="41"/>
      <c r="S466" s="41"/>
      <c r="T466" s="41"/>
      <c r="U466" s="41"/>
      <c r="V466" s="41"/>
      <c r="W466" s="41"/>
      <c r="X466" s="41"/>
      <c r="Y466" s="41"/>
      <c r="Z466" s="41"/>
    </row>
    <row r="467" ht="19.5" customHeight="1">
      <c r="A467" s="41"/>
      <c r="B467" s="17" t="s">
        <v>898</v>
      </c>
      <c r="C467" s="13"/>
      <c r="D467" s="13"/>
      <c r="E467" s="14"/>
      <c r="F467" s="41"/>
      <c r="G467" s="41"/>
      <c r="H467" s="41"/>
      <c r="I467" s="41"/>
      <c r="J467" s="41"/>
      <c r="K467" s="41"/>
      <c r="L467" s="41"/>
      <c r="M467" s="41"/>
      <c r="N467" s="41"/>
      <c r="O467" s="41"/>
      <c r="P467" s="41"/>
      <c r="Q467" s="41"/>
      <c r="R467" s="41"/>
      <c r="S467" s="41"/>
      <c r="T467" s="41"/>
      <c r="U467" s="41"/>
      <c r="V467" s="41"/>
      <c r="W467" s="41"/>
      <c r="X467" s="41"/>
      <c r="Y467" s="41"/>
      <c r="Z467" s="41"/>
    </row>
    <row r="468" ht="19.5" customHeight="1">
      <c r="A468" s="41"/>
      <c r="B468" s="84" t="s">
        <v>826</v>
      </c>
      <c r="C468" s="111" t="str">
        <f>sample_mgmt_vc_fqdn</f>
        <v>lax-m01-vc01.lax.rainpole.io</v>
      </c>
      <c r="D468" s="18" t="str">
        <f>mgmt_vc_fqdn</f>
        <v>Value Missing</v>
      </c>
      <c r="E468" s="84"/>
      <c r="F468" s="41"/>
      <c r="G468" s="41"/>
      <c r="H468" s="41"/>
      <c r="I468" s="41"/>
      <c r="J468" s="41"/>
      <c r="K468" s="41"/>
      <c r="L468" s="41"/>
      <c r="M468" s="41"/>
      <c r="N468" s="41"/>
      <c r="O468" s="41"/>
      <c r="P468" s="41"/>
      <c r="Q468" s="41"/>
      <c r="R468" s="41"/>
      <c r="S468" s="41"/>
      <c r="T468" s="41"/>
      <c r="U468" s="41"/>
      <c r="V468" s="41"/>
      <c r="W468" s="41"/>
      <c r="X468" s="41"/>
      <c r="Y468" s="41"/>
      <c r="Z468" s="41"/>
    </row>
    <row r="469" ht="19.5" customHeight="1">
      <c r="A469" s="41"/>
      <c r="B469" s="84" t="s">
        <v>256</v>
      </c>
      <c r="C469" s="110" t="str">
        <f>CONCATENATE(sample_mgmt_sddc_domain,"-anti-affinity-rule-nsx-global-managers")</f>
        <v>lax-m01-anti-affinity-rule-nsx-global-managers</v>
      </c>
      <c r="D469" s="18"/>
      <c r="E469" s="84"/>
      <c r="F469" s="41"/>
      <c r="G469" s="41"/>
      <c r="H469" s="41"/>
      <c r="I469" s="41"/>
      <c r="J469" s="41"/>
      <c r="K469" s="41"/>
      <c r="L469" s="41"/>
      <c r="M469" s="41"/>
      <c r="N469" s="41"/>
      <c r="O469" s="41"/>
      <c r="P469" s="41"/>
      <c r="Q469" s="41"/>
      <c r="R469" s="41"/>
      <c r="S469" s="41"/>
      <c r="T469" s="41"/>
      <c r="U469" s="41"/>
      <c r="V469" s="41"/>
      <c r="W469" s="41"/>
      <c r="X469" s="41"/>
      <c r="Y469" s="41"/>
      <c r="Z469" s="41"/>
    </row>
    <row r="470" ht="19.5" customHeight="1">
      <c r="A470" s="41"/>
      <c r="B470" s="84" t="s">
        <v>899</v>
      </c>
      <c r="C470" s="110" t="str">
        <f>sample_mgmt_nsxt_global_mgra_hostname</f>
        <v>lax-m01-nsx-gm01a</v>
      </c>
      <c r="D470" s="18" t="str">
        <f>mgmt_nsxt_global_mgra_hostname</f>
        <v>Value Missing</v>
      </c>
      <c r="E470" s="84"/>
      <c r="F470" s="41"/>
      <c r="G470" s="41"/>
      <c r="H470" s="41"/>
      <c r="I470" s="41"/>
      <c r="J470" s="41"/>
      <c r="K470" s="41"/>
      <c r="L470" s="41"/>
      <c r="M470" s="41"/>
      <c r="N470" s="41"/>
      <c r="O470" s="41"/>
      <c r="P470" s="41"/>
      <c r="Q470" s="41"/>
      <c r="R470" s="41"/>
      <c r="S470" s="41"/>
      <c r="T470" s="41"/>
      <c r="U470" s="41"/>
      <c r="V470" s="41"/>
      <c r="W470" s="41"/>
      <c r="X470" s="41"/>
      <c r="Y470" s="41"/>
      <c r="Z470" s="41"/>
    </row>
    <row r="471" ht="19.5" customHeight="1">
      <c r="A471" s="41"/>
      <c r="B471" s="84" t="s">
        <v>900</v>
      </c>
      <c r="C471" s="110" t="str">
        <f>sample_mgmt_nsxt_global_mgrb_hostname</f>
        <v>lax-m01-nsx-gm01b</v>
      </c>
      <c r="D471" s="18" t="str">
        <f>mgmt_nsxt_global_mgrb_hostname</f>
        <v>Value Missing</v>
      </c>
      <c r="E471" s="84"/>
      <c r="F471" s="41"/>
      <c r="G471" s="195"/>
      <c r="H471" s="41"/>
      <c r="I471" s="41"/>
      <c r="J471" s="41"/>
      <c r="K471" s="41"/>
      <c r="L471" s="41"/>
      <c r="M471" s="41"/>
      <c r="N471" s="41"/>
      <c r="O471" s="41"/>
      <c r="P471" s="41"/>
      <c r="Q471" s="41"/>
      <c r="R471" s="41"/>
      <c r="S471" s="41"/>
      <c r="T471" s="41"/>
      <c r="U471" s="41"/>
      <c r="V471" s="41"/>
      <c r="W471" s="41"/>
      <c r="X471" s="41"/>
      <c r="Y471" s="41"/>
      <c r="Z471" s="41"/>
    </row>
    <row r="472" ht="19.5" customHeight="1">
      <c r="A472" s="41"/>
      <c r="B472" s="84" t="s">
        <v>901</v>
      </c>
      <c r="C472" s="110" t="str">
        <f>sample_mgmt_nsxt_global_mgrc_hostname</f>
        <v>lax-m01-nsx-gm01c</v>
      </c>
      <c r="D472" s="18" t="str">
        <f>mgmt_nsxt_global_mgrc_hostname</f>
        <v>Value Missing</v>
      </c>
      <c r="E472" s="84"/>
      <c r="F472" s="41"/>
      <c r="G472" s="41"/>
      <c r="H472" s="41"/>
      <c r="I472" s="41"/>
      <c r="J472" s="41"/>
      <c r="K472" s="41"/>
      <c r="L472" s="41"/>
      <c r="M472" s="41"/>
      <c r="N472" s="41"/>
      <c r="O472" s="41"/>
      <c r="P472" s="41"/>
      <c r="Q472" s="41"/>
      <c r="R472" s="41"/>
      <c r="S472" s="41"/>
      <c r="T472" s="41"/>
      <c r="U472" s="41"/>
      <c r="V472" s="41"/>
      <c r="W472" s="41"/>
      <c r="X472" s="41"/>
      <c r="Y472" s="41"/>
      <c r="Z472" s="41"/>
    </row>
    <row r="473" ht="19.5" customHeight="1">
      <c r="A473" s="41"/>
      <c r="B473" s="17" t="s">
        <v>902</v>
      </c>
      <c r="C473" s="13"/>
      <c r="D473" s="13"/>
      <c r="E473" s="14"/>
      <c r="F473" s="41"/>
      <c r="G473" s="41"/>
      <c r="H473" s="41"/>
      <c r="I473" s="41"/>
      <c r="J473" s="41"/>
      <c r="K473" s="41"/>
      <c r="L473" s="41"/>
      <c r="M473" s="41"/>
      <c r="N473" s="41"/>
      <c r="O473" s="41"/>
      <c r="P473" s="41"/>
      <c r="Q473" s="41"/>
      <c r="R473" s="41"/>
      <c r="S473" s="41"/>
      <c r="T473" s="41"/>
      <c r="U473" s="41"/>
      <c r="V473" s="41"/>
      <c r="W473" s="41"/>
      <c r="X473" s="41"/>
      <c r="Y473" s="41"/>
      <c r="Z473" s="41"/>
    </row>
    <row r="474" ht="19.5" customHeight="1">
      <c r="A474" s="41"/>
      <c r="B474" s="84" t="s">
        <v>903</v>
      </c>
      <c r="C474" s="111" t="str">
        <f>sample_mgmt_nsxt_global_mgra_fqdn</f>
        <v>lax-m01-nsx-gm01a.lax.rainpole.io</v>
      </c>
      <c r="D474" s="32" t="str">
        <f>mgmt_nsxt_global_mgra_fqdn</f>
        <v>Value Missing</v>
      </c>
      <c r="E474" s="84"/>
      <c r="F474" s="41"/>
      <c r="G474" s="195"/>
      <c r="H474" s="41"/>
      <c r="I474" s="41"/>
      <c r="J474" s="41"/>
      <c r="K474" s="41"/>
      <c r="L474" s="41"/>
      <c r="M474" s="41"/>
      <c r="N474" s="41"/>
      <c r="O474" s="41"/>
      <c r="P474" s="41"/>
      <c r="Q474" s="41"/>
      <c r="R474" s="41"/>
      <c r="S474" s="41"/>
      <c r="T474" s="41"/>
      <c r="U474" s="41"/>
      <c r="V474" s="41"/>
      <c r="W474" s="41"/>
      <c r="X474" s="41"/>
      <c r="Y474" s="41"/>
      <c r="Z474" s="41"/>
    </row>
    <row r="475" ht="19.5" customHeight="1">
      <c r="A475" s="41"/>
      <c r="B475" s="84" t="s">
        <v>904</v>
      </c>
      <c r="C475" s="163" t="str">
        <f>IF(mgmt_dpg_reuse_result="Included",CONCATENATE(prefix_mgmt_az1_cidr,"10.81"),CONCATENATE(prefix_mgmt_az1_cidr,"11.81"))</f>
        <v>10.21.10.81</v>
      </c>
      <c r="D475" s="196"/>
      <c r="E475" s="84"/>
      <c r="F475" s="41"/>
      <c r="G475" s="41"/>
      <c r="H475" s="41"/>
      <c r="I475" s="41"/>
      <c r="J475" s="41"/>
      <c r="K475" s="41"/>
      <c r="L475" s="41"/>
      <c r="M475" s="41"/>
      <c r="N475" s="41"/>
      <c r="O475" s="41"/>
      <c r="P475" s="41"/>
      <c r="Q475" s="41"/>
      <c r="R475" s="41"/>
      <c r="S475" s="41"/>
      <c r="T475" s="41"/>
      <c r="U475" s="41"/>
      <c r="V475" s="41"/>
      <c r="W475" s="41"/>
      <c r="X475" s="41"/>
      <c r="Y475" s="41"/>
      <c r="Z475" s="41"/>
    </row>
    <row r="476" ht="19.5" customHeight="1">
      <c r="A476" s="41"/>
      <c r="B476" s="84" t="s">
        <v>905</v>
      </c>
      <c r="C476" s="111" t="str">
        <f>sample_mgmt_nsxt_gm_vip_fqdn</f>
        <v>lax-m01-nsx-gm01.lax.rainpole.io</v>
      </c>
      <c r="D476" s="32" t="str">
        <f>mgmt_nsxt_gm_vip_fqdn</f>
        <v>Value Missing</v>
      </c>
      <c r="E476" s="153"/>
      <c r="F476" s="41"/>
      <c r="G476" s="41"/>
      <c r="H476" s="41"/>
      <c r="I476" s="41"/>
      <c r="J476" s="41"/>
      <c r="K476" s="41"/>
      <c r="L476" s="41"/>
      <c r="M476" s="41"/>
      <c r="N476" s="41"/>
      <c r="O476" s="41"/>
      <c r="P476" s="41"/>
      <c r="Q476" s="41"/>
      <c r="R476" s="41"/>
      <c r="S476" s="41"/>
      <c r="T476" s="41"/>
      <c r="U476" s="41"/>
      <c r="V476" s="41"/>
      <c r="W476" s="41"/>
      <c r="X476" s="41"/>
      <c r="Y476" s="41"/>
      <c r="Z476" s="41"/>
    </row>
    <row r="477" ht="19.5" customHeight="1">
      <c r="A477" s="41"/>
      <c r="B477" s="17" t="s">
        <v>906</v>
      </c>
      <c r="C477" s="13"/>
      <c r="D477" s="13"/>
      <c r="E477" s="14"/>
      <c r="F477" s="41"/>
      <c r="G477" s="41"/>
      <c r="H477" s="41"/>
      <c r="I477" s="41"/>
      <c r="J477" s="41"/>
      <c r="K477" s="41"/>
      <c r="L477" s="41"/>
      <c r="M477" s="41"/>
      <c r="N477" s="41"/>
      <c r="O477" s="41"/>
      <c r="P477" s="41"/>
      <c r="Q477" s="41"/>
      <c r="R477" s="41"/>
      <c r="S477" s="41"/>
      <c r="T477" s="41"/>
      <c r="U477" s="41"/>
      <c r="V477" s="41"/>
      <c r="W477" s="41"/>
      <c r="X477" s="41"/>
      <c r="Y477" s="41"/>
      <c r="Z477" s="41"/>
    </row>
    <row r="478" ht="19.5" customHeight="1">
      <c r="A478" s="41"/>
      <c r="B478" s="84" t="s">
        <v>905</v>
      </c>
      <c r="C478" s="111" t="str">
        <f>sample_mgmt_nsxt_gm_vip_fqdn</f>
        <v>lax-m01-nsx-gm01.lax.rainpole.io</v>
      </c>
      <c r="D478" s="32" t="str">
        <f>mgmt_nsxt_gm_vip_fqdn</f>
        <v>Value Missing</v>
      </c>
      <c r="E478" s="153"/>
      <c r="F478" s="41"/>
      <c r="G478" s="41"/>
      <c r="H478" s="41"/>
      <c r="I478" s="41"/>
      <c r="J478" s="41"/>
      <c r="K478" s="41"/>
      <c r="L478" s="41"/>
      <c r="M478" s="41"/>
      <c r="N478" s="41"/>
      <c r="O478" s="41"/>
      <c r="P478" s="41"/>
      <c r="Q478" s="41"/>
      <c r="R478" s="41"/>
      <c r="S478" s="41"/>
      <c r="T478" s="41"/>
      <c r="U478" s="41"/>
      <c r="V478" s="41"/>
      <c r="W478" s="41"/>
      <c r="X478" s="41"/>
      <c r="Y478" s="41"/>
      <c r="Z478" s="41"/>
    </row>
    <row r="479" ht="19.5" customHeight="1">
      <c r="A479" s="41"/>
      <c r="B479" s="17" t="s">
        <v>907</v>
      </c>
      <c r="C479" s="13"/>
      <c r="D479" s="13"/>
      <c r="E479" s="14"/>
      <c r="F479" s="41"/>
      <c r="G479" s="41"/>
      <c r="H479" s="41"/>
      <c r="I479" s="41"/>
      <c r="J479" s="41"/>
      <c r="K479" s="41"/>
      <c r="L479" s="41"/>
      <c r="M479" s="41"/>
      <c r="N479" s="41"/>
      <c r="O479" s="41"/>
      <c r="P479" s="41"/>
      <c r="Q479" s="41"/>
      <c r="R479" s="41"/>
      <c r="S479" s="41"/>
      <c r="T479" s="41"/>
      <c r="U479" s="41"/>
      <c r="V479" s="41"/>
      <c r="W479" s="41"/>
      <c r="X479" s="41"/>
      <c r="Y479" s="41"/>
      <c r="Z479" s="41"/>
    </row>
    <row r="480" ht="19.5" customHeight="1">
      <c r="A480" s="41"/>
      <c r="B480" s="84" t="s">
        <v>905</v>
      </c>
      <c r="C480" s="111" t="str">
        <f>sample_mgmt_nsxt_gm_vip_fqdn</f>
        <v>lax-m01-nsx-gm01.lax.rainpole.io</v>
      </c>
      <c r="D480" s="32" t="str">
        <f>mgmt_nsxt_gm_vip_fqdn</f>
        <v>Value Missing</v>
      </c>
      <c r="E480" s="153"/>
      <c r="F480" s="41"/>
      <c r="G480" s="41"/>
      <c r="H480" s="41"/>
      <c r="I480" s="41"/>
      <c r="J480" s="41"/>
      <c r="K480" s="41"/>
      <c r="L480" s="41"/>
      <c r="M480" s="41"/>
      <c r="N480" s="41"/>
      <c r="O480" s="41"/>
      <c r="P480" s="41"/>
      <c r="Q480" s="41"/>
      <c r="R480" s="41"/>
      <c r="S480" s="41"/>
      <c r="T480" s="41"/>
      <c r="U480" s="41"/>
      <c r="V480" s="41"/>
      <c r="W480" s="41"/>
      <c r="X480" s="41"/>
      <c r="Y480" s="41"/>
      <c r="Z480" s="41"/>
    </row>
    <row r="481" ht="19.5" customHeight="1">
      <c r="A481" s="41"/>
      <c r="B481" s="84" t="s">
        <v>908</v>
      </c>
      <c r="C481" s="110" t="s">
        <v>909</v>
      </c>
      <c r="D481" s="32"/>
      <c r="E481" s="153"/>
      <c r="F481" s="41"/>
      <c r="G481" s="195"/>
      <c r="H481" s="41"/>
      <c r="I481" s="41"/>
      <c r="J481" s="41"/>
      <c r="K481" s="41"/>
      <c r="L481" s="41"/>
      <c r="M481" s="41"/>
      <c r="N481" s="41"/>
      <c r="O481" s="41"/>
      <c r="P481" s="41"/>
      <c r="Q481" s="41"/>
      <c r="R481" s="41"/>
      <c r="S481" s="41"/>
      <c r="T481" s="41"/>
      <c r="U481" s="41"/>
      <c r="V481" s="41"/>
      <c r="W481" s="41"/>
      <c r="X481" s="41"/>
      <c r="Y481" s="41"/>
      <c r="Z481" s="41"/>
    </row>
    <row r="482" ht="19.5" customHeight="1">
      <c r="A482" s="41"/>
      <c r="B482" s="84" t="s">
        <v>903</v>
      </c>
      <c r="C482" s="111" t="str">
        <f>sample_mgmt_nsxt_global_mgra_fqdn</f>
        <v>lax-m01-nsx-gm01a.lax.rainpole.io</v>
      </c>
      <c r="D482" s="32" t="str">
        <f>mgmt_nsxt_global_mgra_fqdn</f>
        <v>Value Missing</v>
      </c>
      <c r="E482" s="84"/>
      <c r="F482" s="41"/>
      <c r="G482" s="41"/>
      <c r="H482" s="41"/>
      <c r="I482" s="41"/>
      <c r="J482" s="41"/>
      <c r="K482" s="41"/>
      <c r="L482" s="41"/>
      <c r="M482" s="41"/>
      <c r="N482" s="41"/>
      <c r="O482" s="41"/>
      <c r="P482" s="41"/>
      <c r="Q482" s="41"/>
      <c r="R482" s="41"/>
      <c r="S482" s="41"/>
      <c r="T482" s="41"/>
      <c r="U482" s="41"/>
      <c r="V482" s="41"/>
      <c r="W482" s="41"/>
      <c r="X482" s="41"/>
      <c r="Y482" s="41"/>
      <c r="Z482" s="41"/>
    </row>
    <row r="483" ht="19.5" customHeight="1">
      <c r="A483" s="41"/>
      <c r="B483" s="84" t="s">
        <v>910</v>
      </c>
      <c r="C483" s="110" t="str">
        <f>sample_mgmt_nsxt_global_mgr_certificate_id</f>
        <v>a900065b-aeb5-457e-aca6-4612b17d06d9</v>
      </c>
      <c r="D483" s="32" t="str">
        <f>mgmt_nsxt_global_mgr_certificate_id</f>
        <v>Value Missing</v>
      </c>
      <c r="E483" s="153"/>
      <c r="F483" s="41"/>
      <c r="G483" s="41"/>
      <c r="H483" s="41"/>
      <c r="I483" s="41"/>
      <c r="J483" s="41"/>
      <c r="K483" s="41"/>
      <c r="L483" s="41"/>
      <c r="M483" s="41"/>
      <c r="N483" s="41"/>
      <c r="O483" s="41"/>
      <c r="P483" s="41"/>
      <c r="Q483" s="41"/>
      <c r="R483" s="41"/>
      <c r="S483" s="41"/>
      <c r="T483" s="41"/>
      <c r="U483" s="41"/>
      <c r="V483" s="41"/>
      <c r="W483" s="41"/>
      <c r="X483" s="41"/>
      <c r="Y483" s="41"/>
      <c r="Z483" s="41"/>
    </row>
    <row r="484" ht="19.5" customHeight="1">
      <c r="A484" s="41"/>
      <c r="B484" s="17" t="s">
        <v>911</v>
      </c>
      <c r="C484" s="13"/>
      <c r="D484" s="13"/>
      <c r="E484" s="14"/>
      <c r="F484" s="41"/>
      <c r="G484" s="41"/>
      <c r="H484" s="41"/>
      <c r="I484" s="41"/>
      <c r="J484" s="41"/>
      <c r="K484" s="41"/>
      <c r="L484" s="41"/>
      <c r="M484" s="41"/>
      <c r="N484" s="41"/>
      <c r="O484" s="41"/>
      <c r="P484" s="41"/>
      <c r="Q484" s="41"/>
      <c r="R484" s="41"/>
      <c r="S484" s="41"/>
      <c r="T484" s="41"/>
      <c r="U484" s="41"/>
      <c r="V484" s="41"/>
      <c r="W484" s="41"/>
      <c r="X484" s="41"/>
      <c r="Y484" s="41"/>
      <c r="Z484" s="41"/>
    </row>
    <row r="485" ht="19.5" customHeight="1">
      <c r="A485" s="41"/>
      <c r="B485" s="84" t="s">
        <v>905</v>
      </c>
      <c r="C485" s="111" t="str">
        <f>sample_mgmt_nsxt_gm_vip_fqdn</f>
        <v>lax-m01-nsx-gm01.lax.rainpole.io</v>
      </c>
      <c r="D485" s="32" t="str">
        <f>mgmt_nsxt_gm_vip_fqdn</f>
        <v>Value Missing</v>
      </c>
      <c r="E485" s="153"/>
      <c r="F485" s="41"/>
      <c r="G485" s="41"/>
      <c r="H485" s="41"/>
      <c r="I485" s="41"/>
      <c r="J485" s="41"/>
      <c r="K485" s="41"/>
      <c r="L485" s="41"/>
      <c r="M485" s="41"/>
      <c r="N485" s="41"/>
      <c r="O485" s="41"/>
      <c r="P485" s="41"/>
      <c r="Q485" s="41"/>
      <c r="R485" s="41"/>
      <c r="S485" s="41"/>
      <c r="T485" s="41"/>
      <c r="U485" s="41"/>
      <c r="V485" s="41"/>
      <c r="W485" s="41"/>
      <c r="X485" s="41"/>
      <c r="Y485" s="41"/>
      <c r="Z485" s="41"/>
    </row>
    <row r="486" ht="19.5" customHeight="1">
      <c r="A486" s="41"/>
      <c r="B486" s="84" t="s">
        <v>912</v>
      </c>
      <c r="C486" s="110" t="str">
        <f>sample_mgmt_nsxt_global_mgrb_hostname</f>
        <v>lax-m01-nsx-gm01b</v>
      </c>
      <c r="D486" s="32" t="str">
        <f>mgmt_nsxt_global_mgrb_fqdn</f>
        <v>Value Missing</v>
      </c>
      <c r="E486" s="84"/>
      <c r="F486" s="41"/>
      <c r="G486" s="41"/>
      <c r="H486" s="41"/>
      <c r="I486" s="41"/>
      <c r="J486" s="41"/>
      <c r="K486" s="41"/>
      <c r="L486" s="41"/>
      <c r="M486" s="41"/>
      <c r="N486" s="41"/>
      <c r="O486" s="41"/>
      <c r="P486" s="41"/>
      <c r="Q486" s="41"/>
      <c r="R486" s="41"/>
      <c r="S486" s="41"/>
      <c r="T486" s="41"/>
      <c r="U486" s="41"/>
      <c r="V486" s="41"/>
      <c r="W486" s="41"/>
      <c r="X486" s="41"/>
      <c r="Y486" s="41"/>
      <c r="Z486" s="41"/>
    </row>
    <row r="487" ht="19.5" customHeight="1">
      <c r="A487" s="41"/>
      <c r="B487" s="84" t="s">
        <v>913</v>
      </c>
      <c r="C487" s="110" t="str">
        <f>sample_mgmt_nsxt_global_mgrc_hostname</f>
        <v>lax-m01-nsx-gm01c</v>
      </c>
      <c r="D487" s="32" t="str">
        <f>mgmt_nsxt_global_mgrc_fqdn</f>
        <v>Value Missing</v>
      </c>
      <c r="E487" s="84"/>
      <c r="F487" s="41"/>
      <c r="G487" s="41"/>
      <c r="H487" s="41"/>
      <c r="I487" s="41"/>
      <c r="J487" s="41"/>
      <c r="K487" s="41"/>
      <c r="L487" s="41"/>
      <c r="M487" s="41"/>
      <c r="N487" s="41"/>
      <c r="O487" s="41"/>
      <c r="P487" s="41"/>
      <c r="Q487" s="41"/>
      <c r="R487" s="41"/>
      <c r="S487" s="41"/>
      <c r="T487" s="41"/>
      <c r="U487" s="41"/>
      <c r="V487" s="41"/>
      <c r="W487" s="41"/>
      <c r="X487" s="41"/>
      <c r="Y487" s="41"/>
      <c r="Z487" s="41"/>
    </row>
    <row r="488" ht="19.5" customHeight="1">
      <c r="A488" s="41"/>
      <c r="B488" s="84" t="s">
        <v>910</v>
      </c>
      <c r="C488" s="110" t="str">
        <f>sample_mgmt_nsxt_global_mgr_certificate_id</f>
        <v>a900065b-aeb5-457e-aca6-4612b17d06d9</v>
      </c>
      <c r="D488" s="32" t="str">
        <f>mgmt_nsxt_global_mgr_certificate_id</f>
        <v>Value Missing</v>
      </c>
      <c r="E488" s="153"/>
      <c r="F488" s="41"/>
      <c r="G488" s="41"/>
      <c r="H488" s="41"/>
      <c r="I488" s="41"/>
      <c r="J488" s="41"/>
      <c r="K488" s="41"/>
      <c r="L488" s="41"/>
      <c r="M488" s="41"/>
      <c r="N488" s="41"/>
      <c r="O488" s="41"/>
      <c r="P488" s="41"/>
      <c r="Q488" s="41"/>
      <c r="R488" s="41"/>
      <c r="S488" s="41"/>
      <c r="T488" s="41"/>
      <c r="U488" s="41"/>
      <c r="V488" s="41"/>
      <c r="W488" s="41"/>
      <c r="X488" s="41"/>
      <c r="Y488" s="41"/>
      <c r="Z488" s="41"/>
    </row>
    <row r="489" ht="19.5" customHeight="1">
      <c r="A489" s="41"/>
      <c r="B489" s="17" t="s">
        <v>914</v>
      </c>
      <c r="C489" s="13"/>
      <c r="D489" s="13"/>
      <c r="E489" s="14"/>
      <c r="F489" s="41"/>
      <c r="G489" s="41"/>
      <c r="H489" s="41"/>
      <c r="I489" s="41"/>
      <c r="J489" s="41"/>
      <c r="K489" s="41"/>
      <c r="L489" s="41"/>
      <c r="M489" s="41"/>
      <c r="N489" s="41"/>
      <c r="O489" s="41"/>
      <c r="P489" s="41"/>
      <c r="Q489" s="41"/>
      <c r="R489" s="41"/>
      <c r="S489" s="41"/>
      <c r="T489" s="41"/>
      <c r="U489" s="41"/>
      <c r="V489" s="41"/>
      <c r="W489" s="41"/>
      <c r="X489" s="41"/>
      <c r="Y489" s="41"/>
      <c r="Z489" s="41"/>
    </row>
    <row r="490" ht="19.5" customHeight="1">
      <c r="A490" s="41"/>
      <c r="B490" s="84" t="s">
        <v>915</v>
      </c>
      <c r="C490" s="111" t="str">
        <f>sample_mgmt_nsxt_vip_fqdn</f>
        <v>lax-m01-nsx01.lax.rainpole.io</v>
      </c>
      <c r="D490" s="32" t="str">
        <f>mgmt_nsxt_vip_fqdn</f>
        <v>Value Missing</v>
      </c>
      <c r="E490" s="84"/>
      <c r="F490" s="41"/>
      <c r="G490" s="41"/>
      <c r="H490" s="41"/>
      <c r="I490" s="41"/>
      <c r="J490" s="41"/>
      <c r="K490" s="41"/>
      <c r="L490" s="41"/>
      <c r="M490" s="41"/>
      <c r="N490" s="41"/>
      <c r="O490" s="41"/>
      <c r="P490" s="41"/>
      <c r="Q490" s="41"/>
      <c r="R490" s="41"/>
      <c r="S490" s="41"/>
      <c r="T490" s="41"/>
      <c r="U490" s="41"/>
      <c r="V490" s="41"/>
      <c r="W490" s="41"/>
      <c r="X490" s="41"/>
      <c r="Y490" s="41"/>
      <c r="Z490" s="41"/>
    </row>
    <row r="491" ht="19.5" customHeight="1">
      <c r="A491" s="41"/>
      <c r="B491" s="84" t="s">
        <v>256</v>
      </c>
      <c r="C491" s="156" t="str">
        <f>CONCATENATE(this_instance,"-m01-r01-ip-pool-rtep")</f>
        <v>lax-m01-r01-ip-pool-rtep</v>
      </c>
      <c r="D491" s="32"/>
      <c r="E491" s="84"/>
      <c r="F491" s="41"/>
      <c r="G491" s="41"/>
      <c r="H491" s="41"/>
      <c r="I491" s="41"/>
      <c r="J491" s="41"/>
      <c r="K491" s="41"/>
      <c r="L491" s="41"/>
      <c r="M491" s="41"/>
      <c r="N491" s="41"/>
      <c r="O491" s="41"/>
      <c r="P491" s="41"/>
      <c r="Q491" s="41"/>
      <c r="R491" s="41"/>
      <c r="S491" s="41"/>
      <c r="T491" s="41"/>
      <c r="U491" s="41"/>
      <c r="V491" s="41"/>
      <c r="W491" s="41"/>
      <c r="X491" s="41"/>
      <c r="Y491" s="41"/>
      <c r="Z491" s="41"/>
    </row>
    <row r="492" ht="19.5" customHeight="1">
      <c r="A492" s="41"/>
      <c r="B492" s="84" t="s">
        <v>916</v>
      </c>
      <c r="C492" s="156" t="str">
        <f>CONCATENATE(prefix_mgmt_az1_cidr,"20.101")</f>
        <v>10.21.20.101</v>
      </c>
      <c r="D492" s="18"/>
      <c r="E492" s="84"/>
      <c r="F492" s="41"/>
      <c r="G492" s="195"/>
      <c r="H492" s="41"/>
      <c r="I492" s="41"/>
      <c r="J492" s="41"/>
      <c r="K492" s="41"/>
      <c r="L492" s="41"/>
      <c r="M492" s="41"/>
      <c r="N492" s="41"/>
      <c r="O492" s="41"/>
      <c r="P492" s="41"/>
      <c r="Q492" s="41"/>
      <c r="R492" s="41"/>
      <c r="S492" s="41"/>
      <c r="T492" s="41"/>
      <c r="U492" s="41"/>
      <c r="V492" s="41"/>
      <c r="W492" s="41"/>
      <c r="X492" s="41"/>
      <c r="Y492" s="41"/>
      <c r="Z492" s="41"/>
    </row>
    <row r="493" ht="19.5" customHeight="1">
      <c r="A493" s="41"/>
      <c r="B493" s="84" t="s">
        <v>917</v>
      </c>
      <c r="C493" s="156" t="str">
        <f>IF(mgmt_stretched_cluster_result="Excluded",CONCATENATE(prefix_mgmt_az1_cidr,"20.116"),CONCATENATE(prefix_mgmt_az1_cidr,"20.132"))</f>
        <v>10.21.20.116</v>
      </c>
      <c r="D493" s="18"/>
      <c r="E493" s="84"/>
      <c r="F493" s="41"/>
      <c r="G493" s="195"/>
      <c r="H493" s="41"/>
      <c r="I493" s="41"/>
      <c r="J493" s="41"/>
      <c r="K493" s="41"/>
      <c r="L493" s="41"/>
      <c r="M493" s="41"/>
      <c r="N493" s="41"/>
      <c r="O493" s="41"/>
      <c r="P493" s="41"/>
      <c r="Q493" s="41"/>
      <c r="R493" s="41"/>
      <c r="S493" s="41"/>
      <c r="T493" s="41"/>
      <c r="U493" s="41"/>
      <c r="V493" s="41"/>
      <c r="W493" s="41"/>
      <c r="X493" s="41"/>
      <c r="Y493" s="41"/>
      <c r="Z493" s="41"/>
    </row>
    <row r="494" ht="19.5" customHeight="1">
      <c r="A494" s="41"/>
      <c r="B494" s="84" t="s">
        <v>464</v>
      </c>
      <c r="C494" s="156" t="str">
        <f>CONCATENATE(prefix_mgmt_az1_cidr,"20.0/24")</f>
        <v>10.21.20.0/24</v>
      </c>
      <c r="D494" s="18"/>
      <c r="E494" s="84"/>
      <c r="F494" s="41"/>
      <c r="G494" s="41"/>
      <c r="H494" s="41"/>
      <c r="I494" s="41"/>
      <c r="J494" s="41"/>
      <c r="K494" s="41"/>
      <c r="L494" s="41"/>
      <c r="M494" s="41"/>
      <c r="N494" s="41"/>
      <c r="O494" s="41"/>
      <c r="P494" s="41"/>
      <c r="Q494" s="41"/>
      <c r="R494" s="41"/>
      <c r="S494" s="41"/>
      <c r="T494" s="41"/>
      <c r="U494" s="41"/>
      <c r="V494" s="41"/>
      <c r="W494" s="41"/>
      <c r="X494" s="41"/>
      <c r="Y494" s="41"/>
      <c r="Z494" s="41"/>
    </row>
    <row r="495" ht="19.5" customHeight="1">
      <c r="A495" s="41"/>
      <c r="B495" s="84" t="s">
        <v>918</v>
      </c>
      <c r="C495" s="156" t="str">
        <f>CONCATENATE(prefix_mgmt_az1_cidr,"20.1")</f>
        <v>10.21.20.1</v>
      </c>
      <c r="D495" s="18"/>
      <c r="E495" s="84"/>
      <c r="F495" s="41"/>
      <c r="G495" s="41"/>
      <c r="H495" s="41"/>
      <c r="I495" s="41"/>
      <c r="J495" s="41"/>
      <c r="K495" s="41"/>
      <c r="L495" s="41"/>
      <c r="M495" s="41"/>
      <c r="N495" s="41"/>
      <c r="O495" s="41"/>
      <c r="P495" s="41"/>
      <c r="Q495" s="41"/>
      <c r="R495" s="41"/>
      <c r="S495" s="41"/>
      <c r="T495" s="41"/>
      <c r="U495" s="41"/>
      <c r="V495" s="41"/>
      <c r="W495" s="41"/>
      <c r="X495" s="41"/>
      <c r="Y495" s="41"/>
      <c r="Z495" s="41"/>
    </row>
    <row r="496" ht="19.5" customHeight="1">
      <c r="A496" s="41"/>
      <c r="B496" s="17" t="s">
        <v>919</v>
      </c>
      <c r="C496" s="13"/>
      <c r="D496" s="13"/>
      <c r="E496" s="14"/>
      <c r="F496" s="41"/>
      <c r="G496" s="41"/>
      <c r="H496" s="41"/>
      <c r="I496" s="41"/>
      <c r="J496" s="41"/>
      <c r="K496" s="41"/>
      <c r="L496" s="41"/>
      <c r="M496" s="41"/>
      <c r="N496" s="41"/>
      <c r="O496" s="41"/>
      <c r="P496" s="41"/>
      <c r="Q496" s="41"/>
      <c r="R496" s="41"/>
      <c r="S496" s="41"/>
      <c r="T496" s="41"/>
      <c r="U496" s="41"/>
      <c r="V496" s="41"/>
      <c r="W496" s="41"/>
      <c r="X496" s="41"/>
      <c r="Y496" s="41"/>
      <c r="Z496" s="41"/>
    </row>
    <row r="497" ht="19.5" customHeight="1">
      <c r="A497" s="41"/>
      <c r="B497" s="84" t="s">
        <v>920</v>
      </c>
      <c r="C497" s="111" t="str">
        <f>sample_mgmt_nsxt_gm_vip_fqdn</f>
        <v>lax-m01-nsx-gm01.lax.rainpole.io</v>
      </c>
      <c r="D497" s="32" t="str">
        <f>mgmt_nsxt_gm_vip_fqdn</f>
        <v>Value Missing</v>
      </c>
      <c r="E497" s="153"/>
      <c r="F497" s="41"/>
      <c r="G497" s="41"/>
      <c r="H497" s="41"/>
      <c r="I497" s="41"/>
      <c r="J497" s="41"/>
      <c r="K497" s="41"/>
      <c r="L497" s="41"/>
      <c r="M497" s="41"/>
      <c r="N497" s="41"/>
      <c r="O497" s="41"/>
      <c r="P497" s="41"/>
      <c r="Q497" s="41"/>
      <c r="R497" s="41"/>
      <c r="S497" s="41"/>
      <c r="T497" s="41"/>
      <c r="U497" s="41"/>
      <c r="V497" s="41"/>
      <c r="W497" s="41"/>
      <c r="X497" s="41"/>
      <c r="Y497" s="41"/>
      <c r="Z497" s="41"/>
    </row>
    <row r="498" ht="19.5" customHeight="1">
      <c r="A498" s="41"/>
      <c r="B498" s="84" t="s">
        <v>921</v>
      </c>
      <c r="C498" s="185" t="str">
        <f>CONCATENATE(this_instance,"-m01-nsx-gm01")</f>
        <v>lax-m01-nsx-gm01</v>
      </c>
      <c r="D498" s="18"/>
      <c r="E498" s="153"/>
      <c r="F498" s="41"/>
      <c r="G498" s="195"/>
      <c r="H498" s="41"/>
      <c r="I498" s="41"/>
      <c r="J498" s="41"/>
      <c r="K498" s="41"/>
      <c r="L498" s="41"/>
      <c r="M498" s="41"/>
      <c r="N498" s="41"/>
      <c r="O498" s="41"/>
      <c r="P498" s="41"/>
      <c r="Q498" s="41"/>
      <c r="R498" s="41"/>
      <c r="S498" s="41"/>
      <c r="T498" s="41"/>
      <c r="U498" s="41"/>
      <c r="V498" s="41"/>
      <c r="W498" s="41"/>
      <c r="X498" s="41"/>
      <c r="Y498" s="41"/>
      <c r="Z498" s="41"/>
    </row>
    <row r="499" ht="19.5" customHeight="1">
      <c r="A499" s="41"/>
      <c r="B499" s="17" t="s">
        <v>922</v>
      </c>
      <c r="C499" s="13"/>
      <c r="D499" s="13"/>
      <c r="E499" s="14"/>
      <c r="F499" s="41"/>
      <c r="G499" s="41"/>
      <c r="H499" s="41"/>
      <c r="I499" s="41"/>
      <c r="J499" s="41"/>
      <c r="K499" s="41"/>
      <c r="L499" s="41"/>
      <c r="M499" s="41"/>
      <c r="N499" s="41"/>
      <c r="O499" s="41"/>
      <c r="P499" s="41"/>
      <c r="Q499" s="41"/>
      <c r="R499" s="41"/>
      <c r="S499" s="41"/>
      <c r="T499" s="41"/>
      <c r="U499" s="41"/>
      <c r="V499" s="41"/>
      <c r="W499" s="41"/>
      <c r="X499" s="41"/>
      <c r="Y499" s="41"/>
      <c r="Z499" s="41"/>
    </row>
    <row r="500" ht="19.5" customHeight="1">
      <c r="A500" s="41"/>
      <c r="B500" s="84" t="s">
        <v>923</v>
      </c>
      <c r="C500" s="111" t="str">
        <f>sample_mgmt_nsxt_gm_vip_fqdn</f>
        <v>lax-m01-nsx-gm01.lax.rainpole.io</v>
      </c>
      <c r="D500" s="32" t="str">
        <f>mgmt_nsxt_gm_vip_fqdn</f>
        <v>Value Missing</v>
      </c>
      <c r="E500" s="153"/>
      <c r="F500" s="41"/>
      <c r="G500" s="41"/>
      <c r="H500" s="41"/>
      <c r="I500" s="41"/>
      <c r="J500" s="41"/>
      <c r="K500" s="41"/>
      <c r="L500" s="41"/>
      <c r="M500" s="41"/>
      <c r="N500" s="41"/>
      <c r="O500" s="41"/>
      <c r="P500" s="41"/>
      <c r="Q500" s="41"/>
      <c r="R500" s="41"/>
      <c r="S500" s="41"/>
      <c r="T500" s="41"/>
      <c r="U500" s="41"/>
      <c r="V500" s="41"/>
      <c r="W500" s="41"/>
      <c r="X500" s="41"/>
      <c r="Y500" s="41"/>
      <c r="Z500" s="41"/>
    </row>
    <row r="501" ht="19.5" customHeight="1">
      <c r="A501" s="41"/>
      <c r="B501" s="84" t="s">
        <v>924</v>
      </c>
      <c r="C501" s="110" t="s">
        <v>925</v>
      </c>
      <c r="D501" s="18"/>
      <c r="E501" s="153"/>
      <c r="F501" s="41"/>
      <c r="G501" s="41"/>
      <c r="H501" s="41"/>
      <c r="I501" s="41"/>
      <c r="J501" s="41"/>
      <c r="K501" s="41"/>
      <c r="L501" s="41"/>
      <c r="M501" s="41"/>
      <c r="N501" s="41"/>
      <c r="O501" s="41"/>
      <c r="P501" s="41"/>
      <c r="Q501" s="41"/>
      <c r="R501" s="41"/>
      <c r="S501" s="41"/>
      <c r="T501" s="41"/>
      <c r="U501" s="41"/>
      <c r="V501" s="41"/>
      <c r="W501" s="41"/>
      <c r="X501" s="41"/>
      <c r="Y501" s="41"/>
      <c r="Z501" s="41"/>
    </row>
    <row r="502" ht="19.5" customHeight="1">
      <c r="A502" s="41"/>
      <c r="B502" s="84" t="s">
        <v>926</v>
      </c>
      <c r="C502" s="111" t="str">
        <f t="array" ref="C502">IF(mgmt_domain_chosen="First Instance",sample_mgmt_nsxt_gm_vip_fqdn,sample_mgmt_existing_active_nsx_gm)</f>
        <v>sfo-m01-nsx-gm01.sfo.rainpole.io</v>
      </c>
      <c r="D502" s="32" t="str">
        <f t="array" ref="D502">IF(mgmt_domain_chosen="First Instance",mgmt_nsxt_gm_vip_fqdn,mgmt_existing_active_nsx_gm)</f>
        <v>Value Missing</v>
      </c>
      <c r="E502" s="153"/>
      <c r="F502" s="41"/>
      <c r="G502" s="195"/>
      <c r="H502" s="41"/>
      <c r="I502" s="41"/>
      <c r="J502" s="41"/>
      <c r="K502" s="41"/>
      <c r="L502" s="41"/>
      <c r="M502" s="41"/>
      <c r="N502" s="41"/>
      <c r="O502" s="41"/>
      <c r="P502" s="41"/>
      <c r="Q502" s="41"/>
      <c r="R502" s="41"/>
      <c r="S502" s="41"/>
      <c r="T502" s="41"/>
      <c r="U502" s="41"/>
      <c r="V502" s="41"/>
      <c r="W502" s="41"/>
      <c r="X502" s="41"/>
      <c r="Y502" s="41"/>
      <c r="Z502" s="41"/>
    </row>
    <row r="503" ht="19.5" customHeight="1">
      <c r="A503" s="41"/>
      <c r="B503" s="84" t="s">
        <v>927</v>
      </c>
      <c r="C503" s="110" t="str">
        <f>sample_mgmt_nsxt_federation_global_manager_name</f>
        <v>lax-m01-nsx-gm01</v>
      </c>
      <c r="D503" s="32" t="str">
        <f>mgmt_nsxt_federation_global_manager_name</f>
        <v>Value Missing</v>
      </c>
      <c r="E503" s="153"/>
      <c r="F503" s="41"/>
      <c r="G503" s="41"/>
      <c r="H503" s="41"/>
      <c r="I503" s="41"/>
      <c r="J503" s="41"/>
      <c r="K503" s="41"/>
      <c r="L503" s="41"/>
      <c r="M503" s="41"/>
      <c r="N503" s="41"/>
      <c r="O503" s="41"/>
      <c r="P503" s="41"/>
      <c r="Q503" s="41"/>
      <c r="R503" s="41"/>
      <c r="S503" s="41"/>
      <c r="T503" s="41"/>
      <c r="U503" s="41"/>
      <c r="V503" s="41"/>
      <c r="W503" s="41"/>
      <c r="X503" s="41"/>
      <c r="Y503" s="41"/>
      <c r="Z503" s="41"/>
    </row>
    <row r="504" ht="19.5" customHeight="1">
      <c r="A504" s="41"/>
      <c r="B504" s="84" t="s">
        <v>928</v>
      </c>
      <c r="C504" s="111" t="str">
        <f>sample_mgmt_nsxt_gm_vip_fqdn</f>
        <v>lax-m01-nsx-gm01.lax.rainpole.io</v>
      </c>
      <c r="D504" s="32" t="str">
        <f>mgmt_nsxt_gm_vip_fqdn</f>
        <v>Value Missing</v>
      </c>
      <c r="E504" s="153"/>
      <c r="F504" s="41"/>
      <c r="G504" s="41"/>
      <c r="H504" s="41"/>
      <c r="I504" s="41"/>
      <c r="J504" s="41"/>
      <c r="K504" s="41"/>
      <c r="L504" s="41"/>
      <c r="M504" s="41"/>
      <c r="N504" s="41"/>
      <c r="O504" s="41"/>
      <c r="P504" s="41"/>
      <c r="Q504" s="41"/>
      <c r="R504" s="41"/>
      <c r="S504" s="41"/>
      <c r="T504" s="41"/>
      <c r="U504" s="41"/>
      <c r="V504" s="41"/>
      <c r="W504" s="41"/>
      <c r="X504" s="41"/>
      <c r="Y504" s="41"/>
      <c r="Z504" s="41"/>
    </row>
    <row r="505" ht="19.5" customHeight="1">
      <c r="A505" s="41"/>
      <c r="B505" s="84" t="s">
        <v>294</v>
      </c>
      <c r="C505" s="110" t="s">
        <v>889</v>
      </c>
      <c r="D505" s="32"/>
      <c r="E505" s="153"/>
      <c r="F505" s="41"/>
      <c r="G505" s="41"/>
      <c r="H505" s="41"/>
      <c r="I505" s="41"/>
      <c r="J505" s="41"/>
      <c r="K505" s="41"/>
      <c r="L505" s="41"/>
      <c r="M505" s="41"/>
      <c r="N505" s="41"/>
      <c r="O505" s="41"/>
      <c r="P505" s="41"/>
      <c r="Q505" s="41"/>
      <c r="R505" s="41"/>
      <c r="S505" s="41"/>
      <c r="T505" s="41"/>
      <c r="U505" s="41"/>
      <c r="V505" s="41"/>
      <c r="W505" s="41"/>
      <c r="X505" s="41"/>
      <c r="Y505" s="41"/>
      <c r="Z505" s="41"/>
    </row>
    <row r="506" ht="19.5" customHeight="1">
      <c r="A506" s="41"/>
      <c r="B506" s="84" t="s">
        <v>296</v>
      </c>
      <c r="C506" s="110" t="str">
        <f>sample_nsxt_gm_admin_password</f>
        <v>VMw@re1!VMw@re1!</v>
      </c>
      <c r="D506" s="32" t="str">
        <f>nsxt_gm_admin_password</f>
        <v>Value Missing</v>
      </c>
      <c r="E506" s="153"/>
      <c r="F506" s="41"/>
      <c r="G506" s="41"/>
      <c r="H506" s="41"/>
      <c r="I506" s="41"/>
      <c r="J506" s="41"/>
      <c r="K506" s="41"/>
      <c r="L506" s="41"/>
      <c r="M506" s="41"/>
      <c r="N506" s="41"/>
      <c r="O506" s="41"/>
      <c r="P506" s="41"/>
      <c r="Q506" s="41"/>
      <c r="R506" s="41"/>
      <c r="S506" s="41"/>
      <c r="T506" s="41"/>
      <c r="U506" s="41"/>
      <c r="V506" s="41"/>
      <c r="W506" s="41"/>
      <c r="X506" s="41"/>
      <c r="Y506" s="41"/>
      <c r="Z506" s="41"/>
    </row>
    <row r="507" ht="19.5" customHeight="1">
      <c r="A507" s="41"/>
      <c r="B507" s="84" t="s">
        <v>924</v>
      </c>
      <c r="C507" s="110" t="str">
        <f>sample_mgmt_nsxt_gm_fingerprint</f>
        <v>0d472de0d92da89f2b469d4d10ab23505ad4edb90cd7e68f84497008f6c89ff1</v>
      </c>
      <c r="D507" s="32" t="str">
        <f>mgmt_nsxt_gm_fingerprint</f>
        <v>Value Missing</v>
      </c>
      <c r="E507" s="153"/>
      <c r="F507" s="41"/>
      <c r="G507" s="41"/>
      <c r="H507" s="41"/>
      <c r="I507" s="41"/>
      <c r="J507" s="41"/>
      <c r="K507" s="41"/>
      <c r="L507" s="41"/>
      <c r="M507" s="41"/>
      <c r="N507" s="41"/>
      <c r="O507" s="41"/>
      <c r="P507" s="41"/>
      <c r="Q507" s="41"/>
      <c r="R507" s="41"/>
      <c r="S507" s="41"/>
      <c r="T507" s="41"/>
      <c r="U507" s="41"/>
      <c r="V507" s="41"/>
      <c r="W507" s="41"/>
      <c r="X507" s="41"/>
      <c r="Y507" s="41"/>
      <c r="Z507" s="41"/>
    </row>
    <row r="508" ht="19.5" customHeight="1">
      <c r="A508" s="41"/>
      <c r="B508" s="17" t="s">
        <v>929</v>
      </c>
      <c r="C508" s="13"/>
      <c r="D508" s="13"/>
      <c r="E508" s="14"/>
      <c r="F508" s="41"/>
      <c r="G508" s="41"/>
      <c r="H508" s="41"/>
      <c r="I508" s="41"/>
      <c r="J508" s="41"/>
      <c r="K508" s="41"/>
      <c r="L508" s="41"/>
      <c r="M508" s="41"/>
      <c r="N508" s="41"/>
      <c r="O508" s="41"/>
      <c r="P508" s="41"/>
      <c r="Q508" s="41"/>
      <c r="R508" s="41"/>
      <c r="S508" s="41"/>
      <c r="T508" s="41"/>
      <c r="U508" s="41"/>
      <c r="V508" s="41"/>
      <c r="W508" s="41"/>
      <c r="X508" s="41"/>
      <c r="Y508" s="41"/>
      <c r="Z508" s="41"/>
    </row>
    <row r="509" ht="19.5" customHeight="1">
      <c r="A509" s="41"/>
      <c r="B509" s="84" t="s">
        <v>915</v>
      </c>
      <c r="C509" s="111" t="str">
        <f>sample_mgmt_nsxt_vip_fqdn</f>
        <v>lax-m01-nsx01.lax.rainpole.io</v>
      </c>
      <c r="D509" s="32" t="str">
        <f>mgmt_nsxt_vip_fqdn</f>
        <v>Value Missing</v>
      </c>
      <c r="E509" s="84"/>
      <c r="F509" s="41"/>
      <c r="G509" s="41"/>
      <c r="H509" s="41"/>
      <c r="I509" s="41"/>
      <c r="J509" s="41"/>
      <c r="K509" s="41"/>
      <c r="L509" s="41"/>
      <c r="M509" s="41"/>
      <c r="N509" s="41"/>
      <c r="O509" s="41"/>
      <c r="P509" s="41"/>
      <c r="Q509" s="41"/>
      <c r="R509" s="41"/>
      <c r="S509" s="41"/>
      <c r="T509" s="41"/>
      <c r="U509" s="41"/>
      <c r="V509" s="41"/>
      <c r="W509" s="41"/>
      <c r="X509" s="41"/>
      <c r="Y509" s="41"/>
      <c r="Z509" s="41"/>
    </row>
    <row r="510" ht="19.5" customHeight="1">
      <c r="A510" s="41"/>
      <c r="B510" s="84" t="s">
        <v>924</v>
      </c>
      <c r="C510" s="110" t="s">
        <v>930</v>
      </c>
      <c r="D510" s="18"/>
      <c r="E510" s="153"/>
      <c r="F510" s="41"/>
      <c r="G510" s="41"/>
      <c r="H510" s="41"/>
      <c r="I510" s="41"/>
      <c r="J510" s="41"/>
      <c r="K510" s="41"/>
      <c r="L510" s="41"/>
      <c r="M510" s="41"/>
      <c r="N510" s="41"/>
      <c r="O510" s="41"/>
      <c r="P510" s="41"/>
      <c r="Q510" s="41"/>
      <c r="R510" s="41"/>
      <c r="S510" s="41"/>
      <c r="T510" s="41"/>
      <c r="U510" s="41"/>
      <c r="V510" s="41"/>
      <c r="W510" s="41"/>
      <c r="X510" s="41"/>
      <c r="Y510" s="41"/>
      <c r="Z510" s="41"/>
    </row>
    <row r="511" ht="19.5" customHeight="1">
      <c r="A511" s="41"/>
      <c r="B511" s="84" t="s">
        <v>926</v>
      </c>
      <c r="C511" s="111" t="str">
        <f t="array" ref="C511">IF(mgmt_domain_chosen="First Instance",sample_mgmt_nsxt_gm_vip_fqdn,sample_mgmt_existing_active_nsx_gm)</f>
        <v>sfo-m01-nsx-gm01.sfo.rainpole.io</v>
      </c>
      <c r="D511" s="32" t="str">
        <f t="array" ref="D511">IF(mgmt_domain_chosen="First Instance",mgmt_nsxt_gm_vip_fqdn,mgmt_existing_active_nsx_gm)</f>
        <v>Value Missing</v>
      </c>
      <c r="E511" s="153"/>
      <c r="F511" s="41"/>
      <c r="G511" s="41"/>
      <c r="H511" s="41"/>
      <c r="I511" s="41"/>
      <c r="J511" s="41"/>
      <c r="K511" s="41"/>
      <c r="L511" s="41"/>
      <c r="M511" s="41"/>
      <c r="N511" s="41"/>
      <c r="O511" s="41"/>
      <c r="P511" s="41"/>
      <c r="Q511" s="41"/>
      <c r="R511" s="41"/>
      <c r="S511" s="41"/>
      <c r="T511" s="41"/>
      <c r="U511" s="41"/>
      <c r="V511" s="41"/>
      <c r="W511" s="41"/>
      <c r="X511" s="41"/>
      <c r="Y511" s="41"/>
      <c r="Z511" s="41"/>
    </row>
    <row r="512" ht="19.5" customHeight="1">
      <c r="A512" s="41"/>
      <c r="B512" s="84" t="s">
        <v>931</v>
      </c>
      <c r="C512" s="110" t="str">
        <f>CONCATENATE(this_instance,"-m01")</f>
        <v>lax-m01</v>
      </c>
      <c r="D512" s="18"/>
      <c r="E512" s="153"/>
      <c r="F512" s="41"/>
      <c r="G512" s="41"/>
      <c r="H512" s="41"/>
      <c r="I512" s="41"/>
      <c r="J512" s="41"/>
      <c r="K512" s="41"/>
      <c r="L512" s="41"/>
      <c r="M512" s="41"/>
      <c r="N512" s="41"/>
      <c r="O512" s="41"/>
      <c r="P512" s="41"/>
      <c r="Q512" s="41"/>
      <c r="R512" s="41"/>
      <c r="S512" s="41"/>
      <c r="T512" s="41"/>
      <c r="U512" s="41"/>
      <c r="V512" s="41"/>
      <c r="W512" s="41"/>
      <c r="X512" s="41"/>
      <c r="Y512" s="41"/>
      <c r="Z512" s="41"/>
    </row>
    <row r="513" ht="19.5" customHeight="1">
      <c r="A513" s="41"/>
      <c r="B513" s="84" t="s">
        <v>928</v>
      </c>
      <c r="C513" s="111" t="str">
        <f>sample_mgmt_nsxt_vip_fqdn</f>
        <v>lax-m01-nsx01.lax.rainpole.io</v>
      </c>
      <c r="D513" s="32" t="str">
        <f>mgmt_nsxt_vip_fqdn</f>
        <v>Value Missing</v>
      </c>
      <c r="E513" s="153"/>
      <c r="F513" s="41"/>
      <c r="G513" s="41"/>
      <c r="H513" s="41"/>
      <c r="I513" s="41"/>
      <c r="J513" s="41"/>
      <c r="K513" s="41"/>
      <c r="L513" s="41"/>
      <c r="M513" s="41"/>
      <c r="N513" s="41"/>
      <c r="O513" s="41"/>
      <c r="P513" s="41"/>
      <c r="Q513" s="41"/>
      <c r="R513" s="41"/>
      <c r="S513" s="41"/>
      <c r="T513" s="41"/>
      <c r="U513" s="41"/>
      <c r="V513" s="41"/>
      <c r="W513" s="41"/>
      <c r="X513" s="41"/>
      <c r="Y513" s="41"/>
      <c r="Z513" s="41"/>
    </row>
    <row r="514" ht="19.5" customHeight="1">
      <c r="A514" s="41"/>
      <c r="B514" s="84" t="s">
        <v>294</v>
      </c>
      <c r="C514" s="110" t="s">
        <v>889</v>
      </c>
      <c r="D514" s="32"/>
      <c r="E514" s="153"/>
      <c r="F514" s="41"/>
      <c r="G514" s="41"/>
      <c r="H514" s="41"/>
      <c r="I514" s="41"/>
      <c r="J514" s="41"/>
      <c r="K514" s="41"/>
      <c r="L514" s="41"/>
      <c r="M514" s="41"/>
      <c r="N514" s="41"/>
      <c r="O514" s="41"/>
      <c r="P514" s="41"/>
      <c r="Q514" s="41"/>
      <c r="R514" s="41"/>
      <c r="S514" s="41"/>
      <c r="T514" s="41"/>
      <c r="U514" s="41"/>
      <c r="V514" s="41"/>
      <c r="W514" s="41"/>
      <c r="X514" s="41"/>
      <c r="Y514" s="41"/>
      <c r="Z514" s="41"/>
    </row>
    <row r="515" ht="19.5" customHeight="1">
      <c r="A515" s="41"/>
      <c r="B515" s="84" t="s">
        <v>296</v>
      </c>
      <c r="C515" s="110" t="str">
        <f>sample_nsxt_lm_admin_password</f>
        <v>VMw@re1!VMw@re1!</v>
      </c>
      <c r="D515" s="32" t="str">
        <f>nsxt_lm_admin_password</f>
        <v>Value Missing</v>
      </c>
      <c r="E515" s="153"/>
      <c r="F515" s="41"/>
      <c r="G515" s="41"/>
      <c r="H515" s="41"/>
      <c r="I515" s="41"/>
      <c r="J515" s="41"/>
      <c r="K515" s="41"/>
      <c r="L515" s="41"/>
      <c r="M515" s="41"/>
      <c r="N515" s="41"/>
      <c r="O515" s="41"/>
      <c r="P515" s="41"/>
      <c r="Q515" s="41"/>
      <c r="R515" s="41"/>
      <c r="S515" s="41"/>
      <c r="T515" s="41"/>
      <c r="U515" s="41"/>
      <c r="V515" s="41"/>
      <c r="W515" s="41"/>
      <c r="X515" s="41"/>
      <c r="Y515" s="41"/>
      <c r="Z515" s="41"/>
    </row>
    <row r="516" ht="19.5" customHeight="1">
      <c r="A516" s="41"/>
      <c r="B516" s="84" t="s">
        <v>924</v>
      </c>
      <c r="C516" s="110" t="str">
        <f>sample_mgmt_nsxt_lm_fingerprint</f>
        <v>676edbc9b8c639d9311aaea32a357c7c81226856ad4f8c73a68dd760652d6b5d</v>
      </c>
      <c r="D516" s="32" t="str">
        <f>mgmt_nsxt_lm_fingerprint</f>
        <v>Value Missing</v>
      </c>
      <c r="E516" s="153"/>
      <c r="F516" s="41"/>
      <c r="G516" s="41"/>
      <c r="H516" s="41"/>
      <c r="I516" s="41"/>
      <c r="J516" s="41"/>
      <c r="K516" s="41"/>
      <c r="L516" s="41"/>
      <c r="M516" s="41"/>
      <c r="N516" s="41"/>
      <c r="O516" s="41"/>
      <c r="P516" s="41"/>
      <c r="Q516" s="41"/>
      <c r="R516" s="41"/>
      <c r="S516" s="41"/>
      <c r="T516" s="41"/>
      <c r="U516" s="41"/>
      <c r="V516" s="41"/>
      <c r="W516" s="41"/>
      <c r="X516" s="41"/>
      <c r="Y516" s="41"/>
      <c r="Z516" s="41"/>
    </row>
    <row r="517" ht="19.5" customHeight="1">
      <c r="A517" s="41"/>
      <c r="B517" s="84" t="s">
        <v>932</v>
      </c>
      <c r="C517" s="110" t="s">
        <v>933</v>
      </c>
      <c r="D517" s="32" t="s">
        <v>933</v>
      </c>
      <c r="E517" s="18"/>
      <c r="F517" s="41"/>
      <c r="G517" s="41"/>
      <c r="H517" s="41"/>
      <c r="I517" s="41"/>
      <c r="J517" s="41"/>
      <c r="K517" s="41"/>
      <c r="L517" s="41"/>
      <c r="M517" s="41"/>
      <c r="N517" s="41"/>
      <c r="O517" s="41"/>
      <c r="P517" s="41"/>
      <c r="Q517" s="41"/>
      <c r="R517" s="41"/>
      <c r="S517" s="41"/>
      <c r="T517" s="41"/>
      <c r="U517" s="41"/>
      <c r="V517" s="41"/>
      <c r="W517" s="41"/>
      <c r="X517" s="41"/>
      <c r="Y517" s="41"/>
      <c r="Z517" s="41"/>
    </row>
    <row r="518" ht="19.5" customHeight="1">
      <c r="A518" s="41"/>
      <c r="B518" s="84" t="s">
        <v>934</v>
      </c>
      <c r="C518" s="110" t="str">
        <f>CONCATENATE(prefix_mgmt_az1_vlan,"20")</f>
        <v>2120</v>
      </c>
      <c r="D518" s="18"/>
      <c r="E518" s="153"/>
      <c r="F518" s="41"/>
      <c r="G518" s="41"/>
      <c r="H518" s="41"/>
      <c r="I518" s="41"/>
      <c r="J518" s="41"/>
      <c r="K518" s="41"/>
      <c r="L518" s="41"/>
      <c r="M518" s="41"/>
      <c r="N518" s="41"/>
      <c r="O518" s="41"/>
      <c r="P518" s="41"/>
      <c r="Q518" s="41"/>
      <c r="R518" s="41"/>
      <c r="S518" s="41"/>
      <c r="T518" s="41"/>
      <c r="U518" s="41"/>
      <c r="V518" s="41"/>
      <c r="W518" s="41"/>
      <c r="X518" s="41"/>
      <c r="Y518" s="41"/>
      <c r="Z518" s="41"/>
    </row>
    <row r="519" ht="19.5" customHeight="1">
      <c r="A519" s="41"/>
      <c r="B519" s="84" t="s">
        <v>935</v>
      </c>
      <c r="C519" s="110" t="str">
        <f>sample_mgmt_az1_rtep_ip_pool_name</f>
        <v>lax-m01-r01-ip-pool-rtep</v>
      </c>
      <c r="D519" s="32" t="str">
        <f>mgmt_az1_rtep_ip_pool_name</f>
        <v>Value Missing</v>
      </c>
      <c r="E519" s="153"/>
      <c r="F519" s="41"/>
      <c r="G519" s="41"/>
      <c r="H519" s="41"/>
      <c r="I519" s="41"/>
      <c r="J519" s="41"/>
      <c r="K519" s="41"/>
      <c r="L519" s="41"/>
      <c r="M519" s="41"/>
      <c r="N519" s="41"/>
      <c r="O519" s="41"/>
      <c r="P519" s="41"/>
      <c r="Q519" s="41"/>
      <c r="R519" s="41"/>
      <c r="S519" s="41"/>
      <c r="T519" s="41"/>
      <c r="U519" s="41"/>
      <c r="V519" s="41"/>
      <c r="W519" s="41"/>
      <c r="X519" s="41"/>
      <c r="Y519" s="41"/>
      <c r="Z519" s="41"/>
    </row>
    <row r="520" ht="19.5" customHeight="1">
      <c r="A520" s="41"/>
      <c r="B520" s="17" t="s">
        <v>936</v>
      </c>
      <c r="C520" s="13"/>
      <c r="D520" s="13"/>
      <c r="E520" s="14"/>
      <c r="F520" s="41"/>
      <c r="G520" s="41"/>
      <c r="H520" s="41"/>
      <c r="I520" s="41"/>
      <c r="J520" s="41"/>
      <c r="K520" s="41"/>
      <c r="L520" s="41"/>
      <c r="M520" s="41"/>
      <c r="N520" s="41"/>
      <c r="O520" s="41"/>
      <c r="P520" s="41"/>
      <c r="Q520" s="41"/>
      <c r="R520" s="41"/>
      <c r="S520" s="41"/>
      <c r="T520" s="41"/>
      <c r="U520" s="41"/>
      <c r="V520" s="41"/>
      <c r="W520" s="41"/>
      <c r="X520" s="41"/>
      <c r="Y520" s="41"/>
      <c r="Z520" s="41"/>
    </row>
    <row r="521" ht="19.5" customHeight="1">
      <c r="A521" s="41"/>
      <c r="B521" s="84" t="s">
        <v>905</v>
      </c>
      <c r="C521" s="111" t="str">
        <f>sample_mgmt_nsxt_gm_vip_fqdn</f>
        <v>lax-m01-nsx-gm01.lax.rainpole.io</v>
      </c>
      <c r="D521" s="32" t="str">
        <f>mgmt_nsxt_gm_vip_fqdn</f>
        <v>Value Missing</v>
      </c>
      <c r="E521" s="153"/>
      <c r="F521" s="41"/>
      <c r="G521" s="41"/>
      <c r="H521" s="41"/>
      <c r="I521" s="41"/>
      <c r="J521" s="41"/>
      <c r="K521" s="41"/>
      <c r="L521" s="41"/>
      <c r="M521" s="41"/>
      <c r="N521" s="41"/>
      <c r="O521" s="41"/>
      <c r="P521" s="41"/>
      <c r="Q521" s="41"/>
      <c r="R521" s="41"/>
      <c r="S521" s="41"/>
      <c r="T521" s="41"/>
      <c r="U521" s="41"/>
      <c r="V521" s="41"/>
      <c r="W521" s="41"/>
      <c r="X521" s="41"/>
      <c r="Y521" s="41"/>
      <c r="Z521" s="41"/>
    </row>
    <row r="522" ht="19.5" customHeight="1">
      <c r="A522" s="41"/>
      <c r="B522" s="84" t="s">
        <v>937</v>
      </c>
      <c r="C522" s="185" t="str">
        <f>CONCATENATE(prefix_portable_component,"-m01-ec01-t1-gw01")</f>
        <v>flt-m01-ec01-t1-gw01</v>
      </c>
      <c r="D522" s="18"/>
      <c r="E522" s="153"/>
      <c r="F522" s="41"/>
      <c r="G522" s="41"/>
      <c r="H522" s="41"/>
      <c r="I522" s="41"/>
      <c r="J522" s="41"/>
      <c r="K522" s="41"/>
      <c r="L522" s="41"/>
      <c r="M522" s="41"/>
      <c r="N522" s="41"/>
      <c r="O522" s="41"/>
      <c r="P522" s="41"/>
      <c r="Q522" s="41"/>
      <c r="R522" s="41"/>
      <c r="S522" s="41"/>
      <c r="T522" s="41"/>
      <c r="U522" s="41"/>
      <c r="V522" s="41"/>
      <c r="W522" s="41"/>
      <c r="X522" s="41"/>
      <c r="Y522" s="41"/>
      <c r="Z522" s="41"/>
    </row>
    <row r="523" ht="19.5" customHeight="1">
      <c r="A523" s="41"/>
      <c r="B523" s="84" t="s">
        <v>938</v>
      </c>
      <c r="C523" s="149" t="str">
        <f>CONCATENATE(this_instance,"-m01-ec01-t0-gw01")</f>
        <v>lax-m01-ec01-t0-gw01</v>
      </c>
      <c r="D523" s="32"/>
      <c r="E523" s="153"/>
      <c r="F523" s="41"/>
      <c r="G523" s="41"/>
      <c r="H523" s="41"/>
      <c r="I523" s="41"/>
      <c r="J523" s="41"/>
      <c r="K523" s="41"/>
      <c r="L523" s="41"/>
      <c r="M523" s="41"/>
      <c r="N523" s="41"/>
      <c r="O523" s="41"/>
      <c r="P523" s="41"/>
      <c r="Q523" s="41"/>
      <c r="R523" s="41"/>
      <c r="S523" s="41"/>
      <c r="T523" s="41"/>
      <c r="U523" s="41"/>
      <c r="V523" s="41"/>
      <c r="W523" s="41"/>
      <c r="X523" s="41"/>
      <c r="Y523" s="41"/>
      <c r="Z523" s="41"/>
    </row>
    <row r="524" ht="19.5" customHeight="1">
      <c r="A524" s="41"/>
      <c r="B524" s="212" t="s">
        <v>939</v>
      </c>
      <c r="C524" s="110" t="str">
        <f>sample_mgmt_nsxt_federation_location_name</f>
        <v>lax-m01</v>
      </c>
      <c r="D524" s="18" t="str">
        <f>mgmt_nsxt_federation_location_name</f>
        <v>Value Missing</v>
      </c>
      <c r="E524" s="213"/>
      <c r="F524" s="41"/>
      <c r="G524" s="41"/>
      <c r="H524" s="41"/>
      <c r="I524" s="41"/>
      <c r="J524" s="41"/>
      <c r="K524" s="41"/>
      <c r="L524" s="41"/>
      <c r="M524" s="41"/>
      <c r="N524" s="41"/>
      <c r="O524" s="41"/>
      <c r="P524" s="41"/>
      <c r="Q524" s="41"/>
      <c r="R524" s="41"/>
      <c r="S524" s="41"/>
      <c r="T524" s="41"/>
      <c r="U524" s="41"/>
      <c r="V524" s="41"/>
      <c r="W524" s="41"/>
      <c r="X524" s="41"/>
      <c r="Y524" s="41"/>
      <c r="Z524" s="41"/>
    </row>
    <row r="525" ht="19.5" customHeight="1">
      <c r="A525" s="41"/>
      <c r="B525" s="84" t="s">
        <v>583</v>
      </c>
      <c r="C525" s="110" t="str">
        <f>sample_mgmt_ec_name</f>
        <v>lax-m01-ec01</v>
      </c>
      <c r="D525" s="32" t="str">
        <f>mgmt_ec_name</f>
        <v>Value Missing</v>
      </c>
      <c r="E525" s="153"/>
      <c r="F525" s="41"/>
      <c r="G525" s="41"/>
      <c r="H525" s="41"/>
      <c r="I525" s="41"/>
      <c r="J525" s="41"/>
      <c r="K525" s="41"/>
      <c r="L525" s="41"/>
      <c r="M525" s="41"/>
      <c r="N525" s="41"/>
      <c r="O525" s="41"/>
      <c r="P525" s="41"/>
      <c r="Q525" s="41"/>
      <c r="R525" s="41"/>
      <c r="S525" s="41"/>
      <c r="T525" s="41"/>
      <c r="U525" s="41"/>
      <c r="V525" s="41"/>
      <c r="W525" s="41"/>
      <c r="X525" s="41"/>
      <c r="Y525" s="41"/>
      <c r="Z525" s="41"/>
    </row>
    <row r="526" ht="19.5" customHeight="1">
      <c r="A526" s="41"/>
      <c r="B526" s="17" t="s">
        <v>940</v>
      </c>
      <c r="C526" s="13"/>
      <c r="D526" s="13"/>
      <c r="E526" s="14"/>
      <c r="F526" s="41"/>
      <c r="G526" s="41"/>
      <c r="H526" s="41"/>
      <c r="I526" s="41"/>
      <c r="J526" s="41"/>
      <c r="K526" s="41"/>
      <c r="L526" s="41"/>
      <c r="M526" s="41"/>
      <c r="N526" s="41"/>
      <c r="O526" s="41"/>
      <c r="P526" s="41"/>
      <c r="Q526" s="41"/>
      <c r="R526" s="41"/>
      <c r="S526" s="41"/>
      <c r="T526" s="41"/>
      <c r="U526" s="41"/>
      <c r="V526" s="41"/>
      <c r="W526" s="41"/>
      <c r="X526" s="41"/>
      <c r="Y526" s="41"/>
      <c r="Z526" s="41"/>
    </row>
    <row r="527" ht="19.5" customHeight="1">
      <c r="A527" s="41"/>
      <c r="B527" s="84" t="s">
        <v>905</v>
      </c>
      <c r="C527" s="111" t="str">
        <f>sample_mgmt_nsxt_gm_vip_fqdn</f>
        <v>lax-m01-nsx-gm01.lax.rainpole.io</v>
      </c>
      <c r="D527" s="32" t="str">
        <f>mgmt_nsxt_gm_vip_fqdn</f>
        <v>Value Missing</v>
      </c>
      <c r="E527" s="153"/>
      <c r="F527" s="41"/>
      <c r="G527" s="41"/>
      <c r="H527" s="41"/>
      <c r="I527" s="41"/>
      <c r="J527" s="41"/>
      <c r="K527" s="41"/>
      <c r="L527" s="41"/>
      <c r="M527" s="41"/>
      <c r="N527" s="41"/>
      <c r="O527" s="41"/>
      <c r="P527" s="41"/>
      <c r="Q527" s="41"/>
      <c r="R527" s="41"/>
      <c r="S527" s="41"/>
      <c r="T527" s="41"/>
      <c r="U527" s="41"/>
      <c r="V527" s="41"/>
      <c r="W527" s="41"/>
      <c r="X527" s="41"/>
      <c r="Y527" s="41"/>
      <c r="Z527" s="41"/>
    </row>
    <row r="528" ht="19.5" customHeight="1">
      <c r="A528" s="41"/>
      <c r="B528" s="84" t="s">
        <v>941</v>
      </c>
      <c r="C528" s="110"/>
      <c r="D528" s="18"/>
      <c r="E528" s="153"/>
      <c r="F528" s="41"/>
      <c r="G528" s="41"/>
      <c r="H528" s="41"/>
      <c r="I528" s="41"/>
      <c r="J528" s="41"/>
      <c r="K528" s="41"/>
      <c r="L528" s="41"/>
      <c r="M528" s="41"/>
      <c r="N528" s="41"/>
      <c r="O528" s="41"/>
      <c r="P528" s="41"/>
      <c r="Q528" s="41"/>
      <c r="R528" s="41"/>
      <c r="S528" s="41"/>
      <c r="T528" s="41"/>
      <c r="U528" s="41"/>
      <c r="V528" s="41"/>
      <c r="W528" s="41"/>
      <c r="X528" s="41"/>
      <c r="Y528" s="41"/>
      <c r="Z528" s="41"/>
    </row>
    <row r="529" ht="19.5" customHeight="1">
      <c r="A529" s="41"/>
      <c r="B529" s="84" t="s">
        <v>942</v>
      </c>
      <c r="C529" s="110" t="str">
        <f>sample_mgmt_nsxt_xreg_t1_name</f>
        <v>flt-m01-ec01-t1-gw01</v>
      </c>
      <c r="D529" s="32" t="str">
        <f>mgmt_nsxt_xreg_t1_name</f>
        <v>Value Missing</v>
      </c>
      <c r="E529" s="153"/>
      <c r="F529" s="41"/>
      <c r="G529" s="41"/>
      <c r="H529" s="41"/>
      <c r="I529" s="41"/>
      <c r="J529" s="41"/>
      <c r="K529" s="41"/>
      <c r="L529" s="41"/>
      <c r="M529" s="41"/>
      <c r="N529" s="41"/>
      <c r="O529" s="41"/>
      <c r="P529" s="41"/>
      <c r="Q529" s="41"/>
      <c r="R529" s="41"/>
      <c r="S529" s="41"/>
      <c r="T529" s="41"/>
      <c r="U529" s="41"/>
      <c r="V529" s="41"/>
      <c r="W529" s="41"/>
      <c r="X529" s="41"/>
      <c r="Y529" s="41"/>
      <c r="Z529" s="41"/>
    </row>
    <row r="530" ht="19.5" customHeight="1">
      <c r="A530" s="41"/>
      <c r="B530" s="17" t="s">
        <v>943</v>
      </c>
      <c r="C530" s="13"/>
      <c r="D530" s="13"/>
      <c r="E530" s="14"/>
      <c r="F530" s="41"/>
      <c r="G530" s="41"/>
      <c r="H530" s="41"/>
      <c r="I530" s="41"/>
      <c r="J530" s="41"/>
      <c r="K530" s="41"/>
      <c r="L530" s="41"/>
      <c r="M530" s="41"/>
      <c r="N530" s="41"/>
      <c r="O530" s="41"/>
      <c r="P530" s="41"/>
      <c r="Q530" s="41"/>
      <c r="R530" s="41"/>
      <c r="S530" s="41"/>
      <c r="T530" s="41"/>
      <c r="U530" s="41"/>
      <c r="V530" s="41"/>
      <c r="W530" s="41"/>
      <c r="X530" s="41"/>
      <c r="Y530" s="41"/>
      <c r="Z530" s="41"/>
    </row>
    <row r="531" ht="19.5" customHeight="1">
      <c r="A531" s="41"/>
      <c r="B531" s="84" t="s">
        <v>926</v>
      </c>
      <c r="C531" s="111" t="str">
        <f>IF(mgmt_domain_chosen="First Instance",CONCATENATE(this_instance,"-m01-nsx-gm01.",this_instance,".",sample_parent_dns_zone),CONCATENATE(other_instance,"-m01-nsx-gm01.",other_instance,".",sample_parent_dns_zone))</f>
        <v>sfo-m01-nsx-gm01.sfo.rainpole.io</v>
      </c>
      <c r="D531" s="32"/>
      <c r="E531" s="153"/>
      <c r="F531" s="41"/>
      <c r="G531" s="41"/>
      <c r="H531" s="41"/>
      <c r="I531" s="41"/>
      <c r="J531" s="41"/>
      <c r="K531" s="41"/>
      <c r="L531" s="41"/>
      <c r="M531" s="41"/>
      <c r="N531" s="41"/>
      <c r="O531" s="41"/>
      <c r="P531" s="41"/>
      <c r="Q531" s="41"/>
      <c r="R531" s="41"/>
      <c r="S531" s="41"/>
      <c r="T531" s="41"/>
      <c r="U531" s="41"/>
      <c r="V531" s="41"/>
      <c r="W531" s="41"/>
      <c r="X531" s="41"/>
      <c r="Y531" s="41"/>
      <c r="Z531" s="41"/>
    </row>
    <row r="532" ht="19.5" customHeight="1">
      <c r="A532" s="41"/>
      <c r="B532" s="84" t="s">
        <v>944</v>
      </c>
      <c r="C532" s="149" t="str">
        <f>CONCATENATE(this_instance,"-m01-ec01-t0-gw01")</f>
        <v>lax-m01-ec01-t0-gw01</v>
      </c>
      <c r="D532" s="32"/>
      <c r="E532" s="153"/>
      <c r="F532" s="41"/>
      <c r="G532" s="41"/>
      <c r="H532" s="41"/>
      <c r="I532" s="41"/>
      <c r="J532" s="41"/>
      <c r="K532" s="41"/>
      <c r="L532" s="41"/>
      <c r="M532" s="41"/>
      <c r="N532" s="41"/>
      <c r="O532" s="41"/>
      <c r="P532" s="41"/>
      <c r="Q532" s="41"/>
      <c r="R532" s="41"/>
      <c r="S532" s="41"/>
      <c r="T532" s="41"/>
      <c r="U532" s="41"/>
      <c r="V532" s="41"/>
      <c r="W532" s="41"/>
      <c r="X532" s="41"/>
      <c r="Y532" s="41"/>
      <c r="Z532" s="41"/>
    </row>
    <row r="533" ht="19.5" customHeight="1">
      <c r="A533" s="41"/>
      <c r="B533" s="84" t="s">
        <v>939</v>
      </c>
      <c r="C533" s="149" t="str">
        <f>sample_mgmt_nsxt_federation_location_name</f>
        <v>lax-m01</v>
      </c>
      <c r="D533" s="32" t="str">
        <f>mgmt_nsxt_federation_location_name</f>
        <v>Value Missing</v>
      </c>
      <c r="E533" s="213"/>
      <c r="F533" s="41"/>
      <c r="G533" s="41"/>
      <c r="H533" s="41"/>
      <c r="I533" s="41"/>
      <c r="J533" s="41"/>
      <c r="K533" s="41"/>
      <c r="L533" s="41"/>
      <c r="M533" s="41"/>
      <c r="N533" s="41"/>
      <c r="O533" s="41"/>
      <c r="P533" s="41"/>
      <c r="Q533" s="41"/>
      <c r="R533" s="41"/>
      <c r="S533" s="41"/>
      <c r="T533" s="41"/>
      <c r="U533" s="41"/>
      <c r="V533" s="41"/>
      <c r="W533" s="41"/>
      <c r="X533" s="41"/>
      <c r="Y533" s="41"/>
      <c r="Z533" s="41"/>
    </row>
    <row r="534" ht="19.5" customHeight="1">
      <c r="A534" s="41"/>
      <c r="B534" s="84" t="s">
        <v>583</v>
      </c>
      <c r="C534" s="149" t="s">
        <v>945</v>
      </c>
      <c r="D534" s="32" t="str">
        <f>mgmt_ec_name</f>
        <v>Value Missing</v>
      </c>
      <c r="E534" s="153"/>
      <c r="F534" s="41"/>
      <c r="G534" s="41"/>
      <c r="H534" s="41"/>
      <c r="I534" s="41"/>
      <c r="J534" s="41"/>
      <c r="K534" s="41"/>
      <c r="L534" s="41"/>
      <c r="M534" s="41"/>
      <c r="N534" s="41"/>
      <c r="O534" s="41"/>
      <c r="P534" s="41"/>
      <c r="Q534" s="41"/>
      <c r="R534" s="41"/>
      <c r="S534" s="41"/>
      <c r="T534" s="41"/>
      <c r="U534" s="41"/>
      <c r="V534" s="41"/>
      <c r="W534" s="41"/>
      <c r="X534" s="41"/>
      <c r="Y534" s="41"/>
      <c r="Z534" s="41"/>
    </row>
    <row r="535" ht="19.5" customHeight="1">
      <c r="A535" s="41"/>
      <c r="B535" s="84" t="s">
        <v>946</v>
      </c>
      <c r="C535" s="110" t="str">
        <f>CONCATENATE(sample_mgmt_az1_en1_hostname,"_VCF-edge_",sample_mgmt_ec_name,"_segment_",sample_mgmt_az1_uplink01_vlan,"_",sample_mgmt_az1_en1_uplink01_interface_cidr)</f>
        <v>sfo-m01-en1_VCF-edge_lax-m01-ec01_segment_2117_10.21.17.2/24</v>
      </c>
      <c r="D535" s="32" t="str">
        <f>CONCATENATE(mgmt_az1_en1_hostname,"_VCF-edge_",mgmt_ec_name,"_segment_",mgmt_az1_uplink01_vlan,"_",mgmt_az1_en1_uplink01_interface_cidr)</f>
        <v>Value Missing_VCF-edge_Value Missing_segment_Value Missing_Value Missing</v>
      </c>
      <c r="E535" s="153"/>
      <c r="F535" s="41"/>
      <c r="G535" s="41"/>
      <c r="H535" s="41"/>
      <c r="I535" s="41"/>
      <c r="J535" s="41"/>
      <c r="K535" s="41"/>
      <c r="L535" s="41"/>
      <c r="M535" s="41"/>
      <c r="N535" s="41"/>
      <c r="O535" s="41"/>
      <c r="P535" s="41"/>
      <c r="Q535" s="41"/>
      <c r="R535" s="41"/>
      <c r="S535" s="41"/>
      <c r="T535" s="41"/>
      <c r="U535" s="41"/>
      <c r="V535" s="41"/>
      <c r="W535" s="41"/>
      <c r="X535" s="41"/>
      <c r="Y535" s="41"/>
      <c r="Z535" s="41"/>
    </row>
    <row r="536" ht="19.5" customHeight="1">
      <c r="A536" s="41"/>
      <c r="B536" s="84" t="s">
        <v>947</v>
      </c>
      <c r="C536" s="110" t="str">
        <f>sample_mgmt_nsxt_federation_location_name</f>
        <v>lax-m01</v>
      </c>
      <c r="D536" s="32" t="str">
        <f>mgmt_nsxt_federation_location_name</f>
        <v>Value Missing</v>
      </c>
      <c r="E536" s="153"/>
      <c r="F536" s="41"/>
      <c r="G536" s="195"/>
      <c r="H536" s="41"/>
      <c r="I536" s="41"/>
      <c r="J536" s="41"/>
      <c r="K536" s="41"/>
      <c r="L536" s="41"/>
      <c r="M536" s="41"/>
      <c r="N536" s="41"/>
      <c r="O536" s="41"/>
      <c r="P536" s="41"/>
      <c r="Q536" s="41"/>
      <c r="R536" s="41"/>
      <c r="S536" s="41"/>
      <c r="T536" s="41"/>
      <c r="U536" s="41"/>
      <c r="V536" s="41"/>
      <c r="W536" s="41"/>
      <c r="X536" s="41"/>
      <c r="Y536" s="41"/>
      <c r="Z536" s="41"/>
    </row>
    <row r="537" ht="19.5" customHeight="1">
      <c r="A537" s="41"/>
      <c r="B537" s="84" t="s">
        <v>948</v>
      </c>
      <c r="C537" s="110" t="str">
        <f>sample_mgmt_az1_en1_uplink01_interface_cidr</f>
        <v>10.21.17.2/24</v>
      </c>
      <c r="D537" s="32" t="str">
        <f>mgmt_az1_en1_uplink01_interface_cidr</f>
        <v>Value Missing</v>
      </c>
      <c r="E537" s="153"/>
      <c r="F537" s="41"/>
      <c r="G537" s="41"/>
      <c r="H537" s="41"/>
      <c r="I537" s="41"/>
      <c r="J537" s="41"/>
      <c r="K537" s="41"/>
      <c r="L537" s="41"/>
      <c r="M537" s="41"/>
      <c r="N537" s="41"/>
      <c r="O537" s="41"/>
      <c r="P537" s="41"/>
      <c r="Q537" s="41"/>
      <c r="R537" s="41"/>
      <c r="S537" s="41"/>
      <c r="T537" s="41"/>
      <c r="U537" s="41"/>
      <c r="V537" s="41"/>
      <c r="W537" s="41"/>
      <c r="X537" s="41"/>
      <c r="Y537" s="41"/>
      <c r="Z537" s="41"/>
    </row>
    <row r="538" ht="19.5" customHeight="1">
      <c r="A538" s="41"/>
      <c r="B538" s="84" t="s">
        <v>949</v>
      </c>
      <c r="C538" s="110" t="str">
        <f>CONCATENATE("VCF-edge_",sample_mgmt_ec_name,"_segment_uplink1_",sample_mgmt_az1_uplink01_vlan)</f>
        <v>VCF-edge_lax-m01-ec01_segment_uplink1_2117</v>
      </c>
      <c r="D538" s="32" t="str">
        <f>CONCATENATE("VCF-edge_",mgmt_ec_name,"_segment_uplink1_",mgmt_az1_uplink01_vlan)</f>
        <v>VCF-edge_Value Missing_segment_uplink1_Value Missing</v>
      </c>
      <c r="E538" s="153"/>
      <c r="F538" s="41"/>
      <c r="G538" s="41"/>
      <c r="H538" s="41"/>
      <c r="I538" s="41"/>
      <c r="J538" s="41"/>
      <c r="K538" s="41"/>
      <c r="L538" s="41"/>
      <c r="M538" s="41"/>
      <c r="N538" s="41"/>
      <c r="O538" s="41"/>
      <c r="P538" s="41"/>
      <c r="Q538" s="41"/>
      <c r="R538" s="41"/>
      <c r="S538" s="41"/>
      <c r="T538" s="41"/>
      <c r="U538" s="41"/>
      <c r="V538" s="41"/>
      <c r="W538" s="41"/>
      <c r="X538" s="41"/>
      <c r="Y538" s="41"/>
      <c r="Z538" s="41"/>
    </row>
    <row r="539" ht="19.5" customHeight="1">
      <c r="A539" s="41"/>
      <c r="B539" s="84" t="s">
        <v>950</v>
      </c>
      <c r="C539" s="110" t="s">
        <v>951</v>
      </c>
      <c r="D539" s="32" t="str">
        <f>mgmt_az1_en1_hostname</f>
        <v>Value Missing</v>
      </c>
      <c r="E539" s="153"/>
      <c r="F539" s="41"/>
      <c r="G539" s="41"/>
      <c r="H539" s="41"/>
      <c r="I539" s="41"/>
      <c r="J539" s="41"/>
      <c r="K539" s="41"/>
      <c r="L539" s="41"/>
      <c r="M539" s="41"/>
      <c r="N539" s="41"/>
      <c r="O539" s="41"/>
      <c r="P539" s="41"/>
      <c r="Q539" s="41"/>
      <c r="R539" s="41"/>
      <c r="S539" s="41"/>
      <c r="T539" s="41"/>
      <c r="U539" s="41"/>
      <c r="V539" s="41"/>
      <c r="W539" s="41"/>
      <c r="X539" s="41"/>
      <c r="Y539" s="41"/>
      <c r="Z539" s="41"/>
    </row>
    <row r="540" ht="19.5" customHeight="1">
      <c r="A540" s="41"/>
      <c r="B540" s="84" t="s">
        <v>952</v>
      </c>
      <c r="C540" s="110">
        <f>sample_mgmt_az1_uplink01_mtu</f>
        <v>9000</v>
      </c>
      <c r="D540" s="32" t="str">
        <f>mgmt_az1_uplink01_mtu</f>
        <v>Value Missing</v>
      </c>
      <c r="E540" s="153"/>
      <c r="F540" s="41"/>
      <c r="G540" s="41"/>
      <c r="H540" s="41"/>
      <c r="I540" s="41"/>
      <c r="J540" s="41"/>
      <c r="K540" s="41"/>
      <c r="L540" s="41"/>
      <c r="M540" s="41"/>
      <c r="N540" s="41"/>
      <c r="O540" s="41"/>
      <c r="P540" s="41"/>
      <c r="Q540" s="41"/>
      <c r="R540" s="41"/>
      <c r="S540" s="41"/>
      <c r="T540" s="41"/>
      <c r="U540" s="41"/>
      <c r="V540" s="41"/>
      <c r="W540" s="41"/>
      <c r="X540" s="41"/>
      <c r="Y540" s="41"/>
      <c r="Z540" s="41"/>
    </row>
    <row r="541" ht="19.5" customHeight="1">
      <c r="A541" s="41"/>
      <c r="B541" s="84" t="s">
        <v>953</v>
      </c>
      <c r="C541" s="110" t="str">
        <f>CONCATENATE(sample_mgmt_az1_en1_hostname,"_VCF-edge_",sample_mgmt_ec_name,"_segment_",sample_mgmt_az1_uplink02_vlan,"_",sample_mgmt_az1_en1_uplink02_interface_cidr)</f>
        <v>sfo-m01-en1_VCF-edge_lax-m01-ec01_segment_2118_10.21.18.2/24</v>
      </c>
      <c r="D541" s="32" t="str">
        <f>CONCATENATE(mgmt_az1_en1_hostname,"_VCF-edge_",mgmt_ec_name,"_segment_",mgmt_az1_uplink02_vlan,"_",mgmt_az1_en1_uplink02_interface_cidr)</f>
        <v>Value Missing_VCF-edge_Value Missing_segment_Value Missing_Value Missing</v>
      </c>
      <c r="E541" s="153"/>
      <c r="F541" s="41"/>
      <c r="G541" s="41"/>
      <c r="H541" s="41"/>
      <c r="I541" s="41"/>
      <c r="J541" s="41"/>
      <c r="K541" s="41"/>
      <c r="L541" s="41"/>
      <c r="M541" s="41"/>
      <c r="N541" s="41"/>
      <c r="O541" s="41"/>
      <c r="P541" s="41"/>
      <c r="Q541" s="41"/>
      <c r="R541" s="41"/>
      <c r="S541" s="41"/>
      <c r="T541" s="41"/>
      <c r="U541" s="41"/>
      <c r="V541" s="41"/>
      <c r="W541" s="41"/>
      <c r="X541" s="41"/>
      <c r="Y541" s="41"/>
      <c r="Z541" s="41"/>
    </row>
    <row r="542" ht="19.5" customHeight="1">
      <c r="A542" s="41"/>
      <c r="B542" s="84" t="s">
        <v>954</v>
      </c>
      <c r="C542" s="149" t="str">
        <f>sample_mgmt_nsxt_federation_location_name</f>
        <v>lax-m01</v>
      </c>
      <c r="D542" s="32" t="str">
        <f>mgmt_nsxt_federation_location_name</f>
        <v>Value Missing</v>
      </c>
      <c r="E542" s="153"/>
      <c r="F542" s="41"/>
      <c r="G542" s="195"/>
      <c r="H542" s="41"/>
      <c r="I542" s="41"/>
      <c r="J542" s="41"/>
      <c r="K542" s="41"/>
      <c r="L542" s="41"/>
      <c r="M542" s="41"/>
      <c r="N542" s="41"/>
      <c r="O542" s="41"/>
      <c r="P542" s="41"/>
      <c r="Q542" s="41"/>
      <c r="R542" s="41"/>
      <c r="S542" s="41"/>
      <c r="T542" s="41"/>
      <c r="U542" s="41"/>
      <c r="V542" s="41"/>
      <c r="W542" s="41"/>
      <c r="X542" s="41"/>
      <c r="Y542" s="41"/>
      <c r="Z542" s="41"/>
    </row>
    <row r="543" ht="19.5" customHeight="1">
      <c r="A543" s="41"/>
      <c r="B543" s="84" t="s">
        <v>955</v>
      </c>
      <c r="C543" s="110" t="str">
        <f>sample_mgmt_az1_en1_uplink02_interface_cidr</f>
        <v>10.21.18.2/24</v>
      </c>
      <c r="D543" s="32" t="str">
        <f>mgmt_az1_en1_uplink02_interface_cidr</f>
        <v>Value Missing</v>
      </c>
      <c r="E543" s="153"/>
      <c r="F543" s="41"/>
      <c r="G543" s="41"/>
      <c r="H543" s="41"/>
      <c r="I543" s="41"/>
      <c r="J543" s="41"/>
      <c r="K543" s="41"/>
      <c r="L543" s="41"/>
      <c r="M543" s="41"/>
      <c r="N543" s="41"/>
      <c r="O543" s="41"/>
      <c r="P543" s="41"/>
      <c r="Q543" s="41"/>
      <c r="R543" s="41"/>
      <c r="S543" s="41"/>
      <c r="T543" s="41"/>
      <c r="U543" s="41"/>
      <c r="V543" s="41"/>
      <c r="W543" s="41"/>
      <c r="X543" s="41"/>
      <c r="Y543" s="41"/>
      <c r="Z543" s="41"/>
    </row>
    <row r="544" ht="19.5" customHeight="1">
      <c r="A544" s="41"/>
      <c r="B544" s="173" t="s">
        <v>956</v>
      </c>
      <c r="C544" s="110" t="str">
        <f>CONCATENATE("VCF-edge_",sample_mgmt_ec_name,"_segment_uplink2_",sample_mgmt_az1_uplink02_vlan)</f>
        <v>VCF-edge_lax-m01-ec01_segment_uplink2_2118</v>
      </c>
      <c r="D544" s="32" t="str">
        <f>CONCATENATE("VCF-edge_",mgmt_ec_name,"_segment_uplink2_",mgmt_az1_uplink02_vlan)</f>
        <v>VCF-edge_Value Missing_segment_uplink2_Value Missing</v>
      </c>
      <c r="E544" s="153"/>
      <c r="F544" s="41"/>
      <c r="G544" s="41"/>
      <c r="H544" s="41"/>
      <c r="I544" s="41"/>
      <c r="J544" s="41"/>
      <c r="K544" s="41"/>
      <c r="L544" s="41"/>
      <c r="M544" s="41"/>
      <c r="N544" s="41"/>
      <c r="O544" s="41"/>
      <c r="P544" s="41"/>
      <c r="Q544" s="41"/>
      <c r="R544" s="41"/>
      <c r="S544" s="41"/>
      <c r="T544" s="41"/>
      <c r="U544" s="41"/>
      <c r="V544" s="41"/>
      <c r="W544" s="41"/>
      <c r="X544" s="41"/>
      <c r="Y544" s="41"/>
      <c r="Z544" s="41"/>
    </row>
    <row r="545" ht="19.5" customHeight="1">
      <c r="A545" s="41"/>
      <c r="B545" s="84" t="s">
        <v>957</v>
      </c>
      <c r="C545" s="110" t="s">
        <v>958</v>
      </c>
      <c r="D545" s="32" t="str">
        <f>mgmt_az1_en1_hostname</f>
        <v>Value Missing</v>
      </c>
      <c r="E545" s="153"/>
      <c r="F545" s="41"/>
      <c r="G545" s="41"/>
      <c r="H545" s="41"/>
      <c r="I545" s="41"/>
      <c r="J545" s="41"/>
      <c r="K545" s="41"/>
      <c r="L545" s="41"/>
      <c r="M545" s="41"/>
      <c r="N545" s="41"/>
      <c r="O545" s="41"/>
      <c r="P545" s="41"/>
      <c r="Q545" s="41"/>
      <c r="R545" s="41"/>
      <c r="S545" s="41"/>
      <c r="T545" s="41"/>
      <c r="U545" s="41"/>
      <c r="V545" s="41"/>
      <c r="W545" s="41"/>
      <c r="X545" s="41"/>
      <c r="Y545" s="41"/>
      <c r="Z545" s="41"/>
    </row>
    <row r="546" ht="19.5" customHeight="1">
      <c r="A546" s="41"/>
      <c r="B546" s="84" t="s">
        <v>959</v>
      </c>
      <c r="C546" s="110">
        <f>sample_mgmt_az1_uplink02_mtu</f>
        <v>9000</v>
      </c>
      <c r="D546" s="32" t="str">
        <f>mgmt_az1_uplink02_mtu</f>
        <v>Value Missing</v>
      </c>
      <c r="E546" s="153"/>
      <c r="F546" s="41"/>
      <c r="G546" s="41"/>
      <c r="H546" s="41"/>
      <c r="I546" s="41"/>
      <c r="J546" s="41"/>
      <c r="K546" s="41"/>
      <c r="L546" s="41"/>
      <c r="M546" s="41"/>
      <c r="N546" s="41"/>
      <c r="O546" s="41"/>
      <c r="P546" s="41"/>
      <c r="Q546" s="41"/>
      <c r="R546" s="41"/>
      <c r="S546" s="41"/>
      <c r="T546" s="41"/>
      <c r="U546" s="41"/>
      <c r="V546" s="41"/>
      <c r="W546" s="41"/>
      <c r="X546" s="41"/>
      <c r="Y546" s="41"/>
      <c r="Z546" s="41"/>
    </row>
    <row r="547" ht="19.5" customHeight="1">
      <c r="A547" s="41"/>
      <c r="B547" s="84" t="s">
        <v>960</v>
      </c>
      <c r="C547" s="110" t="str">
        <f>CONCATENATE(sample_mgmt_az1_en2_hostname,"_VCF-edge_",sample_mgmt_ec_name,"_segment_",sample_mgmt_az1_uplink01_vlan,"_",sample_mgmt_az1_en2_uplink01_interface_cidr)</f>
        <v>sfo-m01-en2_VCF-edge_lax-m01-ec01_segment_2117_10.21.17.3/24</v>
      </c>
      <c r="D547" s="32" t="str">
        <f>CONCATENATE(mgmt_az1_en2_hostname,"_VCF-edge_",mgmt_ec_name,"_segment_",mgmt_az1_uplink01_vlan,"_",mgmt_az1_en2_uplink01_interface_cidr)</f>
        <v>Value Missing_VCF-edge_Value Missing_segment_Value Missing_Value Missing</v>
      </c>
      <c r="E547" s="153"/>
      <c r="F547" s="41"/>
      <c r="G547" s="41"/>
      <c r="H547" s="41"/>
      <c r="I547" s="41"/>
      <c r="J547" s="41"/>
      <c r="K547" s="41"/>
      <c r="L547" s="41"/>
      <c r="M547" s="41"/>
      <c r="N547" s="41"/>
      <c r="O547" s="41"/>
      <c r="P547" s="41"/>
      <c r="Q547" s="41"/>
      <c r="R547" s="41"/>
      <c r="S547" s="41"/>
      <c r="T547" s="41"/>
      <c r="U547" s="41"/>
      <c r="V547" s="41"/>
      <c r="W547" s="41"/>
      <c r="X547" s="41"/>
      <c r="Y547" s="41"/>
      <c r="Z547" s="41"/>
    </row>
    <row r="548" ht="19.5" customHeight="1">
      <c r="A548" s="41"/>
      <c r="B548" s="84" t="s">
        <v>961</v>
      </c>
      <c r="C548" s="110" t="str">
        <f>sample_mgmt_nsxt_federation_location_name</f>
        <v>lax-m01</v>
      </c>
      <c r="D548" s="32" t="str">
        <f>mgmt_nsxt_federation_location_name</f>
        <v>Value Missing</v>
      </c>
      <c r="E548" s="153"/>
      <c r="F548" s="41"/>
      <c r="G548" s="41"/>
      <c r="H548" s="41"/>
      <c r="I548" s="41"/>
      <c r="J548" s="41"/>
      <c r="K548" s="41"/>
      <c r="L548" s="41"/>
      <c r="M548" s="41"/>
      <c r="N548" s="41"/>
      <c r="O548" s="41"/>
      <c r="P548" s="41"/>
      <c r="Q548" s="41"/>
      <c r="R548" s="41"/>
      <c r="S548" s="41"/>
      <c r="T548" s="41"/>
      <c r="U548" s="41"/>
      <c r="V548" s="41"/>
      <c r="W548" s="41"/>
      <c r="X548" s="41"/>
      <c r="Y548" s="41"/>
      <c r="Z548" s="41"/>
    </row>
    <row r="549" ht="19.5" customHeight="1">
      <c r="A549" s="41"/>
      <c r="B549" s="84" t="s">
        <v>962</v>
      </c>
      <c r="C549" s="110" t="str">
        <f>sample_mgmt_az1_en2_uplink01_interface_cidr</f>
        <v>10.21.17.3/24</v>
      </c>
      <c r="D549" s="32" t="str">
        <f>mgmt_az1_en2_uplink01_interface_cidr</f>
        <v>Value Missing</v>
      </c>
      <c r="E549" s="153"/>
      <c r="F549" s="41"/>
      <c r="G549" s="41"/>
      <c r="H549" s="41"/>
      <c r="I549" s="41"/>
      <c r="J549" s="41"/>
      <c r="K549" s="41"/>
      <c r="L549" s="41"/>
      <c r="M549" s="41"/>
      <c r="N549" s="41"/>
      <c r="O549" s="41"/>
      <c r="P549" s="41"/>
      <c r="Q549" s="41"/>
      <c r="R549" s="41"/>
      <c r="S549" s="41"/>
      <c r="T549" s="41"/>
      <c r="U549" s="41"/>
      <c r="V549" s="41"/>
      <c r="W549" s="41"/>
      <c r="X549" s="41"/>
      <c r="Y549" s="41"/>
      <c r="Z549" s="41"/>
    </row>
    <row r="550" ht="19.5" customHeight="1">
      <c r="A550" s="41"/>
      <c r="B550" s="173" t="s">
        <v>963</v>
      </c>
      <c r="C550" s="110" t="str">
        <f>CONCATENATE("VCF-edge_",sample_mgmt_ec_name,"_segment_uplink1_",sample_mgmt_az1_uplink01_vlan)</f>
        <v>VCF-edge_lax-m01-ec01_segment_uplink1_2117</v>
      </c>
      <c r="D550" s="32" t="str">
        <f>CONCATENATE("VCF-edge_",mgmt_ec_name,"_segment_uplink1_",mgmt_az1_uplink01_vlan)</f>
        <v>VCF-edge_Value Missing_segment_uplink1_Value Missing</v>
      </c>
      <c r="E550" s="153"/>
      <c r="F550" s="41"/>
      <c r="G550" s="41"/>
      <c r="H550" s="41"/>
      <c r="I550" s="41"/>
      <c r="J550" s="41"/>
      <c r="K550" s="41"/>
      <c r="L550" s="41"/>
      <c r="M550" s="41"/>
      <c r="N550" s="41"/>
      <c r="O550" s="41"/>
      <c r="P550" s="41"/>
      <c r="Q550" s="41"/>
      <c r="R550" s="41"/>
      <c r="S550" s="41"/>
      <c r="T550" s="41"/>
      <c r="U550" s="41"/>
      <c r="V550" s="41"/>
      <c r="W550" s="41"/>
      <c r="X550" s="41"/>
      <c r="Y550" s="41"/>
      <c r="Z550" s="41"/>
    </row>
    <row r="551" ht="19.5" customHeight="1">
      <c r="A551" s="41"/>
      <c r="B551" s="84" t="s">
        <v>964</v>
      </c>
      <c r="C551" s="110" t="str">
        <f>sample_mgmt_az1_en1_hostname</f>
        <v>sfo-m01-en1</v>
      </c>
      <c r="D551" s="32" t="str">
        <f>mgmt_az1_en2_hostname</f>
        <v>Value Missing</v>
      </c>
      <c r="E551" s="153"/>
      <c r="F551" s="41"/>
      <c r="G551" s="41"/>
      <c r="H551" s="41"/>
      <c r="I551" s="41"/>
      <c r="J551" s="41"/>
      <c r="K551" s="41"/>
      <c r="L551" s="41"/>
      <c r="M551" s="41"/>
      <c r="N551" s="41"/>
      <c r="O551" s="41"/>
      <c r="P551" s="41"/>
      <c r="Q551" s="41"/>
      <c r="R551" s="41"/>
      <c r="S551" s="41"/>
      <c r="T551" s="41"/>
      <c r="U551" s="41"/>
      <c r="V551" s="41"/>
      <c r="W551" s="41"/>
      <c r="X551" s="41"/>
      <c r="Y551" s="41"/>
      <c r="Z551" s="41"/>
    </row>
    <row r="552" ht="19.5" customHeight="1">
      <c r="A552" s="41"/>
      <c r="B552" s="84" t="s">
        <v>965</v>
      </c>
      <c r="C552" s="110">
        <f>sample_mgmt_az1_uplink01_mtu</f>
        <v>9000</v>
      </c>
      <c r="D552" s="32" t="str">
        <f>mgmt_az1_uplink01_mtu</f>
        <v>Value Missing</v>
      </c>
      <c r="E552" s="153"/>
      <c r="F552" s="41"/>
      <c r="G552" s="41"/>
      <c r="H552" s="41"/>
      <c r="I552" s="41"/>
      <c r="J552" s="41"/>
      <c r="K552" s="41"/>
      <c r="L552" s="41"/>
      <c r="M552" s="41"/>
      <c r="N552" s="41"/>
      <c r="O552" s="41"/>
      <c r="P552" s="41"/>
      <c r="Q552" s="41"/>
      <c r="R552" s="41"/>
      <c r="S552" s="41"/>
      <c r="T552" s="41"/>
      <c r="U552" s="41"/>
      <c r="V552" s="41"/>
      <c r="W552" s="41"/>
      <c r="X552" s="41"/>
      <c r="Y552" s="41"/>
      <c r="Z552" s="41"/>
    </row>
    <row r="553" ht="19.5" customHeight="1">
      <c r="A553" s="41"/>
      <c r="B553" s="84" t="s">
        <v>966</v>
      </c>
      <c r="C553" s="110" t="str">
        <f>CONCATENATE(sample_mgmt_az1_en2_hostname,"_VCF-edge_",sample_mgmt_ec_name,"_segment_",sample_mgmt_az1_uplink02_vlan,"_",sample_mgmt_az1_en2_uplink02_interface_cidr)</f>
        <v>sfo-m01-en2_VCF-edge_lax-m01-ec01_segment_2118_10.21.18.3/24</v>
      </c>
      <c r="D553" s="32" t="str">
        <f>CONCATENATE(mgmt_az1_en2_hostname,"_VCF-edge_",mgmt_ec_name,"_segment_",mgmt_az1_uplink02_vlan,"_",mgmt_az1_en2_uplink02_interface_cidr)</f>
        <v>Value Missing_VCF-edge_Value Missing_segment_Value Missing_Value Missing</v>
      </c>
      <c r="E553" s="153"/>
      <c r="F553" s="41"/>
      <c r="G553" s="41"/>
      <c r="H553" s="41"/>
      <c r="I553" s="41"/>
      <c r="J553" s="41"/>
      <c r="K553" s="41"/>
      <c r="L553" s="41"/>
      <c r="M553" s="41"/>
      <c r="N553" s="41"/>
      <c r="O553" s="41"/>
      <c r="P553" s="41"/>
      <c r="Q553" s="41"/>
      <c r="R553" s="41"/>
      <c r="S553" s="41"/>
      <c r="T553" s="41"/>
      <c r="U553" s="41"/>
      <c r="V553" s="41"/>
      <c r="W553" s="41"/>
      <c r="X553" s="41"/>
      <c r="Y553" s="41"/>
      <c r="Z553" s="41"/>
    </row>
    <row r="554" ht="19.5" customHeight="1">
      <c r="A554" s="41"/>
      <c r="B554" s="84" t="s">
        <v>967</v>
      </c>
      <c r="C554" s="110" t="str">
        <f>sample_mgmt_nsxt_federation_location_name</f>
        <v>lax-m01</v>
      </c>
      <c r="D554" s="32" t="str">
        <f>mgmt_nsxt_federation_location_name</f>
        <v>Value Missing</v>
      </c>
      <c r="E554" s="153"/>
      <c r="F554" s="41"/>
      <c r="G554" s="41"/>
      <c r="H554" s="41"/>
      <c r="I554" s="41"/>
      <c r="J554" s="41"/>
      <c r="K554" s="41"/>
      <c r="L554" s="41"/>
      <c r="M554" s="41"/>
      <c r="N554" s="41"/>
      <c r="O554" s="41"/>
      <c r="P554" s="41"/>
      <c r="Q554" s="41"/>
      <c r="R554" s="41"/>
      <c r="S554" s="41"/>
      <c r="T554" s="41"/>
      <c r="U554" s="41"/>
      <c r="V554" s="41"/>
      <c r="W554" s="41"/>
      <c r="X554" s="41"/>
      <c r="Y554" s="41"/>
      <c r="Z554" s="41"/>
    </row>
    <row r="555" ht="19.5" customHeight="1">
      <c r="A555" s="41"/>
      <c r="B555" s="84" t="s">
        <v>968</v>
      </c>
      <c r="C555" s="110" t="str">
        <f>sample_mgmt_az1_en2_uplink02_interface_cidr</f>
        <v>10.21.18.3/24</v>
      </c>
      <c r="D555" s="32" t="str">
        <f>mgmt_az1_en2_uplink02_interface_cidr</f>
        <v>Value Missing</v>
      </c>
      <c r="E555" s="153"/>
      <c r="F555" s="41"/>
      <c r="G555" s="41"/>
      <c r="H555" s="41"/>
      <c r="I555" s="41"/>
      <c r="J555" s="41"/>
      <c r="K555" s="41"/>
      <c r="L555" s="41"/>
      <c r="M555" s="41"/>
      <c r="N555" s="41"/>
      <c r="O555" s="41"/>
      <c r="P555" s="41"/>
      <c r="Q555" s="41"/>
      <c r="R555" s="41"/>
      <c r="S555" s="41"/>
      <c r="T555" s="41"/>
      <c r="U555" s="41"/>
      <c r="V555" s="41"/>
      <c r="W555" s="41"/>
      <c r="X555" s="41"/>
      <c r="Y555" s="41"/>
      <c r="Z555" s="41"/>
    </row>
    <row r="556" ht="19.5" customHeight="1">
      <c r="A556" s="41"/>
      <c r="B556" s="173" t="s">
        <v>969</v>
      </c>
      <c r="C556" s="110" t="str">
        <f>CONCATENATE("VCF-edge_",sample_mgmt_ec_name,"_segment_uplink2_",sample_mgmt_az1_uplink02_vlan)</f>
        <v>VCF-edge_lax-m01-ec01_segment_uplink2_2118</v>
      </c>
      <c r="D556" s="32" t="str">
        <f>CONCATENATE("VCF-edge_",mgmt_ec_name,"_segment_uplink2_",mgmt_az1_uplink02_vlan)</f>
        <v>VCF-edge_Value Missing_segment_uplink2_Value Missing</v>
      </c>
      <c r="E556" s="153"/>
      <c r="F556" s="41"/>
      <c r="G556" s="41"/>
      <c r="H556" s="41"/>
      <c r="I556" s="41"/>
      <c r="J556" s="41"/>
      <c r="K556" s="41"/>
      <c r="L556" s="41"/>
      <c r="M556" s="41"/>
      <c r="N556" s="41"/>
      <c r="O556" s="41"/>
      <c r="P556" s="41"/>
      <c r="Q556" s="41"/>
      <c r="R556" s="41"/>
      <c r="S556" s="41"/>
      <c r="T556" s="41"/>
      <c r="U556" s="41"/>
      <c r="V556" s="41"/>
      <c r="W556" s="41"/>
      <c r="X556" s="41"/>
      <c r="Y556" s="41"/>
      <c r="Z556" s="41"/>
    </row>
    <row r="557" ht="19.5" customHeight="1">
      <c r="A557" s="41"/>
      <c r="B557" s="84" t="s">
        <v>970</v>
      </c>
      <c r="C557" s="110" t="str">
        <f t="array" ref="C557">sample_mgmt_az1_en2_hostname</f>
        <v>sfo-m01-en2</v>
      </c>
      <c r="D557" s="32" t="str">
        <f>mgmt_az1_en2_hostname</f>
        <v>Value Missing</v>
      </c>
      <c r="E557" s="153"/>
      <c r="F557" s="41"/>
      <c r="G557" s="41"/>
      <c r="H557" s="41"/>
      <c r="I557" s="41"/>
      <c r="J557" s="41"/>
      <c r="K557" s="41"/>
      <c r="L557" s="41"/>
      <c r="M557" s="41"/>
      <c r="N557" s="41"/>
      <c r="O557" s="41"/>
      <c r="P557" s="41"/>
      <c r="Q557" s="41"/>
      <c r="R557" s="41"/>
      <c r="S557" s="41"/>
      <c r="T557" s="41"/>
      <c r="U557" s="41"/>
      <c r="V557" s="41"/>
      <c r="W557" s="41"/>
      <c r="X557" s="41"/>
      <c r="Y557" s="41"/>
      <c r="Z557" s="41"/>
    </row>
    <row r="558" ht="19.5" customHeight="1">
      <c r="A558" s="41"/>
      <c r="B558" s="84" t="s">
        <v>971</v>
      </c>
      <c r="C558" s="110">
        <f>sample_mgmt_az1_uplink02_mtu</f>
        <v>9000</v>
      </c>
      <c r="D558" s="32" t="str">
        <f>mgmt_az1_uplink02_mtu</f>
        <v>Value Missing</v>
      </c>
      <c r="E558" s="153"/>
      <c r="F558" s="41"/>
      <c r="G558" s="41"/>
      <c r="H558" s="41"/>
      <c r="I558" s="41"/>
      <c r="J558" s="41"/>
      <c r="K558" s="41"/>
      <c r="L558" s="41"/>
      <c r="M558" s="41"/>
      <c r="N558" s="41"/>
      <c r="O558" s="41"/>
      <c r="P558" s="41"/>
      <c r="Q558" s="41"/>
      <c r="R558" s="41"/>
      <c r="S558" s="41"/>
      <c r="T558" s="41"/>
      <c r="U558" s="41"/>
      <c r="V558" s="41"/>
      <c r="W558" s="41"/>
      <c r="X558" s="41"/>
      <c r="Y558" s="41"/>
      <c r="Z558" s="41"/>
    </row>
    <row r="559" ht="19.5" customHeight="1">
      <c r="A559" s="41"/>
      <c r="B559" s="84" t="s">
        <v>972</v>
      </c>
      <c r="C559" s="110" t="str">
        <f>sample_mgmt_az1_tor1_peer_ip</f>
        <v>10.21.17.10</v>
      </c>
      <c r="D559" s="32" t="str">
        <f>mgmt_az1_tor1_peer_ip</f>
        <v>Value Missing</v>
      </c>
      <c r="E559" s="153"/>
      <c r="F559" s="41"/>
      <c r="G559" s="41"/>
      <c r="H559" s="41"/>
      <c r="I559" s="41"/>
      <c r="J559" s="41"/>
      <c r="K559" s="41"/>
      <c r="L559" s="41"/>
      <c r="M559" s="41"/>
      <c r="N559" s="41"/>
      <c r="O559" s="41"/>
      <c r="P559" s="41"/>
      <c r="Q559" s="41"/>
      <c r="R559" s="41"/>
      <c r="S559" s="41"/>
      <c r="T559" s="41"/>
      <c r="U559" s="41"/>
      <c r="V559" s="41"/>
      <c r="W559" s="41"/>
      <c r="X559" s="41"/>
      <c r="Y559" s="41"/>
      <c r="Z559" s="41"/>
    </row>
    <row r="560" ht="19.5" customHeight="1">
      <c r="A560" s="41"/>
      <c r="B560" s="84" t="s">
        <v>973</v>
      </c>
      <c r="C560" s="110" t="str">
        <f>sample_mgmt_nsxt_federation_location_name</f>
        <v>lax-m01</v>
      </c>
      <c r="D560" s="32" t="str">
        <f>mgmt_nsxt_federation_location_name</f>
        <v>Value Missing</v>
      </c>
      <c r="E560" s="153"/>
      <c r="F560" s="41"/>
      <c r="G560" s="41"/>
      <c r="H560" s="41"/>
      <c r="I560" s="41"/>
      <c r="J560" s="41"/>
      <c r="K560" s="41"/>
      <c r="L560" s="41"/>
      <c r="M560" s="41"/>
      <c r="N560" s="41"/>
      <c r="O560" s="41"/>
      <c r="P560" s="41"/>
      <c r="Q560" s="41"/>
      <c r="R560" s="41"/>
      <c r="S560" s="41"/>
      <c r="T560" s="41"/>
      <c r="U560" s="41"/>
      <c r="V560" s="41"/>
      <c r="W560" s="41"/>
      <c r="X560" s="41"/>
      <c r="Y560" s="41"/>
      <c r="Z560" s="41"/>
    </row>
    <row r="561" ht="19.5" customHeight="1">
      <c r="A561" s="41"/>
      <c r="B561" s="84" t="s">
        <v>974</v>
      </c>
      <c r="C561" s="110" t="str">
        <f>sample_mgmt_az1_tor1_peer_asn</f>
        <v>211</v>
      </c>
      <c r="D561" s="32" t="str">
        <f>mgmt_az1_tor1_peer_asn</f>
        <v>Value Missing</v>
      </c>
      <c r="E561" s="153"/>
      <c r="F561" s="41"/>
      <c r="G561" s="41"/>
      <c r="H561" s="41"/>
      <c r="I561" s="41"/>
      <c r="J561" s="41"/>
      <c r="K561" s="41"/>
      <c r="L561" s="41"/>
      <c r="M561" s="41"/>
      <c r="N561" s="41"/>
      <c r="O561" s="41"/>
      <c r="P561" s="41"/>
      <c r="Q561" s="41"/>
      <c r="R561" s="41"/>
      <c r="S561" s="41"/>
      <c r="T561" s="41"/>
      <c r="U561" s="41"/>
      <c r="V561" s="41"/>
      <c r="W561" s="41"/>
      <c r="X561" s="41"/>
      <c r="Y561" s="41"/>
      <c r="Z561" s="41"/>
    </row>
    <row r="562" ht="19.5" customHeight="1">
      <c r="A562" s="41"/>
      <c r="B562" s="84" t="s">
        <v>975</v>
      </c>
      <c r="C562" s="110" t="str">
        <f>sample_mgmt_az1_en1_uplink01_interface_cidr</f>
        <v>10.21.17.2/24</v>
      </c>
      <c r="D562" s="32" t="str">
        <f>mgmt_az1_en1_uplink01_interface_cidr</f>
        <v>Value Missing</v>
      </c>
      <c r="E562" s="153"/>
      <c r="F562" s="41"/>
      <c r="G562" s="41"/>
      <c r="H562" s="41"/>
      <c r="I562" s="41"/>
      <c r="J562" s="41"/>
      <c r="K562" s="41"/>
      <c r="L562" s="41"/>
      <c r="M562" s="41"/>
      <c r="N562" s="41"/>
      <c r="O562" s="41"/>
      <c r="P562" s="41"/>
      <c r="Q562" s="41"/>
      <c r="R562" s="41"/>
      <c r="S562" s="41"/>
      <c r="T562" s="41"/>
      <c r="U562" s="41"/>
      <c r="V562" s="41"/>
      <c r="W562" s="41"/>
      <c r="X562" s="41"/>
      <c r="Y562" s="41"/>
      <c r="Z562" s="41"/>
    </row>
    <row r="563" ht="19.5" customHeight="1">
      <c r="A563" s="41"/>
      <c r="B563" s="84" t="s">
        <v>976</v>
      </c>
      <c r="C563" s="110" t="str">
        <f>sample_mgmt_az1_en2_uplink01_interface_cidr</f>
        <v>10.21.17.3/24</v>
      </c>
      <c r="D563" s="32" t="str">
        <f>mgmt_az1_en2_uplink01_interface_cidr</f>
        <v>Value Missing</v>
      </c>
      <c r="E563" s="153"/>
      <c r="F563" s="41"/>
      <c r="G563" s="41"/>
      <c r="H563" s="41"/>
      <c r="I563" s="41"/>
      <c r="J563" s="41"/>
      <c r="K563" s="41"/>
      <c r="L563" s="41"/>
      <c r="M563" s="41"/>
      <c r="N563" s="41"/>
      <c r="O563" s="41"/>
      <c r="P563" s="41"/>
      <c r="Q563" s="41"/>
      <c r="R563" s="41"/>
      <c r="S563" s="41"/>
      <c r="T563" s="41"/>
      <c r="U563" s="41"/>
      <c r="V563" s="41"/>
      <c r="W563" s="41"/>
      <c r="X563" s="41"/>
      <c r="Y563" s="41"/>
      <c r="Z563" s="41"/>
    </row>
    <row r="564" ht="19.5" customHeight="1">
      <c r="A564" s="41"/>
      <c r="B564" s="84" t="s">
        <v>977</v>
      </c>
      <c r="C564" s="110" t="str">
        <f>sample_mgmt_az1_tor1_peer_bgp_password</f>
        <v>VMw@re1!</v>
      </c>
      <c r="D564" s="32" t="str">
        <f>mgmt_az1_tor1_peer_bgp_password</f>
        <v>Value Missing</v>
      </c>
      <c r="E564" s="153"/>
      <c r="F564" s="41"/>
      <c r="G564" s="41"/>
      <c r="H564" s="41"/>
      <c r="I564" s="41"/>
      <c r="J564" s="41"/>
      <c r="K564" s="41"/>
      <c r="L564" s="41"/>
      <c r="M564" s="41"/>
      <c r="N564" s="41"/>
      <c r="O564" s="41"/>
      <c r="P564" s="41"/>
      <c r="Q564" s="41"/>
      <c r="R564" s="41"/>
      <c r="S564" s="41"/>
      <c r="T564" s="41"/>
      <c r="U564" s="41"/>
      <c r="V564" s="41"/>
      <c r="W564" s="41"/>
      <c r="X564" s="41"/>
      <c r="Y564" s="41"/>
      <c r="Z564" s="41"/>
    </row>
    <row r="565" ht="19.5" customHeight="1">
      <c r="A565" s="41"/>
      <c r="B565" s="84" t="s">
        <v>978</v>
      </c>
      <c r="C565" s="110" t="str">
        <f>sample_mgmt_az1_tor2_peer_ip</f>
        <v>10.21.18.10</v>
      </c>
      <c r="D565" s="32" t="str">
        <f>mgmt_az1_tor2_peer_ip</f>
        <v>Value Missing</v>
      </c>
      <c r="E565" s="153"/>
      <c r="F565" s="41"/>
      <c r="G565" s="41"/>
      <c r="H565" s="41"/>
      <c r="I565" s="41"/>
      <c r="J565" s="41"/>
      <c r="K565" s="41"/>
      <c r="L565" s="41"/>
      <c r="M565" s="41"/>
      <c r="N565" s="41"/>
      <c r="O565" s="41"/>
      <c r="P565" s="41"/>
      <c r="Q565" s="41"/>
      <c r="R565" s="41"/>
      <c r="S565" s="41"/>
      <c r="T565" s="41"/>
      <c r="U565" s="41"/>
      <c r="V565" s="41"/>
      <c r="W565" s="41"/>
      <c r="X565" s="41"/>
      <c r="Y565" s="41"/>
      <c r="Z565" s="41"/>
    </row>
    <row r="566" ht="19.5" customHeight="1">
      <c r="A566" s="41"/>
      <c r="B566" s="84" t="s">
        <v>979</v>
      </c>
      <c r="C566" s="110" t="str">
        <f>sample_mgmt_nsxt_federation_location_name</f>
        <v>lax-m01</v>
      </c>
      <c r="D566" s="32" t="str">
        <f>mgmt_nsxt_federation_location_name</f>
        <v>Value Missing</v>
      </c>
      <c r="E566" s="153"/>
      <c r="F566" s="41"/>
      <c r="G566" s="41"/>
      <c r="H566" s="41"/>
      <c r="I566" s="41"/>
      <c r="J566" s="41"/>
      <c r="K566" s="41"/>
      <c r="L566" s="41"/>
      <c r="M566" s="41"/>
      <c r="N566" s="41"/>
      <c r="O566" s="41"/>
      <c r="P566" s="41"/>
      <c r="Q566" s="41"/>
      <c r="R566" s="41"/>
      <c r="S566" s="41"/>
      <c r="T566" s="41"/>
      <c r="U566" s="41"/>
      <c r="V566" s="41"/>
      <c r="W566" s="41"/>
      <c r="X566" s="41"/>
      <c r="Y566" s="41"/>
      <c r="Z566" s="41"/>
    </row>
    <row r="567" ht="19.5" customHeight="1">
      <c r="A567" s="41"/>
      <c r="B567" s="84" t="s">
        <v>980</v>
      </c>
      <c r="C567" s="110" t="str">
        <f>sample_mgmt_az1_tor1_peer_asn</f>
        <v>211</v>
      </c>
      <c r="D567" s="32" t="str">
        <f>mgmt_az1_tor1_peer_asn</f>
        <v>Value Missing</v>
      </c>
      <c r="E567" s="153"/>
      <c r="F567" s="41"/>
      <c r="G567" s="41"/>
      <c r="H567" s="41"/>
      <c r="I567" s="41"/>
      <c r="J567" s="41"/>
      <c r="K567" s="41"/>
      <c r="L567" s="41"/>
      <c r="M567" s="41"/>
      <c r="N567" s="41"/>
      <c r="O567" s="41"/>
      <c r="P567" s="41"/>
      <c r="Q567" s="41"/>
      <c r="R567" s="41"/>
      <c r="S567" s="41"/>
      <c r="T567" s="41"/>
      <c r="U567" s="41"/>
      <c r="V567" s="41"/>
      <c r="W567" s="41"/>
      <c r="X567" s="41"/>
      <c r="Y567" s="41"/>
      <c r="Z567" s="41"/>
    </row>
    <row r="568" ht="19.5" customHeight="1">
      <c r="A568" s="41"/>
      <c r="B568" s="84" t="s">
        <v>981</v>
      </c>
      <c r="C568" s="110" t="str">
        <f>sample_mgmt_az1_en1_uplink02_interface_cidr</f>
        <v>10.21.18.2/24</v>
      </c>
      <c r="D568" s="32" t="str">
        <f>mgmt_az1_en1_uplink02_interface_cidr</f>
        <v>Value Missing</v>
      </c>
      <c r="E568" s="153"/>
      <c r="F568" s="41"/>
      <c r="G568" s="41"/>
      <c r="H568" s="41"/>
      <c r="I568" s="41"/>
      <c r="J568" s="41"/>
      <c r="K568" s="41"/>
      <c r="L568" s="41"/>
      <c r="M568" s="41"/>
      <c r="N568" s="41"/>
      <c r="O568" s="41"/>
      <c r="P568" s="41"/>
      <c r="Q568" s="41"/>
      <c r="R568" s="41"/>
      <c r="S568" s="41"/>
      <c r="T568" s="41"/>
      <c r="U568" s="41"/>
      <c r="V568" s="41"/>
      <c r="W568" s="41"/>
      <c r="X568" s="41"/>
      <c r="Y568" s="41"/>
      <c r="Z568" s="41"/>
    </row>
    <row r="569" ht="19.5" customHeight="1">
      <c r="A569" s="41"/>
      <c r="B569" s="84" t="s">
        <v>982</v>
      </c>
      <c r="C569" s="110" t="str">
        <f>sample_mgmt_az1_en2_uplink02_interface_cidr</f>
        <v>10.21.18.3/24</v>
      </c>
      <c r="D569" s="32" t="str">
        <f>mgmt_az1_en2_uplink02_interface_cidr</f>
        <v>Value Missing</v>
      </c>
      <c r="E569" s="153"/>
      <c r="F569" s="41"/>
      <c r="G569" s="41"/>
      <c r="H569" s="41"/>
      <c r="I569" s="41"/>
      <c r="J569" s="41"/>
      <c r="K569" s="41"/>
      <c r="L569" s="41"/>
      <c r="M569" s="41"/>
      <c r="N569" s="41"/>
      <c r="O569" s="41"/>
      <c r="P569" s="41"/>
      <c r="Q569" s="41"/>
      <c r="R569" s="41"/>
      <c r="S569" s="41"/>
      <c r="T569" s="41"/>
      <c r="U569" s="41"/>
      <c r="V569" s="41"/>
      <c r="W569" s="41"/>
      <c r="X569" s="41"/>
      <c r="Y569" s="41"/>
      <c r="Z569" s="41"/>
    </row>
    <row r="570" ht="19.5" customHeight="1">
      <c r="A570" s="41"/>
      <c r="B570" s="84" t="s">
        <v>983</v>
      </c>
      <c r="C570" s="110" t="str">
        <f>sample_mgmt_az1_tor2_peer_bgp_password</f>
        <v>VMw@re1!</v>
      </c>
      <c r="D570" s="32" t="str">
        <f>mgmt_az1_tor2_peer_bgp_password</f>
        <v>Value Missing</v>
      </c>
      <c r="E570" s="153"/>
      <c r="F570" s="41"/>
      <c r="G570" s="41"/>
      <c r="H570" s="41"/>
      <c r="I570" s="41"/>
      <c r="J570" s="41"/>
      <c r="K570" s="41"/>
      <c r="L570" s="41"/>
      <c r="M570" s="41"/>
      <c r="N570" s="41"/>
      <c r="O570" s="41"/>
      <c r="P570" s="41"/>
      <c r="Q570" s="41"/>
      <c r="R570" s="41"/>
      <c r="S570" s="41"/>
      <c r="T570" s="41"/>
      <c r="U570" s="41"/>
      <c r="V570" s="41"/>
      <c r="W570" s="41"/>
      <c r="X570" s="41"/>
      <c r="Y570" s="41"/>
      <c r="Z570" s="41"/>
    </row>
    <row r="571" ht="19.5" customHeight="1">
      <c r="A571" s="41"/>
      <c r="B571" s="17" t="s">
        <v>984</v>
      </c>
      <c r="C571" s="13"/>
      <c r="D571" s="13"/>
      <c r="E571" s="14"/>
      <c r="F571" s="41"/>
      <c r="G571" s="41"/>
      <c r="H571" s="41"/>
      <c r="I571" s="41"/>
      <c r="J571" s="41"/>
      <c r="K571" s="41"/>
      <c r="L571" s="41"/>
      <c r="M571" s="41"/>
      <c r="N571" s="41"/>
      <c r="O571" s="41"/>
      <c r="P571" s="41"/>
      <c r="Q571" s="41"/>
      <c r="R571" s="41"/>
      <c r="S571" s="41"/>
      <c r="T571" s="41"/>
      <c r="U571" s="41"/>
      <c r="V571" s="41"/>
      <c r="W571" s="41"/>
      <c r="X571" s="41"/>
      <c r="Y571" s="41"/>
      <c r="Z571" s="41"/>
    </row>
    <row r="572" ht="19.5" customHeight="1">
      <c r="A572" s="41"/>
      <c r="B572" s="84" t="s">
        <v>926</v>
      </c>
      <c r="C572" s="111" t="str">
        <f t="array" ref="C572">IF(mgmt_domain_chosen="First Instance",sample_mgmt_nsxt_gm_vip_fqdn,sample_mgmt_existing_active_nsx_gm)</f>
        <v>sfo-m01-nsx-gm01.sfo.rainpole.io</v>
      </c>
      <c r="D572" s="32" t="str">
        <f>IF(mgmt_domain_chosen="First Instance",mgmt_nsxt_gm_vip_fqdn,mgmt_existing_active_nsx_gm)</f>
        <v>Value Missing</v>
      </c>
      <c r="E572" s="153"/>
      <c r="F572" s="41"/>
      <c r="G572" s="41"/>
      <c r="H572" s="41"/>
      <c r="I572" s="41"/>
      <c r="J572" s="41"/>
      <c r="K572" s="41"/>
      <c r="L572" s="41"/>
      <c r="M572" s="41"/>
      <c r="N572" s="41"/>
      <c r="O572" s="41"/>
      <c r="P572" s="41"/>
      <c r="Q572" s="41"/>
      <c r="R572" s="41"/>
      <c r="S572" s="41"/>
      <c r="T572" s="41"/>
      <c r="U572" s="41"/>
      <c r="V572" s="41"/>
      <c r="W572" s="41"/>
      <c r="X572" s="41"/>
      <c r="Y572" s="41"/>
      <c r="Z572" s="41"/>
    </row>
    <row r="573" ht="19.5" customHeight="1">
      <c r="A573" s="41"/>
      <c r="B573" s="84" t="s">
        <v>942</v>
      </c>
      <c r="C573" s="110" t="str">
        <f>sample_mgmt_nsxt_xreg_t1_name</f>
        <v>flt-m01-ec01-t1-gw01</v>
      </c>
      <c r="D573" s="32" t="str">
        <f>mgmt_nsxt_xreg_t1_name</f>
        <v>Value Missing</v>
      </c>
      <c r="E573" s="153"/>
      <c r="F573" s="41"/>
      <c r="G573" s="41"/>
      <c r="H573" s="41"/>
      <c r="I573" s="41"/>
      <c r="J573" s="41"/>
      <c r="K573" s="41"/>
      <c r="L573" s="41"/>
      <c r="M573" s="41"/>
      <c r="N573" s="41"/>
      <c r="O573" s="41"/>
      <c r="P573" s="41"/>
      <c r="Q573" s="41"/>
      <c r="R573" s="41"/>
      <c r="S573" s="41"/>
      <c r="T573" s="41"/>
      <c r="U573" s="41"/>
      <c r="V573" s="41"/>
      <c r="W573" s="41"/>
      <c r="X573" s="41"/>
      <c r="Y573" s="41"/>
      <c r="Z573" s="41"/>
    </row>
    <row r="574" ht="19.5" customHeight="1">
      <c r="A574" s="41"/>
      <c r="B574" s="84" t="s">
        <v>939</v>
      </c>
      <c r="C574" s="110" t="str">
        <f>sample_mgmt_nsxt_federation_location_name</f>
        <v>lax-m01</v>
      </c>
      <c r="D574" s="32" t="str">
        <f>mgmt_nsxt_federation_location_name</f>
        <v>Value Missing</v>
      </c>
      <c r="E574" s="213"/>
      <c r="F574" s="41"/>
      <c r="G574" s="41"/>
      <c r="H574" s="41"/>
      <c r="I574" s="41"/>
      <c r="J574" s="41"/>
      <c r="K574" s="41"/>
      <c r="L574" s="41"/>
      <c r="M574" s="41"/>
      <c r="N574" s="41"/>
      <c r="O574" s="41"/>
      <c r="P574" s="41"/>
      <c r="Q574" s="41"/>
      <c r="R574" s="41"/>
      <c r="S574" s="41"/>
      <c r="T574" s="41"/>
      <c r="U574" s="41"/>
      <c r="V574" s="41"/>
      <c r="W574" s="41"/>
      <c r="X574" s="41"/>
      <c r="Y574" s="41"/>
      <c r="Z574" s="41"/>
    </row>
    <row r="575" ht="19.5" customHeight="1">
      <c r="A575" s="41"/>
      <c r="B575" s="84" t="s">
        <v>583</v>
      </c>
      <c r="C575" s="110" t="str">
        <f>sample_mgmt_ec_name</f>
        <v>lax-m01-ec01</v>
      </c>
      <c r="D575" s="32" t="str">
        <f>mgmt_ec_name</f>
        <v>Value Missing</v>
      </c>
      <c r="E575" s="153"/>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1"/>
      <c r="D576" s="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1"/>
      <c r="D577" s="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1"/>
      <c r="D578" s="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1"/>
      <c r="D579" s="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1"/>
      <c r="D580" s="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1"/>
      <c r="D581" s="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1"/>
      <c r="D582" s="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1"/>
      <c r="D583" s="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1"/>
      <c r="D584" s="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1"/>
      <c r="D585" s="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1"/>
      <c r="D586" s="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1"/>
      <c r="D587" s="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1"/>
      <c r="D588" s="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1"/>
      <c r="D589" s="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1"/>
      <c r="D590" s="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1"/>
      <c r="D591" s="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1"/>
      <c r="D592" s="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1"/>
      <c r="D593" s="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1"/>
      <c r="D594" s="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1"/>
      <c r="D595" s="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1"/>
      <c r="D596" s="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1"/>
      <c r="D597" s="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1"/>
      <c r="D598" s="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1"/>
      <c r="D599" s="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1"/>
      <c r="D600" s="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1"/>
      <c r="D601" s="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1"/>
      <c r="D602" s="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1"/>
      <c r="D603" s="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1"/>
      <c r="D604" s="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1"/>
      <c r="D605" s="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1"/>
      <c r="D606" s="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1"/>
      <c r="D607" s="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1"/>
      <c r="D608" s="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1"/>
      <c r="D609" s="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1"/>
      <c r="D610" s="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1"/>
      <c r="D611" s="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1"/>
      <c r="D612" s="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1"/>
      <c r="D613" s="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1"/>
      <c r="D614" s="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1"/>
      <c r="D615" s="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1"/>
      <c r="D616" s="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1"/>
      <c r="D617" s="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1"/>
      <c r="D618" s="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1"/>
      <c r="D619" s="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1"/>
      <c r="D620" s="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1"/>
      <c r="D621" s="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1"/>
      <c r="D622" s="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1"/>
      <c r="D623" s="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1"/>
      <c r="D624" s="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1"/>
      <c r="D625" s="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1"/>
      <c r="D626" s="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1"/>
      <c r="D627" s="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1"/>
      <c r="D628" s="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1"/>
      <c r="D629" s="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1"/>
      <c r="D630" s="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1"/>
      <c r="D631" s="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1"/>
      <c r="D632" s="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1"/>
      <c r="D633" s="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1"/>
      <c r="D634" s="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1"/>
      <c r="D635" s="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1"/>
      <c r="D636" s="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1"/>
      <c r="D637" s="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1"/>
      <c r="D638" s="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1"/>
      <c r="D639" s="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1"/>
      <c r="D640" s="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1"/>
      <c r="D641" s="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1"/>
      <c r="D642" s="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1"/>
      <c r="D643" s="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1"/>
      <c r="D644" s="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1"/>
      <c r="D645" s="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1"/>
      <c r="D646" s="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1"/>
      <c r="D647" s="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1"/>
      <c r="D648" s="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1"/>
      <c r="D649" s="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1"/>
      <c r="D650" s="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1"/>
      <c r="D651" s="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1"/>
      <c r="D652" s="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1"/>
      <c r="D653" s="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1"/>
      <c r="D654" s="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1"/>
      <c r="D655" s="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1"/>
      <c r="D656" s="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1"/>
      <c r="D657" s="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1"/>
      <c r="D658" s="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1"/>
      <c r="D659" s="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1"/>
      <c r="D660" s="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1"/>
      <c r="D661" s="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1"/>
      <c r="D662" s="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1"/>
      <c r="D663" s="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1"/>
      <c r="D664" s="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1"/>
      <c r="D665" s="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1"/>
      <c r="D666" s="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1"/>
      <c r="D667" s="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1"/>
      <c r="D668" s="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1"/>
      <c r="D669" s="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1"/>
      <c r="D670" s="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1"/>
      <c r="D671" s="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1"/>
      <c r="D672" s="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1"/>
      <c r="D673" s="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1"/>
      <c r="D674" s="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1"/>
      <c r="D675" s="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1"/>
      <c r="D676" s="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1"/>
      <c r="D677" s="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1"/>
      <c r="D678" s="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1"/>
      <c r="D679" s="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1"/>
      <c r="D680" s="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1"/>
      <c r="D681" s="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1"/>
      <c r="D682" s="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1"/>
      <c r="D683" s="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1"/>
      <c r="D684" s="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1"/>
      <c r="D685" s="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1"/>
      <c r="D686" s="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1"/>
      <c r="D687" s="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1"/>
      <c r="D688" s="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1"/>
      <c r="D689" s="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1"/>
      <c r="D690" s="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1"/>
      <c r="D691" s="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1"/>
      <c r="D692" s="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1"/>
      <c r="D693" s="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1"/>
      <c r="D694" s="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1"/>
      <c r="D695" s="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1"/>
      <c r="D696" s="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1"/>
      <c r="D697" s="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1"/>
      <c r="D698" s="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1"/>
      <c r="D699" s="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1"/>
      <c r="D700" s="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1"/>
      <c r="D701" s="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1"/>
      <c r="D702" s="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1"/>
      <c r="D703" s="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1"/>
      <c r="D704" s="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1"/>
      <c r="D705" s="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1"/>
      <c r="D706" s="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1"/>
      <c r="D707" s="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1"/>
      <c r="D708" s="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1"/>
      <c r="D709" s="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1"/>
      <c r="D710" s="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1"/>
      <c r="D711" s="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1"/>
      <c r="D712" s="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1"/>
      <c r="D713" s="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1"/>
      <c r="D714" s="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1"/>
      <c r="D715" s="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1"/>
      <c r="D716" s="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1"/>
      <c r="D717" s="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1"/>
      <c r="D718" s="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1"/>
      <c r="D719" s="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1"/>
      <c r="D720" s="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1"/>
      <c r="D721" s="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1"/>
      <c r="D722" s="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1"/>
      <c r="D723" s="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1"/>
      <c r="D724" s="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1"/>
      <c r="D725" s="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1"/>
      <c r="D726" s="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1"/>
      <c r="D727" s="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1"/>
      <c r="D728" s="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1"/>
      <c r="D729" s="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1"/>
      <c r="D730" s="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1"/>
      <c r="D731" s="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1"/>
      <c r="D732" s="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1"/>
      <c r="D733" s="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1"/>
      <c r="D734" s="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1"/>
      <c r="D735" s="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1"/>
      <c r="D736" s="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1"/>
      <c r="D737" s="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1"/>
      <c r="D738" s="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1"/>
      <c r="D739" s="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1"/>
      <c r="D740" s="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1"/>
      <c r="D741" s="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1"/>
      <c r="D742" s="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1"/>
      <c r="D743" s="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1"/>
      <c r="D744" s="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1"/>
      <c r="D745" s="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1"/>
      <c r="D746" s="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1"/>
      <c r="D747" s="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1"/>
      <c r="D748" s="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1"/>
      <c r="D749" s="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1"/>
      <c r="D750" s="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1"/>
      <c r="D751" s="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1"/>
      <c r="D752" s="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1"/>
      <c r="D753" s="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1"/>
      <c r="D754" s="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1"/>
      <c r="D755" s="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1"/>
      <c r="D756" s="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1"/>
      <c r="D757" s="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1"/>
      <c r="D758" s="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1"/>
      <c r="D759" s="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1"/>
      <c r="D760" s="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1"/>
      <c r="D761" s="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1"/>
      <c r="D762" s="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1"/>
      <c r="D763" s="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1"/>
      <c r="D764" s="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1"/>
      <c r="D765" s="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1"/>
      <c r="D766" s="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1"/>
      <c r="D767" s="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1"/>
      <c r="D768" s="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1"/>
      <c r="D769" s="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1"/>
      <c r="D770" s="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1"/>
      <c r="D771" s="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1"/>
      <c r="D772" s="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1"/>
      <c r="D773" s="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1"/>
      <c r="D774" s="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1"/>
      <c r="D775" s="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1"/>
      <c r="D776" s="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1"/>
      <c r="D777" s="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1"/>
      <c r="D778" s="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1"/>
      <c r="D779" s="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1"/>
      <c r="D780" s="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1"/>
      <c r="D781" s="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1"/>
      <c r="D782" s="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1"/>
      <c r="D783" s="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1"/>
      <c r="D784" s="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1"/>
      <c r="D785" s="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1"/>
      <c r="D786" s="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1"/>
      <c r="D787" s="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1"/>
      <c r="D788" s="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1"/>
      <c r="D789" s="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1"/>
      <c r="D790" s="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1"/>
      <c r="D791" s="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1"/>
      <c r="D792" s="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1"/>
      <c r="D793" s="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1"/>
      <c r="D794" s="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1"/>
      <c r="D795" s="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1"/>
      <c r="D796" s="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1"/>
      <c r="D797" s="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1"/>
      <c r="D798" s="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1"/>
      <c r="D799" s="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1"/>
      <c r="D800" s="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1"/>
      <c r="D801" s="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1"/>
      <c r="D802" s="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1"/>
      <c r="D803" s="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1"/>
      <c r="D804" s="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1"/>
      <c r="D805" s="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1"/>
      <c r="D806" s="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1"/>
      <c r="D807" s="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1"/>
      <c r="D808" s="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1"/>
      <c r="D809" s="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1"/>
      <c r="D810" s="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1"/>
      <c r="D811" s="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1"/>
      <c r="D812" s="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1"/>
      <c r="D813" s="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1"/>
      <c r="D814" s="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1"/>
      <c r="D815" s="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1"/>
      <c r="D816" s="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1"/>
      <c r="D817" s="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1"/>
      <c r="D818" s="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1"/>
      <c r="D819" s="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1"/>
      <c r="D820" s="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1"/>
      <c r="D821" s="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1"/>
      <c r="D822" s="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1"/>
      <c r="D823" s="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1"/>
      <c r="D824" s="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1"/>
      <c r="D825" s="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1"/>
      <c r="D826" s="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1"/>
      <c r="D827" s="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1"/>
      <c r="D828" s="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1"/>
      <c r="D829" s="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1"/>
      <c r="D830" s="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1"/>
      <c r="D831" s="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1"/>
      <c r="D832" s="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1"/>
      <c r="D833" s="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1"/>
      <c r="D834" s="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1"/>
      <c r="D835" s="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1"/>
      <c r="D836" s="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1"/>
      <c r="D837" s="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1"/>
      <c r="D838" s="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1"/>
      <c r="D839" s="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1"/>
      <c r="D840" s="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1"/>
      <c r="D841" s="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1"/>
      <c r="D842" s="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1"/>
      <c r="D843" s="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1"/>
      <c r="D844" s="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1"/>
      <c r="D845" s="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1"/>
      <c r="D846" s="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1"/>
      <c r="D847" s="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1"/>
      <c r="D848" s="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1"/>
      <c r="D849" s="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1"/>
      <c r="D850" s="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1"/>
      <c r="D851" s="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1"/>
      <c r="D852" s="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1"/>
      <c r="D853" s="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1"/>
      <c r="D854" s="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1"/>
      <c r="D855" s="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1"/>
      <c r="D856" s="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1"/>
      <c r="D857" s="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1"/>
      <c r="D858" s="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1"/>
      <c r="D859" s="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1"/>
      <c r="D860" s="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1"/>
      <c r="D861" s="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1"/>
      <c r="D862" s="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1"/>
      <c r="D863" s="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1"/>
      <c r="D864" s="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1"/>
      <c r="D865" s="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1"/>
      <c r="D866" s="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1"/>
      <c r="D867" s="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1"/>
      <c r="D868" s="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1"/>
      <c r="D869" s="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1"/>
      <c r="D870" s="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1"/>
      <c r="D871" s="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1"/>
      <c r="D872" s="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1"/>
      <c r="D873" s="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1"/>
      <c r="D874" s="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1"/>
      <c r="D875" s="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1"/>
      <c r="D876" s="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1"/>
      <c r="D877" s="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1"/>
      <c r="D878" s="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1"/>
      <c r="D879" s="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1"/>
      <c r="D880" s="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1"/>
      <c r="D881" s="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1"/>
      <c r="D882" s="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1"/>
      <c r="D883" s="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1"/>
      <c r="D884" s="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1"/>
      <c r="D885" s="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1"/>
      <c r="D886" s="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1"/>
      <c r="D887" s="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1"/>
      <c r="D888" s="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1"/>
      <c r="D889" s="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1"/>
      <c r="D890" s="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1"/>
      <c r="D891" s="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1"/>
      <c r="D892" s="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1"/>
      <c r="D893" s="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1"/>
      <c r="D894" s="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1"/>
      <c r="D895" s="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1"/>
      <c r="D896" s="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1"/>
      <c r="D897" s="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1"/>
      <c r="D898" s="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1"/>
      <c r="D899" s="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1"/>
      <c r="D900" s="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1"/>
      <c r="D901" s="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1"/>
      <c r="D902" s="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1"/>
      <c r="D903" s="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1"/>
      <c r="D904" s="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1"/>
      <c r="D905" s="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1"/>
      <c r="D906" s="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1"/>
      <c r="D907" s="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1"/>
      <c r="D908" s="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1"/>
      <c r="D909" s="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1"/>
      <c r="D910" s="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1"/>
      <c r="D911" s="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1"/>
      <c r="D912" s="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1"/>
      <c r="D913" s="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1"/>
      <c r="D914" s="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1"/>
      <c r="D915" s="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1"/>
      <c r="D916" s="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1"/>
      <c r="D917" s="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1"/>
      <c r="D918" s="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1"/>
      <c r="D919" s="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1"/>
      <c r="D920" s="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1"/>
      <c r="D921" s="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1"/>
      <c r="D922" s="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1"/>
      <c r="D923" s="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1"/>
      <c r="D924" s="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1"/>
      <c r="D925" s="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1"/>
      <c r="D926" s="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1"/>
      <c r="D927" s="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1"/>
      <c r="D928" s="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1"/>
      <c r="D929" s="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1"/>
      <c r="D930" s="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1"/>
      <c r="D931" s="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1"/>
      <c r="D932" s="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1"/>
      <c r="D933" s="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1"/>
      <c r="D934" s="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1"/>
      <c r="D935" s="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1"/>
      <c r="D936" s="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1"/>
      <c r="D937" s="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1"/>
      <c r="D938" s="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1"/>
      <c r="D939" s="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1"/>
      <c r="D940" s="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1"/>
      <c r="D941" s="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1"/>
      <c r="D942" s="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1"/>
      <c r="D943" s="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1"/>
      <c r="D944" s="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1"/>
      <c r="D945" s="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1"/>
      <c r="D946" s="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1"/>
      <c r="D947" s="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1"/>
      <c r="D948" s="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1"/>
      <c r="D949" s="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1"/>
      <c r="D950" s="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1"/>
      <c r="D951" s="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1"/>
      <c r="D952" s="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1"/>
      <c r="D953" s="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1"/>
      <c r="D954" s="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1"/>
      <c r="D955" s="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1"/>
      <c r="D956" s="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1"/>
      <c r="D957" s="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1"/>
      <c r="D958" s="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1"/>
      <c r="D959" s="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1"/>
      <c r="D960" s="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1"/>
      <c r="D961" s="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1"/>
      <c r="D962" s="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1"/>
      <c r="D963" s="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1"/>
      <c r="D964" s="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1"/>
      <c r="D965" s="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1"/>
      <c r="D966" s="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1"/>
      <c r="D967" s="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1"/>
      <c r="D968" s="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1"/>
      <c r="D969" s="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1"/>
      <c r="D970" s="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1"/>
      <c r="D971" s="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1"/>
      <c r="D972" s="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1"/>
      <c r="D973" s="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1"/>
      <c r="D974" s="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1"/>
      <c r="D975" s="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1"/>
      <c r="D976" s="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1"/>
      <c r="D977" s="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1"/>
      <c r="D978" s="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1"/>
      <c r="D979" s="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1"/>
      <c r="D980" s="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1"/>
      <c r="D981" s="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1"/>
      <c r="D982" s="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1"/>
      <c r="D983" s="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1"/>
      <c r="D984" s="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1"/>
      <c r="D985" s="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1"/>
      <c r="D986" s="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1"/>
      <c r="D987" s="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1"/>
      <c r="D988" s="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1"/>
      <c r="D989" s="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1"/>
      <c r="D990" s="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1"/>
      <c r="D991" s="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1"/>
      <c r="D992" s="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1"/>
      <c r="D993" s="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1"/>
      <c r="D994" s="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1"/>
      <c r="D995" s="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1"/>
      <c r="D996" s="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1"/>
      <c r="D997" s="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1"/>
      <c r="D998" s="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1"/>
      <c r="D999" s="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1"/>
      <c r="D1000" s="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77">
    <mergeCell ref="B333:E333"/>
    <mergeCell ref="B337:E337"/>
    <mergeCell ref="B342:E342"/>
    <mergeCell ref="B344:E344"/>
    <mergeCell ref="B375:E375"/>
    <mergeCell ref="B376:E376"/>
    <mergeCell ref="B377:E377"/>
    <mergeCell ref="B379:E379"/>
    <mergeCell ref="B382:E382"/>
    <mergeCell ref="B395:E395"/>
    <mergeCell ref="B396:E396"/>
    <mergeCell ref="B399:E399"/>
    <mergeCell ref="B416:E416"/>
    <mergeCell ref="B433:E433"/>
    <mergeCell ref="B496:E496"/>
    <mergeCell ref="B499:E499"/>
    <mergeCell ref="B508:E508"/>
    <mergeCell ref="B520:E520"/>
    <mergeCell ref="B526:E526"/>
    <mergeCell ref="B530:E530"/>
    <mergeCell ref="B571:E571"/>
    <mergeCell ref="B451:E451"/>
    <mergeCell ref="B467:E467"/>
    <mergeCell ref="B473:E473"/>
    <mergeCell ref="B477:E477"/>
    <mergeCell ref="B479:E479"/>
    <mergeCell ref="B484:E484"/>
    <mergeCell ref="B489:E489"/>
    <mergeCell ref="B2:E2"/>
    <mergeCell ref="B3:E3"/>
    <mergeCell ref="B18:E18"/>
    <mergeCell ref="B19:E19"/>
    <mergeCell ref="B30:E30"/>
    <mergeCell ref="B31:E31"/>
    <mergeCell ref="B36:E36"/>
    <mergeCell ref="B41:E41"/>
    <mergeCell ref="B46:E46"/>
    <mergeCell ref="B51:E51"/>
    <mergeCell ref="B57:E57"/>
    <mergeCell ref="B66:E66"/>
    <mergeCell ref="B74:E74"/>
    <mergeCell ref="B86:E86"/>
    <mergeCell ref="B87:E87"/>
    <mergeCell ref="B89:E89"/>
    <mergeCell ref="B91:E91"/>
    <mergeCell ref="B94:E94"/>
    <mergeCell ref="B98:E98"/>
    <mergeCell ref="B110:E110"/>
    <mergeCell ref="B124:E124"/>
    <mergeCell ref="B136:E136"/>
    <mergeCell ref="B151:E151"/>
    <mergeCell ref="B157:E157"/>
    <mergeCell ref="B172:E172"/>
    <mergeCell ref="B187:E187"/>
    <mergeCell ref="B190:E190"/>
    <mergeCell ref="B192:E192"/>
    <mergeCell ref="B196:E196"/>
    <mergeCell ref="B200:E200"/>
    <mergeCell ref="B204:E204"/>
    <mergeCell ref="B205:E205"/>
    <mergeCell ref="B207:E207"/>
    <mergeCell ref="B209:E209"/>
    <mergeCell ref="B211:E211"/>
    <mergeCell ref="B220:E220"/>
    <mergeCell ref="B222:E222"/>
    <mergeCell ref="B224:E224"/>
    <mergeCell ref="B229:E229"/>
    <mergeCell ref="B247:E247"/>
    <mergeCell ref="B251:E251"/>
    <mergeCell ref="B259:E259"/>
    <mergeCell ref="B267:E267"/>
    <mergeCell ref="B276:E276"/>
    <mergeCell ref="B277:E277"/>
    <mergeCell ref="B302:E302"/>
    <mergeCell ref="B303:E303"/>
    <mergeCell ref="B309:E309"/>
    <mergeCell ref="B328:E328"/>
  </mergeCells>
  <conditionalFormatting sqref="D21:D28">
    <cfRule type="containsBlanks" dxfId="1" priority="1">
      <formula>LEN(TRIM(D21))=0</formula>
    </cfRule>
  </conditionalFormatting>
  <conditionalFormatting sqref="D21:D28">
    <cfRule type="notContainsBlanks" dxfId="13" priority="2">
      <formula>LEN(TRIM(D21))&gt;0</formula>
    </cfRule>
  </conditionalFormatting>
  <conditionalFormatting sqref="D33:D35 D37:D40 D42:D45 D47:D50 D52:D56 D58:D65 D67:D73 D75:D84 D90 D92:D93 D95:D97 D99:D109 D111:D123 D125:D135 D137:D150 D152:D156 D158:D171 D173:D186 D188:D189 D191 D193:D195 D197:D199 D201:D202 D208 D210 D212:D218 D225:D228 D230:D245 D249:D250 D252:D258 D260:D266 D268:D274 D279:D300 D305:D308 D310:D327 D329:D332 D334:D336 D338:D340 D345:D374 D378 D380:D381 D383:D393 D398 D400:D415 D417:D432 D434:D450 D452:D466 D468:D472 D474:D476 D478 D480:D483 D485:D488 D490:D495 D497:D498 D500:D507 D509:D519 D521:D525 D527:D529 D531:D570 D572:D575">
    <cfRule type="containsBlanks" dxfId="14" priority="3">
      <formula>LEN(TRIM(D33))=0</formula>
    </cfRule>
  </conditionalFormatting>
  <conditionalFormatting sqref="D33:D35 D37:D40 D42:D45 D47:D50 D52:D56 D58:D65 D67:D73 D75:D84 D90 D92:D93 D95:D97 D99:D109 D111:D123 D125:D135 D137:D150 D152:D156 D158:D171 D173:D186 D188:D189 D191 D193:D195 D197:D199 D201:D202 D208 D210 D212:D218 D225:D228 D230:D245 D249:D250 D252:D258 D260:D266 D268:D274 D279:D300 D305:D308 D310:D327 D329:D332 D334:D336 D338:D340 D345:D374 D378 D380:D381 D383:D393 D398 D400:D415 D417:D432 D434:D450 D452:D466 D468:D472 D474:D476 D478 D480:D483 D485:D488 D490:D495 D497:D498 D500:D507 D509:D519 D521:D525 D527:D529 D531:D570 D572:D575">
    <cfRule type="notContainsBlanks" dxfId="15" priority="4">
      <formula>LEN(TRIM(D33))&gt;0</formula>
    </cfRule>
  </conditionalFormatting>
  <conditionalFormatting sqref="D127">
    <cfRule type="expression" dxfId="16" priority="5">
      <formula>$D$127="Value Missing"</formula>
    </cfRule>
  </conditionalFormatting>
  <conditionalFormatting sqref="D129">
    <cfRule type="expression" dxfId="17" priority="6">
      <formula>input_mgmt_ec01_host_group_affinity_rule_chosen="No"</formula>
    </cfRule>
  </conditionalFormatting>
  <conditionalFormatting sqref="D200">
    <cfRule type="expression" dxfId="3" priority="7">
      <formula>input_mgmt_principal_storage_chosen="VMFS on Fibre Channel (FC)"</formula>
    </cfRule>
  </conditionalFormatting>
  <conditionalFormatting sqref="D200">
    <cfRule type="notContainsBlanks" dxfId="0" priority="8">
      <formula>LEN(TRIM(D200))&gt;0</formula>
    </cfRule>
  </conditionalFormatting>
  <conditionalFormatting sqref="D200">
    <cfRule type="containsBlanks" dxfId="7" priority="9">
      <formula>LEN(TRIM(D200))=0</formula>
    </cfRule>
  </conditionalFormatting>
  <conditionalFormatting sqref="D259">
    <cfRule type="expression" dxfId="3" priority="10">
      <formula>input_mgmt_principal_storage_chosen="VMFS on Fibre Channel (FC)"</formula>
    </cfRule>
  </conditionalFormatting>
  <conditionalFormatting sqref="D259">
    <cfRule type="containsBlanks" dxfId="7" priority="11">
      <formula>LEN(TRIM(D259))=0</formula>
    </cfRule>
  </conditionalFormatting>
  <conditionalFormatting sqref="D259">
    <cfRule type="notContainsBlanks" dxfId="0" priority="12">
      <formula>LEN(TRIM(D259))&gt;0</formula>
    </cfRule>
  </conditionalFormatting>
  <conditionalFormatting sqref="E15">
    <cfRule type="containsText" dxfId="18" priority="13" operator="containsText" text="Note:">
      <formula>NOT(ISERROR(SEARCH(("Note:"),(E15))))</formula>
    </cfRule>
  </conditionalFormatting>
  <conditionalFormatting sqref="E279:E294">
    <cfRule type="expression" dxfId="19" priority="14">
      <formula>OR((wld_vlcm_model_result="Excluded"),(wld_vlcm_model_chosen="Baselines"))</formula>
    </cfRule>
  </conditionalFormatting>
  <dataValidations>
    <dataValidation type="list" allowBlank="1" showErrorMessage="1" sqref="D123 D255 D263 D271">
      <formula1>table_masks</formula1>
    </dataValidation>
    <dataValidation type="list" allowBlank="1" showErrorMessage="1" sqref="D403">
      <formula1>"Small,Medium,Large,X-Large"</formula1>
    </dataValidation>
    <dataValidation type="list" allowBlank="1" showErrorMessage="1" sqref="D109 D148">
      <formula1>"Selected,Unselected"</formula1>
    </dataValidation>
    <dataValidation type="list" allowBlank="1" showErrorMessage="1" sqref="D102">
      <formula1>"Yes,No"</formula1>
    </dataValidation>
    <dataValidation type="list" allowBlank="1" showErrorMessage="1" sqref="B13">
      <formula1>"Exclude,Centralized Connectivity,Distributed Connectivity"</formula1>
    </dataValidation>
    <dataValidation type="list" allowBlank="1" showErrorMessage="1" sqref="D105">
      <formula1>"DHCP,Static"</formula1>
    </dataValidation>
    <dataValidation type="list" allowBlank="1" showErrorMessage="1" sqref="B14:B15 D191">
      <formula1>"Include,Exclude"</formula1>
    </dataValidation>
    <dataValidation type="list" allowBlank="1" showErrorMessage="1" sqref="B16">
      <formula1>"Exclude,Active Global Manager,Standby Global Manager,Connect Instance"</formula1>
    </dataValidation>
    <dataValidation type="list" allowBlank="1" showErrorMessage="1" sqref="D152 D161 D176">
      <formula1>"Unselected,Selected"</formula1>
    </dataValidation>
    <dataValidation type="list" allowBlank="1" showErrorMessage="1" sqref="B12">
      <formula1>"Exclude,Microsoft CA,OpenSSL CA"</formula1>
    </dataValidation>
    <dataValidation type="list" allowBlank="1" showErrorMessage="1" sqref="D154">
      <formula1>"Active Active,Active Standby"</formula1>
    </dataValidation>
    <dataValidation type="list" allowBlank="1" showErrorMessage="1" sqref="D116">
      <formula1>"Static IP List,DHCP,IP Pool"</formula1>
    </dataValidation>
    <dataValidation type="list" allowBlank="1" showErrorMessage="1" sqref="D249">
      <formula1>"Re-use an existing VCF Network Pool,Create a new VCF Network Pool"</formula1>
    </dataValidation>
    <dataValidation type="list" allowBlank="1" showErrorMessage="1" sqref="D97">
      <formula1>sizing_nsxt_edge_sizing_list</formula1>
    </dataValidation>
    <dataValidation type="list" allowBlank="1" showErrorMessage="1" sqref="D210">
      <formula1>"Small,Medium,Large"</formula1>
    </dataValidation>
    <dataValidation type="list" allowBlank="1" showErrorMessage="1" sqref="D362">
      <formula1>"Re-use an existing Pool,Create New Static IP Pool"</formula1>
    </dataValidation>
    <dataValidation type="list" allowBlank="1" showErrorMessage="1" sqref="D155">
      <formula1>"BGP,STATIC"</formula1>
    </dataValidation>
  </dataValidations>
  <hyperlinks>
    <hyperlink display="Configure SFTP Backups for SDDC Manager and NSX" location="'Configure Management Domain'!navigation_configure_sftp_mgmt_domain" ref="B5"/>
    <hyperlink display="Apply Signed Certificates" location="'Configure Management Domain'!navigation_apply_signed_certs_mgmt_domain" ref="C5"/>
    <hyperlink display="NSX Network Connectivity for the MGMT Workload Domain" location="'Configure Management Domain'!navigation_nsx_routing_mgmt_domain" ref="D5"/>
    <hyperlink display="Deploy AVI Loadbalancer " location="'Configure Management Domain'!navigation_avi_lb_mgmt_domain" ref="E5"/>
    <hyperlink display="Stretched Cluster" location="'Configure Management Domain'!navigation_stretched_cluster_mgmt_domain" ref="B7"/>
    <hyperlink display="NSX Federation for Management Domain" location="'Configure Management Domain'!navigation_nsx_federation_for_management_domain" ref="C7"/>
    <hyperlink display="Values are set based on vSphere Cluster configuration in the Deploy Management Domain Tab" location="'Deploy Management Domain'!L94" ref="E100"/>
    <hyperlink display="Values are set based on Datastoreconfiguration in the Deploy Management Domain Tab" location="'Deploy Management Domain'!L115" ref="E104"/>
    <hyperlink display="Values are set based on VM Management Network configuration in the Deploy Management Domain Tab" location="'Deploy Management Domain'!L199" ref="E106"/>
    <hyperlink display="Values are set based on VM Management Network configuration in the Deploy Management Domain Tab. Click to Redirect" location="'Deploy Management Domain'!L155" ref="E108"/>
    <hyperlink display="Values are set based on vSphere Cluster configuration in the Deploy Management Domain Tab" location="'Deploy Management Domain'!L94" ref="E126"/>
    <hyperlink display="Values are set based on Datastoreconfiguration in the Deploy Management Domain Tab" location="'Deploy Management Domain'!L115" ref="E130"/>
    <hyperlink display="Values are set based on VM Management Network configuration in the Deploy Management Domain Tab" location="'Deploy Management Domain'!L199" ref="E132"/>
    <hyperlink display="Values are set based on VM Management Network configuration in the Deploy Management Domain Tab. Click to Redirect" location="'Deploy Management Domain'!L155" ref="E134"/>
  </hyperlink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4" width="75.78"/>
    <col customWidth="1" min="5" max="5" width="128.67"/>
    <col customWidth="1" min="6" max="26" width="11.0"/>
  </cols>
  <sheetData>
    <row r="1" ht="15.75" customHeight="1">
      <c r="A1" s="41"/>
      <c r="B1" s="41"/>
      <c r="C1" s="41"/>
      <c r="D1" s="1"/>
      <c r="E1" s="1"/>
      <c r="F1" s="41"/>
      <c r="G1" s="41"/>
      <c r="H1" s="41"/>
      <c r="I1" s="41"/>
      <c r="J1" s="41"/>
      <c r="K1" s="41"/>
      <c r="L1" s="41"/>
      <c r="M1" s="41"/>
      <c r="N1" s="41"/>
      <c r="O1" s="41"/>
      <c r="P1" s="41"/>
      <c r="Q1" s="41"/>
      <c r="R1" s="41"/>
      <c r="S1" s="41"/>
      <c r="T1" s="41"/>
      <c r="U1" s="41"/>
      <c r="V1" s="41"/>
      <c r="W1" s="41"/>
      <c r="X1" s="41"/>
      <c r="Y1" s="41"/>
      <c r="Z1" s="41"/>
    </row>
    <row r="2" ht="54.0" customHeight="1">
      <c r="A2" s="178"/>
      <c r="B2" s="179" t="s">
        <v>985</v>
      </c>
      <c r="C2" s="13"/>
      <c r="D2" s="13"/>
      <c r="E2" s="14"/>
      <c r="F2" s="41"/>
      <c r="G2" s="41"/>
      <c r="H2" s="41"/>
      <c r="I2" s="41"/>
      <c r="J2" s="41"/>
      <c r="K2" s="41"/>
      <c r="L2" s="41"/>
      <c r="M2" s="41"/>
      <c r="N2" s="41"/>
      <c r="O2" s="41"/>
      <c r="P2" s="41"/>
      <c r="Q2" s="41"/>
      <c r="R2" s="41"/>
      <c r="S2" s="41"/>
      <c r="T2" s="41"/>
      <c r="U2" s="41"/>
      <c r="V2" s="41"/>
      <c r="W2" s="41"/>
      <c r="X2" s="41"/>
      <c r="Y2" s="41"/>
      <c r="Z2" s="41"/>
    </row>
    <row r="3" ht="19.5" customHeight="1">
      <c r="A3" s="107"/>
      <c r="B3" s="102" t="s">
        <v>508</v>
      </c>
      <c r="C3" s="13"/>
      <c r="D3" s="13"/>
      <c r="E3" s="14"/>
      <c r="F3" s="114"/>
      <c r="G3" s="114"/>
      <c r="H3" s="114"/>
      <c r="I3" s="114"/>
      <c r="J3" s="114"/>
      <c r="K3" s="114"/>
      <c r="L3" s="114"/>
      <c r="M3" s="114"/>
      <c r="N3" s="114"/>
      <c r="O3" s="114"/>
      <c r="P3" s="114"/>
      <c r="Q3" s="114"/>
      <c r="R3" s="114"/>
      <c r="S3" s="114"/>
      <c r="T3" s="114"/>
      <c r="U3" s="114"/>
      <c r="V3" s="114"/>
      <c r="W3" s="114"/>
      <c r="X3" s="114"/>
      <c r="Y3" s="114"/>
      <c r="Z3" s="114"/>
    </row>
    <row r="4" ht="15.75" customHeight="1">
      <c r="A4" s="41"/>
      <c r="B4" s="41"/>
      <c r="C4" s="41"/>
      <c r="D4" s="1"/>
      <c r="E4" s="1"/>
      <c r="F4" s="41"/>
      <c r="G4" s="41"/>
      <c r="H4" s="41"/>
      <c r="I4" s="41"/>
      <c r="J4" s="41"/>
      <c r="K4" s="41"/>
      <c r="L4" s="41"/>
      <c r="M4" s="41"/>
      <c r="N4" s="41"/>
      <c r="O4" s="41"/>
      <c r="P4" s="41"/>
      <c r="Q4" s="41"/>
      <c r="R4" s="41"/>
      <c r="S4" s="41"/>
      <c r="T4" s="41"/>
      <c r="U4" s="41"/>
      <c r="V4" s="41"/>
      <c r="W4" s="41"/>
      <c r="X4" s="41"/>
      <c r="Y4" s="41"/>
      <c r="Z4" s="41"/>
    </row>
    <row r="5" ht="33.75" customHeight="1">
      <c r="A5" s="41"/>
      <c r="B5" s="86" t="s">
        <v>986</v>
      </c>
      <c r="C5" s="87"/>
      <c r="D5" s="87"/>
      <c r="E5" s="214"/>
      <c r="F5" s="41"/>
      <c r="G5" s="41"/>
      <c r="H5" s="41"/>
      <c r="I5" s="41"/>
      <c r="J5" s="41"/>
      <c r="K5" s="41"/>
      <c r="L5" s="41"/>
      <c r="M5" s="41"/>
      <c r="N5" s="41"/>
      <c r="O5" s="41"/>
      <c r="P5" s="41"/>
      <c r="Q5" s="41"/>
      <c r="R5" s="41"/>
      <c r="S5" s="41"/>
      <c r="T5" s="41"/>
      <c r="U5" s="41"/>
      <c r="V5" s="41"/>
      <c r="W5" s="41"/>
      <c r="X5" s="41"/>
      <c r="Y5" s="41"/>
      <c r="Z5" s="41"/>
    </row>
    <row r="6" ht="19.5" customHeight="1">
      <c r="A6" s="41"/>
      <c r="B6" s="49" t="s">
        <v>123</v>
      </c>
      <c r="C6" s="49" t="s">
        <v>38</v>
      </c>
      <c r="D6" s="49" t="s">
        <v>124</v>
      </c>
      <c r="E6" s="215" t="s">
        <v>125</v>
      </c>
      <c r="F6" s="41"/>
      <c r="G6" s="41"/>
      <c r="H6" s="41"/>
      <c r="I6" s="41"/>
      <c r="J6" s="41"/>
      <c r="K6" s="41"/>
      <c r="L6" s="41"/>
      <c r="M6" s="41"/>
      <c r="N6" s="41"/>
      <c r="O6" s="41"/>
      <c r="P6" s="41"/>
      <c r="Q6" s="41"/>
      <c r="R6" s="41"/>
      <c r="S6" s="41"/>
      <c r="T6" s="41"/>
      <c r="U6" s="41"/>
      <c r="V6" s="41"/>
      <c r="W6" s="41"/>
      <c r="X6" s="41"/>
      <c r="Y6" s="41"/>
      <c r="Z6" s="41"/>
    </row>
    <row r="7" ht="19.5" customHeight="1">
      <c r="A7" s="55"/>
      <c r="B7" s="216" t="s">
        <v>987</v>
      </c>
      <c r="C7" s="217" t="s">
        <v>988</v>
      </c>
      <c r="D7" s="216" t="str">
        <f>IF(flt_custom_network_chosen="Exclude","Excluded",
IF(AND(flt_custom_network_chosen="NSX Overlay Segment",mgmt_vns_chosen&lt;&gt;"Centralized Connectivity"),"Excluded","Included"))</f>
        <v>Included</v>
      </c>
      <c r="E7" s="216"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using the VM Management Network</v>
      </c>
      <c r="F7" s="55"/>
      <c r="G7" s="55"/>
      <c r="H7" s="41"/>
      <c r="I7" s="41"/>
      <c r="J7" s="41"/>
      <c r="K7" s="41"/>
      <c r="L7" s="41"/>
      <c r="M7" s="41"/>
      <c r="N7" s="41"/>
      <c r="O7" s="41"/>
      <c r="P7" s="41"/>
      <c r="Q7" s="41"/>
      <c r="R7" s="41"/>
      <c r="S7" s="41"/>
      <c r="T7" s="41"/>
      <c r="U7" s="41"/>
      <c r="V7" s="41"/>
      <c r="W7" s="41"/>
      <c r="X7" s="41"/>
      <c r="Y7" s="41"/>
      <c r="Z7" s="41"/>
    </row>
    <row r="8" ht="19.5" customHeight="1">
      <c r="A8" s="55"/>
      <c r="B8" s="216" t="s">
        <v>184</v>
      </c>
      <c r="C8" s="217" t="s">
        <v>989</v>
      </c>
      <c r="D8" s="216"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216"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want to connect a VCF Automation instance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55"/>
      <c r="G8" s="55"/>
      <c r="H8" s="41"/>
      <c r="I8" s="41"/>
      <c r="J8" s="41"/>
      <c r="K8" s="41"/>
      <c r="L8" s="41"/>
      <c r="M8" s="41"/>
      <c r="N8" s="41"/>
      <c r="O8" s="41"/>
      <c r="P8" s="41"/>
      <c r="Q8" s="41"/>
      <c r="R8" s="41"/>
      <c r="S8" s="41"/>
      <c r="T8" s="41"/>
      <c r="U8" s="41"/>
      <c r="V8" s="41"/>
      <c r="W8" s="41"/>
      <c r="X8" s="41"/>
      <c r="Y8" s="41"/>
      <c r="Z8" s="41"/>
    </row>
    <row r="9" ht="19.5" customHeight="1">
      <c r="A9" s="41"/>
      <c r="B9" s="18" t="s">
        <v>184</v>
      </c>
      <c r="C9" s="110" t="s">
        <v>990</v>
      </c>
      <c r="D9" s="18" t="str">
        <f>IF(mgmt_domain_deployment_type_chosen="VMware vSphere Foundation","Excluded",IF(flt_vidb_chosen&lt;&gt;"Exclude","Included","Excluded"))</f>
        <v>Excluded</v>
      </c>
      <c r="E9" s="18"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configured",IF(flt_vidb_chosen="Identity Broker Appliance","A Clustered VIDB model will be deployed. 3 additional VMSP appliances are required as part of this configuration ",IF(flt_vidb_chosen="Identity Broker (Embedded)","A Non-clustered VIDB model will be deployed. No additional appliance will be deployed as part of this configuration ")))))</f>
        <v>Cause: Not Selected. VCF Authentication will not be configured</v>
      </c>
      <c r="F9" s="41"/>
      <c r="G9" s="41"/>
      <c r="H9" s="41"/>
      <c r="I9" s="41"/>
      <c r="J9" s="41"/>
      <c r="K9" s="41"/>
      <c r="L9" s="41"/>
      <c r="M9" s="41"/>
      <c r="N9" s="41"/>
      <c r="O9" s="41"/>
      <c r="P9" s="41"/>
      <c r="Q9" s="41"/>
      <c r="R9" s="41"/>
      <c r="S9" s="41"/>
      <c r="T9" s="41"/>
      <c r="U9" s="41"/>
      <c r="V9" s="41"/>
      <c r="W9" s="41"/>
      <c r="X9" s="41"/>
      <c r="Y9" s="41"/>
      <c r="Z9" s="41"/>
    </row>
    <row r="10" ht="19.5" customHeight="1">
      <c r="A10" s="55"/>
      <c r="B10" s="216" t="s">
        <v>184</v>
      </c>
      <c r="C10" s="149" t="s">
        <v>991</v>
      </c>
      <c r="D10" s="216" t="str">
        <f>IF(mgmt_domain_deployment_type_chosen="VMware vSphere Foundation","Excluded",IF(flt_logs_chosen&lt;&gt;"Exclude","Included","Excluded"))</f>
        <v>Excluded</v>
      </c>
      <c r="E10" s="216"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55"/>
      <c r="G10" s="55"/>
      <c r="H10" s="41"/>
      <c r="I10" s="41"/>
      <c r="J10" s="41"/>
      <c r="K10" s="41"/>
      <c r="L10" s="41"/>
      <c r="M10" s="41"/>
      <c r="N10" s="41"/>
      <c r="O10" s="41"/>
      <c r="P10" s="41"/>
      <c r="Q10" s="41"/>
      <c r="R10" s="41"/>
      <c r="S10" s="41"/>
      <c r="T10" s="41"/>
      <c r="U10" s="41"/>
      <c r="V10" s="41"/>
      <c r="W10" s="41"/>
      <c r="X10" s="41"/>
      <c r="Y10" s="41"/>
      <c r="Z10" s="41"/>
    </row>
    <row r="11" ht="19.5" customHeight="1">
      <c r="A11" s="55"/>
      <c r="B11" s="216" t="s">
        <v>184</v>
      </c>
      <c r="C11" s="149" t="s">
        <v>992</v>
      </c>
      <c r="D11" s="216" t="str">
        <f>IF(mgmt_domain_deployment_type_chosen="VMware vSphere Foundation","Excluded",IF(flt_net_chosen&lt;&gt;"Exclude","Included","Excluded"))</f>
        <v>Excluded</v>
      </c>
      <c r="E11" s="216"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55"/>
      <c r="G11" s="55"/>
      <c r="H11" s="41"/>
      <c r="I11" s="41"/>
      <c r="J11" s="41"/>
      <c r="K11" s="41"/>
      <c r="L11" s="41"/>
      <c r="M11" s="41"/>
      <c r="N11" s="41"/>
      <c r="O11" s="41"/>
      <c r="P11" s="41"/>
      <c r="Q11" s="41"/>
      <c r="R11" s="41"/>
      <c r="S11" s="41"/>
      <c r="T11" s="41"/>
      <c r="U11" s="41"/>
      <c r="V11" s="41"/>
      <c r="W11" s="41"/>
      <c r="X11" s="41"/>
      <c r="Y11" s="41"/>
      <c r="Z11" s="41"/>
    </row>
    <row r="12" ht="15.75" customHeight="1">
      <c r="D12" s="218"/>
      <c r="E12" s="218"/>
    </row>
    <row r="13" ht="33.75" customHeight="1">
      <c r="A13" s="41"/>
      <c r="B13" s="197" t="s">
        <v>993</v>
      </c>
      <c r="C13" s="13"/>
      <c r="D13" s="13"/>
      <c r="E13" s="14"/>
      <c r="F13" s="41"/>
      <c r="G13" s="41"/>
      <c r="H13" s="41"/>
      <c r="I13" s="41"/>
      <c r="J13" s="41"/>
      <c r="K13" s="41"/>
      <c r="L13" s="41"/>
      <c r="M13" s="41"/>
      <c r="N13" s="41"/>
      <c r="O13" s="41"/>
      <c r="P13" s="41"/>
      <c r="Q13" s="41"/>
      <c r="R13" s="41"/>
      <c r="S13" s="41"/>
      <c r="T13" s="41"/>
      <c r="U13" s="41"/>
      <c r="V13" s="41"/>
      <c r="W13" s="41"/>
      <c r="X13" s="41"/>
      <c r="Y13" s="41"/>
      <c r="Z13" s="41"/>
    </row>
    <row r="14" ht="19.5" customHeight="1">
      <c r="A14" s="55"/>
      <c r="B14" s="49" t="s">
        <v>37</v>
      </c>
      <c r="C14" s="49" t="s">
        <v>273</v>
      </c>
      <c r="D14" s="49" t="s">
        <v>274</v>
      </c>
      <c r="E14" s="215" t="s">
        <v>5</v>
      </c>
      <c r="F14" s="55"/>
      <c r="G14" s="55"/>
      <c r="H14" s="41"/>
      <c r="I14" s="41"/>
      <c r="J14" s="41"/>
      <c r="K14" s="41"/>
      <c r="L14" s="41"/>
      <c r="M14" s="41"/>
      <c r="N14" s="41"/>
      <c r="O14" s="41"/>
      <c r="P14" s="41"/>
      <c r="Q14" s="41"/>
      <c r="R14" s="41"/>
      <c r="S14" s="41"/>
      <c r="T14" s="41"/>
      <c r="U14" s="41"/>
      <c r="V14" s="41"/>
      <c r="W14" s="41"/>
      <c r="X14" s="41"/>
      <c r="Y14" s="41"/>
      <c r="Z14" s="41"/>
    </row>
    <row r="15" ht="19.5" customHeight="1">
      <c r="A15" s="41"/>
      <c r="B15" s="84" t="s">
        <v>994</v>
      </c>
      <c r="C15" s="110" t="s">
        <v>264</v>
      </c>
      <c r="D15" s="18" t="s">
        <v>264</v>
      </c>
      <c r="E15" s="18" t="s">
        <v>995</v>
      </c>
      <c r="F15" s="41"/>
      <c r="G15" s="41"/>
      <c r="H15" s="41"/>
      <c r="I15" s="41"/>
      <c r="J15" s="41"/>
      <c r="K15" s="41"/>
      <c r="L15" s="41"/>
      <c r="M15" s="41"/>
      <c r="N15" s="41"/>
      <c r="O15" s="41"/>
      <c r="P15" s="41"/>
      <c r="Q15" s="41"/>
      <c r="R15" s="41"/>
      <c r="S15" s="41"/>
      <c r="T15" s="41"/>
      <c r="U15" s="41"/>
      <c r="V15" s="41"/>
      <c r="W15" s="41"/>
      <c r="X15" s="41"/>
      <c r="Y15" s="41"/>
      <c r="Z15" s="41"/>
    </row>
    <row r="16" ht="19.5" customHeight="1">
      <c r="A16" s="41"/>
      <c r="B16" s="102" t="s">
        <v>996</v>
      </c>
      <c r="C16" s="13"/>
      <c r="D16" s="13"/>
      <c r="E16" s="14"/>
      <c r="F16" s="41"/>
      <c r="G16" s="41"/>
      <c r="H16" s="41"/>
      <c r="I16" s="41"/>
      <c r="J16" s="41"/>
      <c r="K16" s="41"/>
      <c r="L16" s="41"/>
      <c r="M16" s="41"/>
      <c r="N16" s="41"/>
      <c r="O16" s="41"/>
      <c r="P16" s="41"/>
      <c r="Q16" s="41"/>
      <c r="R16" s="41"/>
      <c r="S16" s="41"/>
      <c r="T16" s="41"/>
      <c r="U16" s="41"/>
      <c r="V16" s="41"/>
      <c r="W16" s="41"/>
      <c r="X16" s="41"/>
      <c r="Y16" s="41"/>
      <c r="Z16" s="41"/>
    </row>
    <row r="17" ht="19.5" customHeight="1">
      <c r="A17" s="41"/>
      <c r="B17" s="84" t="s">
        <v>997</v>
      </c>
      <c r="C17" s="110" t="str">
        <f>CONCATENATE(this_instance,"-m01-cl01-vds01-pg-vm-mgmt")</f>
        <v>lax-m01-cl01-vds01-pg-vm-mgmt</v>
      </c>
      <c r="D17" s="84"/>
      <c r="E17" s="18"/>
      <c r="F17" s="41"/>
      <c r="G17" s="41"/>
      <c r="H17" s="41"/>
      <c r="I17" s="41"/>
      <c r="J17" s="41"/>
      <c r="K17" s="41"/>
      <c r="L17" s="41"/>
      <c r="M17" s="41"/>
      <c r="N17" s="41"/>
      <c r="O17" s="41"/>
      <c r="P17" s="41"/>
      <c r="Q17" s="41"/>
      <c r="R17" s="41"/>
      <c r="S17" s="41"/>
      <c r="T17" s="41"/>
      <c r="U17" s="41"/>
      <c r="V17" s="41"/>
      <c r="W17" s="41"/>
      <c r="X17" s="41"/>
      <c r="Y17" s="41"/>
      <c r="Z17" s="41"/>
    </row>
    <row r="18" ht="19.5" customHeight="1">
      <c r="A18" s="41"/>
      <c r="B18" s="84" t="s">
        <v>998</v>
      </c>
      <c r="C18" s="110" t="s">
        <v>622</v>
      </c>
      <c r="D18" s="18"/>
      <c r="E18" s="18"/>
      <c r="F18" s="41"/>
      <c r="G18" s="41"/>
      <c r="H18" s="41"/>
      <c r="I18" s="41"/>
      <c r="J18" s="41"/>
      <c r="K18" s="41"/>
      <c r="L18" s="41"/>
      <c r="M18" s="41"/>
      <c r="N18" s="41"/>
      <c r="O18" s="41"/>
      <c r="P18" s="41"/>
      <c r="Q18" s="41"/>
      <c r="R18" s="41"/>
      <c r="S18" s="41"/>
      <c r="T18" s="41"/>
      <c r="U18" s="41"/>
      <c r="V18" s="41"/>
      <c r="W18" s="41"/>
      <c r="X18" s="41"/>
      <c r="Y18" s="41"/>
      <c r="Z18" s="41"/>
    </row>
    <row r="19" ht="19.5" customHeight="1">
      <c r="A19" s="41"/>
      <c r="B19" s="84" t="s">
        <v>999</v>
      </c>
      <c r="C19" s="110" t="str">
        <f>IF(AND( LEFT(vcf_version_chosen,3)&lt;&gt;"9.0",mgmt_domain_ops_automation_later_chosen="Selected",flt_custom_network_chosen="Dedicated Management Network"),
IF(
mgmt_dpg_reuse_result="Included",
CONCATENATE(prefix_flt_shared_cidr,".1"),
CONCATENATE(prefix_flt_shared_cidr,".1")
),
IF(AND( LEFT(vcf_version_chosen,3)&lt;&gt;"9.0",mgmt_domain_ops_automation_later_chosen="Selected",flt_custom_network_chosen="Shared Management Network"),
IF(
mgmt_dpg_reuse_result="Included",
CONCATENATE(prefix_mgmt_az1_cidr,"10.1"),
CONCATENATE(prefix_mgmt_az1_cidr,"11.1")
),
IF(AND( LEFT(vcf_version_chosen,3)&lt;&gt;"9.0",mgmt_domain_ops_automation_later_chosen="Selected",flt_custom_network_chosen="NSX Overlay Segment"),
CONCATENATE(prefix_xreg_cidr,".1"),
IF(AND( LEFT(vcf_version_chosen,3)&lt;&gt;"9.0",mgmt_domain_ops_automation_later_chosen="Selected",flt_custom_network_chosen="NSX VLAN Segment"),
CONCATENATE(prefix_flt_shared_cidr,".1"),
IF(mgmt_dpg_reuse_result="Included",
CONCATENATE(prefix_mgmt_az1_cidr,"10.11"),
CONCATENATE(prefix_mgmt_az1_cidr,"11.11")
)
))))</f>
        <v>10.21.10.11</v>
      </c>
      <c r="D19" s="84"/>
      <c r="E19" s="18"/>
      <c r="F19" s="41"/>
      <c r="G19" s="41"/>
      <c r="H19" s="41"/>
      <c r="I19" s="41"/>
      <c r="J19" s="41"/>
      <c r="K19" s="41"/>
      <c r="L19" s="41"/>
      <c r="M19" s="41"/>
      <c r="N19" s="41"/>
      <c r="O19" s="41"/>
      <c r="P19" s="41"/>
      <c r="Q19" s="41"/>
      <c r="R19" s="41"/>
      <c r="S19" s="41"/>
      <c r="T19" s="41"/>
      <c r="U19" s="41"/>
      <c r="V19" s="41"/>
      <c r="W19" s="41"/>
      <c r="X19" s="41"/>
      <c r="Y19" s="41"/>
      <c r="Z19" s="41"/>
    </row>
    <row r="20" ht="19.5" customHeight="1">
      <c r="A20" s="41"/>
      <c r="B20" s="102" t="s">
        <v>1000</v>
      </c>
      <c r="C20" s="13"/>
      <c r="D20" s="13"/>
      <c r="E20" s="14"/>
      <c r="F20" s="41"/>
      <c r="G20" s="41"/>
      <c r="H20" s="41"/>
      <c r="I20" s="41"/>
      <c r="J20" s="41"/>
      <c r="K20" s="41"/>
      <c r="L20" s="41"/>
      <c r="M20" s="41"/>
      <c r="N20" s="41"/>
      <c r="O20" s="41"/>
      <c r="P20" s="41"/>
      <c r="Q20" s="41"/>
      <c r="R20" s="41"/>
      <c r="S20" s="41"/>
      <c r="T20" s="41"/>
      <c r="U20" s="41"/>
      <c r="V20" s="41"/>
      <c r="W20" s="41"/>
      <c r="X20" s="41"/>
      <c r="Y20" s="41"/>
      <c r="Z20" s="41"/>
    </row>
    <row r="21" ht="19.5" customHeight="1">
      <c r="A21" s="41"/>
      <c r="B21" s="84" t="s">
        <v>997</v>
      </c>
      <c r="C21" s="110"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lax-m01-cl01-vds01-pg-vm-mgmt</v>
      </c>
      <c r="D21" s="84"/>
      <c r="E21" s="18" t="s">
        <v>1001</v>
      </c>
      <c r="F21" s="41"/>
      <c r="G21" s="41"/>
      <c r="H21" s="41"/>
      <c r="I21" s="41"/>
      <c r="J21" s="41"/>
      <c r="K21" s="41"/>
      <c r="L21" s="41"/>
      <c r="M21" s="41"/>
      <c r="N21" s="41"/>
      <c r="O21" s="41"/>
      <c r="P21" s="41"/>
      <c r="Q21" s="41"/>
      <c r="R21" s="41"/>
      <c r="S21" s="41"/>
      <c r="T21" s="41"/>
      <c r="U21" s="41"/>
      <c r="V21" s="41"/>
      <c r="W21" s="41"/>
      <c r="X21" s="41"/>
      <c r="Y21" s="41"/>
      <c r="Z21" s="41"/>
    </row>
    <row r="22" ht="19.5" customHeight="1">
      <c r="A22" s="41"/>
      <c r="B22" s="84" t="s">
        <v>998</v>
      </c>
      <c r="C22" s="110" t="s">
        <v>622</v>
      </c>
      <c r="D22" s="18"/>
      <c r="E22" s="18"/>
      <c r="F22" s="41"/>
      <c r="G22" s="41"/>
      <c r="H22" s="41"/>
      <c r="I22" s="41"/>
      <c r="J22" s="41"/>
      <c r="K22" s="41"/>
      <c r="L22" s="41"/>
      <c r="M22" s="41"/>
      <c r="N22" s="41"/>
      <c r="O22" s="41"/>
      <c r="P22" s="41"/>
      <c r="Q22" s="41"/>
      <c r="R22" s="41"/>
      <c r="S22" s="41"/>
      <c r="T22" s="41"/>
      <c r="U22" s="41"/>
      <c r="V22" s="41"/>
      <c r="W22" s="41"/>
      <c r="X22" s="41"/>
      <c r="Y22" s="41"/>
      <c r="Z22" s="41"/>
    </row>
    <row r="23" ht="19.5" customHeight="1">
      <c r="A23" s="41"/>
      <c r="B23" s="84" t="s">
        <v>999</v>
      </c>
      <c r="C23" s="110" t="str">
        <f>IF(flt_custom_network_chosen="Shared Management Network",IF(mgmt_dpg_reuse_result="Included",CONCATENATE(prefix_mgmt_az1_cidr,"10.1"),CONCATENATE(prefix_mgmt_az1_cidr,"11.1")),IF(flt_custom_network_chosen="NSX Overlay Segment",CONCATENATE(prefix_xreg_cidr,".1"),CONCATENATE(prefix_flt_shared_cidr,".1")))</f>
        <v>10.21.10.1</v>
      </c>
      <c r="D23" s="84"/>
      <c r="E23" s="18"/>
      <c r="F23" s="41"/>
      <c r="G23" s="41"/>
      <c r="H23" s="41"/>
      <c r="I23" s="41"/>
      <c r="J23" s="41"/>
      <c r="K23" s="41"/>
      <c r="L23" s="41"/>
      <c r="M23" s="41"/>
      <c r="N23" s="41"/>
      <c r="O23" s="41"/>
      <c r="P23" s="41"/>
      <c r="Q23" s="41"/>
      <c r="R23" s="41"/>
      <c r="S23" s="41"/>
      <c r="T23" s="41"/>
      <c r="U23" s="41"/>
      <c r="V23" s="41"/>
      <c r="W23" s="41"/>
      <c r="X23" s="41"/>
      <c r="Y23" s="41"/>
      <c r="Z23" s="41"/>
    </row>
    <row r="24" ht="19.5" customHeight="1">
      <c r="A24" s="41"/>
      <c r="B24" s="102" t="s">
        <v>1002</v>
      </c>
      <c r="C24" s="13"/>
      <c r="D24" s="13"/>
      <c r="E24" s="14"/>
      <c r="F24" s="41"/>
      <c r="G24" s="41"/>
      <c r="H24" s="41"/>
      <c r="I24" s="41"/>
      <c r="J24" s="41"/>
      <c r="K24" s="41"/>
      <c r="L24" s="41"/>
      <c r="M24" s="41"/>
      <c r="N24" s="41"/>
      <c r="O24" s="41"/>
      <c r="P24" s="41"/>
      <c r="Q24" s="41"/>
      <c r="R24" s="41"/>
      <c r="S24" s="41"/>
      <c r="T24" s="41"/>
      <c r="U24" s="41"/>
      <c r="V24" s="41"/>
      <c r="W24" s="41"/>
      <c r="X24" s="41"/>
      <c r="Y24" s="41"/>
      <c r="Z24" s="41"/>
    </row>
    <row r="25" ht="19.5" customHeight="1">
      <c r="A25" s="41"/>
      <c r="B25" s="84" t="s">
        <v>1003</v>
      </c>
      <c r="C25" s="110" t="b">
        <v>0</v>
      </c>
      <c r="D25" s="18"/>
      <c r="E25" s="18"/>
      <c r="F25" s="41"/>
      <c r="G25" s="41"/>
      <c r="H25" s="41"/>
      <c r="I25" s="41"/>
      <c r="J25" s="41"/>
      <c r="K25" s="41"/>
      <c r="L25" s="41"/>
      <c r="M25" s="41"/>
      <c r="N25" s="41"/>
      <c r="O25" s="41"/>
      <c r="P25" s="41"/>
      <c r="Q25" s="41"/>
      <c r="R25" s="41"/>
      <c r="S25" s="41"/>
      <c r="T25" s="41"/>
      <c r="U25" s="41"/>
      <c r="V25" s="41"/>
      <c r="W25" s="41"/>
      <c r="X25" s="41"/>
      <c r="Y25" s="41"/>
      <c r="Z25" s="41"/>
    </row>
    <row r="26" ht="19.5" customHeight="1">
      <c r="A26" s="41"/>
      <c r="B26" s="84" t="s">
        <v>537</v>
      </c>
      <c r="C26" s="111" t="str">
        <f>CONCATENATE(prefix_portable_component,"-fm01.",sample_parent_dns_zone)</f>
        <v>flt-fm01.rainpole.io</v>
      </c>
      <c r="D26" s="18"/>
      <c r="E26" s="18"/>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84" t="s">
        <v>1004</v>
      </c>
      <c r="C27" s="110" t="str">
        <f>IF(flt_custom_network_chosen="Shared Management Network",IF(mgmt_dpg_reuse_result="Included",CONCATENATE(prefix_mgmt_az1_cidr,"10.28"),CONCATENATE(prefix_mgmt_az1_cidr,"11.28")),IF(flt_custom_network_chosen="NSX Overlay Segment",CONCATENATE(prefix_xreg_cidr,".28"),CONCATENATE(prefix_flt_shared_cidr,".28")))</f>
        <v>10.21.10.28</v>
      </c>
      <c r="D27" s="18"/>
      <c r="E27" s="18"/>
      <c r="F27" s="41"/>
      <c r="G27" s="41"/>
      <c r="H27" s="41"/>
      <c r="I27" s="41"/>
      <c r="J27" s="41"/>
      <c r="K27" s="41"/>
      <c r="L27" s="41"/>
      <c r="M27" s="41"/>
      <c r="N27" s="41"/>
      <c r="O27" s="41"/>
      <c r="P27" s="41"/>
      <c r="Q27" s="41"/>
      <c r="R27" s="41"/>
      <c r="S27" s="41"/>
      <c r="T27" s="41"/>
      <c r="U27" s="41"/>
      <c r="V27" s="41"/>
      <c r="W27" s="41"/>
      <c r="X27" s="41"/>
      <c r="Y27" s="41"/>
      <c r="Z27" s="41"/>
    </row>
    <row r="28" ht="19.5" customHeight="1">
      <c r="A28" s="41"/>
      <c r="B28" s="84" t="s">
        <v>1005</v>
      </c>
      <c r="C28" s="110" t="s">
        <v>297</v>
      </c>
      <c r="D28" s="18"/>
      <c r="E28" s="18"/>
      <c r="F28" s="41"/>
      <c r="G28" s="41"/>
      <c r="H28" s="41"/>
      <c r="I28" s="41"/>
      <c r="J28" s="41"/>
      <c r="K28" s="41"/>
      <c r="L28" s="41"/>
      <c r="M28" s="41"/>
      <c r="N28" s="41"/>
      <c r="O28" s="41"/>
      <c r="P28" s="41"/>
      <c r="Q28" s="41"/>
      <c r="R28" s="41"/>
      <c r="S28" s="41"/>
      <c r="T28" s="41"/>
      <c r="U28" s="41"/>
      <c r="V28" s="41"/>
      <c r="W28" s="41"/>
      <c r="X28" s="41"/>
      <c r="Y28" s="41"/>
      <c r="Z28" s="41"/>
    </row>
    <row r="29" ht="19.5" customHeight="1">
      <c r="A29" s="41"/>
      <c r="B29" s="84" t="s">
        <v>1006</v>
      </c>
      <c r="C29" s="110" t="s">
        <v>297</v>
      </c>
      <c r="D29" s="18"/>
      <c r="E29" s="18"/>
      <c r="F29" s="41"/>
      <c r="G29" s="41"/>
      <c r="H29" s="41"/>
      <c r="I29" s="41"/>
      <c r="J29" s="41"/>
      <c r="K29" s="41"/>
      <c r="L29" s="41"/>
      <c r="M29" s="41"/>
      <c r="N29" s="41"/>
      <c r="O29" s="41"/>
      <c r="P29" s="41"/>
      <c r="Q29" s="41"/>
      <c r="R29" s="41"/>
      <c r="S29" s="41"/>
      <c r="T29" s="41"/>
      <c r="U29" s="41"/>
      <c r="V29" s="41"/>
      <c r="W29" s="41"/>
      <c r="X29" s="41"/>
      <c r="Y29" s="41"/>
      <c r="Z29" s="41"/>
    </row>
    <row r="30" ht="19.5" customHeight="1">
      <c r="A30" s="41"/>
      <c r="B30" s="102" t="s">
        <v>1007</v>
      </c>
      <c r="C30" s="13"/>
      <c r="D30" s="13"/>
      <c r="E30" s="14"/>
      <c r="F30" s="41"/>
      <c r="G30" s="41"/>
      <c r="H30" s="41"/>
      <c r="I30" s="41"/>
      <c r="J30" s="41"/>
      <c r="K30" s="41"/>
      <c r="L30" s="41"/>
      <c r="M30" s="41"/>
      <c r="N30" s="41"/>
      <c r="O30" s="41"/>
      <c r="P30" s="41"/>
      <c r="Q30" s="41"/>
      <c r="R30" s="41"/>
      <c r="S30" s="41"/>
      <c r="T30" s="41"/>
      <c r="U30" s="41"/>
      <c r="V30" s="41"/>
      <c r="W30" s="41"/>
      <c r="X30" s="41"/>
      <c r="Y30" s="41"/>
      <c r="Z30" s="41"/>
    </row>
    <row r="31" ht="19.5" customHeight="1">
      <c r="A31" s="41"/>
      <c r="B31" s="84" t="s">
        <v>1003</v>
      </c>
      <c r="C31" s="110" t="b">
        <v>0</v>
      </c>
      <c r="D31" s="18"/>
      <c r="E31" s="18"/>
      <c r="F31" s="41"/>
      <c r="G31" s="41"/>
      <c r="H31" s="41"/>
      <c r="I31" s="41"/>
      <c r="J31" s="41"/>
      <c r="K31" s="41"/>
      <c r="L31" s="41"/>
      <c r="M31" s="41"/>
      <c r="N31" s="41"/>
      <c r="O31" s="41"/>
      <c r="P31" s="41"/>
      <c r="Q31" s="41"/>
      <c r="R31" s="41"/>
      <c r="S31" s="41"/>
      <c r="T31" s="41"/>
      <c r="U31" s="41"/>
      <c r="V31" s="41"/>
      <c r="W31" s="41"/>
      <c r="X31" s="41"/>
      <c r="Y31" s="41"/>
      <c r="Z31" s="41"/>
    </row>
    <row r="32" ht="19.5" customHeight="1">
      <c r="A32" s="41"/>
      <c r="B32" s="84" t="s">
        <v>1008</v>
      </c>
      <c r="C32" s="111" t="str">
        <f>CONCATENATE(prefix_portable_component,"-ops01.",sample_parent_dns_zone)</f>
        <v>flt-ops01.rainpole.io</v>
      </c>
      <c r="D32" s="18"/>
      <c r="E32" s="18"/>
      <c r="F32" s="41"/>
      <c r="G32" s="41"/>
      <c r="H32" s="41"/>
      <c r="I32" s="41"/>
      <c r="J32" s="41"/>
      <c r="K32" s="41"/>
      <c r="L32" s="41"/>
      <c r="M32" s="41"/>
      <c r="N32" s="41"/>
      <c r="O32" s="41"/>
      <c r="P32" s="41"/>
      <c r="Q32" s="41"/>
      <c r="R32" s="41"/>
      <c r="S32" s="41"/>
      <c r="T32" s="41"/>
      <c r="U32" s="41"/>
      <c r="V32" s="41"/>
      <c r="W32" s="41"/>
      <c r="X32" s="41"/>
      <c r="Y32" s="41"/>
      <c r="Z32" s="41"/>
    </row>
    <row r="33" ht="19.5" customHeight="1">
      <c r="A33" s="41"/>
      <c r="B33" s="84" t="s">
        <v>327</v>
      </c>
      <c r="C33" s="150" t="str">
        <f>CONCATENATE(prefix_portable_component,"-ops01a.",sample_parent_dns_zone)</f>
        <v>flt-ops01a.rainpole.io</v>
      </c>
      <c r="D33" s="18"/>
      <c r="E33" s="18"/>
      <c r="F33" s="41"/>
      <c r="G33" s="41"/>
      <c r="H33" s="41"/>
      <c r="I33" s="41"/>
      <c r="J33" s="41"/>
      <c r="K33" s="41"/>
      <c r="L33" s="41"/>
      <c r="M33" s="41"/>
      <c r="N33" s="41"/>
      <c r="O33" s="41"/>
      <c r="P33" s="41"/>
      <c r="Q33" s="41"/>
      <c r="R33" s="41"/>
      <c r="S33" s="41"/>
      <c r="T33" s="41"/>
      <c r="U33" s="41"/>
      <c r="V33" s="41"/>
      <c r="W33" s="41"/>
      <c r="X33" s="41"/>
      <c r="Y33" s="41"/>
      <c r="Z33" s="41"/>
    </row>
    <row r="34" ht="19.5" customHeight="1">
      <c r="A34" s="41"/>
      <c r="B34" s="84" t="s">
        <v>328</v>
      </c>
      <c r="C34" s="150" t="str">
        <f>CONCATENATE(prefix_portable_component,"-ops01b.",sample_parent_dns_zone)</f>
        <v>flt-ops01b.rainpole.io</v>
      </c>
      <c r="D34" s="18"/>
      <c r="E34" s="18"/>
      <c r="F34" s="41"/>
      <c r="G34" s="41"/>
      <c r="H34" s="41"/>
      <c r="I34" s="41"/>
      <c r="J34" s="41"/>
      <c r="K34" s="41"/>
      <c r="L34" s="41"/>
      <c r="M34" s="41"/>
      <c r="N34" s="41"/>
      <c r="O34" s="41"/>
      <c r="P34" s="41"/>
      <c r="Q34" s="41"/>
      <c r="R34" s="41"/>
      <c r="S34" s="41"/>
      <c r="T34" s="41"/>
      <c r="U34" s="41"/>
      <c r="V34" s="41"/>
      <c r="W34" s="41"/>
      <c r="X34" s="41"/>
      <c r="Y34" s="41"/>
      <c r="Z34" s="41"/>
    </row>
    <row r="35" ht="19.5" customHeight="1">
      <c r="A35" s="41"/>
      <c r="B35" s="84" t="s">
        <v>329</v>
      </c>
      <c r="C35" s="150" t="str">
        <f>CONCATENATE(prefix_portable_component,"-ops01c.",sample_parent_dns_zone)</f>
        <v>flt-ops01c.rainpole.io</v>
      </c>
      <c r="D35" s="18"/>
      <c r="E35" s="18"/>
      <c r="F35" s="41"/>
      <c r="G35" s="41"/>
      <c r="H35" s="41"/>
      <c r="I35" s="41"/>
      <c r="J35" s="41"/>
      <c r="K35" s="41"/>
      <c r="L35" s="41"/>
      <c r="M35" s="41"/>
      <c r="N35" s="41"/>
      <c r="O35" s="41"/>
      <c r="P35" s="41"/>
      <c r="Q35" s="41"/>
      <c r="R35" s="41"/>
      <c r="S35" s="41"/>
      <c r="T35" s="41"/>
      <c r="U35" s="41"/>
      <c r="V35" s="41"/>
      <c r="W35" s="41"/>
      <c r="X35" s="41"/>
      <c r="Y35" s="41"/>
      <c r="Z35" s="41"/>
    </row>
    <row r="36" ht="19.5" customHeight="1">
      <c r="A36" s="41"/>
      <c r="B36" s="84" t="s">
        <v>1009</v>
      </c>
      <c r="C36" s="156" t="str">
        <f>IF(flt_custom_network_chosen="Shared Management Network",IF(mgmt_dpg_reuse_result="Included",CONCATENATE(prefix_mgmt_az1_cidr,"10.21"),CONCATENATE(prefix_mgmt_az1_cidr,"11.21")),IF(flt_custom_network_chosen="NSX Overlay Segment",CONCATENATE(prefix_xreg_cidr,".21"),CONCATENATE(prefix_flt_shared_cidr,".21")))</f>
        <v>10.21.10.21</v>
      </c>
      <c r="D36" s="18"/>
      <c r="E36" s="18" t="s">
        <v>334</v>
      </c>
      <c r="F36" s="41"/>
      <c r="G36" s="41"/>
      <c r="H36" s="41"/>
      <c r="I36" s="41"/>
      <c r="J36" s="41"/>
      <c r="K36" s="41"/>
      <c r="L36" s="41"/>
      <c r="M36" s="41"/>
      <c r="N36" s="41"/>
      <c r="O36" s="41"/>
      <c r="P36" s="41"/>
      <c r="Q36" s="41"/>
      <c r="R36" s="41"/>
      <c r="S36" s="41"/>
      <c r="T36" s="41"/>
      <c r="U36" s="41"/>
      <c r="V36" s="41"/>
      <c r="W36" s="41"/>
      <c r="X36" s="41"/>
      <c r="Y36" s="41"/>
      <c r="Z36" s="41"/>
    </row>
    <row r="37" ht="19.5" customHeight="1">
      <c r="A37" s="41"/>
      <c r="B37" s="84" t="s">
        <v>1010</v>
      </c>
      <c r="C37" s="156" t="str">
        <f>IF(flt_custom_network_chosen="Shared Management Network",IF(mgmt_dpg_reuse_result="Included",CONCATENATE(prefix_mgmt_az1_cidr,"10.52"),CONCATENATE(prefix_mgmt_az1_cidr,"11.52")),IF(flt_custom_network_chosen="NSX Overlay Segment",CONCATENATE(prefix_xreg_cidr,".52"),CONCATENATE(prefix_flt_shared_cidr,".52")))</f>
        <v>10.21.10.52</v>
      </c>
      <c r="D37" s="18"/>
      <c r="E37" s="18"/>
      <c r="F37" s="41"/>
      <c r="G37" s="41"/>
      <c r="H37" s="41"/>
      <c r="I37" s="41"/>
      <c r="J37" s="41"/>
      <c r="K37" s="41"/>
      <c r="L37" s="41"/>
      <c r="M37" s="41"/>
      <c r="N37" s="41"/>
      <c r="O37" s="41"/>
      <c r="P37" s="41"/>
      <c r="Q37" s="41"/>
      <c r="R37" s="41"/>
      <c r="S37" s="41"/>
      <c r="T37" s="41"/>
      <c r="U37" s="41"/>
      <c r="V37" s="41"/>
      <c r="W37" s="41"/>
      <c r="X37" s="41"/>
      <c r="Y37" s="41"/>
      <c r="Z37" s="41"/>
    </row>
    <row r="38" ht="19.5" customHeight="1">
      <c r="A38" s="41"/>
      <c r="B38" s="84" t="s">
        <v>1011</v>
      </c>
      <c r="C38" s="156" t="str">
        <f>IF(flt_custom_network_chosen="Shared Management Network",IF(mgmt_dpg_reuse_result="Included",CONCATENATE(prefix_mgmt_az1_cidr,"10.53"),CONCATENATE(prefix_mgmt_az1_cidr,"11.53")),IF(flt_custom_network_chosen="NSX Overlay Segment",CONCATENATE(prefix_xreg_cidr,".53"),CONCATENATE(prefix_flt_shared_cidr,".53")))</f>
        <v>10.21.10.53</v>
      </c>
      <c r="D38" s="18"/>
      <c r="E38" s="18"/>
      <c r="F38" s="41"/>
      <c r="G38" s="41"/>
      <c r="H38" s="41"/>
      <c r="I38" s="41"/>
      <c r="J38" s="41"/>
      <c r="K38" s="41"/>
      <c r="L38" s="41"/>
      <c r="M38" s="41"/>
      <c r="N38" s="41"/>
      <c r="O38" s="41"/>
      <c r="P38" s="41"/>
      <c r="Q38" s="41"/>
      <c r="R38" s="41"/>
      <c r="S38" s="41"/>
      <c r="T38" s="41"/>
      <c r="U38" s="41"/>
      <c r="V38" s="41"/>
      <c r="W38" s="41"/>
      <c r="X38" s="41"/>
      <c r="Y38" s="41"/>
      <c r="Z38" s="41"/>
    </row>
    <row r="39" ht="19.5" customHeight="1">
      <c r="A39" s="41"/>
      <c r="B39" s="84" t="s">
        <v>1012</v>
      </c>
      <c r="C39" s="156" t="str">
        <f>IF(flt_custom_network_chosen="Shared Management Network",IF(mgmt_dpg_reuse_result="Included",CONCATENATE(prefix_mgmt_az1_cidr,"10.54"),CONCATENATE(prefix_mgmt_az1_cidr,"11.54")),IF(flt_custom_network_chosen="NSX Overlay Segment",CONCATENATE(prefix_xreg_cidr,".54"),CONCATENATE(prefix_flt_shared_cidr,".54")))</f>
        <v>10.21.10.54</v>
      </c>
      <c r="D39" s="18"/>
      <c r="E39" s="18"/>
      <c r="F39" s="41"/>
      <c r="G39" s="41"/>
      <c r="H39" s="41"/>
      <c r="I39" s="41"/>
      <c r="J39" s="41"/>
      <c r="K39" s="41"/>
      <c r="L39" s="41"/>
      <c r="M39" s="41"/>
      <c r="N39" s="41"/>
      <c r="O39" s="41"/>
      <c r="P39" s="41"/>
      <c r="Q39" s="41"/>
      <c r="R39" s="41"/>
      <c r="S39" s="41"/>
      <c r="T39" s="41"/>
      <c r="U39" s="41"/>
      <c r="V39" s="41"/>
      <c r="W39" s="41"/>
      <c r="X39" s="41"/>
      <c r="Y39" s="41"/>
      <c r="Z39" s="41"/>
    </row>
    <row r="40" ht="19.5" customHeight="1">
      <c r="A40" s="41"/>
      <c r="B40" s="84" t="s">
        <v>1013</v>
      </c>
      <c r="C40" s="110" t="s">
        <v>212</v>
      </c>
      <c r="D40" s="18" t="s">
        <v>212</v>
      </c>
      <c r="E40" s="18"/>
      <c r="F40" s="41"/>
      <c r="G40" s="41"/>
      <c r="H40" s="41"/>
      <c r="I40" s="41"/>
      <c r="J40" s="41"/>
      <c r="K40" s="41"/>
      <c r="L40" s="41"/>
      <c r="M40" s="41"/>
      <c r="N40" s="41"/>
      <c r="O40" s="41"/>
      <c r="P40" s="41"/>
      <c r="Q40" s="41"/>
      <c r="R40" s="41"/>
      <c r="S40" s="41"/>
      <c r="T40" s="41"/>
      <c r="U40" s="41"/>
      <c r="V40" s="41"/>
      <c r="W40" s="41"/>
      <c r="X40" s="41"/>
      <c r="Y40" s="41"/>
      <c r="Z40" s="41"/>
    </row>
    <row r="41" ht="19.5" customHeight="1">
      <c r="A41" s="41"/>
      <c r="B41" s="84" t="s">
        <v>331</v>
      </c>
      <c r="C41" s="110" t="s">
        <v>297</v>
      </c>
      <c r="D41" s="18"/>
      <c r="E41" s="18"/>
      <c r="F41" s="41"/>
      <c r="G41" s="41"/>
      <c r="H41" s="41"/>
      <c r="I41" s="41"/>
      <c r="J41" s="41"/>
      <c r="K41" s="41"/>
      <c r="L41" s="41"/>
      <c r="M41" s="41"/>
      <c r="N41" s="41"/>
      <c r="O41" s="41"/>
      <c r="P41" s="41"/>
      <c r="Q41" s="41"/>
      <c r="R41" s="41"/>
      <c r="S41" s="41"/>
      <c r="T41" s="41"/>
      <c r="U41" s="41"/>
      <c r="V41" s="41"/>
      <c r="W41" s="41"/>
      <c r="X41" s="41"/>
      <c r="Y41" s="41"/>
      <c r="Z41" s="41"/>
    </row>
    <row r="42" ht="19.5" customHeight="1">
      <c r="A42" s="41"/>
      <c r="B42" s="84" t="s">
        <v>685</v>
      </c>
      <c r="C42" s="110" t="s">
        <v>297</v>
      </c>
      <c r="D42" s="18"/>
      <c r="E42" s="18"/>
      <c r="F42" s="41"/>
      <c r="G42" s="41"/>
      <c r="H42" s="41"/>
      <c r="I42" s="41"/>
      <c r="J42" s="41"/>
      <c r="K42" s="41"/>
      <c r="L42" s="41"/>
      <c r="M42" s="41"/>
      <c r="N42" s="41"/>
      <c r="O42" s="41"/>
      <c r="P42" s="41"/>
      <c r="Q42" s="41"/>
      <c r="R42" s="41"/>
      <c r="S42" s="41"/>
      <c r="T42" s="41"/>
      <c r="U42" s="41"/>
      <c r="V42" s="41"/>
      <c r="W42" s="41"/>
      <c r="X42" s="41"/>
      <c r="Y42" s="41"/>
      <c r="Z42" s="41"/>
    </row>
    <row r="43" ht="19.5" customHeight="1">
      <c r="A43" s="41"/>
      <c r="B43" s="102" t="s">
        <v>1014</v>
      </c>
      <c r="C43" s="13"/>
      <c r="D43" s="13"/>
      <c r="E43" s="14"/>
      <c r="F43" s="41"/>
      <c r="G43" s="41"/>
      <c r="H43" s="41"/>
      <c r="I43" s="41"/>
      <c r="J43" s="41"/>
      <c r="K43" s="41"/>
      <c r="L43" s="41"/>
      <c r="M43" s="41"/>
      <c r="N43" s="41"/>
      <c r="O43" s="41"/>
      <c r="P43" s="41"/>
      <c r="Q43" s="41"/>
      <c r="R43" s="41"/>
      <c r="S43" s="41"/>
      <c r="T43" s="41"/>
      <c r="U43" s="41"/>
      <c r="V43" s="41"/>
      <c r="W43" s="41"/>
      <c r="X43" s="41"/>
      <c r="Y43" s="41"/>
      <c r="Z43" s="41"/>
    </row>
    <row r="44" ht="19.5" customHeight="1">
      <c r="A44" s="41"/>
      <c r="B44" s="84" t="s">
        <v>537</v>
      </c>
      <c r="C44" s="111" t="str">
        <f>CONCATENATE(this_instance,"-cp01.",sample_child_dns_zone)</f>
        <v>lax-cp01.lax.rainpole.io</v>
      </c>
      <c r="D44" s="18"/>
      <c r="E44" s="18"/>
      <c r="F44" s="41"/>
      <c r="G44" s="41"/>
      <c r="H44" s="41"/>
      <c r="I44" s="41"/>
      <c r="J44" s="41"/>
      <c r="K44" s="41"/>
      <c r="L44" s="41"/>
      <c r="M44" s="41"/>
      <c r="N44" s="41"/>
      <c r="O44" s="41"/>
      <c r="P44" s="41"/>
      <c r="Q44" s="41"/>
      <c r="R44" s="41"/>
      <c r="S44" s="41"/>
      <c r="T44" s="41"/>
      <c r="U44" s="41"/>
      <c r="V44" s="41"/>
      <c r="W44" s="41"/>
      <c r="X44" s="41"/>
      <c r="Y44" s="41"/>
      <c r="Z44" s="41"/>
    </row>
    <row r="45" ht="19.5" customHeight="1">
      <c r="A45" s="41"/>
      <c r="B45" s="84" t="s">
        <v>741</v>
      </c>
      <c r="C45" s="110" t="str">
        <f>IF(AND( LEFT(vcf_version_chosen,3)&lt;&gt;"9.0",mgmt_domain_ops_automation_later_chosen="Selected",flt_custom_network_chosen="Dedicated Management Network"),
IF(
mgmt_dpg_reuse_result="Included",
CONCATENATE(prefix_flt_shared_cidr,".12"),
CONCATENATE(prefix_flt_shared_cidr,".12")
),
IF(AND( LEFT(vcf_version_chosen,3)&lt;&gt;"9.0",mgmt_domain_ops_automation_later_chosen="Selected",flt_custom_network_chosen="Shared Management Network"),
IF(
mgmt_dpg_reuse_result="Included",
CONCATENATE(prefix_mgmt_az1_cidr,"10.12"),
CONCATENATE(prefix_mgmt_az1_cidr,"11.12")
),
IF(AND( LEFT(vcf_version_chosen,3)&lt;&gt;"9.0",mgmt_domain_ops_automation_later_chosen="Selected",flt_custom_network_chosen="NSX Overlay Segment"),
CONCATENATE(prefix_xreg_cidr,".12"),
IF(AND( LEFT(vcf_version_chosen,3)&lt;&gt;"9.0",mgmt_domain_ops_automation_later_chosen="Selected",flt_custom_network_chosen="NSX VLAN Segment"),
CONCATENATE(prefix_flt_shared_cidr,".12"
),
IF(mgmt_dpg_reuse_result="Included",
CONCATENATE(prefix_mgmt_az1_cidr,"10.12"),
CONCATENATE(prefix_mgmt_az1_cidr,"11.12")
)
))))</f>
        <v>10.21.10.12</v>
      </c>
      <c r="D45" s="18"/>
      <c r="E45" s="18"/>
      <c r="F45" s="41"/>
      <c r="G45" s="41"/>
      <c r="H45" s="41"/>
      <c r="I45" s="41"/>
      <c r="J45" s="41"/>
      <c r="K45" s="41"/>
      <c r="L45" s="41"/>
      <c r="M45" s="41"/>
      <c r="N45" s="41"/>
      <c r="O45" s="41"/>
      <c r="P45" s="41"/>
      <c r="Q45" s="41"/>
      <c r="R45" s="41"/>
      <c r="S45" s="41"/>
      <c r="T45" s="41"/>
      <c r="U45" s="41"/>
      <c r="V45" s="41"/>
      <c r="W45" s="41"/>
      <c r="X45" s="41"/>
      <c r="Y45" s="41"/>
      <c r="Z45" s="41"/>
    </row>
    <row r="46" ht="19.5" customHeight="1">
      <c r="A46" s="41"/>
      <c r="B46" s="84" t="s">
        <v>120</v>
      </c>
      <c r="C46" s="110" t="s">
        <v>1015</v>
      </c>
      <c r="D46" s="18"/>
      <c r="E46" s="18"/>
      <c r="F46" s="41"/>
      <c r="G46" s="41"/>
      <c r="H46" s="41"/>
      <c r="I46" s="41"/>
      <c r="J46" s="41"/>
      <c r="K46" s="41"/>
      <c r="L46" s="41"/>
      <c r="M46" s="41"/>
      <c r="N46" s="41"/>
      <c r="O46" s="41"/>
      <c r="P46" s="41"/>
      <c r="Q46" s="41"/>
      <c r="R46" s="41"/>
      <c r="S46" s="41"/>
      <c r="T46" s="41"/>
      <c r="U46" s="41"/>
      <c r="V46" s="41"/>
      <c r="W46" s="41"/>
      <c r="X46" s="41"/>
      <c r="Y46" s="41"/>
      <c r="Z46" s="41"/>
    </row>
    <row r="47" ht="19.5" customHeight="1">
      <c r="A47" s="41"/>
      <c r="B47" s="84" t="s">
        <v>1013</v>
      </c>
      <c r="C47" s="110" t="s">
        <v>264</v>
      </c>
      <c r="D47" s="18" t="s">
        <v>264</v>
      </c>
      <c r="E47" s="18"/>
      <c r="F47" s="41"/>
      <c r="G47" s="41"/>
      <c r="H47" s="41"/>
      <c r="I47" s="41"/>
      <c r="J47" s="41"/>
      <c r="K47" s="41"/>
      <c r="L47" s="41"/>
      <c r="M47" s="41"/>
      <c r="N47" s="41"/>
      <c r="O47" s="41"/>
      <c r="P47" s="41"/>
      <c r="Q47" s="41"/>
      <c r="R47" s="41"/>
      <c r="S47" s="41"/>
      <c r="T47" s="41"/>
      <c r="U47" s="41"/>
      <c r="V47" s="41"/>
      <c r="W47" s="41"/>
      <c r="X47" s="41"/>
      <c r="Y47" s="41"/>
      <c r="Z47" s="41"/>
    </row>
    <row r="48" ht="19.5" customHeight="1">
      <c r="A48" s="41"/>
      <c r="B48" s="84" t="s">
        <v>331</v>
      </c>
      <c r="C48" s="110" t="s">
        <v>297</v>
      </c>
      <c r="D48" s="18"/>
      <c r="E48" s="18"/>
      <c r="F48" s="41"/>
      <c r="G48" s="41"/>
      <c r="H48" s="41"/>
      <c r="I48" s="41"/>
      <c r="J48" s="41"/>
      <c r="K48" s="41"/>
      <c r="L48" s="41"/>
      <c r="M48" s="41"/>
      <c r="N48" s="41"/>
      <c r="O48" s="41"/>
      <c r="P48" s="41"/>
      <c r="Q48" s="41"/>
      <c r="R48" s="41"/>
      <c r="S48" s="41"/>
      <c r="T48" s="41"/>
      <c r="U48" s="41"/>
      <c r="V48" s="41"/>
      <c r="W48" s="41"/>
      <c r="X48" s="41"/>
      <c r="Y48" s="41"/>
      <c r="Z48" s="41"/>
    </row>
    <row r="49" ht="19.5" customHeight="1">
      <c r="A49" s="41"/>
      <c r="B49" s="102" t="s">
        <v>1016</v>
      </c>
      <c r="C49" s="13"/>
      <c r="D49" s="13"/>
      <c r="E49" s="14"/>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84" t="s">
        <v>537</v>
      </c>
      <c r="C50" s="111" t="str">
        <f>CONCATENATE(prefix_portable_component,"-auto01.",sample_parent_dns_zone)</f>
        <v>flt-auto01.rainpole.io</v>
      </c>
      <c r="D50" s="18"/>
      <c r="E50" s="18"/>
      <c r="F50" s="41"/>
      <c r="G50" s="41"/>
      <c r="H50" s="41"/>
      <c r="I50" s="41"/>
      <c r="J50" s="41"/>
      <c r="K50" s="41"/>
      <c r="L50" s="41"/>
      <c r="M50" s="41"/>
      <c r="N50" s="41"/>
      <c r="O50" s="41"/>
      <c r="P50" s="41"/>
      <c r="Q50" s="41"/>
      <c r="R50" s="41"/>
      <c r="S50" s="41"/>
      <c r="T50" s="41"/>
      <c r="U50" s="41"/>
      <c r="V50" s="41"/>
      <c r="W50" s="41"/>
      <c r="X50" s="41"/>
      <c r="Y50" s="41"/>
      <c r="Z50" s="41"/>
    </row>
    <row r="51" ht="19.5" customHeight="1">
      <c r="A51" s="41"/>
      <c r="B51" s="84" t="s">
        <v>1017</v>
      </c>
      <c r="C51" s="110" t="str">
        <f>CONCATENATE(prefix_portable_component,"-auto")</f>
        <v>flt-auto</v>
      </c>
      <c r="D51" s="18"/>
      <c r="E51" s="18" t="s">
        <v>1018</v>
      </c>
      <c r="F51" s="41"/>
      <c r="G51" s="41"/>
      <c r="H51" s="41"/>
      <c r="I51" s="41"/>
      <c r="J51" s="41"/>
      <c r="K51" s="41"/>
      <c r="L51" s="41"/>
      <c r="M51" s="41"/>
      <c r="N51" s="41"/>
      <c r="O51" s="41"/>
      <c r="P51" s="41"/>
      <c r="Q51" s="41"/>
      <c r="R51" s="41"/>
      <c r="S51" s="41"/>
      <c r="T51" s="41"/>
      <c r="U51" s="41"/>
      <c r="V51" s="41"/>
      <c r="W51" s="41"/>
      <c r="X51" s="41"/>
      <c r="Y51" s="41"/>
      <c r="Z51" s="41"/>
    </row>
    <row r="52" ht="19.5" customHeight="1">
      <c r="A52" s="41"/>
      <c r="B52" s="84" t="s">
        <v>741</v>
      </c>
      <c r="C52" s="110" t="str">
        <f>IF(flt_custom_network_chosen="Shared Management Network",IF(mgmt_dpg_reuse_result="Included",CONCATENATE(prefix_mgmt_az1_cidr,"10.25"),CONCATENATE(prefix_mgmt_az1_cidr,"11.25")),IF(flt_custom_network_chosen="NSX Overlay Segment",CONCATENATE(prefix_xreg_cidr,".25"),CONCATENATE(prefix_flt_shared_cidr,".25")))</f>
        <v>10.21.10.25</v>
      </c>
      <c r="D52" s="18"/>
      <c r="E52" s="18"/>
      <c r="F52" s="41"/>
      <c r="G52" s="41"/>
      <c r="H52" s="41"/>
      <c r="I52" s="41"/>
      <c r="J52" s="41"/>
      <c r="K52" s="41"/>
      <c r="L52" s="41"/>
      <c r="M52" s="41"/>
      <c r="N52" s="41"/>
      <c r="O52" s="41"/>
      <c r="P52" s="41"/>
      <c r="Q52" s="41"/>
      <c r="R52" s="41"/>
      <c r="S52" s="41"/>
      <c r="T52" s="41"/>
      <c r="U52" s="41"/>
      <c r="V52" s="41"/>
      <c r="W52" s="41"/>
      <c r="X52" s="41"/>
      <c r="Y52" s="41"/>
      <c r="Z52" s="41"/>
    </row>
    <row r="53" ht="19.5" customHeight="1">
      <c r="A53" s="41"/>
      <c r="B53" s="84" t="s">
        <v>1019</v>
      </c>
      <c r="C53" s="110" t="str">
        <f>IF(flt_custom_network_chosen="Shared Management Network",IF(mgmt_dpg_reuse_result="Included",CONCATENATE(prefix_mgmt_az1_cidr,"10.46"),CONCATENATE(prefix_mgmt_az1_cidr,"11.46")),IF(flt_custom_network_chosen="NSX Overlay Segment",CONCATENATE(prefix_xreg_cidr,".46"),CONCATENATE(prefix_flt_shared_cidr,".46")))</f>
        <v>10.21.10.46</v>
      </c>
      <c r="D53" s="18"/>
      <c r="E53" s="18" t="s">
        <v>1020</v>
      </c>
      <c r="F53" s="41"/>
      <c r="G53" s="41"/>
      <c r="H53" s="41"/>
      <c r="I53" s="41"/>
      <c r="J53" s="41"/>
      <c r="K53" s="41"/>
      <c r="L53" s="41"/>
      <c r="M53" s="41"/>
      <c r="N53" s="41"/>
      <c r="O53" s="41"/>
      <c r="P53" s="41"/>
      <c r="Q53" s="41"/>
      <c r="R53" s="41"/>
      <c r="S53" s="41"/>
      <c r="T53" s="41"/>
      <c r="U53" s="41"/>
      <c r="V53" s="41"/>
      <c r="W53" s="41"/>
      <c r="X53" s="41"/>
      <c r="Y53" s="41"/>
      <c r="Z53" s="41"/>
    </row>
    <row r="54" ht="19.5" customHeight="1">
      <c r="A54" s="41"/>
      <c r="B54" s="84" t="s">
        <v>1021</v>
      </c>
      <c r="C54" s="110" t="str">
        <f>IF(flt_custom_network_chosen="Shared Management Network",IF(mgmt_dpg_reuse_result="Included",CONCATENATE(prefix_mgmt_az1_cidr,"10.47"),CONCATENATE(prefix_mgmt_az1_cidr,"11.47")),IF(flt_custom_network_chosen="NSX Overlay Segment",CONCATENATE(prefix_xreg_cidr,".47"),CONCATENATE(prefix_flt_shared_cidr,".47")))</f>
        <v>10.21.10.47</v>
      </c>
      <c r="D54" s="18"/>
      <c r="E54" s="18"/>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84" t="s">
        <v>1022</v>
      </c>
      <c r="C55" s="110" t="str">
        <f>IF(flt_custom_network_chosen="Shared Management Network",IF(mgmt_dpg_reuse_result="Included",CONCATENATE(prefix_mgmt_az1_cidr,"10.48"),CONCATENATE(prefix_mgmt_az1_cidr,"11.48")),IF(flt_custom_network_chosen="NSX Overlay Segment",CONCATENATE(prefix_xreg_cidr,".48"),CONCATENATE(prefix_flt_shared_cidr,".48")))</f>
        <v>10.21.10.48</v>
      </c>
      <c r="D55" s="18"/>
      <c r="E55" s="18"/>
      <c r="F55" s="41"/>
      <c r="G55" s="41"/>
      <c r="H55" s="41"/>
      <c r="I55" s="41"/>
      <c r="J55" s="41"/>
      <c r="K55" s="41"/>
      <c r="L55" s="41"/>
      <c r="M55" s="41"/>
      <c r="N55" s="41"/>
      <c r="O55" s="41"/>
      <c r="P55" s="41"/>
      <c r="Q55" s="41"/>
      <c r="R55" s="41"/>
      <c r="S55" s="41"/>
      <c r="T55" s="41"/>
      <c r="U55" s="41"/>
      <c r="V55" s="41"/>
      <c r="W55" s="41"/>
      <c r="X55" s="41"/>
      <c r="Y55" s="41"/>
      <c r="Z55" s="41"/>
    </row>
    <row r="56" ht="19.5" customHeight="1">
      <c r="A56" s="41"/>
      <c r="B56" s="84" t="s">
        <v>1023</v>
      </c>
      <c r="C56" s="110" t="str">
        <f>IF(flt_custom_network_chosen="Shared Management Network",IF(mgmt_dpg_reuse_result="Included",CONCATENATE(prefix_mgmt_az1_cidr,"10.49"),CONCATENATE(prefix_mgmt_az1_cidr,"11.49")),IF(flt_custom_network_chosen="NSX Overlay Segment",CONCATENATE(prefix_xreg_cidr,".49"),CONCATENATE(prefix_flt_shared_cidr,".49")))</f>
        <v>10.21.10.49</v>
      </c>
      <c r="D56" s="18"/>
      <c r="E56" s="18"/>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84" t="s">
        <v>1024</v>
      </c>
      <c r="C57" s="110" t="s">
        <v>349</v>
      </c>
      <c r="D57" s="18" t="s">
        <v>349</v>
      </c>
      <c r="E57" s="18" t="s">
        <v>1025</v>
      </c>
      <c r="F57" s="41"/>
      <c r="G57" s="41"/>
      <c r="H57" s="41"/>
      <c r="I57" s="41"/>
      <c r="J57" s="41"/>
      <c r="K57" s="41"/>
      <c r="L57" s="41"/>
      <c r="M57" s="41"/>
      <c r="N57" s="41"/>
      <c r="O57" s="41"/>
      <c r="P57" s="41"/>
      <c r="Q57" s="41"/>
      <c r="R57" s="41"/>
      <c r="S57" s="41"/>
      <c r="T57" s="41"/>
      <c r="U57" s="41"/>
      <c r="V57" s="41"/>
      <c r="W57" s="41"/>
      <c r="X57" s="41"/>
      <c r="Y57" s="41"/>
      <c r="Z57" s="41"/>
    </row>
    <row r="58" ht="19.5" customHeight="1">
      <c r="B58" s="84" t="s">
        <v>1006</v>
      </c>
      <c r="C58" s="110" t="s">
        <v>297</v>
      </c>
      <c r="D58" s="18"/>
      <c r="E58" s="18"/>
    </row>
    <row r="59" ht="15.75" customHeight="1">
      <c r="A59" s="41"/>
      <c r="B59" s="41"/>
      <c r="C59" s="41"/>
      <c r="D59" s="218"/>
      <c r="E59" s="218"/>
      <c r="F59" s="41"/>
      <c r="G59" s="41"/>
      <c r="H59" s="41"/>
      <c r="I59" s="41"/>
      <c r="J59" s="41"/>
      <c r="K59" s="41"/>
      <c r="L59" s="41"/>
      <c r="M59" s="41"/>
      <c r="N59" s="41"/>
      <c r="O59" s="41"/>
      <c r="P59" s="41"/>
      <c r="Q59" s="41"/>
      <c r="R59" s="41"/>
      <c r="S59" s="41"/>
      <c r="T59" s="41"/>
      <c r="U59" s="41"/>
      <c r="V59" s="41"/>
      <c r="W59" s="41"/>
      <c r="X59" s="41"/>
      <c r="Y59" s="41"/>
      <c r="Z59" s="41"/>
    </row>
    <row r="60" ht="33.75" customHeight="1">
      <c r="B60" s="219" t="s">
        <v>1026</v>
      </c>
      <c r="C60" s="220"/>
      <c r="D60" s="220"/>
      <c r="E60" s="221"/>
    </row>
    <row r="61" ht="19.5" customHeight="1">
      <c r="B61" s="222" t="s">
        <v>1027</v>
      </c>
      <c r="C61" s="223"/>
      <c r="D61" s="223"/>
      <c r="E61" s="224"/>
    </row>
    <row r="62" ht="19.5" customHeight="1">
      <c r="B62" s="49" t="s">
        <v>37</v>
      </c>
      <c r="C62" s="49" t="s">
        <v>273</v>
      </c>
      <c r="D62" s="49" t="s">
        <v>274</v>
      </c>
      <c r="E62" s="215" t="s">
        <v>5</v>
      </c>
    </row>
    <row r="63" ht="19.5" customHeight="1">
      <c r="B63" s="84" t="s">
        <v>1028</v>
      </c>
      <c r="C63" s="110" t="s">
        <v>1029</v>
      </c>
      <c r="D63" s="18" t="s">
        <v>1029</v>
      </c>
      <c r="E63" s="18" t="s">
        <v>1030</v>
      </c>
    </row>
    <row r="64" ht="19.5" customHeight="1">
      <c r="B64" s="84" t="s">
        <v>120</v>
      </c>
      <c r="C64" s="110" t="s">
        <v>1015</v>
      </c>
      <c r="D64" s="18"/>
      <c r="E64" s="18"/>
    </row>
    <row r="65" ht="19.5" customHeight="1">
      <c r="B65" s="84" t="s">
        <v>994</v>
      </c>
      <c r="C65" s="110" t="s">
        <v>352</v>
      </c>
      <c r="D65" s="18" t="s">
        <v>352</v>
      </c>
      <c r="E65" s="18"/>
    </row>
    <row r="66" ht="19.5" customHeight="1">
      <c r="B66" s="102" t="s">
        <v>1031</v>
      </c>
      <c r="C66" s="13"/>
      <c r="D66" s="13"/>
      <c r="E66" s="14"/>
    </row>
    <row r="67" ht="19.5" customHeight="1">
      <c r="B67" s="84" t="s">
        <v>1032</v>
      </c>
      <c r="C67" s="225" t="s">
        <v>1033</v>
      </c>
      <c r="D67" s="18" t="s">
        <v>1033</v>
      </c>
      <c r="E67" s="18"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68" ht="19.5" customHeight="1">
      <c r="B68" s="84" t="s">
        <v>1034</v>
      </c>
      <c r="C68" s="225" t="str">
        <f>CONCATENATE(prefix_portable_component,"-auto01","-cert")</f>
        <v>flt-auto01-cert</v>
      </c>
      <c r="D68" s="18"/>
      <c r="E68" s="18"/>
    </row>
    <row r="69" ht="19.5" customHeight="1">
      <c r="B69" s="84" t="s">
        <v>1035</v>
      </c>
      <c r="C69" s="225" t="str">
        <f>CONCATENATE(prefix_portable_component,"-auto01","-cert.pem")</f>
        <v>flt-auto01-cert.pem</v>
      </c>
      <c r="D69" s="18"/>
      <c r="E69" s="18"/>
    </row>
    <row r="70" ht="19.5" customHeight="1">
      <c r="B70" s="84" t="s">
        <v>1036</v>
      </c>
      <c r="C70" s="226" t="str">
        <f>CONCATENATE(prefix_portable_component,"-auto01.",sample_parent_dns_zone)</f>
        <v>flt-auto01.rainpole.io</v>
      </c>
      <c r="D70" s="18"/>
      <c r="E70" s="18"/>
    </row>
    <row r="71" ht="19.5" customHeight="1">
      <c r="B71" s="84" t="s">
        <v>1037</v>
      </c>
      <c r="C71" s="225" t="s">
        <v>74</v>
      </c>
      <c r="D71" s="18"/>
      <c r="E71" s="18"/>
    </row>
    <row r="72" ht="19.5" customHeight="1">
      <c r="B72" s="84" t="s">
        <v>1038</v>
      </c>
      <c r="C72" s="225" t="s">
        <v>558</v>
      </c>
      <c r="D72" s="18"/>
      <c r="E72" s="18"/>
    </row>
    <row r="73" ht="19.5" customHeight="1">
      <c r="B73" s="84" t="s">
        <v>1039</v>
      </c>
      <c r="C73" s="225" t="s">
        <v>560</v>
      </c>
      <c r="D73" s="18"/>
      <c r="E73" s="18"/>
    </row>
    <row r="74" ht="19.5" customHeight="1">
      <c r="B74" s="84" t="s">
        <v>1040</v>
      </c>
      <c r="C74" s="225" t="s">
        <v>564</v>
      </c>
      <c r="D74" s="18"/>
      <c r="E74" s="18"/>
    </row>
    <row r="75" ht="19.5" customHeight="1">
      <c r="B75" s="84" t="s">
        <v>1041</v>
      </c>
      <c r="C75" s="225" t="s">
        <v>562</v>
      </c>
      <c r="D75" s="18"/>
      <c r="E75" s="18"/>
    </row>
    <row r="76" ht="19.5" customHeight="1">
      <c r="B76" s="84" t="s">
        <v>1042</v>
      </c>
      <c r="C76" s="225">
        <v>4096.0</v>
      </c>
      <c r="D76" s="18" t="s">
        <v>1043</v>
      </c>
      <c r="E76" s="18"/>
    </row>
    <row r="77" ht="19.5" customHeight="1">
      <c r="B77" s="84" t="s">
        <v>1044</v>
      </c>
      <c r="C77" s="226" t="str">
        <f>CONCATENATE(prefix_portable_component,"-auto01.",sample_parent_dns_zone)</f>
        <v>flt-auto01.rainpole.io</v>
      </c>
      <c r="D77" s="18"/>
      <c r="E77" s="18" t="s">
        <v>1045</v>
      </c>
    </row>
    <row r="78" ht="19.5" customHeight="1">
      <c r="B78" s="173" t="s">
        <v>741</v>
      </c>
      <c r="C78" s="110" t="str">
        <f>IF(flt_custom_network_chosen="Shared Management Network",IF(mgmt_dpg_reuse_result="Included",CONCATENATE(prefix_mgmt_az1_cidr,"10.25"),CONCATENATE(prefix_mgmt_az1_cidr,"11.25")),IF(flt_custom_network_chosen="NSX Overlay Segment",CONCATENATE(prefix_xreg_cidr,".25"),CONCATENATE(prefix_flt_shared_cidr,".25")))</f>
        <v>10.21.10.25</v>
      </c>
      <c r="D78" s="18"/>
      <c r="E78" s="18"/>
    </row>
    <row r="79" ht="19.5" customHeight="1">
      <c r="B79" s="84" t="s">
        <v>1046</v>
      </c>
      <c r="C79" s="110" t="str">
        <f>sample_vcf_automation_cert_alias</f>
        <v>flt-auto01-cert</v>
      </c>
      <c r="D79" s="18"/>
      <c r="E79" s="18"/>
    </row>
    <row r="80" ht="19.5" customHeight="1">
      <c r="B80" s="102" t="s">
        <v>1047</v>
      </c>
      <c r="C80" s="13"/>
      <c r="D80" s="13"/>
      <c r="E80" s="14"/>
    </row>
    <row r="81" ht="19.5" customHeight="1">
      <c r="B81" s="84" t="s">
        <v>1048</v>
      </c>
      <c r="C81" s="111" t="str">
        <f>sample_mgmt_vc_fqdn</f>
        <v>lax-m01-vc01.lax.rainpole.io</v>
      </c>
      <c r="D81" s="18" t="str">
        <f>mgmt_vc_fqdn</f>
        <v>Value Missing</v>
      </c>
      <c r="E81" s="18"/>
    </row>
    <row r="82" ht="19.5" customHeight="1">
      <c r="B82" s="84" t="s">
        <v>1049</v>
      </c>
      <c r="C82" s="110" t="str">
        <f>CONCATENATE(sample_mgmt_datacenter,"#",sample_mgmt_cl01_cluster)</f>
        <v>lax-m01-dc01#lax-m01-cl01</v>
      </c>
      <c r="D82" s="18"/>
      <c r="E82" s="18"/>
    </row>
    <row r="83" ht="19.5" customHeight="1">
      <c r="B83" s="84" t="s">
        <v>1050</v>
      </c>
      <c r="C83" s="110" t="str">
        <f>CONCATENATE(this_instance,"-m01-cl01-fd-vcfauto01")</f>
        <v>lax-m01-cl01-fd-vcfauto01</v>
      </c>
      <c r="D83" s="18"/>
      <c r="E83" s="18" t="s">
        <v>1051</v>
      </c>
    </row>
    <row r="84" ht="19.5" customHeight="1">
      <c r="B84" s="84" t="s">
        <v>1052</v>
      </c>
      <c r="C84" s="110" t="str">
        <f>CONCATENATE(this_instance,"-m01-cl01-rp-vcfauto01")</f>
        <v>lax-m01-cl01-rp-vcfauto01</v>
      </c>
      <c r="D84" s="18"/>
      <c r="E84" s="18" t="s">
        <v>1051</v>
      </c>
    </row>
    <row r="85" ht="19.5" customHeight="1">
      <c r="B85" s="84" t="s">
        <v>1053</v>
      </c>
      <c r="C85" s="110"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lax-m01-cl01-vds01-pg-vm-mgmt</v>
      </c>
      <c r="D85" s="18"/>
      <c r="E85" s="18" t="s">
        <v>1051</v>
      </c>
    </row>
    <row r="86" ht="19.5" customHeight="1">
      <c r="B86" s="84" t="s">
        <v>1054</v>
      </c>
      <c r="C86" s="110" t="str">
        <f>sample_mgmt_cl01_vsan_datastore</f>
        <v>lax-m01-cl01-ds-nfs01</v>
      </c>
      <c r="D86" s="18"/>
      <c r="E86" s="18"/>
    </row>
    <row r="87" ht="19.5" customHeight="1">
      <c r="B87" s="102" t="s">
        <v>717</v>
      </c>
      <c r="C87" s="13"/>
      <c r="D87" s="13"/>
      <c r="E87" s="14"/>
    </row>
    <row r="88" ht="19.5" customHeight="1">
      <c r="B88" s="84" t="s">
        <v>356</v>
      </c>
      <c r="C88" s="111" t="str">
        <f>sample_parent_dns_zone</f>
        <v>rainpole.io</v>
      </c>
      <c r="D88" s="18" t="str">
        <f>parent_dns_zone</f>
        <v>Value Missing</v>
      </c>
      <c r="E88" s="18"/>
    </row>
    <row r="89" ht="19.5" customHeight="1">
      <c r="B89" s="84" t="s">
        <v>1055</v>
      </c>
      <c r="C89" s="111" t="str">
        <f>sample_parent_dns_zone</f>
        <v>rainpole.io</v>
      </c>
      <c r="D89" s="18" t="str">
        <f>parent_dns_zone</f>
        <v>Value Missing</v>
      </c>
      <c r="E89" s="18"/>
    </row>
    <row r="90" ht="19.5" customHeight="1">
      <c r="B90" s="84" t="s">
        <v>1056</v>
      </c>
      <c r="C90" s="203" t="str">
        <f>CONCATENATE(sample_region_dns1_ip,",",sample_region_dns2_ip)</f>
        <v>10.21.10.4,10.21.10.5</v>
      </c>
      <c r="D90" s="18" t="str">
        <f>CONCATENATE(region_dns1_ip,",",region_dns2_ip)</f>
        <v>Value Missing,Value Missing</v>
      </c>
      <c r="E90" s="18"/>
    </row>
    <row r="91" ht="19.5" customHeight="1">
      <c r="B91" s="84" t="s">
        <v>1057</v>
      </c>
      <c r="C91" s="203" t="s">
        <v>1058</v>
      </c>
      <c r="D91" s="18" t="s">
        <v>1058</v>
      </c>
      <c r="E91" s="18"/>
    </row>
    <row r="92" ht="19.5" customHeight="1">
      <c r="B92" s="84" t="s">
        <v>757</v>
      </c>
      <c r="C92" s="110" t="str">
        <f>CONCATENATE(sample_region_ntp1_server,",",sample_region_ntp2_server)</f>
        <v>ntp0.lax.rainpole.io,ntp1.lax.rainpole.io</v>
      </c>
      <c r="D92" s="18" t="str">
        <f>CONCATENATE(region_ntp1_server,",",region_ntp2_server)</f>
        <v>Value Missing,Value Missing</v>
      </c>
      <c r="E92" s="18"/>
    </row>
    <row r="93" ht="19.5" customHeight="1">
      <c r="B93" s="84" t="s">
        <v>1059</v>
      </c>
      <c r="C93" s="110" t="str">
        <f>IF(flt_custom_network_chosen="Shared Management Network",IF(mgmt_dpg_reuse_result="Included",CONCATENATE(prefix_mgmt_az1_cidr,"10.1"),CONCATENATE(prefix_mgmt_az1_cidr,"11.1")),IF(flt_custom_network_chosen="NSX Overlay Segment",CONCATENATE(prefix_xreg_cidr,".1"),CONCATENATE(prefix_flt_shared_cidr,".1")))</f>
        <v>10.21.10.1</v>
      </c>
      <c r="D93" s="18"/>
      <c r="E93" s="18"/>
    </row>
    <row r="94" ht="19.5" customHeight="1">
      <c r="B94" s="84" t="s">
        <v>1060</v>
      </c>
      <c r="C94" s="110" t="s">
        <v>622</v>
      </c>
      <c r="D94" s="18"/>
      <c r="E94" s="18"/>
    </row>
    <row r="95" ht="19.5" customHeight="1">
      <c r="B95" s="102" t="s">
        <v>1061</v>
      </c>
      <c r="C95" s="13"/>
      <c r="D95" s="13"/>
      <c r="E95" s="14"/>
    </row>
    <row r="96" ht="19.5" customHeight="1">
      <c r="B96" s="173" t="s">
        <v>1062</v>
      </c>
      <c r="C96" s="227" t="s">
        <v>1063</v>
      </c>
      <c r="D96" s="228"/>
      <c r="E96" s="18"/>
    </row>
    <row r="97" ht="19.5" customHeight="1">
      <c r="B97" s="187" t="s">
        <v>1064</v>
      </c>
      <c r="C97" s="229" t="s">
        <v>297</v>
      </c>
      <c r="D97" s="228"/>
      <c r="E97" s="18"/>
    </row>
    <row r="98" ht="19.5" customHeight="1">
      <c r="B98" s="187" t="s">
        <v>1065</v>
      </c>
      <c r="C98" s="229" t="s">
        <v>1066</v>
      </c>
      <c r="D98" s="228"/>
      <c r="E98" s="18"/>
    </row>
    <row r="99" ht="19.5" customHeight="1">
      <c r="B99" s="187" t="s">
        <v>1067</v>
      </c>
      <c r="C99" s="229" t="s">
        <v>889</v>
      </c>
      <c r="D99" s="228"/>
      <c r="E99" s="18"/>
    </row>
    <row r="100" ht="19.5" customHeight="1">
      <c r="B100" s="84" t="s">
        <v>1068</v>
      </c>
      <c r="C100" s="225" t="str">
        <f>CONCATENATE(prefix_portable_component,"-auto01","-password")</f>
        <v>flt-auto01-password</v>
      </c>
      <c r="D100" s="18"/>
      <c r="E100" s="18"/>
    </row>
    <row r="101" ht="19.5" customHeight="1">
      <c r="B101" s="84" t="s">
        <v>331</v>
      </c>
      <c r="C101" s="225" t="s">
        <v>297</v>
      </c>
      <c r="D101" s="18"/>
      <c r="E101" s="18"/>
    </row>
    <row r="102" ht="19.5" customHeight="1">
      <c r="B102" s="84" t="s">
        <v>1069</v>
      </c>
      <c r="C102" s="225" t="s">
        <v>1070</v>
      </c>
      <c r="D102" s="18"/>
      <c r="E102" s="18"/>
    </row>
    <row r="103" ht="19.5" customHeight="1">
      <c r="B103" s="84" t="s">
        <v>1071</v>
      </c>
      <c r="C103" s="230" t="s">
        <v>728</v>
      </c>
      <c r="D103" s="29"/>
      <c r="E103" s="18"/>
    </row>
    <row r="104" ht="19.5" customHeight="1">
      <c r="B104" s="84" t="s">
        <v>1072</v>
      </c>
      <c r="C104" s="226" t="str">
        <f>sample_mgmt_vc_fqdn</f>
        <v>lax-m01-vc01.lax.rainpole.io</v>
      </c>
      <c r="D104" s="29"/>
      <c r="E104" s="18"/>
    </row>
    <row r="105" ht="19.5" customHeight="1">
      <c r="B105" s="187" t="s">
        <v>537</v>
      </c>
      <c r="C105" s="231" t="str">
        <f>sample_vcf_automation_vip_fqdn</f>
        <v>flt-auto01.rainpole.io</v>
      </c>
      <c r="D105" s="18" t="str">
        <f t="array" ref="D105">vcf_automation_vip_fqdn</f>
        <v>Value Missing</v>
      </c>
      <c r="E105" s="18"/>
    </row>
    <row r="106" ht="19.5" customHeight="1">
      <c r="B106" s="187" t="s">
        <v>1031</v>
      </c>
      <c r="C106" s="230" t="str">
        <f>sample_vcf_automation_cert_alias</f>
        <v>flt-auto01-cert</v>
      </c>
      <c r="D106" s="18" t="str">
        <f t="array" ref="D106">vcf_automation_cert_alias</f>
        <v>Value Missing</v>
      </c>
      <c r="E106" s="18"/>
    </row>
    <row r="107" ht="19.5" customHeight="1">
      <c r="B107" s="187" t="s">
        <v>537</v>
      </c>
      <c r="C107" s="231" t="str">
        <f>sample_vcf_automation_vip_fqdn</f>
        <v>flt-auto01.rainpole.io</v>
      </c>
      <c r="D107" s="18" t="str">
        <f t="array" ref="D107">vcf_automation_vip_fqdn</f>
        <v>Value Missing</v>
      </c>
      <c r="E107" s="18"/>
    </row>
    <row r="108" ht="19.5" customHeight="1">
      <c r="B108" s="187" t="s">
        <v>1073</v>
      </c>
      <c r="C108" s="230" t="s">
        <v>1074</v>
      </c>
      <c r="D108" s="18" t="s">
        <v>1074</v>
      </c>
      <c r="E108" s="18"/>
    </row>
    <row r="109" ht="19.5" customHeight="1">
      <c r="B109" s="187" t="s">
        <v>1017</v>
      </c>
      <c r="C109" s="230" t="str">
        <f>CONCATENATE(prefix_portable_component,"-auto")</f>
        <v>flt-auto</v>
      </c>
      <c r="D109" s="18" t="s">
        <v>1075</v>
      </c>
      <c r="E109" s="18" t="s">
        <v>1018</v>
      </c>
    </row>
    <row r="110" ht="19.5" customHeight="1">
      <c r="B110" s="187" t="s">
        <v>1076</v>
      </c>
      <c r="C110" s="110" t="str">
        <f>sample_vcf_automation_vip_ip</f>
        <v>10.21.10.25</v>
      </c>
      <c r="D110" s="18" t="str">
        <f t="array" ref="D110">vcf_automation_vip_ip</f>
        <v>Value Missing</v>
      </c>
      <c r="E110" s="18"/>
    </row>
    <row r="111" ht="19.5" customHeight="1">
      <c r="B111" s="187" t="s">
        <v>348</v>
      </c>
      <c r="C111" s="230" t="s">
        <v>1077</v>
      </c>
      <c r="D111" s="18" t="s">
        <v>1077</v>
      </c>
      <c r="E111" s="18" t="s">
        <v>1025</v>
      </c>
    </row>
    <row r="112" ht="19.5" customHeight="1">
      <c r="B112" s="187" t="s">
        <v>1078</v>
      </c>
      <c r="C112" s="230" t="s">
        <v>502</v>
      </c>
      <c r="D112" s="18"/>
      <c r="E112" s="18"/>
    </row>
    <row r="113" ht="19.5" customHeight="1">
      <c r="B113" s="187" t="s">
        <v>1079</v>
      </c>
      <c r="C113" s="110" t="str">
        <f>IF(flt_custom_network_chosen="Shared Management Network",IF(mgmt_dpg_reuse_result="Included",CONCATENATE(prefix_mgmt_az1_cidr,"10.46"),CONCATENATE(prefix_mgmt_az1_cidr,"11.46")),IF(flt_custom_network_chosen="NSX Overlay Segment",CONCATENATE(prefix_xreg_cidr,".46"),CONCATENATE(prefix_flt_shared_cidr,".46")))</f>
        <v>10.21.10.46</v>
      </c>
      <c r="D113" s="18"/>
      <c r="E113" s="18"/>
    </row>
    <row r="114" ht="19.5" customHeight="1">
      <c r="B114" s="187" t="s">
        <v>1080</v>
      </c>
      <c r="C114" s="110" t="str">
        <f>IF(flt_custom_network_chosen="Shared Management Network",IF(mgmt_dpg_reuse_result="Included",CONCATENATE(prefix_mgmt_az1_cidr,"10.47"),CONCATENATE(prefix_mgmt_az1_cidr,"11.47")),IF(flt_custom_network_chosen="NSX Overlay Segment",CONCATENATE(prefix_xreg_cidr,".47"),CONCATENATE(prefix_flt_shared_cidr,".47")))</f>
        <v>10.21.10.47</v>
      </c>
      <c r="D114" s="18"/>
      <c r="E114" s="18"/>
    </row>
    <row r="115" ht="19.5" customHeight="1">
      <c r="B115" s="187" t="s">
        <v>1081</v>
      </c>
      <c r="C115" s="110" t="str">
        <f>IF(flt_custom_network_chosen="Shared Management Network",IF(mgmt_dpg_reuse_result="Included",CONCATENATE(prefix_mgmt_az1_cidr,"10.48"),CONCATENATE(prefix_mgmt_az1_cidr,"11.48")),IF(flt_custom_network_chosen="NSX Overlay Segment",CONCATENATE(prefix_xreg_cidr,".48"),CONCATENATE(prefix_flt_shared_cidr,".48")))</f>
        <v>10.21.10.48</v>
      </c>
      <c r="D115" s="18"/>
      <c r="E115" s="18"/>
    </row>
    <row r="116" ht="19.5" customHeight="1">
      <c r="B116" s="187" t="s">
        <v>1082</v>
      </c>
      <c r="C116" s="110" t="str">
        <f>IF(flt_custom_network_chosen="Shared Management Network",IF(mgmt_dpg_reuse_result="Included",CONCATENATE(prefix_mgmt_az1_cidr,"10.49"),CONCATENATE(prefix_mgmt_az1_cidr,"11.49")),IF(flt_custom_network_chosen="NSX Overlay Segment",CONCATENATE(prefix_xreg_cidr,".49"),CONCATENATE(prefix_flt_shared_cidr,".49")))</f>
        <v>10.21.10.49</v>
      </c>
      <c r="D116" s="18"/>
      <c r="E116" s="18"/>
    </row>
    <row r="117" ht="15.75" customHeight="1">
      <c r="A117" s="41"/>
      <c r="B117" s="41"/>
      <c r="C117" s="41"/>
      <c r="D117" s="1"/>
      <c r="E117" s="1"/>
      <c r="F117" s="41"/>
      <c r="G117" s="41"/>
      <c r="H117" s="41"/>
      <c r="I117" s="41"/>
      <c r="J117" s="41"/>
      <c r="K117" s="41"/>
      <c r="L117" s="41"/>
      <c r="M117" s="41"/>
      <c r="N117" s="41"/>
      <c r="O117" s="41"/>
      <c r="P117" s="41"/>
      <c r="Q117" s="41"/>
      <c r="R117" s="41"/>
      <c r="S117" s="41"/>
      <c r="T117" s="41"/>
      <c r="U117" s="41"/>
      <c r="V117" s="41"/>
      <c r="W117" s="41"/>
      <c r="X117" s="41"/>
      <c r="Y117" s="41"/>
      <c r="Z117" s="41"/>
    </row>
    <row r="118" ht="33.75" customHeight="1">
      <c r="A118" s="41"/>
      <c r="B118" s="192" t="s">
        <v>1083</v>
      </c>
      <c r="C118" s="193"/>
      <c r="D118" s="193"/>
      <c r="E118" s="194"/>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1"/>
      <c r="E119" s="1"/>
      <c r="F119" s="41"/>
      <c r="G119" s="41"/>
      <c r="H119" s="41"/>
      <c r="I119" s="41"/>
      <c r="J119" s="41"/>
      <c r="K119" s="41"/>
      <c r="L119" s="41"/>
      <c r="M119" s="41"/>
      <c r="N119" s="41"/>
      <c r="O119" s="41"/>
      <c r="P119" s="41"/>
      <c r="Q119" s="41"/>
      <c r="R119" s="41"/>
      <c r="S119" s="41"/>
      <c r="T119" s="41"/>
      <c r="U119" s="41"/>
      <c r="V119" s="41"/>
      <c r="W119" s="41"/>
      <c r="X119" s="41"/>
      <c r="Y119" s="41"/>
      <c r="Z119" s="41"/>
    </row>
    <row r="120" ht="33.75" customHeight="1">
      <c r="A120" s="41"/>
      <c r="B120" s="219" t="s">
        <v>1084</v>
      </c>
      <c r="C120" s="220"/>
      <c r="D120" s="220"/>
      <c r="E120" s="221"/>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222" t="s">
        <v>1027</v>
      </c>
      <c r="C121" s="223"/>
      <c r="D121" s="223"/>
      <c r="E121" s="224"/>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49" t="s">
        <v>37</v>
      </c>
      <c r="C122" s="49" t="s">
        <v>273</v>
      </c>
      <c r="D122" s="49" t="s">
        <v>274</v>
      </c>
      <c r="E122" s="215" t="s">
        <v>5</v>
      </c>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84" t="s">
        <v>1028</v>
      </c>
      <c r="C123" s="110" t="s">
        <v>1029</v>
      </c>
      <c r="D123" s="18" t="s">
        <v>1029</v>
      </c>
      <c r="E123" s="18"/>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84" t="s">
        <v>120</v>
      </c>
      <c r="C124" s="110" t="s">
        <v>1015</v>
      </c>
      <c r="D124" s="18"/>
      <c r="E124" s="18"/>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84" t="s">
        <v>994</v>
      </c>
      <c r="C125" s="110" t="s">
        <v>352</v>
      </c>
      <c r="D125" s="18" t="s">
        <v>352</v>
      </c>
      <c r="E125" s="18"/>
      <c r="F125" s="41"/>
      <c r="G125" s="41"/>
      <c r="H125" s="41"/>
      <c r="I125" s="41"/>
      <c r="J125" s="41"/>
      <c r="K125" s="41"/>
      <c r="L125" s="41"/>
      <c r="M125" s="41"/>
      <c r="N125" s="41"/>
      <c r="O125" s="41"/>
      <c r="P125" s="41"/>
      <c r="Q125" s="41"/>
      <c r="R125" s="41"/>
      <c r="S125" s="41"/>
      <c r="T125" s="41"/>
      <c r="U125" s="41"/>
      <c r="V125" s="41"/>
      <c r="W125" s="41"/>
      <c r="X125" s="41"/>
      <c r="Y125" s="41"/>
      <c r="Z125" s="41"/>
    </row>
    <row r="126" ht="19.5" customHeight="1">
      <c r="A126" s="41"/>
      <c r="B126" s="102" t="s">
        <v>1031</v>
      </c>
      <c r="C126" s="13"/>
      <c r="D126" s="13"/>
      <c r="E126" s="14"/>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84" t="s">
        <v>1032</v>
      </c>
      <c r="C127" s="225" t="s">
        <v>1033</v>
      </c>
      <c r="D127" s="18" t="s">
        <v>1033</v>
      </c>
      <c r="E127" s="18" t="str">
        <f>IF(flt_vidb_cert_type_chosen="Generate Certificate","Create a self signed cert in VMware Cloud Foundation Operations",IF(flt_vidb_cert_type_chosen="Import Certificate","Import a signed cert from your CA",""))</f>
        <v>Create a self signed cert in VMware Cloud Foundation Operations</v>
      </c>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84" t="s">
        <v>1034</v>
      </c>
      <c r="C128" s="225" t="str">
        <f>CONCATENATE(prefix_portable_component,"-idb01","-cert")</f>
        <v>flt-idb01-cert</v>
      </c>
      <c r="D128" s="18"/>
      <c r="E128" s="18"/>
      <c r="F128" s="41"/>
      <c r="G128" s="41"/>
      <c r="H128" s="41"/>
      <c r="I128" s="41"/>
      <c r="J128" s="41"/>
      <c r="K128" s="41"/>
      <c r="L128" s="41"/>
      <c r="M128" s="41"/>
      <c r="N128" s="41"/>
      <c r="O128" s="41"/>
      <c r="P128" s="41"/>
      <c r="Q128" s="41"/>
      <c r="R128" s="41"/>
      <c r="S128" s="41"/>
      <c r="T128" s="41"/>
      <c r="U128" s="41"/>
      <c r="V128" s="41"/>
      <c r="W128" s="41"/>
      <c r="X128" s="41"/>
      <c r="Y128" s="41"/>
      <c r="Z128" s="41"/>
    </row>
    <row r="129" ht="19.5" customHeight="1">
      <c r="A129" s="41"/>
      <c r="B129" s="84" t="s">
        <v>1035</v>
      </c>
      <c r="C129" s="225" t="str">
        <f>CONCATENATE(prefix_portable_component,"-idb01","-cert.pem")</f>
        <v>flt-idb01-cert.pem</v>
      </c>
      <c r="D129" s="18"/>
      <c r="E129" s="18"/>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84" t="s">
        <v>1036</v>
      </c>
      <c r="C130" s="226" t="str">
        <f>CONCATENATE(prefix_portable_component,"-idb01",".",sample_parent_dns_zone)</f>
        <v>flt-idb01.rainpole.io</v>
      </c>
      <c r="D130" s="18"/>
      <c r="E130" s="18"/>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84" t="s">
        <v>1037</v>
      </c>
      <c r="C131" s="225" t="s">
        <v>74</v>
      </c>
      <c r="D131" s="18"/>
      <c r="E131" s="18"/>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84" t="s">
        <v>1038</v>
      </c>
      <c r="C132" s="225" t="s">
        <v>558</v>
      </c>
      <c r="D132" s="18"/>
      <c r="E132" s="18"/>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84" t="s">
        <v>1039</v>
      </c>
      <c r="C133" s="225" t="s">
        <v>560</v>
      </c>
      <c r="D133" s="18"/>
      <c r="E133" s="18"/>
      <c r="F133" s="41"/>
      <c r="G133" s="41"/>
      <c r="H133" s="41"/>
      <c r="I133" s="41"/>
      <c r="J133" s="41"/>
      <c r="K133" s="41"/>
      <c r="L133" s="41"/>
      <c r="M133" s="41"/>
      <c r="N133" s="41"/>
      <c r="O133" s="41"/>
      <c r="P133" s="41"/>
      <c r="Q133" s="41"/>
      <c r="R133" s="41"/>
      <c r="S133" s="41"/>
      <c r="T133" s="41"/>
      <c r="U133" s="41"/>
      <c r="V133" s="41"/>
      <c r="W133" s="41"/>
      <c r="X133" s="41"/>
      <c r="Y133" s="41"/>
      <c r="Z133" s="41"/>
    </row>
    <row r="134" ht="19.5" customHeight="1">
      <c r="A134" s="41"/>
      <c r="B134" s="84" t="s">
        <v>1040</v>
      </c>
      <c r="C134" s="225" t="s">
        <v>564</v>
      </c>
      <c r="D134" s="18"/>
      <c r="E134" s="18"/>
      <c r="F134" s="41"/>
      <c r="G134" s="41"/>
      <c r="H134" s="41"/>
      <c r="I134" s="41"/>
      <c r="J134" s="41"/>
      <c r="K134" s="41"/>
      <c r="L134" s="41"/>
      <c r="M134" s="41"/>
      <c r="N134" s="41"/>
      <c r="O134" s="41"/>
      <c r="P134" s="41"/>
      <c r="Q134" s="41"/>
      <c r="R134" s="41"/>
      <c r="S134" s="41"/>
      <c r="T134" s="41"/>
      <c r="U134" s="41"/>
      <c r="V134" s="41"/>
      <c r="W134" s="41"/>
      <c r="X134" s="41"/>
      <c r="Y134" s="41"/>
      <c r="Z134" s="41"/>
    </row>
    <row r="135" ht="19.5" customHeight="1">
      <c r="A135" s="41"/>
      <c r="B135" s="84" t="s">
        <v>1041</v>
      </c>
      <c r="C135" s="225" t="s">
        <v>562</v>
      </c>
      <c r="D135" s="18"/>
      <c r="E135" s="18"/>
      <c r="F135" s="41"/>
      <c r="G135" s="41"/>
      <c r="H135" s="41"/>
      <c r="I135" s="41"/>
      <c r="J135" s="41"/>
      <c r="K135" s="41"/>
      <c r="L135" s="41"/>
      <c r="M135" s="41"/>
      <c r="N135" s="41"/>
      <c r="O135" s="41"/>
      <c r="P135" s="41"/>
      <c r="Q135" s="41"/>
      <c r="R135" s="41"/>
      <c r="S135" s="41"/>
      <c r="T135" s="41"/>
      <c r="U135" s="41"/>
      <c r="V135" s="41"/>
      <c r="W135" s="41"/>
      <c r="X135" s="41"/>
      <c r="Y135" s="41"/>
      <c r="Z135" s="41"/>
    </row>
    <row r="136" ht="19.5" customHeight="1">
      <c r="A136" s="41"/>
      <c r="B136" s="84" t="s">
        <v>1042</v>
      </c>
      <c r="C136" s="225">
        <v>4096.0</v>
      </c>
      <c r="D136" s="18" t="s">
        <v>1043</v>
      </c>
      <c r="E136" s="18"/>
      <c r="F136" s="41"/>
      <c r="G136" s="41"/>
      <c r="H136" s="41"/>
      <c r="I136" s="41"/>
      <c r="J136" s="41"/>
      <c r="K136" s="41"/>
      <c r="L136" s="41"/>
      <c r="M136" s="41"/>
      <c r="N136" s="41"/>
      <c r="O136" s="41"/>
      <c r="P136" s="41"/>
      <c r="Q136" s="41"/>
      <c r="R136" s="41"/>
      <c r="S136" s="41"/>
      <c r="T136" s="41"/>
      <c r="U136" s="41"/>
      <c r="V136" s="41"/>
      <c r="W136" s="41"/>
      <c r="X136" s="41"/>
      <c r="Y136" s="41"/>
      <c r="Z136" s="41"/>
    </row>
    <row r="137" ht="19.5" customHeight="1">
      <c r="A137" s="41"/>
      <c r="B137" s="84" t="s">
        <v>1085</v>
      </c>
      <c r="C137" s="226" t="str">
        <f>CONCATENATE(prefix_portable_component,"-idb01",".",sample_parent_dns_zone)</f>
        <v>flt-idb01.rainpole.io</v>
      </c>
      <c r="D137" s="18"/>
      <c r="E137" s="18"/>
      <c r="F137" s="41"/>
      <c r="G137" s="41"/>
      <c r="H137" s="41"/>
      <c r="I137" s="41"/>
      <c r="J137" s="41"/>
      <c r="K137" s="41"/>
      <c r="L137" s="41"/>
      <c r="M137" s="41"/>
      <c r="N137" s="41"/>
      <c r="O137" s="41"/>
      <c r="P137" s="41"/>
      <c r="Q137" s="41"/>
      <c r="R137" s="41"/>
      <c r="S137" s="41"/>
      <c r="T137" s="41"/>
      <c r="U137" s="41"/>
      <c r="V137" s="41"/>
      <c r="W137" s="41"/>
      <c r="X137" s="41"/>
      <c r="Y137" s="41"/>
      <c r="Z137" s="41"/>
    </row>
    <row r="138" ht="19.5" customHeight="1">
      <c r="A138" s="41"/>
      <c r="B138" s="84" t="s">
        <v>1086</v>
      </c>
      <c r="C138" s="225" t="str">
        <f>IF(flt_custom_network_chosen="Shared Management Network",IF(mgmt_dpg_reuse_result="Included",CONCATENATE(prefix_mgmt_az1_cidr,"10.23"),CONCATENATE(prefix_mgmt_az1_cidr,"11.23")),
IF(flt_custom_network_chosen="NSX Overlay Segment",CONCATENATE(prefix_xreg_cidr,".60"),CONCATENATE(prefix_flt_shared_cidr,".16")))</f>
        <v>10.21.10.23</v>
      </c>
      <c r="D138" s="18"/>
      <c r="E138" s="18"/>
      <c r="F138" s="41"/>
      <c r="G138" s="41"/>
      <c r="H138" s="41"/>
      <c r="I138" s="41"/>
      <c r="J138" s="41"/>
      <c r="K138" s="41"/>
      <c r="L138" s="41"/>
      <c r="M138" s="41"/>
      <c r="N138" s="41"/>
      <c r="O138" s="41"/>
      <c r="P138" s="41"/>
      <c r="Q138" s="41"/>
      <c r="R138" s="41"/>
      <c r="S138" s="41"/>
      <c r="T138" s="41"/>
      <c r="U138" s="41"/>
      <c r="V138" s="41"/>
      <c r="W138" s="41"/>
      <c r="X138" s="41"/>
      <c r="Y138" s="41"/>
      <c r="Z138" s="41"/>
    </row>
    <row r="139" ht="19.5" customHeight="1">
      <c r="A139" s="41"/>
      <c r="B139" s="84" t="s">
        <v>1046</v>
      </c>
      <c r="C139" s="110" t="str">
        <f>sample_flt_vidb_cert_alias</f>
        <v>flt-idb01-cert</v>
      </c>
      <c r="D139" s="18" t="str">
        <f>flt_vidb_cert_alias</f>
        <v>Value Missing</v>
      </c>
      <c r="E139" s="18"/>
      <c r="F139" s="41"/>
      <c r="G139" s="41"/>
      <c r="H139" s="41"/>
      <c r="I139" s="41"/>
      <c r="J139" s="41"/>
      <c r="K139" s="41"/>
      <c r="L139" s="41"/>
      <c r="M139" s="41"/>
      <c r="N139" s="41"/>
      <c r="O139" s="41"/>
      <c r="P139" s="41"/>
      <c r="Q139" s="41"/>
      <c r="R139" s="41"/>
      <c r="S139" s="41"/>
      <c r="T139" s="41"/>
      <c r="U139" s="41"/>
      <c r="V139" s="41"/>
      <c r="W139" s="41"/>
      <c r="X139" s="41"/>
      <c r="Y139" s="41"/>
      <c r="Z139" s="41"/>
    </row>
    <row r="140" ht="19.5" customHeight="1">
      <c r="A140" s="41"/>
      <c r="B140" s="102" t="s">
        <v>1047</v>
      </c>
      <c r="C140" s="13"/>
      <c r="D140" s="13"/>
      <c r="E140" s="14"/>
      <c r="F140" s="41"/>
      <c r="G140" s="41"/>
      <c r="H140" s="41"/>
      <c r="I140" s="41"/>
      <c r="J140" s="41"/>
      <c r="K140" s="41"/>
      <c r="L140" s="41"/>
      <c r="M140" s="41"/>
      <c r="N140" s="41"/>
      <c r="O140" s="41"/>
      <c r="P140" s="41"/>
      <c r="Q140" s="41"/>
      <c r="R140" s="41"/>
      <c r="S140" s="41"/>
      <c r="T140" s="41"/>
      <c r="U140" s="41"/>
      <c r="V140" s="41"/>
      <c r="W140" s="41"/>
      <c r="X140" s="41"/>
      <c r="Y140" s="41"/>
      <c r="Z140" s="41"/>
    </row>
    <row r="141" ht="19.5" customHeight="1">
      <c r="A141" s="41"/>
      <c r="B141" s="84" t="s">
        <v>1048</v>
      </c>
      <c r="C141" s="111" t="str">
        <f>CONCATENATE(this_instance,"-m01-vc01.",sample_child_dns_zone)</f>
        <v>lax-m01-vc01.lax.rainpole.io</v>
      </c>
      <c r="D141" s="18"/>
      <c r="E141" s="18"/>
      <c r="F141" s="41"/>
      <c r="G141" s="41"/>
      <c r="H141" s="41"/>
      <c r="I141" s="41"/>
      <c r="J141" s="41"/>
      <c r="K141" s="41"/>
      <c r="L141" s="41"/>
      <c r="M141" s="41"/>
      <c r="N141" s="41"/>
      <c r="O141" s="41"/>
      <c r="P141" s="41"/>
      <c r="Q141" s="41"/>
      <c r="R141" s="41"/>
      <c r="S141" s="41"/>
      <c r="T141" s="41"/>
      <c r="U141" s="41"/>
      <c r="V141" s="41"/>
      <c r="W141" s="41"/>
      <c r="X141" s="41"/>
      <c r="Y141" s="41"/>
      <c r="Z141" s="41"/>
    </row>
    <row r="142" ht="19.5" customHeight="1">
      <c r="A142" s="41"/>
      <c r="B142" s="84" t="s">
        <v>1049</v>
      </c>
      <c r="C142" s="110" t="str">
        <f>CONCATENATE(sample_mgmt_datacenter,"#",sample_mgmt_cl01_cluster)</f>
        <v>lax-m01-dc01#lax-m01-cl01</v>
      </c>
      <c r="D142" s="18"/>
      <c r="E142" s="18"/>
      <c r="F142" s="41"/>
      <c r="G142" s="41"/>
      <c r="H142" s="41"/>
      <c r="I142" s="41"/>
      <c r="J142" s="41"/>
      <c r="K142" s="41"/>
      <c r="L142" s="41"/>
      <c r="M142" s="41"/>
      <c r="N142" s="41"/>
      <c r="O142" s="41"/>
      <c r="P142" s="41"/>
      <c r="Q142" s="41"/>
      <c r="R142" s="41"/>
      <c r="S142" s="41"/>
      <c r="T142" s="41"/>
      <c r="U142" s="41"/>
      <c r="V142" s="41"/>
      <c r="W142" s="41"/>
      <c r="X142" s="41"/>
      <c r="Y142" s="41"/>
      <c r="Z142" s="41"/>
    </row>
    <row r="143" ht="19.5" customHeight="1">
      <c r="A143" s="41"/>
      <c r="B143" s="84" t="s">
        <v>1050</v>
      </c>
      <c r="C143" s="110" t="str">
        <f>CONCATENATE(this_instance,"-m01-cl01-fd-vcfauth01")</f>
        <v>lax-m01-cl01-fd-vcfauth01</v>
      </c>
      <c r="D143" s="18"/>
      <c r="E143" s="18" t="s">
        <v>1051</v>
      </c>
      <c r="F143" s="41"/>
      <c r="G143" s="41"/>
      <c r="H143" s="41"/>
      <c r="I143" s="41"/>
      <c r="J143" s="41"/>
      <c r="K143" s="41"/>
      <c r="L143" s="41"/>
      <c r="M143" s="41"/>
      <c r="N143" s="41"/>
      <c r="O143" s="41"/>
      <c r="P143" s="41"/>
      <c r="Q143" s="41"/>
      <c r="R143" s="41"/>
      <c r="S143" s="41"/>
      <c r="T143" s="41"/>
      <c r="U143" s="41"/>
      <c r="V143" s="41"/>
      <c r="W143" s="41"/>
      <c r="X143" s="41"/>
      <c r="Y143" s="41"/>
      <c r="Z143" s="41"/>
    </row>
    <row r="144" ht="19.5" customHeight="1">
      <c r="A144" s="41"/>
      <c r="B144" s="84" t="s">
        <v>1052</v>
      </c>
      <c r="C144" s="110" t="str">
        <f>CONCATENATE(this_instance,"-m01-cl01-rp-vcfauth01")</f>
        <v>lax-m01-cl01-rp-vcfauth01</v>
      </c>
      <c r="D144" s="18"/>
      <c r="E144" s="18" t="s">
        <v>1051</v>
      </c>
      <c r="F144" s="41"/>
      <c r="G144" s="41"/>
      <c r="H144" s="41"/>
      <c r="I144" s="41"/>
      <c r="J144" s="41"/>
      <c r="K144" s="41"/>
      <c r="L144" s="41"/>
      <c r="M144" s="41"/>
      <c r="N144" s="41"/>
      <c r="O144" s="41"/>
      <c r="P144" s="41"/>
      <c r="Q144" s="41"/>
      <c r="R144" s="41"/>
      <c r="S144" s="41"/>
      <c r="T144" s="41"/>
      <c r="U144" s="41"/>
      <c r="V144" s="41"/>
      <c r="W144" s="41"/>
      <c r="X144" s="41"/>
      <c r="Y144" s="41"/>
      <c r="Z144" s="41"/>
    </row>
    <row r="145" ht="19.5" customHeight="1">
      <c r="A145" s="41"/>
      <c r="B145" s="84" t="s">
        <v>1053</v>
      </c>
      <c r="C145" s="110"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lax-m01-cl01-vds01-pg-vm-mgmt</v>
      </c>
      <c r="D145" s="18"/>
      <c r="E145" s="18" t="s">
        <v>1051</v>
      </c>
      <c r="F145" s="41"/>
      <c r="G145" s="41"/>
      <c r="H145" s="41"/>
      <c r="I145" s="41"/>
      <c r="J145" s="41"/>
      <c r="K145" s="41"/>
      <c r="L145" s="41"/>
      <c r="M145" s="41"/>
      <c r="N145" s="41"/>
      <c r="O145" s="41"/>
      <c r="P145" s="41"/>
      <c r="Q145" s="41"/>
      <c r="R145" s="41"/>
      <c r="S145" s="41"/>
      <c r="T145" s="41"/>
      <c r="U145" s="41"/>
      <c r="V145" s="41"/>
      <c r="W145" s="41"/>
      <c r="X145" s="41"/>
      <c r="Y145" s="41"/>
      <c r="Z145" s="41"/>
    </row>
    <row r="146" ht="19.5" customHeight="1">
      <c r="A146" s="41"/>
      <c r="B146" s="84" t="s">
        <v>1054</v>
      </c>
      <c r="C146" s="110" t="str">
        <f>IF(mgmt_principal_storage_chosen="VMFS on Fibre Channel (FC)",CONCATENATE(this_instance,"-m01-cl01-ds-vmfs01"),IF(mgmt_principal_storage_chosen="NFSv3",CONCATENATE(this_instance,"-m01-cl01-ds-nfs01"),CONCATENATE(this_instance,"-m01-cl01-ds-vsan01")))</f>
        <v>lax-m01-cl01-ds-nfs01</v>
      </c>
      <c r="D146" s="18"/>
      <c r="E146" s="18"/>
      <c r="F146" s="41"/>
      <c r="G146" s="41"/>
      <c r="H146" s="41"/>
      <c r="I146" s="41"/>
      <c r="J146" s="41"/>
      <c r="K146" s="41"/>
      <c r="L146" s="41"/>
      <c r="M146" s="41"/>
      <c r="N146" s="41"/>
      <c r="O146" s="41"/>
      <c r="P146" s="41"/>
      <c r="Q146" s="41"/>
      <c r="R146" s="41"/>
      <c r="S146" s="41"/>
      <c r="T146" s="41"/>
      <c r="U146" s="41"/>
      <c r="V146" s="41"/>
      <c r="W146" s="41"/>
      <c r="X146" s="41"/>
      <c r="Y146" s="41"/>
      <c r="Z146" s="41"/>
    </row>
    <row r="147" ht="19.5" customHeight="1">
      <c r="A147" s="41"/>
      <c r="B147" s="102" t="s">
        <v>717</v>
      </c>
      <c r="C147" s="13"/>
      <c r="D147" s="13"/>
      <c r="E147" s="14"/>
      <c r="F147" s="41"/>
      <c r="G147" s="41"/>
      <c r="H147" s="41"/>
      <c r="I147" s="41"/>
      <c r="J147" s="41"/>
      <c r="K147" s="41"/>
      <c r="L147" s="41"/>
      <c r="M147" s="41"/>
      <c r="N147" s="41"/>
      <c r="O147" s="41"/>
      <c r="P147" s="41"/>
      <c r="Q147" s="41"/>
      <c r="R147" s="41"/>
      <c r="S147" s="41"/>
      <c r="T147" s="41"/>
      <c r="U147" s="41"/>
      <c r="V147" s="41"/>
      <c r="W147" s="41"/>
      <c r="X147" s="41"/>
      <c r="Y147" s="41"/>
      <c r="Z147" s="41"/>
    </row>
    <row r="148" ht="19.5" customHeight="1">
      <c r="A148" s="41"/>
      <c r="B148" s="84" t="s">
        <v>356</v>
      </c>
      <c r="C148" s="111" t="str">
        <f>sample_parent_dns_zone</f>
        <v>rainpole.io</v>
      </c>
      <c r="D148" s="18" t="str">
        <f>parent_dns_zone</f>
        <v>Value Missing</v>
      </c>
      <c r="E148" s="18"/>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84" t="s">
        <v>1055</v>
      </c>
      <c r="C149" s="111" t="str">
        <f>sample_parent_dns_zone</f>
        <v>rainpole.io</v>
      </c>
      <c r="D149" s="18" t="str">
        <f>parent_dns_zone</f>
        <v>Value Missing</v>
      </c>
      <c r="E149" s="18"/>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84" t="s">
        <v>1056</v>
      </c>
      <c r="C150" s="203" t="str">
        <f>CONCATENATE(sample_region_dns1_ip,",",sample_region_dns2_ip)</f>
        <v>10.21.10.4,10.21.10.5</v>
      </c>
      <c r="D150" s="18" t="str">
        <f>CONCATENATE(region_dns1_ip,",",region_dns2_ip)</f>
        <v>Value Missing,Value Missing</v>
      </c>
      <c r="E150" s="18"/>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84" t="s">
        <v>1057</v>
      </c>
      <c r="C151" s="203" t="s">
        <v>1058</v>
      </c>
      <c r="D151" s="18" t="s">
        <v>1087</v>
      </c>
      <c r="E151" s="18"/>
      <c r="F151" s="41"/>
      <c r="G151" s="41"/>
      <c r="H151" s="41"/>
      <c r="I151" s="41"/>
      <c r="J151" s="41"/>
      <c r="K151" s="41"/>
      <c r="L151" s="41"/>
      <c r="M151" s="41"/>
      <c r="N151" s="41"/>
      <c r="O151" s="41"/>
      <c r="P151" s="41"/>
      <c r="Q151" s="41"/>
      <c r="R151" s="41"/>
      <c r="S151" s="41"/>
      <c r="T151" s="41"/>
      <c r="U151" s="41"/>
      <c r="V151" s="41"/>
      <c r="W151" s="41"/>
      <c r="X151" s="41"/>
      <c r="Y151" s="41"/>
      <c r="Z151" s="41"/>
    </row>
    <row r="152" ht="19.5" customHeight="1">
      <c r="A152" s="41"/>
      <c r="B152" s="84" t="s">
        <v>757</v>
      </c>
      <c r="C152" s="110" t="str">
        <f>CONCATENATE(sample_region_ntp1_server,",",sample_region_ntp2_server)</f>
        <v>ntp0.lax.rainpole.io,ntp1.lax.rainpole.io</v>
      </c>
      <c r="D152" s="18"/>
      <c r="E152" s="18"/>
      <c r="F152" s="41"/>
      <c r="G152" s="41"/>
      <c r="H152" s="41"/>
      <c r="I152" s="41"/>
      <c r="J152" s="41"/>
      <c r="K152" s="41"/>
      <c r="L152" s="41"/>
      <c r="M152" s="41"/>
      <c r="N152" s="41"/>
      <c r="O152" s="41"/>
      <c r="P152" s="41"/>
      <c r="Q152" s="41"/>
      <c r="R152" s="41"/>
      <c r="S152" s="41"/>
      <c r="T152" s="41"/>
      <c r="U152" s="41"/>
      <c r="V152" s="41"/>
      <c r="W152" s="41"/>
      <c r="X152" s="41"/>
      <c r="Y152" s="41"/>
      <c r="Z152" s="41"/>
    </row>
    <row r="153" ht="19.5" customHeight="1">
      <c r="A153" s="41"/>
      <c r="B153" s="84" t="s">
        <v>1059</v>
      </c>
      <c r="C153" s="110" t="str">
        <f>IF(flt_custom_network_chosen="Shared Management Network",IF(mgmt_dpg_reuse_result="Included",CONCATENATE(prefix_mgmt_az1_cidr,"10.1"),CONCATENATE(prefix_mgmt_az1_cidr,"11.1")),IF(flt_custom_network_chosen="NSX Overlay Segment",CONCATENATE(prefix_xreg_cidr,".1"),CONCATENATE(prefix_flt_shared_cidr,".1")))</f>
        <v>10.21.10.1</v>
      </c>
      <c r="D153" s="18"/>
      <c r="E153" s="18"/>
      <c r="F153" s="41"/>
      <c r="G153" s="41"/>
      <c r="H153" s="41"/>
      <c r="I153" s="41"/>
      <c r="J153" s="41"/>
      <c r="K153" s="41"/>
      <c r="L153" s="41"/>
      <c r="M153" s="41"/>
      <c r="N153" s="41"/>
      <c r="O153" s="41"/>
      <c r="P153" s="41"/>
      <c r="Q153" s="41"/>
      <c r="R153" s="41"/>
      <c r="S153" s="41"/>
      <c r="T153" s="41"/>
      <c r="U153" s="41"/>
      <c r="V153" s="41"/>
      <c r="W153" s="41"/>
      <c r="X153" s="41"/>
      <c r="Y153" s="41"/>
      <c r="Z153" s="41"/>
    </row>
    <row r="154" ht="19.5" customHeight="1">
      <c r="A154" s="41"/>
      <c r="B154" s="84" t="s">
        <v>1060</v>
      </c>
      <c r="C154" s="110" t="s">
        <v>622</v>
      </c>
      <c r="D154" s="18"/>
      <c r="E154" s="18"/>
      <c r="F154" s="41"/>
      <c r="G154" s="41"/>
      <c r="H154" s="41"/>
      <c r="I154" s="41"/>
      <c r="J154" s="41"/>
      <c r="K154" s="41"/>
      <c r="L154" s="41"/>
      <c r="M154" s="41"/>
      <c r="N154" s="41"/>
      <c r="O154" s="41"/>
      <c r="P154" s="41"/>
      <c r="Q154" s="41"/>
      <c r="R154" s="41"/>
      <c r="S154" s="41"/>
      <c r="T154" s="41"/>
      <c r="U154" s="41"/>
      <c r="V154" s="41"/>
      <c r="W154" s="41"/>
      <c r="X154" s="41"/>
      <c r="Y154" s="41"/>
      <c r="Z154" s="41"/>
    </row>
    <row r="155" ht="19.5" customHeight="1">
      <c r="A155" s="41"/>
      <c r="B155" s="102" t="s">
        <v>1061</v>
      </c>
      <c r="C155" s="13"/>
      <c r="D155" s="13"/>
      <c r="E155" s="14"/>
      <c r="F155" s="41"/>
      <c r="G155" s="41"/>
      <c r="H155" s="41"/>
      <c r="I155" s="41"/>
      <c r="J155" s="41"/>
      <c r="K155" s="41"/>
      <c r="L155" s="41"/>
      <c r="M155" s="41"/>
      <c r="N155" s="41"/>
      <c r="O155" s="41"/>
      <c r="P155" s="41"/>
      <c r="Q155" s="41"/>
      <c r="R155" s="41"/>
      <c r="S155" s="41"/>
      <c r="T155" s="41"/>
      <c r="U155" s="41"/>
      <c r="V155" s="41"/>
      <c r="W155" s="41"/>
      <c r="X155" s="41"/>
      <c r="Y155" s="41"/>
      <c r="Z155" s="41"/>
    </row>
    <row r="156" ht="19.5" customHeight="1">
      <c r="A156" s="41"/>
      <c r="B156" s="173" t="s">
        <v>1088</v>
      </c>
      <c r="C156" s="225" t="str">
        <f>CONCATENATE(prefix_portable_component,"-idb01","-admin-password")</f>
        <v>flt-idb01-admin-password</v>
      </c>
      <c r="D156" s="18"/>
      <c r="E156" s="18"/>
      <c r="F156" s="41"/>
      <c r="G156" s="41"/>
      <c r="H156" s="41"/>
      <c r="I156" s="41"/>
      <c r="J156" s="41"/>
      <c r="K156" s="41"/>
      <c r="L156" s="41"/>
      <c r="M156" s="41"/>
      <c r="N156" s="41"/>
      <c r="O156" s="41"/>
      <c r="P156" s="41"/>
      <c r="Q156" s="41"/>
      <c r="R156" s="41"/>
      <c r="S156" s="41"/>
      <c r="T156" s="41"/>
      <c r="U156" s="41"/>
      <c r="V156" s="41"/>
      <c r="W156" s="41"/>
      <c r="X156" s="41"/>
      <c r="Y156" s="41"/>
      <c r="Z156" s="41"/>
    </row>
    <row r="157" ht="19.5" customHeight="1">
      <c r="A157" s="41"/>
      <c r="B157" s="187" t="s">
        <v>1064</v>
      </c>
      <c r="C157" s="225" t="s">
        <v>297</v>
      </c>
      <c r="D157" s="18"/>
      <c r="E157" s="18"/>
      <c r="F157" s="41"/>
      <c r="G157" s="41"/>
      <c r="H157" s="41"/>
      <c r="I157" s="41"/>
      <c r="J157" s="41"/>
      <c r="K157" s="41"/>
      <c r="L157" s="41"/>
      <c r="M157" s="41"/>
      <c r="N157" s="41"/>
      <c r="O157" s="41"/>
      <c r="P157" s="41"/>
      <c r="Q157" s="41"/>
      <c r="R157" s="41"/>
      <c r="S157" s="41"/>
      <c r="T157" s="41"/>
      <c r="U157" s="41"/>
      <c r="V157" s="41"/>
      <c r="W157" s="41"/>
      <c r="X157" s="41"/>
      <c r="Y157" s="41"/>
      <c r="Z157" s="41"/>
    </row>
    <row r="158" ht="19.5" customHeight="1">
      <c r="A158" s="41"/>
      <c r="B158" s="187" t="s">
        <v>1065</v>
      </c>
      <c r="C158" s="225" t="s">
        <v>1089</v>
      </c>
      <c r="D158" s="18"/>
      <c r="E158" s="18"/>
      <c r="F158" s="41"/>
      <c r="G158" s="41"/>
      <c r="H158" s="41"/>
      <c r="I158" s="41"/>
      <c r="J158" s="41"/>
      <c r="K158" s="41"/>
      <c r="L158" s="41"/>
      <c r="M158" s="41"/>
      <c r="N158" s="41"/>
      <c r="O158" s="41"/>
      <c r="P158" s="41"/>
      <c r="Q158" s="41"/>
      <c r="R158" s="41"/>
      <c r="S158" s="41"/>
      <c r="T158" s="41"/>
      <c r="U158" s="41"/>
      <c r="V158" s="41"/>
      <c r="W158" s="41"/>
      <c r="X158" s="41"/>
      <c r="Y158" s="41"/>
      <c r="Z158" s="41"/>
    </row>
    <row r="159" ht="19.5" customHeight="1">
      <c r="A159" s="41"/>
      <c r="B159" s="84" t="s">
        <v>1068</v>
      </c>
      <c r="C159" s="225" t="str">
        <f>CONCATENATE(prefix_portable_component,"-idb01","-password")</f>
        <v>flt-idb01-password</v>
      </c>
      <c r="D159" s="18"/>
      <c r="E159" s="18"/>
      <c r="F159" s="41"/>
      <c r="G159" s="41"/>
      <c r="H159" s="41"/>
      <c r="I159" s="41"/>
      <c r="J159" s="41"/>
      <c r="K159" s="41"/>
      <c r="L159" s="41"/>
      <c r="M159" s="41"/>
      <c r="N159" s="41"/>
      <c r="O159" s="41"/>
      <c r="P159" s="41"/>
      <c r="Q159" s="41"/>
      <c r="R159" s="41"/>
      <c r="S159" s="41"/>
      <c r="T159" s="41"/>
      <c r="U159" s="41"/>
      <c r="V159" s="41"/>
      <c r="W159" s="41"/>
      <c r="X159" s="41"/>
      <c r="Y159" s="41"/>
      <c r="Z159" s="41"/>
    </row>
    <row r="160" ht="19.5" customHeight="1">
      <c r="A160" s="41"/>
      <c r="B160" s="84" t="s">
        <v>331</v>
      </c>
      <c r="C160" s="225" t="s">
        <v>297</v>
      </c>
      <c r="D160" s="18"/>
      <c r="E160" s="18"/>
      <c r="F160" s="41"/>
      <c r="G160" s="41"/>
      <c r="H160" s="41"/>
      <c r="I160" s="41"/>
      <c r="J160" s="41"/>
      <c r="K160" s="41"/>
      <c r="L160" s="41"/>
      <c r="M160" s="41"/>
      <c r="N160" s="41"/>
      <c r="O160" s="41"/>
      <c r="P160" s="41"/>
      <c r="Q160" s="41"/>
      <c r="R160" s="41"/>
      <c r="S160" s="41"/>
      <c r="T160" s="41"/>
      <c r="U160" s="41"/>
      <c r="V160" s="41"/>
      <c r="W160" s="41"/>
      <c r="X160" s="41"/>
      <c r="Y160" s="41"/>
      <c r="Z160" s="41"/>
    </row>
    <row r="161" ht="19.5" customHeight="1">
      <c r="A161" s="41"/>
      <c r="B161" s="84" t="s">
        <v>1069</v>
      </c>
      <c r="C161" s="225" t="str">
        <f>CONCATENATE(prefix_portable_component,"-idb01","-password")</f>
        <v>flt-idb01-password</v>
      </c>
      <c r="D161" s="18"/>
      <c r="E161" s="18"/>
      <c r="F161" s="41"/>
      <c r="G161" s="41"/>
      <c r="H161" s="41"/>
      <c r="I161" s="41"/>
      <c r="J161" s="41"/>
      <c r="K161" s="41"/>
      <c r="L161" s="41"/>
      <c r="M161" s="41"/>
      <c r="N161" s="41"/>
      <c r="O161" s="41"/>
      <c r="P161" s="41"/>
      <c r="Q161" s="41"/>
      <c r="R161" s="41"/>
      <c r="S161" s="41"/>
      <c r="T161" s="41"/>
      <c r="U161" s="41"/>
      <c r="V161" s="41"/>
      <c r="W161" s="41"/>
      <c r="X161" s="41"/>
      <c r="Y161" s="41"/>
      <c r="Z161" s="41"/>
    </row>
    <row r="162" ht="19.5" customHeight="1">
      <c r="A162" s="41"/>
      <c r="B162" s="84" t="s">
        <v>294</v>
      </c>
      <c r="C162" s="225" t="s">
        <v>728</v>
      </c>
      <c r="D162" s="18"/>
      <c r="E162" s="18"/>
      <c r="F162" s="41"/>
      <c r="G162" s="41"/>
      <c r="H162" s="41"/>
      <c r="I162" s="41"/>
      <c r="J162" s="41"/>
      <c r="K162" s="41"/>
      <c r="L162" s="41"/>
      <c r="M162" s="41"/>
      <c r="N162" s="41"/>
      <c r="O162" s="41"/>
      <c r="P162" s="41"/>
      <c r="Q162" s="41"/>
      <c r="R162" s="41"/>
      <c r="S162" s="41"/>
      <c r="T162" s="41"/>
      <c r="U162" s="41"/>
      <c r="V162" s="41"/>
      <c r="W162" s="41"/>
      <c r="X162" s="41"/>
      <c r="Y162" s="41"/>
      <c r="Z162" s="41"/>
    </row>
    <row r="163" ht="19.5" customHeight="1">
      <c r="A163" s="41"/>
      <c r="B163" s="84" t="s">
        <v>1072</v>
      </c>
      <c r="C163" s="226" t="str">
        <f>CONCATENATE(this_instance,"-m01-vc01.",sample_child_dns_zone)</f>
        <v>lax-m01-vc01.lax.rainpole.io</v>
      </c>
      <c r="D163" s="18"/>
      <c r="E163" s="18"/>
      <c r="F163" s="41"/>
      <c r="G163" s="41"/>
      <c r="H163" s="41"/>
      <c r="I163" s="41"/>
      <c r="J163" s="41"/>
      <c r="K163" s="41"/>
      <c r="L163" s="41"/>
      <c r="M163" s="41"/>
      <c r="N163" s="41"/>
      <c r="O163" s="41"/>
      <c r="P163" s="41"/>
      <c r="Q163" s="41"/>
      <c r="R163" s="41"/>
      <c r="S163" s="41"/>
      <c r="T163" s="41"/>
      <c r="U163" s="41"/>
      <c r="V163" s="41"/>
      <c r="W163" s="41"/>
      <c r="X163" s="41"/>
      <c r="Y163" s="41"/>
      <c r="Z163" s="41"/>
    </row>
    <row r="164" ht="19.5" customHeight="1">
      <c r="A164" s="41"/>
      <c r="B164" s="84" t="s">
        <v>537</v>
      </c>
      <c r="C164" s="226" t="str">
        <f>sample_flt_vidb_vip_fqdn</f>
        <v>flt-idb01.rainpole.io</v>
      </c>
      <c r="D164" s="18" t="str">
        <f>flt_vidb_vip_fqdn</f>
        <v>Value Missing</v>
      </c>
      <c r="E164" s="18"/>
      <c r="F164" s="41"/>
      <c r="G164" s="41"/>
      <c r="H164" s="41"/>
      <c r="I164" s="41"/>
      <c r="J164" s="41"/>
      <c r="K164" s="41"/>
      <c r="L164" s="41"/>
      <c r="M164" s="41"/>
      <c r="N164" s="41"/>
      <c r="O164" s="41"/>
      <c r="P164" s="41"/>
      <c r="Q164" s="41"/>
      <c r="R164" s="41"/>
      <c r="S164" s="41"/>
      <c r="T164" s="41"/>
      <c r="U164" s="41"/>
      <c r="V164" s="41"/>
      <c r="W164" s="41"/>
      <c r="X164" s="41"/>
      <c r="Y164" s="41"/>
      <c r="Z164" s="41"/>
    </row>
    <row r="165" ht="19.5" customHeight="1">
      <c r="A165" s="41"/>
      <c r="B165" s="84" t="s">
        <v>1031</v>
      </c>
      <c r="C165" s="110" t="str">
        <f>sample_flt_vidb_cert_alias</f>
        <v>flt-idb01-cert</v>
      </c>
      <c r="D165" s="18" t="str">
        <f>flt_vidb_cert_alias</f>
        <v>Value Missing</v>
      </c>
      <c r="E165" s="18"/>
      <c r="F165" s="41"/>
      <c r="G165" s="41"/>
      <c r="H165" s="41"/>
      <c r="I165" s="41"/>
      <c r="J165" s="41"/>
      <c r="K165" s="41"/>
      <c r="L165" s="41"/>
      <c r="M165" s="41"/>
      <c r="N165" s="41"/>
      <c r="O165" s="41"/>
      <c r="P165" s="41"/>
      <c r="Q165" s="41"/>
      <c r="R165" s="41"/>
      <c r="S165" s="41"/>
      <c r="T165" s="41"/>
      <c r="U165" s="41"/>
      <c r="V165" s="41"/>
      <c r="W165" s="41"/>
      <c r="X165" s="41"/>
      <c r="Y165" s="41"/>
      <c r="Z165" s="41"/>
    </row>
    <row r="166" ht="19.5" customHeight="1">
      <c r="A166" s="41"/>
      <c r="B166" s="84" t="s">
        <v>1017</v>
      </c>
      <c r="C166" s="225" t="str">
        <f>CONCATENATE(prefix_portable_component,"-idb")</f>
        <v>flt-idb</v>
      </c>
      <c r="D166" s="18"/>
      <c r="E166" s="18" t="s">
        <v>1090</v>
      </c>
      <c r="F166" s="41"/>
      <c r="G166" s="41"/>
      <c r="H166" s="41"/>
      <c r="I166" s="41"/>
      <c r="J166" s="41"/>
      <c r="K166" s="41"/>
      <c r="L166" s="41"/>
      <c r="M166" s="41"/>
      <c r="N166" s="41"/>
      <c r="O166" s="41"/>
      <c r="P166" s="41"/>
      <c r="Q166" s="41"/>
      <c r="R166" s="41"/>
      <c r="S166" s="41"/>
      <c r="T166" s="41"/>
      <c r="U166" s="41"/>
      <c r="V166" s="41"/>
      <c r="W166" s="41"/>
      <c r="X166" s="41"/>
      <c r="Y166" s="41"/>
      <c r="Z166" s="41"/>
    </row>
    <row r="167" ht="19.5" customHeight="1">
      <c r="A167" s="41"/>
      <c r="B167" s="84" t="s">
        <v>348</v>
      </c>
      <c r="C167" s="225" t="s">
        <v>1091</v>
      </c>
      <c r="D167" s="18" t="s">
        <v>1091</v>
      </c>
      <c r="E167" s="18" t="s">
        <v>1025</v>
      </c>
      <c r="F167" s="41"/>
      <c r="G167" s="41"/>
      <c r="H167" s="41"/>
      <c r="I167" s="41"/>
      <c r="J167" s="41"/>
      <c r="K167" s="41"/>
      <c r="L167" s="41"/>
      <c r="M167" s="41"/>
      <c r="N167" s="41"/>
      <c r="O167" s="41"/>
      <c r="P167" s="41"/>
      <c r="Q167" s="41"/>
      <c r="R167" s="41"/>
      <c r="S167" s="41"/>
      <c r="T167" s="41"/>
      <c r="U167" s="41"/>
      <c r="V167" s="41"/>
      <c r="W167" s="41"/>
      <c r="X167" s="41"/>
      <c r="Y167" s="41"/>
      <c r="Z167" s="41"/>
    </row>
    <row r="168" ht="19.5" customHeight="1">
      <c r="A168" s="41"/>
      <c r="B168" s="84" t="s">
        <v>1076</v>
      </c>
      <c r="C168" s="225" t="str">
        <f>sample_flt_vidb_vip_ip</f>
        <v>10.21.10.23</v>
      </c>
      <c r="D168" s="18" t="str">
        <f t="array" ref="D168">flt_vidb_vip_ip</f>
        <v>Value Missing</v>
      </c>
      <c r="E168" s="18"/>
      <c r="F168" s="41"/>
      <c r="G168" s="41"/>
      <c r="H168" s="41"/>
      <c r="I168" s="41"/>
      <c r="J168" s="41"/>
      <c r="K168" s="41"/>
      <c r="L168" s="41"/>
      <c r="M168" s="41"/>
      <c r="N168" s="41"/>
      <c r="O168" s="41"/>
      <c r="P168" s="41"/>
      <c r="Q168" s="41"/>
      <c r="R168" s="41"/>
      <c r="S168" s="41"/>
      <c r="T168" s="41"/>
      <c r="U168" s="41"/>
      <c r="V168" s="41"/>
      <c r="W168" s="41"/>
      <c r="X168" s="41"/>
      <c r="Y168" s="41"/>
      <c r="Z168" s="41"/>
    </row>
    <row r="169" ht="19.5" customHeight="1">
      <c r="A169" s="41"/>
      <c r="B169" s="84" t="s">
        <v>1078</v>
      </c>
      <c r="C169" s="225" t="s">
        <v>502</v>
      </c>
      <c r="D169" s="18"/>
      <c r="E169" s="18"/>
      <c r="F169" s="41"/>
      <c r="G169" s="41"/>
      <c r="H169" s="41"/>
      <c r="I169" s="41"/>
      <c r="J169" s="41"/>
      <c r="K169" s="41"/>
      <c r="L169" s="41"/>
      <c r="M169" s="41"/>
      <c r="N169" s="41"/>
      <c r="O169" s="41"/>
      <c r="P169" s="41"/>
      <c r="Q169" s="41"/>
      <c r="R169" s="41"/>
      <c r="S169" s="41"/>
      <c r="T169" s="41"/>
      <c r="U169" s="41"/>
      <c r="V169" s="41"/>
      <c r="W169" s="41"/>
      <c r="X169" s="41"/>
      <c r="Y169" s="41"/>
      <c r="Z169" s="41"/>
    </row>
    <row r="170" ht="19.5" customHeight="1">
      <c r="A170" s="41"/>
      <c r="B170" s="84" t="s">
        <v>1079</v>
      </c>
      <c r="C170" s="225" t="str">
        <f>IF(flt_custom_network_chosen="Shared Management Network",IF(mgmt_dpg_reuse_result="Included",CONCATENATE(prefix_mgmt_az1_cidr,"10.55"),CONCATENATE(prefix_mgmt_az1_cidr,"11.55")),IF(flt_custom_network_chosen="NSX Overlay Segment",CONCATENATE(prefix_xreg_cidr,".55"),CONCATENATE(prefix_flt_shared_cidr,".55")))</f>
        <v>10.21.10.55</v>
      </c>
      <c r="D170" s="18"/>
      <c r="E170" s="18"/>
      <c r="F170" s="41"/>
      <c r="G170" s="41"/>
      <c r="H170" s="41"/>
      <c r="I170" s="41"/>
      <c r="J170" s="41"/>
      <c r="K170" s="41"/>
      <c r="L170" s="41"/>
      <c r="M170" s="41"/>
      <c r="N170" s="41"/>
      <c r="O170" s="41"/>
      <c r="P170" s="41"/>
      <c r="Q170" s="41"/>
      <c r="R170" s="41"/>
      <c r="S170" s="41"/>
      <c r="T170" s="41"/>
      <c r="U170" s="41"/>
      <c r="V170" s="41"/>
      <c r="W170" s="41"/>
      <c r="X170" s="41"/>
      <c r="Y170" s="41"/>
      <c r="Z170" s="41"/>
    </row>
    <row r="171" ht="19.5" customHeight="1">
      <c r="A171" s="41"/>
      <c r="B171" s="84" t="s">
        <v>1080</v>
      </c>
      <c r="C171" s="225" t="str">
        <f>IF(flt_custom_network_chosen="Shared Management Network",IF(mgmt_dpg_reuse_result="Included",CONCATENATE(prefix_mgmt_az1_cidr,"10.56"),CONCATENATE(prefix_mgmt_az1_cidr,"11.56")),IF(flt_custom_network_chosen="NSX Overlay Segment",CONCATENATE(prefix_xreg_cidr,".56"),CONCATENATE(prefix_flt_shared_cidr,".56")))</f>
        <v>10.21.10.56</v>
      </c>
      <c r="D171" s="18"/>
      <c r="E171" s="18"/>
      <c r="F171" s="41"/>
      <c r="G171" s="41"/>
      <c r="H171" s="41"/>
      <c r="I171" s="41"/>
      <c r="J171" s="41"/>
      <c r="K171" s="41"/>
      <c r="L171" s="41"/>
      <c r="M171" s="41"/>
      <c r="N171" s="41"/>
      <c r="O171" s="41"/>
      <c r="P171" s="41"/>
      <c r="Q171" s="41"/>
      <c r="R171" s="41"/>
      <c r="S171" s="41"/>
      <c r="T171" s="41"/>
      <c r="U171" s="41"/>
      <c r="V171" s="41"/>
      <c r="W171" s="41"/>
      <c r="X171" s="41"/>
      <c r="Y171" s="41"/>
      <c r="Z171" s="41"/>
    </row>
    <row r="172" ht="19.5" customHeight="1">
      <c r="A172" s="41"/>
      <c r="B172" s="145" t="s">
        <v>1081</v>
      </c>
      <c r="C172" s="225" t="str">
        <f>IF(flt_custom_network_chosen="Shared Management Network",IF(mgmt_dpg_reuse_result="Included",CONCATENATE(prefix_mgmt_az1_cidr,"10.57"),CONCATENATE(prefix_mgmt_az1_cidr,"11.57")),IF(flt_custom_network_chosen="NSX Overlay Segment",CONCATENATE(prefix_xreg_cidr,".57"),CONCATENATE(prefix_flt_shared_cidr,".57")))</f>
        <v>10.21.10.57</v>
      </c>
      <c r="D172" s="18"/>
      <c r="E172" s="29"/>
      <c r="F172" s="41"/>
      <c r="G172" s="41"/>
      <c r="H172" s="41"/>
      <c r="I172" s="41"/>
      <c r="J172" s="41"/>
      <c r="K172" s="41"/>
      <c r="L172" s="41"/>
      <c r="M172" s="41"/>
      <c r="N172" s="41"/>
      <c r="O172" s="41"/>
      <c r="P172" s="41"/>
      <c r="Q172" s="41"/>
      <c r="R172" s="41"/>
      <c r="S172" s="41"/>
      <c r="T172" s="41"/>
      <c r="U172" s="41"/>
      <c r="V172" s="41"/>
      <c r="W172" s="41"/>
      <c r="X172" s="41"/>
      <c r="Y172" s="41"/>
      <c r="Z172" s="41"/>
    </row>
    <row r="173" ht="19.5" customHeight="1">
      <c r="A173" s="41"/>
      <c r="B173" s="84" t="s">
        <v>1082</v>
      </c>
      <c r="C173" s="175" t="str">
        <f>IF(flt_custom_network_chosen="Shared Management Network",IF(mgmt_dpg_reuse_result="Included",CONCATENATE(prefix_mgmt_az1_cidr,"10.58"),CONCATENATE(prefix_mgmt_az1_cidr,"11.58")),IF(flt_custom_network_chosen="NSX Overlay Segment",CONCATENATE(prefix_xreg_cidr,".58"),CONCATENATE(prefix_flt_shared_cidr,".58")))</f>
        <v>10.21.10.58</v>
      </c>
      <c r="D173" s="18"/>
      <c r="E173" s="18"/>
      <c r="F173" s="41"/>
      <c r="G173" s="41"/>
      <c r="H173" s="41"/>
      <c r="I173" s="41"/>
      <c r="J173" s="41"/>
      <c r="K173" s="41"/>
      <c r="L173" s="41"/>
      <c r="M173" s="41"/>
      <c r="N173" s="41"/>
      <c r="O173" s="41"/>
      <c r="P173" s="41"/>
      <c r="Q173" s="41"/>
      <c r="R173" s="41"/>
      <c r="S173" s="41"/>
      <c r="T173" s="41"/>
      <c r="U173" s="41"/>
      <c r="V173" s="41"/>
      <c r="W173" s="41"/>
      <c r="X173" s="41"/>
      <c r="Y173" s="41"/>
      <c r="Z173" s="41"/>
    </row>
    <row r="174" ht="19.5" customHeight="1">
      <c r="A174" s="41"/>
      <c r="B174" s="102" t="s">
        <v>1092</v>
      </c>
      <c r="C174" s="13"/>
      <c r="D174" s="13"/>
      <c r="E174" s="14"/>
      <c r="F174" s="41"/>
      <c r="G174" s="41"/>
      <c r="H174" s="41"/>
      <c r="I174" s="41"/>
      <c r="J174" s="41"/>
      <c r="K174" s="41"/>
      <c r="L174" s="41"/>
      <c r="M174" s="41"/>
      <c r="N174" s="41"/>
      <c r="O174" s="41"/>
      <c r="P174" s="41"/>
      <c r="Q174" s="41"/>
      <c r="R174" s="41"/>
      <c r="S174" s="41"/>
      <c r="T174" s="41"/>
      <c r="U174" s="41"/>
      <c r="V174" s="41"/>
      <c r="W174" s="41"/>
      <c r="X174" s="41"/>
      <c r="Y174" s="41"/>
      <c r="Z174" s="41"/>
    </row>
    <row r="175" ht="19.5" customHeight="1">
      <c r="A175" s="41"/>
      <c r="B175" s="49" t="s">
        <v>37</v>
      </c>
      <c r="C175" s="49" t="s">
        <v>273</v>
      </c>
      <c r="D175" s="49" t="s">
        <v>274</v>
      </c>
      <c r="E175" s="215" t="s">
        <v>5</v>
      </c>
      <c r="F175" s="41"/>
      <c r="G175" s="41"/>
      <c r="H175" s="41"/>
      <c r="I175" s="41"/>
      <c r="J175" s="41"/>
      <c r="K175" s="41"/>
      <c r="L175" s="41"/>
      <c r="M175" s="41"/>
      <c r="N175" s="41"/>
      <c r="O175" s="41"/>
      <c r="P175" s="41"/>
      <c r="Q175" s="41"/>
      <c r="R175" s="41"/>
      <c r="S175" s="41"/>
      <c r="T175" s="41"/>
      <c r="U175" s="41"/>
      <c r="V175" s="41"/>
      <c r="W175" s="41"/>
      <c r="X175" s="41"/>
      <c r="Y175" s="41"/>
      <c r="Z175" s="41"/>
    </row>
    <row r="176" ht="19.5" customHeight="1">
      <c r="A176" s="41"/>
      <c r="B176" s="84" t="s">
        <v>1093</v>
      </c>
      <c r="C176" s="110" t="str">
        <f>sample_vcf_instance_name</f>
        <v>Los Angeles</v>
      </c>
      <c r="D176" s="18" t="str">
        <f>vcf_instance_name</f>
        <v>Value Missing</v>
      </c>
      <c r="E176" s="18"/>
      <c r="F176" s="41"/>
      <c r="G176" s="41"/>
      <c r="H176" s="41"/>
      <c r="I176" s="41"/>
      <c r="J176" s="41"/>
      <c r="K176" s="41"/>
      <c r="L176" s="41"/>
      <c r="M176" s="41"/>
      <c r="N176" s="41"/>
      <c r="O176" s="41"/>
      <c r="P176" s="41"/>
      <c r="Q176" s="41"/>
      <c r="R176" s="41"/>
      <c r="S176" s="41"/>
      <c r="T176" s="41"/>
      <c r="U176" s="41"/>
      <c r="V176" s="41"/>
      <c r="W176" s="41"/>
      <c r="X176" s="41"/>
      <c r="Y176" s="41"/>
      <c r="Z176" s="41"/>
    </row>
    <row r="177" ht="19.5" customHeight="1">
      <c r="A177" s="41"/>
      <c r="B177" s="84" t="s">
        <v>1094</v>
      </c>
      <c r="C177" s="110" t="s">
        <v>1095</v>
      </c>
      <c r="D177" s="18" t="str">
        <f>flt_vidb_chosen</f>
        <v>Exclude</v>
      </c>
      <c r="E177" s="18"/>
      <c r="F177" s="41"/>
      <c r="G177" s="41"/>
      <c r="H177" s="41"/>
      <c r="I177" s="41"/>
      <c r="J177" s="41"/>
      <c r="K177" s="41"/>
      <c r="L177" s="41"/>
      <c r="M177" s="41"/>
      <c r="N177" s="41"/>
      <c r="O177" s="41"/>
      <c r="P177" s="41"/>
      <c r="Q177" s="41"/>
      <c r="R177" s="41"/>
      <c r="S177" s="41"/>
      <c r="T177" s="41"/>
      <c r="U177" s="41"/>
      <c r="V177" s="41"/>
      <c r="W177" s="41"/>
      <c r="X177" s="41"/>
      <c r="Y177" s="41"/>
      <c r="Z177" s="41"/>
    </row>
    <row r="178" ht="19.5" customHeight="1">
      <c r="A178" s="41"/>
      <c r="B178" s="84" t="s">
        <v>1096</v>
      </c>
      <c r="C178" s="110" t="s">
        <v>1097</v>
      </c>
      <c r="D178" s="18" t="s">
        <v>1097</v>
      </c>
      <c r="E178" s="18"/>
      <c r="F178" s="41"/>
      <c r="G178" s="41"/>
      <c r="H178" s="41"/>
      <c r="I178" s="41"/>
      <c r="J178" s="41"/>
      <c r="K178" s="41"/>
      <c r="L178" s="41"/>
      <c r="M178" s="41"/>
      <c r="N178" s="41"/>
      <c r="O178" s="41"/>
      <c r="P178" s="41"/>
      <c r="Q178" s="41"/>
      <c r="R178" s="41"/>
      <c r="S178" s="41"/>
      <c r="T178" s="41"/>
      <c r="U178" s="41"/>
      <c r="V178" s="41"/>
      <c r="W178" s="41"/>
      <c r="X178" s="41"/>
      <c r="Y178" s="41"/>
      <c r="Z178" s="41"/>
    </row>
    <row r="179" ht="19.5" customHeight="1">
      <c r="A179" s="41"/>
      <c r="B179" s="84" t="s">
        <v>1098</v>
      </c>
      <c r="C179" s="110" t="s">
        <v>74</v>
      </c>
      <c r="D179" s="18"/>
      <c r="E179" s="18"/>
      <c r="F179" s="41"/>
      <c r="G179" s="41"/>
      <c r="H179" s="41"/>
      <c r="I179" s="41"/>
      <c r="J179" s="41"/>
      <c r="K179" s="41"/>
      <c r="L179" s="41"/>
      <c r="M179" s="41"/>
      <c r="N179" s="41"/>
      <c r="O179" s="41"/>
      <c r="P179" s="41"/>
      <c r="Q179" s="41"/>
      <c r="R179" s="41"/>
      <c r="S179" s="41"/>
      <c r="T179" s="41"/>
      <c r="U179" s="41"/>
      <c r="V179" s="41"/>
      <c r="W179" s="41"/>
      <c r="X179" s="41"/>
      <c r="Y179" s="41"/>
      <c r="Z179" s="41"/>
    </row>
    <row r="180" ht="19.5" customHeight="1">
      <c r="A180" s="41"/>
      <c r="B180" s="84" t="s">
        <v>1099</v>
      </c>
      <c r="C180" s="110" t="s">
        <v>285</v>
      </c>
      <c r="D180" s="18" t="s">
        <v>285</v>
      </c>
      <c r="E180" s="18" t="s">
        <v>1100</v>
      </c>
      <c r="F180" s="41"/>
      <c r="G180" s="41"/>
      <c r="H180" s="41"/>
      <c r="I180" s="41"/>
      <c r="J180" s="41"/>
      <c r="K180" s="41"/>
      <c r="L180" s="41"/>
      <c r="M180" s="41"/>
      <c r="N180" s="41"/>
      <c r="O180" s="41"/>
      <c r="P180" s="41"/>
      <c r="Q180" s="41"/>
      <c r="R180" s="41"/>
      <c r="S180" s="41"/>
      <c r="T180" s="41"/>
      <c r="U180" s="41"/>
      <c r="V180" s="41"/>
      <c r="W180" s="41"/>
      <c r="X180" s="41"/>
      <c r="Y180" s="41"/>
      <c r="Z180" s="41"/>
    </row>
    <row r="181" ht="19.5" customHeight="1">
      <c r="A181" s="41"/>
      <c r="B181" s="84" t="s">
        <v>1101</v>
      </c>
      <c r="C181" s="110" t="s">
        <v>284</v>
      </c>
      <c r="D181" s="18" t="s">
        <v>284</v>
      </c>
      <c r="E181" s="18" t="s">
        <v>1102</v>
      </c>
      <c r="F181" s="41"/>
      <c r="G181" s="41"/>
      <c r="H181" s="41"/>
      <c r="I181" s="41"/>
      <c r="J181" s="41"/>
      <c r="K181" s="41"/>
      <c r="L181" s="41"/>
      <c r="M181" s="41"/>
      <c r="N181" s="41"/>
      <c r="O181" s="41"/>
      <c r="P181" s="41"/>
      <c r="Q181" s="41"/>
      <c r="R181" s="41"/>
      <c r="S181" s="41"/>
      <c r="T181" s="41"/>
      <c r="U181" s="41"/>
      <c r="V181" s="41"/>
      <c r="W181" s="41"/>
      <c r="X181" s="41"/>
      <c r="Y181" s="41"/>
      <c r="Z181" s="41"/>
    </row>
    <row r="182" ht="19.5" customHeight="1">
      <c r="A182" s="41"/>
      <c r="B182" s="84" t="s">
        <v>1103</v>
      </c>
      <c r="C182" s="110" t="s">
        <v>284</v>
      </c>
      <c r="D182" s="18" t="s">
        <v>284</v>
      </c>
      <c r="E182" s="18" t="s">
        <v>1104</v>
      </c>
      <c r="F182" s="41"/>
      <c r="G182" s="41"/>
      <c r="H182" s="41"/>
      <c r="I182" s="41"/>
      <c r="J182" s="41"/>
      <c r="K182" s="41"/>
      <c r="L182" s="41"/>
      <c r="M182" s="41"/>
      <c r="N182" s="41"/>
      <c r="O182" s="41"/>
      <c r="P182" s="41"/>
      <c r="Q182" s="41"/>
      <c r="R182" s="41"/>
      <c r="S182" s="41"/>
      <c r="T182" s="41"/>
      <c r="U182" s="41"/>
      <c r="V182" s="41"/>
      <c r="W182" s="41"/>
      <c r="X182" s="41"/>
      <c r="Y182" s="41"/>
      <c r="Z182" s="41"/>
    </row>
    <row r="183" ht="19.5" customHeight="1">
      <c r="A183" s="41"/>
      <c r="B183" s="84" t="s">
        <v>1105</v>
      </c>
      <c r="C183" s="110" t="s">
        <v>1106</v>
      </c>
      <c r="D183" s="18"/>
      <c r="E183" s="18" t="s">
        <v>1107</v>
      </c>
      <c r="F183" s="41"/>
      <c r="G183" s="41"/>
      <c r="H183" s="41"/>
      <c r="I183" s="41"/>
      <c r="J183" s="41"/>
      <c r="K183" s="41"/>
      <c r="L183" s="41"/>
      <c r="M183" s="41"/>
      <c r="N183" s="41"/>
      <c r="O183" s="41"/>
      <c r="P183" s="41"/>
      <c r="Q183" s="41"/>
      <c r="R183" s="41"/>
      <c r="S183" s="41"/>
      <c r="T183" s="41"/>
      <c r="U183" s="41"/>
      <c r="V183" s="41"/>
      <c r="W183" s="41"/>
      <c r="X183" s="41"/>
      <c r="Y183" s="41"/>
      <c r="Z183" s="41"/>
    </row>
    <row r="184" ht="19.5" customHeight="1">
      <c r="A184" s="41"/>
      <c r="B184" s="84" t="s">
        <v>1108</v>
      </c>
      <c r="C184" s="110" t="s">
        <v>1109</v>
      </c>
      <c r="D184" s="18"/>
      <c r="E184" s="18"/>
      <c r="F184" s="41"/>
      <c r="G184" s="41"/>
      <c r="H184" s="41"/>
      <c r="I184" s="41"/>
      <c r="J184" s="41"/>
      <c r="K184" s="41"/>
      <c r="L184" s="41"/>
      <c r="M184" s="41"/>
      <c r="N184" s="41"/>
      <c r="O184" s="41"/>
      <c r="P184" s="41"/>
      <c r="Q184" s="41"/>
      <c r="R184" s="41"/>
      <c r="S184" s="41"/>
      <c r="T184" s="41"/>
      <c r="U184" s="41"/>
      <c r="V184" s="41"/>
      <c r="W184" s="41"/>
      <c r="X184" s="41"/>
      <c r="Y184" s="41"/>
      <c r="Z184" s="41"/>
    </row>
    <row r="185" ht="19.5" customHeight="1">
      <c r="A185" s="41"/>
      <c r="B185" s="84" t="s">
        <v>1110</v>
      </c>
      <c r="C185" s="110">
        <v>636.0</v>
      </c>
      <c r="D185" s="18"/>
      <c r="E185" s="18"/>
      <c r="F185" s="41"/>
      <c r="G185" s="41"/>
      <c r="H185" s="41"/>
      <c r="I185" s="41"/>
      <c r="J185" s="41"/>
      <c r="K185" s="41"/>
      <c r="L185" s="41"/>
      <c r="M185" s="41"/>
      <c r="N185" s="41"/>
      <c r="O185" s="41"/>
      <c r="P185" s="41"/>
      <c r="Q185" s="41"/>
      <c r="R185" s="41"/>
      <c r="S185" s="41"/>
      <c r="T185" s="41"/>
      <c r="U185" s="41"/>
      <c r="V185" s="41"/>
      <c r="W185" s="41"/>
      <c r="X185" s="41"/>
      <c r="Y185" s="41"/>
      <c r="Z185" s="41"/>
    </row>
    <row r="186" ht="19.5" customHeight="1">
      <c r="A186" s="41"/>
      <c r="B186" s="84" t="s">
        <v>1111</v>
      </c>
      <c r="C186" s="111" t="str">
        <f>CONCATENATE(this_instance,"-m01-ad01.",sample_child_dns_zone)</f>
        <v>lax-m01-ad01.lax.rainpole.io</v>
      </c>
      <c r="D186" s="18"/>
      <c r="E186" s="18"/>
      <c r="F186" s="41"/>
      <c r="G186" s="41"/>
      <c r="H186" s="41"/>
      <c r="I186" s="41"/>
      <c r="J186" s="41"/>
      <c r="K186" s="41"/>
      <c r="L186" s="41"/>
      <c r="M186" s="41"/>
      <c r="N186" s="41"/>
      <c r="O186" s="41"/>
      <c r="P186" s="41"/>
      <c r="Q186" s="41"/>
      <c r="R186" s="41"/>
      <c r="S186" s="41"/>
      <c r="T186" s="41"/>
      <c r="U186" s="41"/>
      <c r="V186" s="41"/>
      <c r="W186" s="41"/>
      <c r="X186" s="41"/>
      <c r="Y186" s="41"/>
      <c r="Z186" s="41"/>
    </row>
    <row r="187" ht="19.5" customHeight="1">
      <c r="A187" s="41"/>
      <c r="B187" s="84" t="s">
        <v>1112</v>
      </c>
      <c r="C187" s="110">
        <v>636.0</v>
      </c>
      <c r="D187" s="18"/>
      <c r="E187" s="18"/>
      <c r="F187" s="41"/>
      <c r="G187" s="41"/>
      <c r="H187" s="41"/>
      <c r="I187" s="41"/>
      <c r="J187" s="41"/>
      <c r="K187" s="41"/>
      <c r="L187" s="41"/>
      <c r="M187" s="41"/>
      <c r="N187" s="41"/>
      <c r="O187" s="41"/>
      <c r="P187" s="41"/>
      <c r="Q187" s="41"/>
      <c r="R187" s="41"/>
      <c r="S187" s="41"/>
      <c r="T187" s="41"/>
      <c r="U187" s="41"/>
      <c r="V187" s="41"/>
      <c r="W187" s="41"/>
      <c r="X187" s="41"/>
      <c r="Y187" s="41"/>
      <c r="Z187" s="41"/>
    </row>
    <row r="188" ht="19.5" customHeight="1">
      <c r="A188" s="41"/>
      <c r="B188" s="84" t="s">
        <v>1113</v>
      </c>
      <c r="C188" s="110" t="s">
        <v>1114</v>
      </c>
      <c r="D188" s="18" t="s">
        <v>1114</v>
      </c>
      <c r="E188" s="18"/>
      <c r="F188" s="41"/>
      <c r="G188" s="41"/>
      <c r="H188" s="41"/>
      <c r="I188" s="41"/>
      <c r="J188" s="41"/>
      <c r="K188" s="41"/>
      <c r="L188" s="41"/>
      <c r="M188" s="41"/>
      <c r="N188" s="41"/>
      <c r="O188" s="41"/>
      <c r="P188" s="41"/>
      <c r="Q188" s="41"/>
      <c r="R188" s="41"/>
      <c r="S188" s="41"/>
      <c r="T188" s="41"/>
      <c r="U188" s="41"/>
      <c r="V188" s="41"/>
      <c r="W188" s="41"/>
      <c r="X188" s="41"/>
      <c r="Y188" s="41"/>
      <c r="Z188" s="41"/>
    </row>
    <row r="189" ht="19.5" customHeight="1">
      <c r="A189" s="41"/>
      <c r="B189" s="84" t="s">
        <v>1115</v>
      </c>
      <c r="C189" s="110" t="s">
        <v>1116</v>
      </c>
      <c r="D189" s="18"/>
      <c r="E189" s="18"/>
      <c r="F189" s="41"/>
      <c r="G189" s="41"/>
      <c r="H189" s="41"/>
      <c r="I189" s="41"/>
      <c r="J189" s="41"/>
      <c r="K189" s="41"/>
      <c r="L189" s="41"/>
      <c r="M189" s="41"/>
      <c r="N189" s="41"/>
      <c r="O189" s="41"/>
      <c r="P189" s="41"/>
      <c r="Q189" s="41"/>
      <c r="R189" s="41"/>
      <c r="S189" s="41"/>
      <c r="T189" s="41"/>
      <c r="U189" s="41"/>
      <c r="V189" s="41"/>
      <c r="W189" s="41"/>
      <c r="X189" s="41"/>
      <c r="Y189" s="41"/>
      <c r="Z189" s="41"/>
    </row>
    <row r="190" ht="19.5" customHeight="1">
      <c r="A190" s="41"/>
      <c r="B190" s="84" t="s">
        <v>1117</v>
      </c>
      <c r="C190" s="110" t="s">
        <v>1118</v>
      </c>
      <c r="D190" s="18"/>
      <c r="E190" s="18" t="s">
        <v>1119</v>
      </c>
      <c r="F190" s="41"/>
      <c r="G190" s="41"/>
      <c r="H190" s="41"/>
      <c r="I190" s="41"/>
      <c r="J190" s="41"/>
      <c r="K190" s="41"/>
      <c r="L190" s="41"/>
      <c r="M190" s="41"/>
      <c r="N190" s="41"/>
      <c r="O190" s="41"/>
      <c r="P190" s="41"/>
      <c r="Q190" s="41"/>
      <c r="R190" s="41"/>
      <c r="S190" s="41"/>
      <c r="T190" s="41"/>
      <c r="U190" s="41"/>
      <c r="V190" s="41"/>
      <c r="W190" s="41"/>
      <c r="X190" s="41"/>
      <c r="Y190" s="41"/>
      <c r="Z190" s="41"/>
    </row>
    <row r="191" ht="19.5" customHeight="1">
      <c r="A191" s="41"/>
      <c r="B191" s="84" t="s">
        <v>1120</v>
      </c>
      <c r="C191" s="110" t="s">
        <v>382</v>
      </c>
      <c r="D191" s="18"/>
      <c r="E191" s="18"/>
      <c r="F191" s="41"/>
      <c r="G191" s="41"/>
      <c r="H191" s="41"/>
      <c r="I191" s="41"/>
      <c r="J191" s="41"/>
      <c r="K191" s="41"/>
      <c r="L191" s="41"/>
      <c r="M191" s="41"/>
      <c r="N191" s="41"/>
      <c r="O191" s="41"/>
      <c r="P191" s="41"/>
      <c r="Q191" s="41"/>
      <c r="R191" s="41"/>
      <c r="S191" s="41"/>
      <c r="T191" s="41"/>
      <c r="U191" s="41"/>
      <c r="V191" s="41"/>
      <c r="W191" s="41"/>
      <c r="X191" s="41"/>
      <c r="Y191" s="41"/>
      <c r="Z191" s="41"/>
    </row>
    <row r="192" ht="19.5" customHeight="1">
      <c r="A192" s="41"/>
      <c r="B192" s="192" t="s">
        <v>1121</v>
      </c>
      <c r="C192" s="193"/>
      <c r="D192" s="193"/>
      <c r="E192" s="194"/>
      <c r="F192" s="41"/>
      <c r="G192" s="41"/>
      <c r="H192" s="41"/>
      <c r="I192" s="41"/>
      <c r="J192" s="41"/>
      <c r="K192" s="41"/>
      <c r="L192" s="41"/>
      <c r="M192" s="41"/>
      <c r="N192" s="41"/>
      <c r="O192" s="41"/>
      <c r="P192" s="41"/>
      <c r="Q192" s="41"/>
      <c r="R192" s="41"/>
      <c r="S192" s="41"/>
      <c r="T192" s="41"/>
      <c r="U192" s="41"/>
      <c r="V192" s="41"/>
      <c r="W192" s="41"/>
      <c r="X192" s="41"/>
      <c r="Y192" s="41"/>
      <c r="Z192" s="41"/>
    </row>
    <row r="193" ht="19.5" customHeight="1">
      <c r="A193" s="41"/>
      <c r="B193" s="102" t="s">
        <v>1122</v>
      </c>
      <c r="C193" s="13"/>
      <c r="D193" s="13"/>
      <c r="E193" s="14"/>
      <c r="F193" s="41"/>
      <c r="G193" s="41"/>
      <c r="H193" s="41"/>
      <c r="I193" s="41"/>
      <c r="J193" s="41"/>
      <c r="K193" s="41"/>
      <c r="L193" s="41"/>
      <c r="M193" s="41"/>
      <c r="N193" s="41"/>
      <c r="O193" s="41"/>
      <c r="P193" s="41"/>
      <c r="Q193" s="41"/>
      <c r="R193" s="41"/>
      <c r="S193" s="41"/>
      <c r="T193" s="41"/>
      <c r="U193" s="41"/>
      <c r="V193" s="41"/>
      <c r="W193" s="41"/>
      <c r="X193" s="41"/>
      <c r="Y193" s="41"/>
      <c r="Z193" s="41"/>
    </row>
    <row r="194" ht="19.5" customHeight="1">
      <c r="A194" s="41"/>
      <c r="B194" s="84" t="s">
        <v>1123</v>
      </c>
      <c r="C194" s="110" t="s">
        <v>1114</v>
      </c>
      <c r="D194" s="18"/>
      <c r="E194" s="18"/>
      <c r="F194" s="41"/>
      <c r="G194" s="41"/>
      <c r="H194" s="41"/>
      <c r="I194" s="41"/>
      <c r="J194" s="41"/>
      <c r="K194" s="41"/>
      <c r="L194" s="41"/>
      <c r="M194" s="41"/>
      <c r="N194" s="41"/>
      <c r="O194" s="41"/>
      <c r="P194" s="41"/>
      <c r="Q194" s="41"/>
      <c r="R194" s="41"/>
      <c r="S194" s="41"/>
      <c r="T194" s="41"/>
      <c r="U194" s="41"/>
      <c r="V194" s="41"/>
      <c r="W194" s="41"/>
      <c r="X194" s="41"/>
      <c r="Y194" s="41"/>
      <c r="Z194" s="41"/>
    </row>
    <row r="195" ht="19.5" customHeight="1">
      <c r="A195" s="41"/>
      <c r="B195" s="84" t="s">
        <v>1124</v>
      </c>
      <c r="C195" s="110" t="s">
        <v>1125</v>
      </c>
      <c r="D195" s="18"/>
      <c r="E195" s="18"/>
      <c r="F195" s="41"/>
      <c r="G195" s="41"/>
      <c r="H195" s="41"/>
      <c r="I195" s="41"/>
      <c r="J195" s="41"/>
      <c r="K195" s="41"/>
      <c r="L195" s="41"/>
      <c r="M195" s="41"/>
      <c r="N195" s="41"/>
      <c r="O195" s="41"/>
      <c r="P195" s="41"/>
      <c r="Q195" s="41"/>
      <c r="R195" s="41"/>
      <c r="S195" s="41"/>
      <c r="T195" s="41"/>
      <c r="U195" s="41"/>
      <c r="V195" s="41"/>
      <c r="W195" s="41"/>
      <c r="X195" s="41"/>
      <c r="Y195" s="41"/>
      <c r="Z195" s="41"/>
    </row>
    <row r="196" ht="19.5" customHeight="1">
      <c r="A196" s="41"/>
      <c r="B196" s="84" t="s">
        <v>1126</v>
      </c>
      <c r="C196" s="110" t="s">
        <v>1127</v>
      </c>
      <c r="D196" s="18"/>
      <c r="E196" s="18"/>
      <c r="F196" s="41"/>
      <c r="G196" s="41"/>
      <c r="H196" s="41"/>
      <c r="I196" s="41"/>
      <c r="J196" s="41"/>
      <c r="K196" s="41"/>
      <c r="L196" s="41"/>
      <c r="M196" s="41"/>
      <c r="N196" s="41"/>
      <c r="O196" s="41"/>
      <c r="P196" s="41"/>
      <c r="Q196" s="41"/>
      <c r="R196" s="41"/>
      <c r="S196" s="41"/>
      <c r="T196" s="41"/>
      <c r="U196" s="41"/>
      <c r="V196" s="41"/>
      <c r="W196" s="41"/>
      <c r="X196" s="41"/>
      <c r="Y196" s="41"/>
      <c r="Z196" s="41"/>
    </row>
    <row r="197" ht="19.5" customHeight="1">
      <c r="A197" s="41"/>
      <c r="B197" s="84" t="s">
        <v>1128</v>
      </c>
      <c r="C197" s="110" t="s">
        <v>1129</v>
      </c>
      <c r="D197" s="18"/>
      <c r="E197" s="18"/>
      <c r="F197" s="41"/>
      <c r="G197" s="41"/>
      <c r="H197" s="41"/>
      <c r="I197" s="41"/>
      <c r="J197" s="41"/>
      <c r="K197" s="41"/>
      <c r="L197" s="41"/>
      <c r="M197" s="41"/>
      <c r="N197" s="41"/>
      <c r="O197" s="41"/>
      <c r="P197" s="41"/>
      <c r="Q197" s="41"/>
      <c r="R197" s="41"/>
      <c r="S197" s="41"/>
      <c r="T197" s="41"/>
      <c r="U197" s="41"/>
      <c r="V197" s="41"/>
      <c r="W197" s="41"/>
      <c r="X197" s="41"/>
      <c r="Y197" s="41"/>
      <c r="Z197" s="41"/>
    </row>
    <row r="198" ht="19.5" customHeight="1">
      <c r="A198" s="41"/>
      <c r="B198" s="84" t="s">
        <v>1130</v>
      </c>
      <c r="C198" s="110" t="s">
        <v>1130</v>
      </c>
      <c r="D198" s="18"/>
      <c r="E198" s="18"/>
      <c r="F198" s="41"/>
      <c r="G198" s="41"/>
      <c r="H198" s="41"/>
      <c r="I198" s="41"/>
      <c r="J198" s="41"/>
      <c r="K198" s="41"/>
      <c r="L198" s="41"/>
      <c r="M198" s="41"/>
      <c r="N198" s="41"/>
      <c r="O198" s="41"/>
      <c r="P198" s="41"/>
      <c r="Q198" s="41"/>
      <c r="R198" s="41"/>
      <c r="S198" s="41"/>
      <c r="T198" s="41"/>
      <c r="U198" s="41"/>
      <c r="V198" s="41"/>
      <c r="W198" s="41"/>
      <c r="X198" s="41"/>
      <c r="Y198" s="41"/>
      <c r="Z198" s="41"/>
    </row>
    <row r="199" ht="19.5" customHeight="1">
      <c r="A199" s="41"/>
      <c r="B199" s="84" t="s">
        <v>1131</v>
      </c>
      <c r="C199" s="110" t="s">
        <v>1132</v>
      </c>
      <c r="D199" s="18"/>
      <c r="E199" s="18"/>
      <c r="F199" s="41"/>
      <c r="G199" s="41"/>
      <c r="H199" s="41"/>
      <c r="I199" s="41"/>
      <c r="J199" s="41"/>
      <c r="K199" s="41"/>
      <c r="L199" s="41"/>
      <c r="M199" s="41"/>
      <c r="N199" s="41"/>
      <c r="O199" s="41"/>
      <c r="P199" s="41"/>
      <c r="Q199" s="41"/>
      <c r="R199" s="41"/>
      <c r="S199" s="41"/>
      <c r="T199" s="41"/>
      <c r="U199" s="41"/>
      <c r="V199" s="41"/>
      <c r="W199" s="41"/>
      <c r="X199" s="41"/>
      <c r="Y199" s="41"/>
      <c r="Z199" s="41"/>
    </row>
    <row r="200" ht="19.5" customHeight="1">
      <c r="A200" s="41"/>
      <c r="B200" s="84" t="s">
        <v>1133</v>
      </c>
      <c r="C200" s="110" t="s">
        <v>1133</v>
      </c>
      <c r="D200" s="18"/>
      <c r="E200" s="18"/>
      <c r="F200" s="41"/>
      <c r="G200" s="41"/>
      <c r="H200" s="41"/>
      <c r="I200" s="41"/>
      <c r="J200" s="41"/>
      <c r="K200" s="41"/>
      <c r="L200" s="41"/>
      <c r="M200" s="41"/>
      <c r="N200" s="41"/>
      <c r="O200" s="41"/>
      <c r="P200" s="41"/>
      <c r="Q200" s="41"/>
      <c r="R200" s="41"/>
      <c r="S200" s="41"/>
      <c r="T200" s="41"/>
      <c r="U200" s="41"/>
      <c r="V200" s="41"/>
      <c r="W200" s="41"/>
      <c r="X200" s="41"/>
      <c r="Y200" s="41"/>
      <c r="Z200" s="41"/>
    </row>
    <row r="201" ht="19.5" customHeight="1">
      <c r="A201" s="41"/>
      <c r="B201" s="102" t="s">
        <v>1134</v>
      </c>
      <c r="C201" s="13"/>
      <c r="D201" s="13"/>
      <c r="E201" s="14"/>
      <c r="F201" s="41"/>
      <c r="G201" s="41"/>
      <c r="H201" s="41"/>
      <c r="I201" s="41"/>
      <c r="J201" s="41"/>
      <c r="K201" s="41"/>
      <c r="L201" s="41"/>
      <c r="M201" s="41"/>
      <c r="N201" s="41"/>
      <c r="O201" s="41"/>
      <c r="P201" s="41"/>
      <c r="Q201" s="41"/>
      <c r="R201" s="41"/>
      <c r="S201" s="41"/>
      <c r="T201" s="41"/>
      <c r="U201" s="41"/>
      <c r="V201" s="41"/>
      <c r="W201" s="41"/>
      <c r="X201" s="41"/>
      <c r="Y201" s="41"/>
      <c r="Z201" s="41"/>
    </row>
    <row r="202" ht="19.5" customHeight="1">
      <c r="A202" s="41"/>
      <c r="B202" s="84" t="s">
        <v>1135</v>
      </c>
      <c r="C202" s="110" t="s">
        <v>1136</v>
      </c>
      <c r="D202" s="18"/>
      <c r="E202" s="18"/>
      <c r="F202" s="41"/>
      <c r="G202" s="41"/>
      <c r="H202" s="41"/>
      <c r="I202" s="41"/>
      <c r="J202" s="41"/>
      <c r="K202" s="41"/>
      <c r="L202" s="41"/>
      <c r="M202" s="41"/>
      <c r="N202" s="41"/>
      <c r="O202" s="41"/>
      <c r="P202" s="41"/>
      <c r="Q202" s="41"/>
      <c r="R202" s="41"/>
      <c r="S202" s="41"/>
      <c r="T202" s="41"/>
      <c r="U202" s="41"/>
      <c r="V202" s="41"/>
      <c r="W202" s="41"/>
      <c r="X202" s="41"/>
      <c r="Y202" s="41"/>
      <c r="Z202" s="41"/>
    </row>
    <row r="203" ht="19.5" customHeight="1">
      <c r="A203" s="41"/>
      <c r="B203" s="102" t="s">
        <v>1137</v>
      </c>
      <c r="C203" s="13"/>
      <c r="D203" s="13"/>
      <c r="E203" s="14"/>
      <c r="F203" s="41"/>
      <c r="G203" s="41"/>
      <c r="H203" s="41"/>
      <c r="I203" s="41"/>
      <c r="J203" s="41"/>
      <c r="K203" s="41"/>
      <c r="L203" s="41"/>
      <c r="M203" s="41"/>
      <c r="N203" s="41"/>
      <c r="O203" s="41"/>
      <c r="P203" s="41"/>
      <c r="Q203" s="41"/>
      <c r="R203" s="41"/>
      <c r="S203" s="41"/>
      <c r="T203" s="41"/>
      <c r="U203" s="41"/>
      <c r="V203" s="41"/>
      <c r="W203" s="41"/>
      <c r="X203" s="41"/>
      <c r="Y203" s="41"/>
      <c r="Z203" s="41"/>
    </row>
    <row r="204" ht="19.5" customHeight="1">
      <c r="B204" s="84" t="s">
        <v>1138</v>
      </c>
      <c r="C204" s="110" t="s">
        <v>1139</v>
      </c>
      <c r="D204" s="18"/>
      <c r="E204" s="18"/>
    </row>
    <row r="205" ht="15.75" customHeight="1">
      <c r="A205" s="41"/>
      <c r="B205" s="41"/>
      <c r="C205" s="41"/>
      <c r="D205" s="218"/>
      <c r="E205" s="218"/>
      <c r="F205" s="41"/>
      <c r="G205" s="41"/>
      <c r="H205" s="41"/>
      <c r="I205" s="41"/>
      <c r="J205" s="41"/>
      <c r="K205" s="41"/>
      <c r="L205" s="41"/>
      <c r="M205" s="41"/>
      <c r="N205" s="41"/>
      <c r="O205" s="41"/>
      <c r="P205" s="41"/>
      <c r="Q205" s="41"/>
      <c r="R205" s="41"/>
      <c r="S205" s="41"/>
      <c r="T205" s="41"/>
      <c r="U205" s="41"/>
      <c r="V205" s="41"/>
      <c r="W205" s="41"/>
      <c r="X205" s="41"/>
      <c r="Y205" s="41"/>
      <c r="Z205" s="41"/>
    </row>
    <row r="206" ht="33.75" customHeight="1">
      <c r="A206" s="41"/>
      <c r="B206" s="197" t="s">
        <v>1140</v>
      </c>
      <c r="C206" s="13"/>
      <c r="D206" s="13"/>
      <c r="E206" s="14"/>
      <c r="F206" s="41"/>
      <c r="G206" s="41"/>
      <c r="H206" s="41"/>
      <c r="I206" s="41"/>
      <c r="J206" s="41"/>
      <c r="K206" s="41"/>
      <c r="L206" s="41"/>
      <c r="M206" s="41"/>
      <c r="N206" s="41"/>
      <c r="O206" s="41"/>
      <c r="P206" s="41"/>
      <c r="Q206" s="41"/>
      <c r="R206" s="41"/>
      <c r="S206" s="41"/>
      <c r="T206" s="41"/>
      <c r="U206" s="41"/>
      <c r="V206" s="41"/>
      <c r="W206" s="41"/>
      <c r="X206" s="41"/>
      <c r="Y206" s="41"/>
      <c r="Z206" s="41"/>
    </row>
    <row r="207" ht="19.5" customHeight="1">
      <c r="A207" s="41"/>
      <c r="B207" s="49" t="s">
        <v>37</v>
      </c>
      <c r="C207" s="49" t="s">
        <v>273</v>
      </c>
      <c r="D207" s="49" t="s">
        <v>274</v>
      </c>
      <c r="E207" s="215" t="s">
        <v>5</v>
      </c>
      <c r="F207" s="41"/>
      <c r="G207" s="41"/>
      <c r="H207" s="41"/>
      <c r="I207" s="41"/>
      <c r="J207" s="41"/>
      <c r="K207" s="41"/>
      <c r="L207" s="41"/>
      <c r="M207" s="41"/>
      <c r="N207" s="41"/>
      <c r="O207" s="41"/>
      <c r="P207" s="41"/>
      <c r="Q207" s="41"/>
      <c r="R207" s="41"/>
      <c r="S207" s="41"/>
      <c r="T207" s="41"/>
      <c r="U207" s="41"/>
      <c r="V207" s="41"/>
      <c r="W207" s="41"/>
      <c r="X207" s="41"/>
      <c r="Y207" s="41"/>
      <c r="Z207" s="41"/>
    </row>
    <row r="208" ht="19.5" customHeight="1">
      <c r="A208" s="41"/>
      <c r="B208" s="102" t="s">
        <v>1027</v>
      </c>
      <c r="C208" s="13"/>
      <c r="D208" s="13"/>
      <c r="E208" s="14"/>
      <c r="F208" s="41"/>
      <c r="G208" s="41"/>
      <c r="H208" s="41"/>
      <c r="I208" s="41"/>
      <c r="J208" s="41"/>
      <c r="K208" s="41"/>
      <c r="L208" s="41"/>
      <c r="M208" s="41"/>
      <c r="N208" s="41"/>
      <c r="O208" s="41"/>
      <c r="P208" s="41"/>
      <c r="Q208" s="41"/>
      <c r="R208" s="41"/>
      <c r="S208" s="41"/>
      <c r="T208" s="41"/>
      <c r="U208" s="41"/>
      <c r="V208" s="41"/>
      <c r="W208" s="41"/>
      <c r="X208" s="41"/>
      <c r="Y208" s="41"/>
      <c r="Z208" s="41"/>
    </row>
    <row r="209" ht="19.5" customHeight="1">
      <c r="A209" s="41"/>
      <c r="B209" s="84" t="s">
        <v>1028</v>
      </c>
      <c r="C209" s="110" t="s">
        <v>1029</v>
      </c>
      <c r="D209" s="18" t="s">
        <v>1029</v>
      </c>
      <c r="E209" s="18"/>
      <c r="F209" s="41"/>
      <c r="G209" s="41"/>
      <c r="H209" s="41"/>
      <c r="I209" s="41"/>
      <c r="J209" s="41"/>
      <c r="K209" s="41"/>
      <c r="L209" s="41"/>
      <c r="M209" s="41"/>
      <c r="N209" s="41"/>
      <c r="O209" s="41"/>
      <c r="P209" s="41"/>
      <c r="Q209" s="41"/>
      <c r="R209" s="41"/>
      <c r="S209" s="41"/>
      <c r="T209" s="41"/>
      <c r="U209" s="41"/>
      <c r="V209" s="41"/>
      <c r="W209" s="41"/>
      <c r="X209" s="41"/>
      <c r="Y209" s="41"/>
      <c r="Z209" s="41"/>
    </row>
    <row r="210" ht="19.5" customHeight="1">
      <c r="A210" s="41"/>
      <c r="B210" s="84" t="s">
        <v>120</v>
      </c>
      <c r="C210" s="110" t="s">
        <v>1015</v>
      </c>
      <c r="D210" s="18"/>
      <c r="E210" s="18"/>
      <c r="F210" s="41"/>
      <c r="G210" s="41"/>
      <c r="H210" s="41"/>
      <c r="I210" s="41"/>
      <c r="J210" s="41"/>
      <c r="K210" s="41"/>
      <c r="L210" s="41"/>
      <c r="M210" s="41"/>
      <c r="N210" s="41"/>
      <c r="O210" s="41"/>
      <c r="P210" s="41"/>
      <c r="Q210" s="41"/>
      <c r="R210" s="41"/>
      <c r="S210" s="41"/>
      <c r="T210" s="41"/>
      <c r="U210" s="41"/>
      <c r="V210" s="41"/>
      <c r="W210" s="41"/>
      <c r="X210" s="41"/>
      <c r="Y210" s="41"/>
      <c r="Z210" s="41"/>
    </row>
    <row r="211" ht="19.5" customHeight="1">
      <c r="A211" s="41"/>
      <c r="B211" s="84" t="s">
        <v>994</v>
      </c>
      <c r="C211" s="110" t="s">
        <v>264</v>
      </c>
      <c r="D211" s="18" t="s">
        <v>264</v>
      </c>
      <c r="E211" s="18"/>
      <c r="F211" s="41"/>
      <c r="G211" s="41"/>
      <c r="H211" s="41"/>
      <c r="I211" s="41"/>
      <c r="J211" s="41"/>
      <c r="K211" s="41"/>
      <c r="L211" s="41"/>
      <c r="M211" s="41"/>
      <c r="N211" s="41"/>
      <c r="O211" s="41"/>
      <c r="P211" s="41"/>
      <c r="Q211" s="41"/>
      <c r="R211" s="41"/>
      <c r="S211" s="41"/>
      <c r="T211" s="41"/>
      <c r="U211" s="41"/>
      <c r="V211" s="41"/>
      <c r="W211" s="41"/>
      <c r="X211" s="41"/>
      <c r="Y211" s="41"/>
      <c r="Z211" s="41"/>
    </row>
    <row r="212" ht="19.5" customHeight="1">
      <c r="A212" s="41"/>
      <c r="B212" s="102" t="s">
        <v>1031</v>
      </c>
      <c r="C212" s="13"/>
      <c r="D212" s="13"/>
      <c r="E212" s="14"/>
      <c r="F212" s="41"/>
      <c r="G212" s="41"/>
      <c r="H212" s="41"/>
      <c r="I212" s="41"/>
      <c r="J212" s="41"/>
      <c r="K212" s="41"/>
      <c r="L212" s="41"/>
      <c r="M212" s="41"/>
      <c r="N212" s="41"/>
      <c r="O212" s="41"/>
      <c r="P212" s="41"/>
      <c r="Q212" s="41"/>
      <c r="R212" s="41"/>
      <c r="S212" s="41"/>
      <c r="T212" s="41"/>
      <c r="U212" s="41"/>
      <c r="V212" s="41"/>
      <c r="W212" s="41"/>
      <c r="X212" s="41"/>
      <c r="Y212" s="41"/>
      <c r="Z212" s="41"/>
    </row>
    <row r="213" ht="19.5" customHeight="1">
      <c r="A213" s="41"/>
      <c r="B213" s="84" t="s">
        <v>1032</v>
      </c>
      <c r="C213" s="225" t="s">
        <v>1033</v>
      </c>
      <c r="D213" s="18" t="s">
        <v>1033</v>
      </c>
      <c r="E213" s="18"/>
      <c r="F213" s="41"/>
      <c r="G213" s="41"/>
      <c r="H213" s="41"/>
      <c r="I213" s="41"/>
      <c r="J213" s="41"/>
      <c r="K213" s="41"/>
      <c r="L213" s="41"/>
      <c r="M213" s="41"/>
      <c r="N213" s="41"/>
      <c r="O213" s="41"/>
      <c r="P213" s="41"/>
      <c r="Q213" s="41"/>
      <c r="R213" s="41"/>
      <c r="S213" s="41"/>
      <c r="T213" s="41"/>
      <c r="U213" s="41"/>
      <c r="V213" s="41"/>
      <c r="W213" s="41"/>
      <c r="X213" s="41"/>
      <c r="Y213" s="41"/>
      <c r="Z213" s="41"/>
    </row>
    <row r="214" ht="19.5" customHeight="1">
      <c r="A214" s="41"/>
      <c r="B214" s="84" t="s">
        <v>1034</v>
      </c>
      <c r="C214" s="225" t="str">
        <f>CONCATENATE(prefix_portable_component,"-logs01","-cert")</f>
        <v>flt-logs01-cert</v>
      </c>
      <c r="D214" s="18"/>
      <c r="E214" s="18"/>
      <c r="F214" s="41"/>
      <c r="G214" s="41"/>
      <c r="H214" s="41"/>
      <c r="I214" s="41"/>
      <c r="J214" s="41"/>
      <c r="K214" s="41"/>
      <c r="L214" s="41"/>
      <c r="M214" s="41"/>
      <c r="N214" s="41"/>
      <c r="O214" s="41"/>
      <c r="P214" s="41"/>
      <c r="Q214" s="41"/>
      <c r="R214" s="41"/>
      <c r="S214" s="41"/>
      <c r="T214" s="41"/>
      <c r="U214" s="41"/>
      <c r="V214" s="41"/>
      <c r="W214" s="41"/>
      <c r="X214" s="41"/>
      <c r="Y214" s="41"/>
      <c r="Z214" s="41"/>
    </row>
    <row r="215" ht="19.5" customHeight="1">
      <c r="A215" s="41"/>
      <c r="B215" s="84" t="s">
        <v>1141</v>
      </c>
      <c r="C215" s="225" t="s">
        <v>297</v>
      </c>
      <c r="D215" s="18"/>
      <c r="E215" s="18"/>
      <c r="F215" s="41"/>
      <c r="G215" s="41"/>
      <c r="H215" s="41"/>
      <c r="I215" s="41"/>
      <c r="J215" s="41"/>
      <c r="K215" s="41"/>
      <c r="L215" s="41"/>
      <c r="M215" s="41"/>
      <c r="N215" s="41"/>
      <c r="O215" s="41"/>
      <c r="P215" s="41"/>
      <c r="Q215" s="41"/>
      <c r="R215" s="41"/>
      <c r="S215" s="41"/>
      <c r="T215" s="41"/>
      <c r="U215" s="41"/>
      <c r="V215" s="41"/>
      <c r="W215" s="41"/>
      <c r="X215" s="41"/>
      <c r="Y215" s="41"/>
      <c r="Z215" s="41"/>
    </row>
    <row r="216" ht="19.5" customHeight="1">
      <c r="A216" s="41"/>
      <c r="B216" s="84" t="s">
        <v>1035</v>
      </c>
      <c r="C216" s="225" t="str">
        <f>CONCATENATE(prefix_portable_component,"-logs01","-cert.pem")</f>
        <v>flt-logs01-cert.pem</v>
      </c>
      <c r="D216" s="18"/>
      <c r="E216" s="18"/>
      <c r="F216" s="41"/>
      <c r="G216" s="41"/>
      <c r="H216" s="41"/>
      <c r="I216" s="41"/>
      <c r="J216" s="41"/>
      <c r="K216" s="41"/>
      <c r="L216" s="41"/>
      <c r="M216" s="41"/>
      <c r="N216" s="41"/>
      <c r="O216" s="41"/>
      <c r="P216" s="41"/>
      <c r="Q216" s="41"/>
      <c r="R216" s="41"/>
      <c r="S216" s="41"/>
      <c r="T216" s="41"/>
      <c r="U216" s="41"/>
      <c r="V216" s="41"/>
      <c r="W216" s="41"/>
      <c r="X216" s="41"/>
      <c r="Y216" s="41"/>
      <c r="Z216" s="41"/>
    </row>
    <row r="217" ht="19.5" customHeight="1">
      <c r="A217" s="41"/>
      <c r="B217" s="84" t="s">
        <v>1036</v>
      </c>
      <c r="C217" s="226" t="str">
        <f>CONCATENATE(prefix_portable_component,"-logs01",".",sample_parent_dns_zone)</f>
        <v>flt-logs01.rainpole.io</v>
      </c>
      <c r="D217" s="18"/>
      <c r="E217" s="18"/>
      <c r="F217" s="41"/>
      <c r="G217" s="41"/>
      <c r="H217" s="41"/>
      <c r="I217" s="41"/>
      <c r="J217" s="41"/>
      <c r="K217" s="41"/>
      <c r="L217" s="41"/>
      <c r="M217" s="41"/>
      <c r="N217" s="41"/>
      <c r="O217" s="41"/>
      <c r="P217" s="41"/>
      <c r="Q217" s="41"/>
      <c r="R217" s="41"/>
      <c r="S217" s="41"/>
      <c r="T217" s="41"/>
      <c r="U217" s="41"/>
      <c r="V217" s="41"/>
      <c r="W217" s="41"/>
      <c r="X217" s="41"/>
      <c r="Y217" s="41"/>
      <c r="Z217" s="41"/>
    </row>
    <row r="218" ht="19.5" customHeight="1">
      <c r="A218" s="41"/>
      <c r="B218" s="84" t="s">
        <v>1037</v>
      </c>
      <c r="C218" s="225" t="s">
        <v>74</v>
      </c>
      <c r="D218" s="18"/>
      <c r="E218" s="18"/>
      <c r="F218" s="41"/>
      <c r="G218" s="41"/>
      <c r="H218" s="41"/>
      <c r="I218" s="41"/>
      <c r="J218" s="41"/>
      <c r="K218" s="41"/>
      <c r="L218" s="41"/>
      <c r="M218" s="41"/>
      <c r="N218" s="41"/>
      <c r="O218" s="41"/>
      <c r="P218" s="41"/>
      <c r="Q218" s="41"/>
      <c r="R218" s="41"/>
      <c r="S218" s="41"/>
      <c r="T218" s="41"/>
      <c r="U218" s="41"/>
      <c r="V218" s="41"/>
      <c r="W218" s="41"/>
      <c r="X218" s="41"/>
      <c r="Y218" s="41"/>
      <c r="Z218" s="41"/>
    </row>
    <row r="219" ht="19.5" customHeight="1">
      <c r="A219" s="41"/>
      <c r="B219" s="84" t="s">
        <v>1038</v>
      </c>
      <c r="C219" s="225" t="s">
        <v>558</v>
      </c>
      <c r="D219" s="18"/>
      <c r="E219" s="18"/>
      <c r="F219" s="41"/>
      <c r="G219" s="41"/>
      <c r="H219" s="41"/>
      <c r="I219" s="41"/>
      <c r="J219" s="41"/>
      <c r="K219" s="41"/>
      <c r="L219" s="41"/>
      <c r="M219" s="41"/>
      <c r="N219" s="41"/>
      <c r="O219" s="41"/>
      <c r="P219" s="41"/>
      <c r="Q219" s="41"/>
      <c r="R219" s="41"/>
      <c r="S219" s="41"/>
      <c r="T219" s="41"/>
      <c r="U219" s="41"/>
      <c r="V219" s="41"/>
      <c r="W219" s="41"/>
      <c r="X219" s="41"/>
      <c r="Y219" s="41"/>
      <c r="Z219" s="41"/>
    </row>
    <row r="220" ht="19.5" customHeight="1">
      <c r="A220" s="41"/>
      <c r="B220" s="84" t="s">
        <v>1039</v>
      </c>
      <c r="C220" s="225" t="s">
        <v>560</v>
      </c>
      <c r="D220" s="18"/>
      <c r="E220" s="18"/>
      <c r="F220" s="41"/>
      <c r="G220" s="41"/>
      <c r="H220" s="41"/>
      <c r="I220" s="41"/>
      <c r="J220" s="41"/>
      <c r="K220" s="41"/>
      <c r="L220" s="41"/>
      <c r="M220" s="41"/>
      <c r="N220" s="41"/>
      <c r="O220" s="41"/>
      <c r="P220" s="41"/>
      <c r="Q220" s="41"/>
      <c r="R220" s="41"/>
      <c r="S220" s="41"/>
      <c r="T220" s="41"/>
      <c r="U220" s="41"/>
      <c r="V220" s="41"/>
      <c r="W220" s="41"/>
      <c r="X220" s="41"/>
      <c r="Y220" s="41"/>
      <c r="Z220" s="41"/>
    </row>
    <row r="221" ht="19.5" customHeight="1">
      <c r="A221" s="41"/>
      <c r="B221" s="84" t="s">
        <v>1040</v>
      </c>
      <c r="C221" s="225" t="s">
        <v>564</v>
      </c>
      <c r="D221" s="18"/>
      <c r="E221" s="18"/>
      <c r="F221" s="41"/>
      <c r="G221" s="41"/>
      <c r="H221" s="41"/>
      <c r="I221" s="41"/>
      <c r="J221" s="41"/>
      <c r="K221" s="41"/>
      <c r="L221" s="41"/>
      <c r="M221" s="41"/>
      <c r="N221" s="41"/>
      <c r="O221" s="41"/>
      <c r="P221" s="41"/>
      <c r="Q221" s="41"/>
      <c r="R221" s="41"/>
      <c r="S221" s="41"/>
      <c r="T221" s="41"/>
      <c r="U221" s="41"/>
      <c r="V221" s="41"/>
      <c r="W221" s="41"/>
      <c r="X221" s="41"/>
      <c r="Y221" s="41"/>
      <c r="Z221" s="41"/>
    </row>
    <row r="222" ht="19.5" customHeight="1">
      <c r="A222" s="41"/>
      <c r="B222" s="84" t="s">
        <v>1041</v>
      </c>
      <c r="C222" s="225" t="s">
        <v>562</v>
      </c>
      <c r="D222" s="18"/>
      <c r="E222" s="18"/>
      <c r="F222" s="41"/>
      <c r="G222" s="41"/>
      <c r="H222" s="41"/>
      <c r="I222" s="41"/>
      <c r="J222" s="41"/>
      <c r="K222" s="41"/>
      <c r="L222" s="41"/>
      <c r="M222" s="41"/>
      <c r="N222" s="41"/>
      <c r="O222" s="41"/>
      <c r="P222" s="41"/>
      <c r="Q222" s="41"/>
      <c r="R222" s="41"/>
      <c r="S222" s="41"/>
      <c r="T222" s="41"/>
      <c r="U222" s="41"/>
      <c r="V222" s="41"/>
      <c r="W222" s="41"/>
      <c r="X222" s="41"/>
      <c r="Y222" s="41"/>
      <c r="Z222" s="41"/>
    </row>
    <row r="223" ht="19.5" customHeight="1">
      <c r="A223" s="41"/>
      <c r="B223" s="84" t="s">
        <v>1042</v>
      </c>
      <c r="C223" s="225">
        <v>4096.0</v>
      </c>
      <c r="D223" s="18" t="s">
        <v>1043</v>
      </c>
      <c r="E223" s="18"/>
      <c r="F223" s="41"/>
      <c r="G223" s="41"/>
      <c r="H223" s="41"/>
      <c r="I223" s="41"/>
      <c r="J223" s="41"/>
      <c r="K223" s="41"/>
      <c r="L223" s="41"/>
      <c r="M223" s="41"/>
      <c r="N223" s="41"/>
      <c r="O223" s="41"/>
      <c r="P223" s="41"/>
      <c r="Q223" s="41"/>
      <c r="R223" s="41"/>
      <c r="S223" s="41"/>
      <c r="T223" s="41"/>
      <c r="U223" s="41"/>
      <c r="V223" s="41"/>
      <c r="W223" s="41"/>
      <c r="X223" s="41"/>
      <c r="Y223" s="41"/>
      <c r="Z223" s="41"/>
    </row>
    <row r="224" ht="19.5" customHeight="1">
      <c r="A224" s="41"/>
      <c r="B224" s="84" t="s">
        <v>1142</v>
      </c>
      <c r="C224" s="226" t="str">
        <f>CONCATENATE(prefix_portable_component,"-logs01",".",sample_parent_dns_zone)</f>
        <v>flt-logs01.rainpole.io</v>
      </c>
      <c r="D224" s="18"/>
      <c r="E224" s="18"/>
      <c r="F224" s="41"/>
      <c r="G224" s="41"/>
      <c r="H224" s="41"/>
      <c r="I224" s="41"/>
      <c r="J224" s="41"/>
      <c r="K224" s="41"/>
      <c r="L224" s="41"/>
      <c r="M224" s="41"/>
      <c r="N224" s="41"/>
      <c r="O224" s="41"/>
      <c r="P224" s="41"/>
      <c r="Q224" s="41"/>
      <c r="R224" s="41"/>
      <c r="S224" s="41"/>
      <c r="T224" s="41"/>
      <c r="U224" s="41"/>
      <c r="V224" s="41"/>
      <c r="W224" s="41"/>
      <c r="X224" s="41"/>
      <c r="Y224" s="41"/>
      <c r="Z224" s="41"/>
    </row>
    <row r="225" ht="19.5" customHeight="1">
      <c r="A225" s="41"/>
      <c r="B225" s="84" t="s">
        <v>1143</v>
      </c>
      <c r="C225" s="226" t="str">
        <f>CONCATENATE(prefix_portable_component,"-logs01a",".",sample_parent_dns_zone)</f>
        <v>flt-logs01a.rainpole.io</v>
      </c>
      <c r="D225" s="18"/>
      <c r="E225" s="18"/>
      <c r="F225" s="41"/>
      <c r="G225" s="41"/>
      <c r="H225" s="41"/>
      <c r="I225" s="41"/>
      <c r="J225" s="41"/>
      <c r="K225" s="41"/>
      <c r="L225" s="41"/>
      <c r="M225" s="41"/>
      <c r="N225" s="41"/>
      <c r="O225" s="41"/>
      <c r="P225" s="41"/>
      <c r="Q225" s="41"/>
      <c r="R225" s="41"/>
      <c r="S225" s="41"/>
      <c r="T225" s="41"/>
      <c r="U225" s="41"/>
      <c r="V225" s="41"/>
      <c r="W225" s="41"/>
      <c r="X225" s="41"/>
      <c r="Y225" s="41"/>
      <c r="Z225" s="41"/>
    </row>
    <row r="226" ht="19.5" customHeight="1">
      <c r="A226" s="41"/>
      <c r="B226" s="84" t="s">
        <v>1144</v>
      </c>
      <c r="C226" s="226" t="str">
        <f>CONCATENATE(prefix_portable_component,"-logs01b",".",sample_parent_dns_zone)</f>
        <v>flt-logs01b.rainpole.io</v>
      </c>
      <c r="D226" s="18"/>
      <c r="E226" s="18"/>
      <c r="F226" s="41"/>
      <c r="G226" s="41"/>
      <c r="H226" s="41"/>
      <c r="I226" s="41"/>
      <c r="J226" s="41"/>
      <c r="K226" s="41"/>
      <c r="L226" s="41"/>
      <c r="M226" s="41"/>
      <c r="N226" s="41"/>
      <c r="O226" s="41"/>
      <c r="P226" s="41"/>
      <c r="Q226" s="41"/>
      <c r="R226" s="41"/>
      <c r="S226" s="41"/>
      <c r="T226" s="41"/>
      <c r="U226" s="41"/>
      <c r="V226" s="41"/>
      <c r="W226" s="41"/>
      <c r="X226" s="41"/>
      <c r="Y226" s="41"/>
      <c r="Z226" s="41"/>
    </row>
    <row r="227" ht="19.5" customHeight="1">
      <c r="A227" s="41"/>
      <c r="B227" s="84" t="s">
        <v>1145</v>
      </c>
      <c r="C227" s="226" t="str">
        <f>CONCATENATE(prefix_portable_component,"-logs01c",".",sample_parent_dns_zone)</f>
        <v>flt-logs01c.rainpole.io</v>
      </c>
      <c r="D227" s="18"/>
      <c r="E227" s="18"/>
      <c r="F227" s="41"/>
      <c r="G227" s="41"/>
      <c r="H227" s="41"/>
      <c r="I227" s="41"/>
      <c r="J227" s="41"/>
      <c r="K227" s="41"/>
      <c r="L227" s="41"/>
      <c r="M227" s="41"/>
      <c r="N227" s="41"/>
      <c r="O227" s="41"/>
      <c r="P227" s="41"/>
      <c r="Q227" s="41"/>
      <c r="R227" s="41"/>
      <c r="S227" s="41"/>
      <c r="T227" s="41"/>
      <c r="U227" s="41"/>
      <c r="V227" s="41"/>
      <c r="W227" s="41"/>
      <c r="X227" s="41"/>
      <c r="Y227" s="41"/>
      <c r="Z227" s="41"/>
    </row>
    <row r="228" ht="19.5" customHeight="1">
      <c r="A228" s="41"/>
      <c r="B228" s="84" t="s">
        <v>1146</v>
      </c>
      <c r="C228" s="110" t="str">
        <f>IF(flt_custom_network_chosen="Shared Management Network",IF(mgmt_dpg_reuse_result="Included",CONCATENATE(prefix_mgmt_az1_cidr,"10.26"),CONCATENATE(prefix_mgmt_az1_cidr,"11.26")),IF(flt_custom_network_chosen="NSX Overlay Segment",CONCATENATE(prefix_xreg_cidr,".26"),CONCATENATE(prefix_flt_shared_cidr,".26")))</f>
        <v>10.21.10.26</v>
      </c>
      <c r="D228" s="18"/>
      <c r="E228" s="18"/>
      <c r="F228" s="41"/>
      <c r="G228" s="41"/>
      <c r="H228" s="41"/>
      <c r="I228" s="41"/>
      <c r="J228" s="41"/>
      <c r="K228" s="41"/>
      <c r="L228" s="41"/>
      <c r="M228" s="41"/>
      <c r="N228" s="41"/>
      <c r="O228" s="41"/>
      <c r="P228" s="41"/>
      <c r="Q228" s="41"/>
      <c r="R228" s="41"/>
      <c r="S228" s="41"/>
      <c r="T228" s="41"/>
      <c r="U228" s="41"/>
      <c r="V228" s="41"/>
      <c r="W228" s="41"/>
      <c r="X228" s="41"/>
      <c r="Y228" s="41"/>
      <c r="Z228" s="41"/>
    </row>
    <row r="229" ht="19.5" customHeight="1">
      <c r="A229" s="41"/>
      <c r="B229" s="84" t="s">
        <v>1147</v>
      </c>
      <c r="C229" s="110" t="str">
        <f>IF(flt_custom_network_chosen="Shared Management Network",IF(mgmt_dpg_reuse_result="Included",CONCATENATE(prefix_mgmt_az1_cidr,"10.59"),CONCATENATE(prefix_mgmt_az1_cidr,"11.59")),IF(flt_custom_network_chosen="NSX Overlay Segment",CONCATENATE(prefix_xreg_cidr,".59"),CONCATENATE(prefix_flt_shared_cidr,".59")))</f>
        <v>10.21.10.59</v>
      </c>
      <c r="D229" s="18"/>
      <c r="E229" s="18"/>
      <c r="F229" s="41"/>
      <c r="G229" s="41"/>
      <c r="H229" s="41"/>
      <c r="I229" s="41"/>
      <c r="J229" s="41"/>
      <c r="K229" s="41"/>
      <c r="L229" s="41"/>
      <c r="M229" s="41"/>
      <c r="N229" s="41"/>
      <c r="O229" s="41"/>
      <c r="P229" s="41"/>
      <c r="Q229" s="41"/>
      <c r="R229" s="41"/>
      <c r="S229" s="41"/>
      <c r="T229" s="41"/>
      <c r="U229" s="41"/>
      <c r="V229" s="41"/>
      <c r="W229" s="41"/>
      <c r="X229" s="41"/>
      <c r="Y229" s="41"/>
      <c r="Z229" s="41"/>
    </row>
    <row r="230" ht="19.5" customHeight="1">
      <c r="A230" s="41"/>
      <c r="B230" s="84" t="s">
        <v>1148</v>
      </c>
      <c r="C230" s="110" t="str">
        <f>IF(flt_custom_network_chosen="Shared Management Network",IF(mgmt_dpg_reuse_result="Included",CONCATENATE(prefix_mgmt_az1_cidr,"10.60"),CONCATENATE(prefix_mgmt_az1_cidr,"11.60")),IF(flt_custom_network_chosen="NSX Overlay Segment",CONCATENATE(prefix_xreg_cidr,".60"),CONCATENATE(prefix_flt_shared_cidr,".60")))</f>
        <v>10.21.10.60</v>
      </c>
      <c r="D230" s="18"/>
      <c r="E230" s="18"/>
      <c r="F230" s="41"/>
      <c r="G230" s="41"/>
      <c r="H230" s="41"/>
      <c r="I230" s="41"/>
      <c r="J230" s="41"/>
      <c r="K230" s="41"/>
      <c r="L230" s="41"/>
      <c r="M230" s="41"/>
      <c r="N230" s="41"/>
      <c r="O230" s="41"/>
      <c r="P230" s="41"/>
      <c r="Q230" s="41"/>
      <c r="R230" s="41"/>
      <c r="S230" s="41"/>
      <c r="T230" s="41"/>
      <c r="U230" s="41"/>
      <c r="V230" s="41"/>
      <c r="W230" s="41"/>
      <c r="X230" s="41"/>
      <c r="Y230" s="41"/>
      <c r="Z230" s="41"/>
    </row>
    <row r="231" ht="19.5" customHeight="1">
      <c r="A231" s="41"/>
      <c r="B231" s="84" t="s">
        <v>1149</v>
      </c>
      <c r="C231" s="110" t="str">
        <f>IF(flt_custom_network_chosen="Shared Management Network",IF(mgmt_dpg_reuse_result="Included",CONCATENATE(prefix_mgmt_az1_cidr,"10.61"),CONCATENATE(prefix_mgmt_az1_cidr,"11.61")),IF(flt_custom_network_chosen="NSX Overlay Segment",CONCATENATE(prefix_xreg_cidr,".61"),CONCATENATE(prefix_flt_shared_cidr,".61")))</f>
        <v>10.21.10.61</v>
      </c>
      <c r="D231" s="18"/>
      <c r="E231" s="18"/>
      <c r="F231" s="41"/>
      <c r="G231" s="41"/>
      <c r="H231" s="41"/>
      <c r="I231" s="41"/>
      <c r="J231" s="41"/>
      <c r="K231" s="41"/>
      <c r="L231" s="41"/>
      <c r="M231" s="41"/>
      <c r="N231" s="41"/>
      <c r="O231" s="41"/>
      <c r="P231" s="41"/>
      <c r="Q231" s="41"/>
      <c r="R231" s="41"/>
      <c r="S231" s="41"/>
      <c r="T231" s="41"/>
      <c r="U231" s="41"/>
      <c r="V231" s="41"/>
      <c r="W231" s="41"/>
      <c r="X231" s="41"/>
      <c r="Y231" s="41"/>
      <c r="Z231" s="41"/>
    </row>
    <row r="232" ht="19.5" customHeight="1">
      <c r="A232" s="41"/>
      <c r="B232" s="84" t="s">
        <v>1046</v>
      </c>
      <c r="C232" s="110" t="str">
        <f>sample_flt_logs_cert_alias</f>
        <v>flt-logs01-cert</v>
      </c>
      <c r="D232" s="18" t="str">
        <f t="array" ref="D232">flt_logs_cert_alias</f>
        <v>Value Missing</v>
      </c>
      <c r="E232" s="18"/>
      <c r="F232" s="41"/>
      <c r="G232" s="41"/>
      <c r="H232" s="41"/>
      <c r="I232" s="41"/>
      <c r="J232" s="41"/>
      <c r="K232" s="41"/>
      <c r="L232" s="41"/>
      <c r="M232" s="41"/>
      <c r="N232" s="41"/>
      <c r="O232" s="41"/>
      <c r="P232" s="41"/>
      <c r="Q232" s="41"/>
      <c r="R232" s="41"/>
      <c r="S232" s="41"/>
      <c r="T232" s="41"/>
      <c r="U232" s="41"/>
      <c r="V232" s="41"/>
      <c r="W232" s="41"/>
      <c r="X232" s="41"/>
      <c r="Y232" s="41"/>
      <c r="Z232" s="41"/>
    </row>
    <row r="233" ht="19.5" customHeight="1">
      <c r="A233" s="41"/>
      <c r="B233" s="102" t="s">
        <v>1047</v>
      </c>
      <c r="C233" s="13"/>
      <c r="D233" s="13"/>
      <c r="E233" s="14"/>
      <c r="F233" s="41"/>
      <c r="G233" s="41"/>
      <c r="H233" s="41"/>
      <c r="I233" s="41"/>
      <c r="J233" s="41"/>
      <c r="K233" s="41"/>
      <c r="L233" s="41"/>
      <c r="M233" s="41"/>
      <c r="N233" s="41"/>
      <c r="O233" s="41"/>
      <c r="P233" s="41"/>
      <c r="Q233" s="41"/>
      <c r="R233" s="41"/>
      <c r="S233" s="41"/>
      <c r="T233" s="41"/>
      <c r="U233" s="41"/>
      <c r="V233" s="41"/>
      <c r="W233" s="41"/>
      <c r="X233" s="41"/>
      <c r="Y233" s="41"/>
      <c r="Z233" s="41"/>
    </row>
    <row r="234" ht="19.5" customHeight="1">
      <c r="A234" s="41"/>
      <c r="B234" s="84" t="s">
        <v>1048</v>
      </c>
      <c r="C234" s="111" t="str">
        <f>CONCATENATE(this_instance,"-m01-vc01.",sample_child_dns_zone)</f>
        <v>lax-m01-vc01.lax.rainpole.io</v>
      </c>
      <c r="D234" s="18"/>
      <c r="E234" s="18"/>
      <c r="F234" s="41"/>
      <c r="G234" s="41"/>
      <c r="H234" s="41"/>
      <c r="I234" s="41"/>
      <c r="J234" s="41"/>
      <c r="K234" s="41"/>
      <c r="L234" s="41"/>
      <c r="M234" s="41"/>
      <c r="N234" s="41"/>
      <c r="O234" s="41"/>
      <c r="P234" s="41"/>
      <c r="Q234" s="41"/>
      <c r="R234" s="41"/>
      <c r="S234" s="41"/>
      <c r="T234" s="41"/>
      <c r="U234" s="41"/>
      <c r="V234" s="41"/>
      <c r="W234" s="41"/>
      <c r="X234" s="41"/>
      <c r="Y234" s="41"/>
      <c r="Z234" s="41"/>
    </row>
    <row r="235" ht="19.5" customHeight="1">
      <c r="A235" s="41"/>
      <c r="B235" s="84" t="s">
        <v>1049</v>
      </c>
      <c r="C235" s="110" t="str">
        <f>CONCATENATE(sample_mgmt_datacenter,"#",sample_mgmt_cl01_cluster)</f>
        <v>lax-m01-dc01#lax-m01-cl01</v>
      </c>
      <c r="D235" s="18"/>
      <c r="E235" s="18"/>
      <c r="F235" s="41"/>
      <c r="G235" s="41"/>
      <c r="H235" s="41"/>
      <c r="I235" s="41"/>
      <c r="J235" s="41"/>
      <c r="K235" s="41"/>
      <c r="L235" s="41"/>
      <c r="M235" s="41"/>
      <c r="N235" s="41"/>
      <c r="O235" s="41"/>
      <c r="P235" s="41"/>
      <c r="Q235" s="41"/>
      <c r="R235" s="41"/>
      <c r="S235" s="41"/>
      <c r="T235" s="41"/>
      <c r="U235" s="41"/>
      <c r="V235" s="41"/>
      <c r="W235" s="41"/>
      <c r="X235" s="41"/>
      <c r="Y235" s="41"/>
      <c r="Z235" s="41"/>
    </row>
    <row r="236" ht="19.5" customHeight="1">
      <c r="A236" s="41"/>
      <c r="B236" s="84" t="s">
        <v>1050</v>
      </c>
      <c r="C236" s="110" t="str">
        <f>CONCATENATE(this_instance,"-m01-cl01-fd-flt-logs01")</f>
        <v>lax-m01-cl01-fd-flt-logs01</v>
      </c>
      <c r="D236" s="18"/>
      <c r="E236" s="18" t="s">
        <v>1051</v>
      </c>
      <c r="F236" s="41"/>
      <c r="G236" s="41"/>
      <c r="H236" s="41"/>
      <c r="I236" s="41"/>
      <c r="J236" s="41"/>
      <c r="K236" s="41"/>
      <c r="L236" s="41"/>
      <c r="M236" s="41"/>
      <c r="N236" s="41"/>
      <c r="O236" s="41"/>
      <c r="P236" s="41"/>
      <c r="Q236" s="41"/>
      <c r="R236" s="41"/>
      <c r="S236" s="41"/>
      <c r="T236" s="41"/>
      <c r="U236" s="41"/>
      <c r="V236" s="41"/>
      <c r="W236" s="41"/>
      <c r="X236" s="41"/>
      <c r="Y236" s="41"/>
      <c r="Z236" s="41"/>
    </row>
    <row r="237" ht="19.5" customHeight="1">
      <c r="A237" s="41"/>
      <c r="B237" s="84" t="s">
        <v>1052</v>
      </c>
      <c r="C237" s="110" t="str">
        <f>CONCATENATE(this_instance,"-m01-cl01-rp-flt-logs01")</f>
        <v>lax-m01-cl01-rp-flt-logs01</v>
      </c>
      <c r="D237" s="18"/>
      <c r="E237" s="18" t="s">
        <v>1051</v>
      </c>
      <c r="F237" s="41"/>
      <c r="G237" s="41"/>
      <c r="H237" s="41"/>
      <c r="I237" s="41"/>
      <c r="J237" s="41"/>
      <c r="K237" s="41"/>
      <c r="L237" s="41"/>
      <c r="M237" s="41"/>
      <c r="N237" s="41"/>
      <c r="O237" s="41"/>
      <c r="P237" s="41"/>
      <c r="Q237" s="41"/>
      <c r="R237" s="41"/>
      <c r="S237" s="41"/>
      <c r="T237" s="41"/>
      <c r="U237" s="41"/>
      <c r="V237" s="41"/>
      <c r="W237" s="41"/>
      <c r="X237" s="41"/>
      <c r="Y237" s="41"/>
      <c r="Z237" s="41"/>
    </row>
    <row r="238" ht="19.5" customHeight="1">
      <c r="A238" s="41"/>
      <c r="B238" s="84" t="s">
        <v>1053</v>
      </c>
      <c r="C238" s="110"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lax-m01-cl01-vds01-pg-vm-mgmt</v>
      </c>
      <c r="D238" s="18"/>
      <c r="E238" s="18"/>
      <c r="F238" s="41"/>
      <c r="G238" s="41"/>
      <c r="H238" s="41"/>
      <c r="I238" s="41"/>
      <c r="J238" s="41"/>
      <c r="K238" s="41"/>
      <c r="L238" s="41"/>
      <c r="M238" s="41"/>
      <c r="N238" s="41"/>
      <c r="O238" s="41"/>
      <c r="P238" s="41"/>
      <c r="Q238" s="41"/>
      <c r="R238" s="41"/>
      <c r="S238" s="41"/>
      <c r="T238" s="41"/>
      <c r="U238" s="41"/>
      <c r="V238" s="41"/>
      <c r="W238" s="41"/>
      <c r="X238" s="41"/>
      <c r="Y238" s="41"/>
      <c r="Z238" s="41"/>
    </row>
    <row r="239" ht="19.5" customHeight="1">
      <c r="A239" s="41"/>
      <c r="B239" s="84" t="s">
        <v>1054</v>
      </c>
      <c r="C239" s="110" t="str">
        <f>IF(mgmt_principal_storage_chosen="VMFS on Fibre Channel (FC)",CONCATENATE(this_instance,"-m01-cl01-ds-vmfs01"),IF(mgmt_principal_storage_chosen="NFSv3",CONCATENATE(this_instance,"-m01-cl01-ds-nfs01"),CONCATENATE(this_instance,"-m01-cl01-ds-vsan01")))</f>
        <v>lax-m01-cl01-ds-nfs01</v>
      </c>
      <c r="D239" s="18"/>
      <c r="E239" s="18"/>
      <c r="F239" s="41"/>
      <c r="G239" s="41"/>
      <c r="H239" s="41"/>
      <c r="I239" s="41"/>
      <c r="J239" s="41"/>
      <c r="K239" s="41"/>
      <c r="L239" s="41"/>
      <c r="M239" s="41"/>
      <c r="N239" s="41"/>
      <c r="O239" s="41"/>
      <c r="P239" s="41"/>
      <c r="Q239" s="41"/>
      <c r="R239" s="41"/>
      <c r="S239" s="41"/>
      <c r="T239" s="41"/>
      <c r="U239" s="41"/>
      <c r="V239" s="41"/>
      <c r="W239" s="41"/>
      <c r="X239" s="41"/>
      <c r="Y239" s="41"/>
      <c r="Z239" s="41"/>
    </row>
    <row r="240" ht="19.5" customHeight="1">
      <c r="A240" s="41"/>
      <c r="B240" s="84" t="s">
        <v>1150</v>
      </c>
      <c r="C240" s="110" t="s">
        <v>1151</v>
      </c>
      <c r="D240" s="18" t="s">
        <v>1151</v>
      </c>
      <c r="E240" s="18"/>
      <c r="F240" s="41"/>
      <c r="G240" s="41"/>
      <c r="H240" s="41"/>
      <c r="I240" s="41"/>
      <c r="J240" s="41"/>
      <c r="K240" s="41"/>
      <c r="L240" s="41"/>
      <c r="M240" s="41"/>
      <c r="N240" s="41"/>
      <c r="O240" s="41"/>
      <c r="P240" s="41"/>
      <c r="Q240" s="41"/>
      <c r="R240" s="41"/>
      <c r="S240" s="41"/>
      <c r="T240" s="41"/>
      <c r="U240" s="41"/>
      <c r="V240" s="41"/>
      <c r="W240" s="41"/>
      <c r="X240" s="41"/>
      <c r="Y240" s="41"/>
      <c r="Z240" s="41"/>
    </row>
    <row r="241" ht="19.5" customHeight="1">
      <c r="A241" s="41"/>
      <c r="B241" s="102" t="s">
        <v>717</v>
      </c>
      <c r="C241" s="13"/>
      <c r="D241" s="13"/>
      <c r="E241" s="14"/>
      <c r="F241" s="41"/>
      <c r="G241" s="41"/>
      <c r="H241" s="41"/>
      <c r="I241" s="41"/>
      <c r="J241" s="41"/>
      <c r="K241" s="41"/>
      <c r="L241" s="41"/>
      <c r="M241" s="41"/>
      <c r="N241" s="41"/>
      <c r="O241" s="41"/>
      <c r="P241" s="41"/>
      <c r="Q241" s="41"/>
      <c r="R241" s="41"/>
      <c r="S241" s="41"/>
      <c r="T241" s="41"/>
      <c r="U241" s="41"/>
      <c r="V241" s="41"/>
      <c r="W241" s="41"/>
      <c r="X241" s="41"/>
      <c r="Y241" s="41"/>
      <c r="Z241" s="41"/>
    </row>
    <row r="242" ht="19.5" customHeight="1">
      <c r="A242" s="41"/>
      <c r="B242" s="84" t="s">
        <v>356</v>
      </c>
      <c r="C242" s="111" t="str">
        <f>sample_parent_dns_zone</f>
        <v>rainpole.io</v>
      </c>
      <c r="D242" s="18" t="str">
        <f>parent_dns_zone</f>
        <v>Value Missing</v>
      </c>
      <c r="E242" s="18"/>
      <c r="F242" s="41"/>
      <c r="G242" s="41"/>
      <c r="H242" s="41"/>
      <c r="I242" s="41"/>
      <c r="J242" s="41"/>
      <c r="K242" s="41"/>
      <c r="L242" s="41"/>
      <c r="M242" s="41"/>
      <c r="N242" s="41"/>
      <c r="O242" s="41"/>
      <c r="P242" s="41"/>
      <c r="Q242" s="41"/>
      <c r="R242" s="41"/>
      <c r="S242" s="41"/>
      <c r="T242" s="41"/>
      <c r="U242" s="41"/>
      <c r="V242" s="41"/>
      <c r="W242" s="41"/>
      <c r="X242" s="41"/>
      <c r="Y242" s="41"/>
      <c r="Z242" s="41"/>
    </row>
    <row r="243" ht="19.5" customHeight="1">
      <c r="A243" s="41"/>
      <c r="B243" s="84" t="s">
        <v>1055</v>
      </c>
      <c r="C243" s="111" t="str">
        <f>sample_parent_dns_zone</f>
        <v>rainpole.io</v>
      </c>
      <c r="D243" s="18" t="str">
        <f>parent_dns_zone</f>
        <v>Value Missing</v>
      </c>
      <c r="E243" s="18"/>
      <c r="F243" s="41"/>
      <c r="G243" s="41"/>
      <c r="H243" s="41"/>
      <c r="I243" s="41"/>
      <c r="J243" s="41"/>
      <c r="K243" s="41"/>
      <c r="L243" s="41"/>
      <c r="M243" s="41"/>
      <c r="N243" s="41"/>
      <c r="O243" s="41"/>
      <c r="P243" s="41"/>
      <c r="Q243" s="41"/>
      <c r="R243" s="41"/>
      <c r="S243" s="41"/>
      <c r="T243" s="41"/>
      <c r="U243" s="41"/>
      <c r="V243" s="41"/>
      <c r="W243" s="41"/>
      <c r="X243" s="41"/>
      <c r="Y243" s="41"/>
      <c r="Z243" s="41"/>
    </row>
    <row r="244" ht="19.5" customHeight="1">
      <c r="A244" s="41"/>
      <c r="B244" s="84" t="s">
        <v>1056</v>
      </c>
      <c r="C244" s="203" t="str">
        <f>CONCATENATE(sample_region_dns1_ip,",",sample_region_dns2_ip)</f>
        <v>10.21.10.4,10.21.10.5</v>
      </c>
      <c r="D244" s="18" t="str">
        <f>CONCATENATE(region_dns1_ip,",",region_dns2_ip)</f>
        <v>Value Missing,Value Missing</v>
      </c>
      <c r="E244" s="18"/>
      <c r="F244" s="41"/>
      <c r="G244" s="41"/>
      <c r="H244" s="41"/>
      <c r="I244" s="41"/>
      <c r="J244" s="41"/>
      <c r="K244" s="41"/>
      <c r="L244" s="41"/>
      <c r="M244" s="41"/>
      <c r="N244" s="41"/>
      <c r="O244" s="41"/>
      <c r="P244" s="41"/>
      <c r="Q244" s="41"/>
      <c r="R244" s="41"/>
      <c r="S244" s="41"/>
      <c r="T244" s="41"/>
      <c r="U244" s="41"/>
      <c r="V244" s="41"/>
      <c r="W244" s="41"/>
      <c r="X244" s="41"/>
      <c r="Y244" s="41"/>
      <c r="Z244" s="41"/>
    </row>
    <row r="245" ht="19.5" customHeight="1">
      <c r="A245" s="41"/>
      <c r="B245" s="84" t="s">
        <v>1057</v>
      </c>
      <c r="C245" s="203" t="s">
        <v>1058</v>
      </c>
      <c r="D245" s="18" t="s">
        <v>1058</v>
      </c>
      <c r="E245" s="18"/>
      <c r="F245" s="41"/>
      <c r="G245" s="41"/>
      <c r="H245" s="41"/>
      <c r="I245" s="41"/>
      <c r="J245" s="41"/>
      <c r="K245" s="41"/>
      <c r="L245" s="41"/>
      <c r="M245" s="41"/>
      <c r="N245" s="41"/>
      <c r="O245" s="41"/>
      <c r="P245" s="41"/>
      <c r="Q245" s="41"/>
      <c r="R245" s="41"/>
      <c r="S245" s="41"/>
      <c r="T245" s="41"/>
      <c r="U245" s="41"/>
      <c r="V245" s="41"/>
      <c r="W245" s="41"/>
      <c r="X245" s="41"/>
      <c r="Y245" s="41"/>
      <c r="Z245" s="41"/>
    </row>
    <row r="246" ht="19.5" customHeight="1">
      <c r="A246" s="41"/>
      <c r="B246" s="84" t="s">
        <v>757</v>
      </c>
      <c r="C246" s="110" t="str">
        <f>CONCATENATE(sample_region_ntp1_server,",",sample_region_ntp2_server)</f>
        <v>ntp0.lax.rainpole.io,ntp1.lax.rainpole.io</v>
      </c>
      <c r="D246" s="18" t="str">
        <f>CONCATENATE(region_ntp1_server,",",region_ntp2_server)</f>
        <v>Value Missing,Value Missing</v>
      </c>
      <c r="E246" s="18"/>
      <c r="F246" s="41"/>
      <c r="G246" s="41"/>
      <c r="H246" s="41"/>
      <c r="I246" s="41"/>
      <c r="J246" s="41"/>
      <c r="K246" s="41"/>
      <c r="L246" s="41"/>
      <c r="M246" s="41"/>
      <c r="N246" s="41"/>
      <c r="O246" s="41"/>
      <c r="P246" s="41"/>
      <c r="Q246" s="41"/>
      <c r="R246" s="41"/>
      <c r="S246" s="41"/>
      <c r="T246" s="41"/>
      <c r="U246" s="41"/>
      <c r="V246" s="41"/>
      <c r="W246" s="41"/>
      <c r="X246" s="41"/>
      <c r="Y246" s="41"/>
      <c r="Z246" s="41"/>
    </row>
    <row r="247" ht="19.5" customHeight="1">
      <c r="A247" s="41"/>
      <c r="B247" s="84" t="s">
        <v>1059</v>
      </c>
      <c r="C247" s="110" t="str">
        <f>IF(flt_custom_network_chosen="Shared Management Network",IF(mgmt_dpg_reuse_result="Included",CONCATENATE(prefix_mgmt_az1_cidr,"10.1"),CONCATENATE(prefix_mgmt_az1_cidr,"11.1")),IF(flt_custom_network_chosen="NSX Overlay Segment",CONCATENATE(prefix_xreg_cidr,".1"),CONCATENATE(prefix_flt_shared_cidr,".1")))</f>
        <v>10.21.10.1</v>
      </c>
      <c r="D247" s="18"/>
      <c r="E247" s="18"/>
      <c r="F247" s="41"/>
      <c r="G247" s="41"/>
      <c r="H247" s="41"/>
      <c r="I247" s="41"/>
      <c r="J247" s="41"/>
      <c r="K247" s="41"/>
      <c r="L247" s="41"/>
      <c r="M247" s="41"/>
      <c r="N247" s="41"/>
      <c r="O247" s="41"/>
      <c r="P247" s="41"/>
      <c r="Q247" s="41"/>
      <c r="R247" s="41"/>
      <c r="S247" s="41"/>
      <c r="T247" s="41"/>
      <c r="U247" s="41"/>
      <c r="V247" s="41"/>
      <c r="W247" s="41"/>
      <c r="X247" s="41"/>
      <c r="Y247" s="41"/>
      <c r="Z247" s="41"/>
    </row>
    <row r="248" ht="19.5" customHeight="1">
      <c r="A248" s="41"/>
      <c r="B248" s="84" t="s">
        <v>1060</v>
      </c>
      <c r="C248" s="110" t="s">
        <v>622</v>
      </c>
      <c r="D248" s="18"/>
      <c r="E248" s="18"/>
      <c r="F248" s="41"/>
      <c r="G248" s="41"/>
      <c r="H248" s="41"/>
      <c r="I248" s="41"/>
      <c r="J248" s="41"/>
      <c r="K248" s="41"/>
      <c r="L248" s="41"/>
      <c r="M248" s="41"/>
      <c r="N248" s="41"/>
      <c r="O248" s="41"/>
      <c r="P248" s="41"/>
      <c r="Q248" s="41"/>
      <c r="R248" s="41"/>
      <c r="S248" s="41"/>
      <c r="T248" s="41"/>
      <c r="U248" s="41"/>
      <c r="V248" s="41"/>
      <c r="W248" s="41"/>
      <c r="X248" s="41"/>
      <c r="Y248" s="41"/>
      <c r="Z248" s="41"/>
    </row>
    <row r="249" ht="19.5" customHeight="1">
      <c r="A249" s="41"/>
      <c r="B249" s="102" t="s">
        <v>1061</v>
      </c>
      <c r="C249" s="13"/>
      <c r="D249" s="13"/>
      <c r="E249" s="14"/>
      <c r="F249" s="41"/>
      <c r="G249" s="41"/>
      <c r="H249" s="41"/>
      <c r="I249" s="41"/>
      <c r="J249" s="41"/>
      <c r="K249" s="41"/>
      <c r="L249" s="41"/>
      <c r="M249" s="41"/>
      <c r="N249" s="41"/>
      <c r="O249" s="41"/>
      <c r="P249" s="41"/>
      <c r="Q249" s="41"/>
      <c r="R249" s="41"/>
      <c r="S249" s="41"/>
      <c r="T249" s="41"/>
      <c r="U249" s="41"/>
      <c r="V249" s="41"/>
      <c r="W249" s="41"/>
      <c r="X249" s="41"/>
      <c r="Y249" s="41"/>
      <c r="Z249" s="41"/>
    </row>
    <row r="250" ht="19.5" customHeight="1">
      <c r="A250" s="41"/>
      <c r="B250" s="84" t="s">
        <v>1152</v>
      </c>
      <c r="C250" s="225" t="str">
        <f>CONCATENATE(prefix_portable_component,"-logs01","-admin-password")</f>
        <v>flt-logs01-admin-password</v>
      </c>
      <c r="D250" s="18"/>
      <c r="E250" s="18"/>
      <c r="F250" s="41"/>
      <c r="G250" s="41"/>
      <c r="H250" s="41"/>
      <c r="I250" s="41"/>
      <c r="J250" s="41"/>
      <c r="K250" s="41"/>
      <c r="L250" s="41"/>
      <c r="M250" s="41"/>
      <c r="N250" s="41"/>
      <c r="O250" s="41"/>
      <c r="P250" s="41"/>
      <c r="Q250" s="41"/>
      <c r="R250" s="41"/>
      <c r="S250" s="41"/>
      <c r="T250" s="41"/>
      <c r="U250" s="41"/>
      <c r="V250" s="41"/>
      <c r="W250" s="41"/>
      <c r="X250" s="41"/>
      <c r="Y250" s="41"/>
      <c r="Z250" s="41"/>
    </row>
    <row r="251" ht="19.5" customHeight="1">
      <c r="A251" s="41"/>
      <c r="B251" s="84" t="s">
        <v>685</v>
      </c>
      <c r="C251" s="225" t="s">
        <v>297</v>
      </c>
      <c r="D251" s="18"/>
      <c r="E251" s="18"/>
      <c r="F251" s="41"/>
      <c r="G251" s="41"/>
      <c r="H251" s="41"/>
      <c r="I251" s="41"/>
      <c r="J251" s="41"/>
      <c r="K251" s="41"/>
      <c r="L251" s="41"/>
      <c r="M251" s="41"/>
      <c r="N251" s="41"/>
      <c r="O251" s="41"/>
      <c r="P251" s="41"/>
      <c r="Q251" s="41"/>
      <c r="R251" s="41"/>
      <c r="S251" s="41"/>
      <c r="T251" s="41"/>
      <c r="U251" s="41"/>
      <c r="V251" s="41"/>
      <c r="W251" s="41"/>
      <c r="X251" s="41"/>
      <c r="Y251" s="41"/>
      <c r="Z251" s="41"/>
    </row>
    <row r="252" ht="19.5" customHeight="1">
      <c r="A252" s="41"/>
      <c r="B252" s="84" t="s">
        <v>1153</v>
      </c>
      <c r="C252" s="225" t="s">
        <v>1154</v>
      </c>
      <c r="D252" s="18"/>
      <c r="E252" s="18"/>
      <c r="F252" s="41"/>
      <c r="G252" s="41"/>
      <c r="H252" s="41"/>
      <c r="I252" s="41"/>
      <c r="J252" s="41"/>
      <c r="K252" s="41"/>
      <c r="L252" s="41"/>
      <c r="M252" s="41"/>
      <c r="N252" s="41"/>
      <c r="O252" s="41"/>
      <c r="P252" s="41"/>
      <c r="Q252" s="41"/>
      <c r="R252" s="41"/>
      <c r="S252" s="41"/>
      <c r="T252" s="41"/>
      <c r="U252" s="41"/>
      <c r="V252" s="41"/>
      <c r="W252" s="41"/>
      <c r="X252" s="41"/>
      <c r="Y252" s="41"/>
      <c r="Z252" s="41"/>
    </row>
    <row r="253" ht="19.5" customHeight="1">
      <c r="A253" s="41"/>
      <c r="B253" s="84" t="s">
        <v>1155</v>
      </c>
      <c r="C253" s="225" t="s">
        <v>889</v>
      </c>
      <c r="D253" s="18"/>
      <c r="E253" s="18"/>
      <c r="F253" s="41"/>
      <c r="G253" s="41"/>
      <c r="H253" s="41"/>
      <c r="I253" s="41"/>
      <c r="J253" s="41"/>
      <c r="K253" s="41"/>
      <c r="L253" s="41"/>
      <c r="M253" s="41"/>
      <c r="N253" s="41"/>
      <c r="O253" s="41"/>
      <c r="P253" s="41"/>
      <c r="Q253" s="41"/>
      <c r="R253" s="41"/>
      <c r="S253" s="41"/>
      <c r="T253" s="41"/>
      <c r="U253" s="41"/>
      <c r="V253" s="41"/>
      <c r="W253" s="41"/>
      <c r="X253" s="41"/>
      <c r="Y253" s="41"/>
      <c r="Z253" s="41"/>
    </row>
    <row r="254" ht="19.5" customHeight="1">
      <c r="A254" s="41"/>
      <c r="B254" s="84" t="s">
        <v>1068</v>
      </c>
      <c r="C254" s="225" t="str">
        <f>CONCATENATE(prefix_portable_component,"-logs01","-root-password")</f>
        <v>flt-logs01-root-password</v>
      </c>
      <c r="D254" s="18"/>
      <c r="E254" s="18"/>
      <c r="F254" s="41"/>
      <c r="G254" s="41"/>
      <c r="H254" s="41"/>
      <c r="I254" s="41"/>
      <c r="J254" s="41"/>
      <c r="K254" s="41"/>
      <c r="L254" s="41"/>
      <c r="M254" s="41"/>
      <c r="N254" s="41"/>
      <c r="O254" s="41"/>
      <c r="P254" s="41"/>
      <c r="Q254" s="41"/>
      <c r="R254" s="41"/>
      <c r="S254" s="41"/>
      <c r="T254" s="41"/>
      <c r="U254" s="41"/>
      <c r="V254" s="41"/>
      <c r="W254" s="41"/>
      <c r="X254" s="41"/>
      <c r="Y254" s="41"/>
      <c r="Z254" s="41"/>
    </row>
    <row r="255" ht="19.5" customHeight="1">
      <c r="A255" s="41"/>
      <c r="B255" s="84" t="s">
        <v>331</v>
      </c>
      <c r="C255" s="225" t="s">
        <v>297</v>
      </c>
      <c r="D255" s="18"/>
      <c r="E255" s="18"/>
      <c r="F255" s="41"/>
      <c r="G255" s="41"/>
      <c r="H255" s="41"/>
      <c r="I255" s="41"/>
      <c r="J255" s="41"/>
      <c r="K255" s="41"/>
      <c r="L255" s="41"/>
      <c r="M255" s="41"/>
      <c r="N255" s="41"/>
      <c r="O255" s="41"/>
      <c r="P255" s="41"/>
      <c r="Q255" s="41"/>
      <c r="R255" s="41"/>
      <c r="S255" s="41"/>
      <c r="T255" s="41"/>
      <c r="U255" s="41"/>
      <c r="V255" s="41"/>
      <c r="W255" s="41"/>
      <c r="X255" s="41"/>
      <c r="Y255" s="41"/>
      <c r="Z255" s="41"/>
    </row>
    <row r="256" ht="19.5" customHeight="1">
      <c r="A256" s="41"/>
      <c r="B256" s="84" t="s">
        <v>1069</v>
      </c>
      <c r="C256" s="225" t="s">
        <v>1156</v>
      </c>
      <c r="D256" s="18"/>
      <c r="E256" s="18"/>
      <c r="F256" s="41"/>
      <c r="G256" s="41"/>
      <c r="H256" s="41"/>
      <c r="I256" s="41"/>
      <c r="J256" s="41"/>
      <c r="K256" s="41"/>
      <c r="L256" s="41"/>
      <c r="M256" s="41"/>
      <c r="N256" s="41"/>
      <c r="O256" s="41"/>
      <c r="P256" s="41"/>
      <c r="Q256" s="41"/>
      <c r="R256" s="41"/>
      <c r="S256" s="41"/>
      <c r="T256" s="41"/>
      <c r="U256" s="41"/>
      <c r="V256" s="41"/>
      <c r="W256" s="41"/>
      <c r="X256" s="41"/>
      <c r="Y256" s="41"/>
      <c r="Z256" s="41"/>
    </row>
    <row r="257" ht="19.5" customHeight="1">
      <c r="A257" s="41"/>
      <c r="B257" s="84" t="s">
        <v>1071</v>
      </c>
      <c r="C257" s="225" t="s">
        <v>728</v>
      </c>
      <c r="D257" s="18"/>
      <c r="E257" s="18"/>
      <c r="F257" s="41"/>
      <c r="G257" s="41"/>
      <c r="H257" s="41"/>
      <c r="I257" s="41"/>
      <c r="J257" s="41"/>
      <c r="K257" s="41"/>
      <c r="L257" s="41"/>
      <c r="M257" s="41"/>
      <c r="N257" s="41"/>
      <c r="O257" s="41"/>
      <c r="P257" s="41"/>
      <c r="Q257" s="41"/>
      <c r="R257" s="41"/>
      <c r="S257" s="41"/>
      <c r="T257" s="41"/>
      <c r="U257" s="41"/>
      <c r="V257" s="41"/>
      <c r="W257" s="41"/>
      <c r="X257" s="41"/>
      <c r="Y257" s="41"/>
      <c r="Z257" s="41"/>
    </row>
    <row r="258" ht="19.5" customHeight="1">
      <c r="A258" s="41"/>
      <c r="B258" s="84" t="s">
        <v>1072</v>
      </c>
      <c r="C258" s="232" t="str">
        <f>sample_mgmt_vc_fqdn</f>
        <v>lax-m01-vc01.lax.rainpole.io</v>
      </c>
      <c r="D258" s="18"/>
      <c r="E258" s="18" t="s">
        <v>1157</v>
      </c>
      <c r="F258" s="41"/>
      <c r="G258" s="41"/>
      <c r="H258" s="41"/>
      <c r="I258" s="41"/>
      <c r="J258" s="41"/>
      <c r="K258" s="41"/>
      <c r="L258" s="41"/>
      <c r="M258" s="41"/>
      <c r="N258" s="41"/>
      <c r="O258" s="41"/>
      <c r="P258" s="41"/>
      <c r="Q258" s="41"/>
      <c r="R258" s="41"/>
      <c r="S258" s="41"/>
      <c r="T258" s="41"/>
      <c r="U258" s="41"/>
      <c r="V258" s="41"/>
      <c r="W258" s="41"/>
      <c r="X258" s="41"/>
      <c r="Y258" s="41"/>
      <c r="Z258" s="41"/>
    </row>
    <row r="259" ht="19.5" customHeight="1">
      <c r="A259" s="41"/>
      <c r="B259" s="84" t="s">
        <v>1158</v>
      </c>
      <c r="C259" s="110" t="s">
        <v>212</v>
      </c>
      <c r="D259" s="18" t="s">
        <v>212</v>
      </c>
      <c r="E259" s="18"/>
      <c r="F259" s="41"/>
      <c r="G259" s="41"/>
      <c r="H259" s="41"/>
      <c r="I259" s="41"/>
      <c r="J259" s="41"/>
      <c r="K259" s="41"/>
      <c r="L259" s="41"/>
      <c r="M259" s="41"/>
      <c r="N259" s="41"/>
      <c r="O259" s="41"/>
      <c r="P259" s="41"/>
      <c r="Q259" s="41"/>
      <c r="R259" s="41"/>
      <c r="S259" s="41"/>
      <c r="T259" s="41"/>
      <c r="U259" s="41"/>
      <c r="V259" s="41"/>
      <c r="W259" s="41"/>
      <c r="X259" s="41"/>
      <c r="Y259" s="41"/>
      <c r="Z259" s="41"/>
    </row>
    <row r="260" ht="19.5" customHeight="1">
      <c r="A260" s="41"/>
      <c r="B260" s="84" t="s">
        <v>1159</v>
      </c>
      <c r="C260" s="110" t="s">
        <v>285</v>
      </c>
      <c r="D260" s="18" t="s">
        <v>285</v>
      </c>
      <c r="E260" s="18"/>
      <c r="F260" s="41"/>
      <c r="G260" s="41"/>
      <c r="H260" s="41"/>
      <c r="I260" s="41"/>
      <c r="J260" s="41"/>
      <c r="K260" s="41"/>
      <c r="L260" s="41"/>
      <c r="M260" s="41"/>
      <c r="N260" s="41"/>
      <c r="O260" s="41"/>
      <c r="P260" s="41"/>
      <c r="Q260" s="41"/>
      <c r="R260" s="41"/>
      <c r="S260" s="41"/>
      <c r="T260" s="41"/>
      <c r="U260" s="41"/>
      <c r="V260" s="41"/>
      <c r="W260" s="41"/>
      <c r="X260" s="41"/>
      <c r="Y260" s="41"/>
      <c r="Z260" s="41"/>
    </row>
    <row r="261" ht="19.5" customHeight="1">
      <c r="A261" s="41"/>
      <c r="B261" s="84" t="s">
        <v>1160</v>
      </c>
      <c r="C261" s="110" t="str">
        <f>sample_flt_logs_cert_alias</f>
        <v>flt-logs01-cert</v>
      </c>
      <c r="D261" s="18" t="str">
        <f t="array" ref="D261">flt_logs_cert_alias</f>
        <v>Value Missing</v>
      </c>
      <c r="E261" s="18" t="s">
        <v>1161</v>
      </c>
      <c r="F261" s="41"/>
      <c r="G261" s="41"/>
      <c r="H261" s="41"/>
      <c r="I261" s="41"/>
      <c r="J261" s="41"/>
      <c r="K261" s="41"/>
      <c r="L261" s="41"/>
      <c r="M261" s="41"/>
      <c r="N261" s="41"/>
      <c r="O261" s="41"/>
      <c r="P261" s="41"/>
      <c r="Q261" s="41"/>
      <c r="R261" s="41"/>
      <c r="S261" s="41"/>
      <c r="T261" s="41"/>
      <c r="U261" s="41"/>
      <c r="V261" s="41"/>
      <c r="W261" s="41"/>
      <c r="X261" s="41"/>
      <c r="Y261" s="41"/>
      <c r="Z261" s="41"/>
    </row>
    <row r="262" ht="19.5" customHeight="1">
      <c r="A262" s="41"/>
      <c r="B262" s="84" t="s">
        <v>1162</v>
      </c>
      <c r="C262" s="110" t="s">
        <v>285</v>
      </c>
      <c r="D262" s="18" t="s">
        <v>285</v>
      </c>
      <c r="E262" s="18"/>
      <c r="F262" s="41"/>
      <c r="G262" s="41"/>
      <c r="H262" s="41"/>
      <c r="I262" s="41"/>
      <c r="J262" s="41"/>
      <c r="K262" s="41"/>
      <c r="L262" s="41"/>
      <c r="M262" s="41"/>
      <c r="N262" s="41"/>
      <c r="O262" s="41"/>
      <c r="P262" s="41"/>
      <c r="Q262" s="41"/>
      <c r="R262" s="41"/>
      <c r="S262" s="41"/>
      <c r="T262" s="41"/>
      <c r="U262" s="41"/>
      <c r="V262" s="41"/>
      <c r="W262" s="41"/>
      <c r="X262" s="41"/>
      <c r="Y262" s="41"/>
      <c r="Z262" s="41"/>
    </row>
    <row r="263" ht="19.5" customHeight="1">
      <c r="A263" s="41"/>
      <c r="B263" s="84" t="s">
        <v>1163</v>
      </c>
      <c r="C263" s="110" t="s">
        <v>285</v>
      </c>
      <c r="D263" s="18" t="s">
        <v>285</v>
      </c>
      <c r="E263" s="18"/>
      <c r="F263" s="41"/>
      <c r="G263" s="41"/>
      <c r="H263" s="41"/>
      <c r="I263" s="41"/>
      <c r="J263" s="41"/>
      <c r="K263" s="41"/>
      <c r="L263" s="41"/>
      <c r="M263" s="41"/>
      <c r="N263" s="41"/>
      <c r="O263" s="41"/>
      <c r="P263" s="41"/>
      <c r="Q263" s="41"/>
      <c r="R263" s="41"/>
      <c r="S263" s="41"/>
      <c r="T263" s="41"/>
      <c r="U263" s="41"/>
      <c r="V263" s="41"/>
      <c r="W263" s="41"/>
      <c r="X263" s="41"/>
      <c r="Y263" s="41"/>
      <c r="Z263" s="41"/>
    </row>
    <row r="264" ht="19.5" customHeight="1">
      <c r="A264" s="41"/>
      <c r="B264" s="84" t="s">
        <v>1164</v>
      </c>
      <c r="C264" s="110" t="s">
        <v>285</v>
      </c>
      <c r="D264" s="18" t="s">
        <v>285</v>
      </c>
      <c r="E264" s="18"/>
      <c r="F264" s="41"/>
      <c r="G264" s="41"/>
      <c r="H264" s="41"/>
      <c r="I264" s="41"/>
      <c r="J264" s="41"/>
      <c r="K264" s="41"/>
      <c r="L264" s="41"/>
      <c r="M264" s="41"/>
      <c r="N264" s="41"/>
      <c r="O264" s="41"/>
      <c r="P264" s="41"/>
      <c r="Q264" s="41"/>
      <c r="R264" s="41"/>
      <c r="S264" s="41"/>
      <c r="T264" s="41"/>
      <c r="U264" s="41"/>
      <c r="V264" s="41"/>
      <c r="W264" s="41"/>
      <c r="X264" s="41"/>
      <c r="Y264" s="41"/>
      <c r="Z264" s="41"/>
    </row>
    <row r="265" ht="19.5" customHeight="1">
      <c r="A265" s="41"/>
      <c r="B265" s="84" t="s">
        <v>1165</v>
      </c>
      <c r="C265" s="110" t="s">
        <v>285</v>
      </c>
      <c r="D265" s="18" t="s">
        <v>285</v>
      </c>
      <c r="E265" s="18" t="s">
        <v>1166</v>
      </c>
      <c r="F265" s="41"/>
      <c r="G265" s="41"/>
      <c r="H265" s="41"/>
      <c r="I265" s="41"/>
      <c r="J265" s="41"/>
      <c r="K265" s="41"/>
      <c r="L265" s="41"/>
      <c r="M265" s="41"/>
      <c r="N265" s="41"/>
      <c r="O265" s="41"/>
      <c r="P265" s="41"/>
      <c r="Q265" s="41"/>
      <c r="R265" s="41"/>
      <c r="S265" s="41"/>
      <c r="T265" s="41"/>
      <c r="U265" s="41"/>
      <c r="V265" s="41"/>
      <c r="W265" s="41"/>
      <c r="X265" s="41"/>
      <c r="Y265" s="41"/>
      <c r="Z265" s="41"/>
    </row>
    <row r="266" ht="19.5" customHeight="1">
      <c r="A266" s="41"/>
      <c r="B266" s="84" t="s">
        <v>1167</v>
      </c>
      <c r="C266" s="110" t="s">
        <v>566</v>
      </c>
      <c r="D266" s="18"/>
      <c r="E266" s="18"/>
      <c r="F266" s="41"/>
      <c r="G266" s="41"/>
      <c r="H266" s="41"/>
      <c r="I266" s="41"/>
      <c r="J266" s="41"/>
      <c r="K266" s="41"/>
      <c r="L266" s="41"/>
      <c r="M266" s="41"/>
      <c r="N266" s="41"/>
      <c r="O266" s="41"/>
      <c r="P266" s="41"/>
      <c r="Q266" s="41"/>
      <c r="R266" s="41"/>
      <c r="S266" s="41"/>
      <c r="T266" s="41"/>
      <c r="U266" s="41"/>
      <c r="V266" s="41"/>
      <c r="W266" s="41"/>
      <c r="X266" s="41"/>
      <c r="Y266" s="41"/>
      <c r="Z266" s="41"/>
    </row>
    <row r="267" ht="19.5" customHeight="1">
      <c r="A267" s="41"/>
      <c r="B267" s="84" t="s">
        <v>1168</v>
      </c>
      <c r="C267" s="110" t="str">
        <f>sample_flt_logs_admin_password_alias</f>
        <v>flt-logs01-admin-password</v>
      </c>
      <c r="D267" s="18" t="str">
        <f>flt_logs_root_password_alias</f>
        <v>Value Missing</v>
      </c>
      <c r="E267" s="18"/>
      <c r="F267" s="41"/>
      <c r="G267" s="41"/>
      <c r="H267" s="41"/>
      <c r="I267" s="41"/>
      <c r="J267" s="41"/>
      <c r="K267" s="41"/>
      <c r="L267" s="41"/>
      <c r="M267" s="41"/>
      <c r="N267" s="41"/>
      <c r="O267" s="41"/>
      <c r="P267" s="41"/>
      <c r="Q267" s="41"/>
      <c r="R267" s="41"/>
      <c r="S267" s="41"/>
      <c r="T267" s="41"/>
      <c r="U267" s="41"/>
      <c r="V267" s="41"/>
      <c r="W267" s="41"/>
      <c r="X267" s="41"/>
      <c r="Y267" s="41"/>
      <c r="Z267" s="41"/>
    </row>
    <row r="268" ht="19.5" customHeight="1">
      <c r="A268" s="41"/>
      <c r="B268" s="84" t="s">
        <v>1057</v>
      </c>
      <c r="C268" s="110" t="s">
        <v>1058</v>
      </c>
      <c r="D268" s="18" t="s">
        <v>1058</v>
      </c>
      <c r="E268" s="18"/>
      <c r="F268" s="41"/>
      <c r="G268" s="41"/>
      <c r="H268" s="41"/>
      <c r="I268" s="41"/>
      <c r="J268" s="41"/>
      <c r="K268" s="41"/>
      <c r="L268" s="41"/>
      <c r="M268" s="41"/>
      <c r="N268" s="41"/>
      <c r="O268" s="41"/>
      <c r="P268" s="41"/>
      <c r="Q268" s="41"/>
      <c r="R268" s="41"/>
      <c r="S268" s="41"/>
      <c r="T268" s="41"/>
      <c r="U268" s="41"/>
      <c r="V268" s="41"/>
      <c r="W268" s="41"/>
      <c r="X268" s="41"/>
      <c r="Y268" s="41"/>
      <c r="Z268" s="41"/>
    </row>
    <row r="269" ht="19.5" customHeight="1">
      <c r="A269" s="41"/>
      <c r="B269" s="102" t="s">
        <v>1169</v>
      </c>
      <c r="C269" s="13"/>
      <c r="D269" s="13"/>
      <c r="E269" s="14"/>
      <c r="F269" s="41"/>
      <c r="G269" s="41"/>
      <c r="H269" s="41"/>
      <c r="I269" s="41"/>
      <c r="J269" s="41"/>
      <c r="K269" s="41"/>
      <c r="L269" s="41"/>
      <c r="M269" s="41"/>
      <c r="N269" s="41"/>
      <c r="O269" s="41"/>
      <c r="P269" s="41"/>
      <c r="Q269" s="41"/>
      <c r="R269" s="41"/>
      <c r="S269" s="41"/>
      <c r="T269" s="41"/>
      <c r="U269" s="41"/>
      <c r="V269" s="41"/>
      <c r="W269" s="41"/>
      <c r="X269" s="41"/>
      <c r="Y269" s="41"/>
      <c r="Z269" s="41"/>
    </row>
    <row r="270" ht="19.5" customHeight="1">
      <c r="A270" s="41"/>
      <c r="B270" s="84" t="s">
        <v>537</v>
      </c>
      <c r="C270" s="111" t="str">
        <f>sample_flt_logs_vip_fqdn</f>
        <v>flt-logs01.rainpole.io</v>
      </c>
      <c r="D270" s="18" t="str">
        <f t="array" ref="D270">flt_logs_vip_fqdn</f>
        <v>Value Missing</v>
      </c>
      <c r="E270" s="18"/>
      <c r="F270" s="41"/>
      <c r="G270" s="41"/>
      <c r="H270" s="41"/>
      <c r="I270" s="41"/>
      <c r="J270" s="41"/>
      <c r="K270" s="41"/>
      <c r="L270" s="41"/>
      <c r="M270" s="41"/>
      <c r="N270" s="41"/>
      <c r="O270" s="41"/>
      <c r="P270" s="41"/>
      <c r="Q270" s="41"/>
      <c r="R270" s="41"/>
      <c r="S270" s="41"/>
      <c r="T270" s="41"/>
      <c r="U270" s="41"/>
      <c r="V270" s="41"/>
      <c r="W270" s="41"/>
      <c r="X270" s="41"/>
      <c r="Y270" s="41"/>
      <c r="Z270" s="41"/>
    </row>
    <row r="271" ht="19.5" customHeight="1">
      <c r="A271" s="41"/>
      <c r="B271" s="84" t="s">
        <v>741</v>
      </c>
      <c r="C271" s="110" t="str">
        <f>sample_flt_logs_vip_ip</f>
        <v>10.21.10.26</v>
      </c>
      <c r="D271" s="18" t="str">
        <f>flt_logs_vip_ip</f>
        <v>Value Missing</v>
      </c>
      <c r="E271" s="18"/>
      <c r="F271" s="41"/>
      <c r="G271" s="41"/>
      <c r="H271" s="41"/>
      <c r="I271" s="41"/>
      <c r="J271" s="41"/>
      <c r="K271" s="41"/>
      <c r="L271" s="41"/>
      <c r="M271" s="41"/>
      <c r="N271" s="41"/>
      <c r="O271" s="41"/>
      <c r="P271" s="41"/>
      <c r="Q271" s="41"/>
      <c r="R271" s="41"/>
      <c r="S271" s="41"/>
      <c r="T271" s="41"/>
      <c r="U271" s="41"/>
      <c r="V271" s="41"/>
      <c r="W271" s="41"/>
      <c r="X271" s="41"/>
      <c r="Y271" s="41"/>
      <c r="Z271" s="41"/>
    </row>
    <row r="272" ht="19.5" customHeight="1">
      <c r="A272" s="41"/>
      <c r="B272" s="102" t="s">
        <v>1170</v>
      </c>
      <c r="C272" s="13"/>
      <c r="D272" s="13"/>
      <c r="E272" s="14"/>
      <c r="F272" s="41"/>
      <c r="G272" s="41"/>
      <c r="H272" s="41"/>
      <c r="I272" s="41"/>
      <c r="J272" s="41"/>
      <c r="K272" s="41"/>
      <c r="L272" s="41"/>
      <c r="M272" s="41"/>
      <c r="N272" s="41"/>
      <c r="O272" s="41"/>
      <c r="P272" s="41"/>
      <c r="Q272" s="41"/>
      <c r="R272" s="41"/>
      <c r="S272" s="41"/>
      <c r="T272" s="41"/>
      <c r="U272" s="41"/>
      <c r="V272" s="41"/>
      <c r="W272" s="41"/>
      <c r="X272" s="41"/>
      <c r="Y272" s="41"/>
      <c r="Z272" s="41"/>
    </row>
    <row r="273" ht="19.5" customHeight="1">
      <c r="A273" s="41"/>
      <c r="B273" s="84" t="s">
        <v>1171</v>
      </c>
      <c r="C273" s="110" t="s">
        <v>1172</v>
      </c>
      <c r="D273" s="18"/>
      <c r="E273" s="18"/>
      <c r="F273" s="41"/>
      <c r="G273" s="41"/>
      <c r="H273" s="41"/>
      <c r="I273" s="41"/>
      <c r="J273" s="41"/>
      <c r="K273" s="41"/>
      <c r="L273" s="41"/>
      <c r="M273" s="41"/>
      <c r="N273" s="41"/>
      <c r="O273" s="41"/>
      <c r="P273" s="41"/>
      <c r="Q273" s="41"/>
      <c r="R273" s="41"/>
      <c r="S273" s="41"/>
      <c r="T273" s="41"/>
      <c r="U273" s="41"/>
      <c r="V273" s="41"/>
      <c r="W273" s="41"/>
      <c r="X273" s="41"/>
      <c r="Y273" s="41"/>
      <c r="Z273" s="41"/>
    </row>
    <row r="274" ht="19.5" customHeight="1">
      <c r="A274" s="41"/>
      <c r="B274" s="84" t="s">
        <v>537</v>
      </c>
      <c r="C274" s="111" t="str">
        <f>sample_flt_logs_nodea_fqdn</f>
        <v>flt-logs01a.rainpole.io</v>
      </c>
      <c r="D274" s="18" t="str">
        <f t="array" ref="D274">flt_logs_nodea_fqdn</f>
        <v>Value Missing</v>
      </c>
      <c r="E274" s="18"/>
      <c r="F274" s="41"/>
      <c r="G274" s="41"/>
      <c r="H274" s="41"/>
      <c r="I274" s="41"/>
      <c r="J274" s="41"/>
      <c r="K274" s="41"/>
      <c r="L274" s="41"/>
      <c r="M274" s="41"/>
      <c r="N274" s="41"/>
      <c r="O274" s="41"/>
      <c r="P274" s="41"/>
      <c r="Q274" s="41"/>
      <c r="R274" s="41"/>
      <c r="S274" s="41"/>
      <c r="T274" s="41"/>
      <c r="U274" s="41"/>
      <c r="V274" s="41"/>
      <c r="W274" s="41"/>
      <c r="X274" s="41"/>
      <c r="Y274" s="41"/>
      <c r="Z274" s="41"/>
    </row>
    <row r="275" ht="19.5" customHeight="1">
      <c r="A275" s="41"/>
      <c r="B275" s="84" t="s">
        <v>741</v>
      </c>
      <c r="C275" s="110" t="str">
        <f>sample_flt_logs_nodea_ip</f>
        <v>10.21.10.59</v>
      </c>
      <c r="D275" s="18" t="str">
        <f>flt_logs_nodea_ip</f>
        <v>Value Missing</v>
      </c>
      <c r="E275" s="18"/>
      <c r="F275" s="41"/>
      <c r="G275" s="41"/>
      <c r="H275" s="41"/>
      <c r="I275" s="41"/>
      <c r="J275" s="41"/>
      <c r="K275" s="41"/>
      <c r="L275" s="41"/>
      <c r="M275" s="41"/>
      <c r="N275" s="41"/>
      <c r="O275" s="41"/>
      <c r="P275" s="41"/>
      <c r="Q275" s="41"/>
      <c r="R275" s="41"/>
      <c r="S275" s="41"/>
      <c r="T275" s="41"/>
      <c r="U275" s="41"/>
      <c r="V275" s="41"/>
      <c r="W275" s="41"/>
      <c r="X275" s="41"/>
      <c r="Y275" s="41"/>
      <c r="Z275" s="41"/>
    </row>
    <row r="276" ht="19.5" customHeight="1">
      <c r="A276" s="41"/>
      <c r="B276" s="102" t="s">
        <v>1173</v>
      </c>
      <c r="C276" s="13"/>
      <c r="D276" s="13"/>
      <c r="E276" s="14"/>
      <c r="F276" s="41"/>
      <c r="G276" s="41"/>
      <c r="H276" s="41"/>
      <c r="I276" s="41"/>
      <c r="J276" s="41"/>
      <c r="K276" s="41"/>
      <c r="L276" s="41"/>
      <c r="M276" s="41"/>
      <c r="N276" s="41"/>
      <c r="O276" s="41"/>
      <c r="P276" s="41"/>
      <c r="Q276" s="41"/>
      <c r="R276" s="41"/>
      <c r="S276" s="41"/>
      <c r="T276" s="41"/>
      <c r="U276" s="41"/>
      <c r="V276" s="41"/>
      <c r="W276" s="41"/>
      <c r="X276" s="41"/>
      <c r="Y276" s="41"/>
      <c r="Z276" s="41"/>
    </row>
    <row r="277" ht="19.5" customHeight="1">
      <c r="A277" s="41"/>
      <c r="B277" s="84" t="s">
        <v>1171</v>
      </c>
      <c r="C277" s="110" t="s">
        <v>1174</v>
      </c>
      <c r="D277" s="18"/>
      <c r="E277" s="1"/>
      <c r="F277" s="41"/>
      <c r="G277" s="41"/>
      <c r="H277" s="41"/>
      <c r="I277" s="41"/>
      <c r="J277" s="41"/>
      <c r="K277" s="41"/>
      <c r="L277" s="41"/>
      <c r="M277" s="41"/>
      <c r="N277" s="41"/>
      <c r="O277" s="41"/>
      <c r="P277" s="41"/>
      <c r="Q277" s="41"/>
      <c r="R277" s="41"/>
      <c r="S277" s="41"/>
      <c r="T277" s="41"/>
      <c r="U277" s="41"/>
      <c r="V277" s="41"/>
      <c r="W277" s="41"/>
      <c r="X277" s="41"/>
      <c r="Y277" s="41"/>
      <c r="Z277" s="41"/>
    </row>
    <row r="278" ht="19.5" customHeight="1">
      <c r="A278" s="41"/>
      <c r="B278" s="84" t="s">
        <v>537</v>
      </c>
      <c r="C278" s="111" t="str">
        <f>sample_flt_logs_nodeb_fqdn</f>
        <v>flt-logs01b.rainpole.io</v>
      </c>
      <c r="D278" s="18" t="str">
        <f t="array" ref="D278">flt_logs_nodeb_fqdn</f>
        <v>Value Missing</v>
      </c>
      <c r="E278" s="18"/>
      <c r="F278" s="41"/>
      <c r="G278" s="41"/>
      <c r="H278" s="41"/>
      <c r="I278" s="41"/>
      <c r="J278" s="41"/>
      <c r="K278" s="41"/>
      <c r="L278" s="41"/>
      <c r="M278" s="41"/>
      <c r="N278" s="41"/>
      <c r="O278" s="41"/>
      <c r="P278" s="41"/>
      <c r="Q278" s="41"/>
      <c r="R278" s="41"/>
      <c r="S278" s="41"/>
      <c r="T278" s="41"/>
      <c r="U278" s="41"/>
      <c r="V278" s="41"/>
      <c r="W278" s="41"/>
      <c r="X278" s="41"/>
      <c r="Y278" s="41"/>
      <c r="Z278" s="41"/>
    </row>
    <row r="279" ht="19.5" customHeight="1">
      <c r="A279" s="41"/>
      <c r="B279" s="84" t="s">
        <v>741</v>
      </c>
      <c r="C279" s="110" t="str">
        <f>sample_flt_logs_nodeb_ip</f>
        <v>10.21.10.60</v>
      </c>
      <c r="D279" s="18" t="str">
        <f>flt_logs_nodeb_ip</f>
        <v>Value Missing</v>
      </c>
      <c r="E279" s="18"/>
      <c r="F279" s="41"/>
      <c r="G279" s="41"/>
      <c r="H279" s="41"/>
      <c r="I279" s="41"/>
      <c r="J279" s="41"/>
      <c r="K279" s="41"/>
      <c r="L279" s="41"/>
      <c r="M279" s="41"/>
      <c r="N279" s="41"/>
      <c r="O279" s="41"/>
      <c r="P279" s="41"/>
      <c r="Q279" s="41"/>
      <c r="R279" s="41"/>
      <c r="S279" s="41"/>
      <c r="T279" s="41"/>
      <c r="U279" s="41"/>
      <c r="V279" s="41"/>
      <c r="W279" s="41"/>
      <c r="X279" s="41"/>
      <c r="Y279" s="41"/>
      <c r="Z279" s="41"/>
    </row>
    <row r="280" ht="19.5" customHeight="1">
      <c r="A280" s="41"/>
      <c r="B280" s="102" t="s">
        <v>1175</v>
      </c>
      <c r="C280" s="13"/>
      <c r="D280" s="13"/>
      <c r="E280" s="14"/>
      <c r="F280" s="41"/>
      <c r="G280" s="41"/>
      <c r="H280" s="41"/>
      <c r="I280" s="41"/>
      <c r="J280" s="41"/>
      <c r="K280" s="41"/>
      <c r="L280" s="41"/>
      <c r="M280" s="41"/>
      <c r="N280" s="41"/>
      <c r="O280" s="41"/>
      <c r="P280" s="41"/>
      <c r="Q280" s="41"/>
      <c r="R280" s="41"/>
      <c r="S280" s="41"/>
      <c r="T280" s="41"/>
      <c r="U280" s="41"/>
      <c r="V280" s="41"/>
      <c r="W280" s="41"/>
      <c r="X280" s="41"/>
      <c r="Y280" s="41"/>
      <c r="Z280" s="41"/>
    </row>
    <row r="281" ht="19.5" customHeight="1">
      <c r="A281" s="41"/>
      <c r="B281" s="84" t="s">
        <v>1171</v>
      </c>
      <c r="C281" s="110" t="s">
        <v>1176</v>
      </c>
      <c r="D281" s="18"/>
      <c r="E281" s="18"/>
      <c r="F281" s="41"/>
      <c r="G281" s="41"/>
      <c r="H281" s="41"/>
      <c r="I281" s="41"/>
      <c r="J281" s="41"/>
      <c r="K281" s="41"/>
      <c r="L281" s="41"/>
      <c r="M281" s="41"/>
      <c r="N281" s="41"/>
      <c r="O281" s="41"/>
      <c r="P281" s="41"/>
      <c r="Q281" s="41"/>
      <c r="R281" s="41"/>
      <c r="S281" s="41"/>
      <c r="T281" s="41"/>
      <c r="U281" s="41"/>
      <c r="V281" s="41"/>
      <c r="W281" s="41"/>
      <c r="X281" s="41"/>
      <c r="Y281" s="41"/>
      <c r="Z281" s="41"/>
    </row>
    <row r="282" ht="19.5" customHeight="1">
      <c r="A282" s="41"/>
      <c r="B282" s="84" t="s">
        <v>537</v>
      </c>
      <c r="C282" s="111" t="str">
        <f>sample_flt_logs_nodec_fqdn</f>
        <v>flt-logs01c.rainpole.io</v>
      </c>
      <c r="D282" s="18" t="str">
        <f t="array" ref="D282">flt_logs_nodec_fqdn</f>
        <v>Value Missing</v>
      </c>
      <c r="E282" s="18"/>
      <c r="F282" s="41"/>
      <c r="G282" s="41"/>
      <c r="H282" s="41"/>
      <c r="I282" s="41"/>
      <c r="J282" s="41"/>
      <c r="K282" s="41"/>
      <c r="L282" s="41"/>
      <c r="M282" s="41"/>
      <c r="N282" s="41"/>
      <c r="O282" s="41"/>
      <c r="P282" s="41"/>
      <c r="Q282" s="41"/>
      <c r="R282" s="41"/>
      <c r="S282" s="41"/>
      <c r="T282" s="41"/>
      <c r="U282" s="41"/>
      <c r="V282" s="41"/>
      <c r="W282" s="41"/>
      <c r="X282" s="41"/>
      <c r="Y282" s="41"/>
      <c r="Z282" s="41"/>
    </row>
    <row r="283" ht="19.5" customHeight="1">
      <c r="A283" s="41"/>
      <c r="B283" s="84" t="s">
        <v>741</v>
      </c>
      <c r="C283" s="110" t="str">
        <f>sample_flt_logs_nodec_ip</f>
        <v>10.21.10.61</v>
      </c>
      <c r="D283" s="18" t="str">
        <f>flt_logs_nodec_ip</f>
        <v>Value Missing</v>
      </c>
      <c r="E283" s="18"/>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1"/>
      <c r="E284" s="1"/>
      <c r="F284" s="41"/>
      <c r="G284" s="41"/>
      <c r="H284" s="41"/>
      <c r="I284" s="41"/>
      <c r="J284" s="41"/>
      <c r="K284" s="41"/>
      <c r="L284" s="41"/>
      <c r="M284" s="41"/>
      <c r="N284" s="41"/>
      <c r="O284" s="41"/>
      <c r="P284" s="41"/>
      <c r="Q284" s="41"/>
      <c r="R284" s="41"/>
      <c r="S284" s="41"/>
      <c r="T284" s="41"/>
      <c r="U284" s="41"/>
      <c r="V284" s="41"/>
      <c r="W284" s="41"/>
      <c r="X284" s="41"/>
      <c r="Y284" s="41"/>
      <c r="Z284" s="41"/>
    </row>
    <row r="285" ht="33.75" customHeight="1">
      <c r="A285" s="41"/>
      <c r="B285" s="197" t="s">
        <v>1177</v>
      </c>
      <c r="C285" s="13"/>
      <c r="D285" s="13"/>
      <c r="E285" s="14"/>
      <c r="F285" s="41"/>
      <c r="G285" s="41"/>
      <c r="H285" s="41"/>
      <c r="I285" s="41"/>
      <c r="J285" s="41"/>
      <c r="K285" s="41"/>
      <c r="L285" s="41"/>
      <c r="M285" s="41"/>
      <c r="N285" s="41"/>
      <c r="O285" s="41"/>
      <c r="P285" s="41"/>
      <c r="Q285" s="41"/>
      <c r="R285" s="41"/>
      <c r="S285" s="41"/>
      <c r="T285" s="41"/>
      <c r="U285" s="41"/>
      <c r="V285" s="41"/>
      <c r="W285" s="41"/>
      <c r="X285" s="41"/>
      <c r="Y285" s="41"/>
      <c r="Z285" s="41"/>
    </row>
    <row r="286" ht="19.5" customHeight="1">
      <c r="A286" s="41"/>
      <c r="B286" s="49" t="s">
        <v>37</v>
      </c>
      <c r="C286" s="49" t="s">
        <v>273</v>
      </c>
      <c r="D286" s="49" t="s">
        <v>274</v>
      </c>
      <c r="E286" s="215" t="s">
        <v>5</v>
      </c>
      <c r="F286" s="41"/>
      <c r="G286" s="41"/>
      <c r="H286" s="41"/>
      <c r="I286" s="41"/>
      <c r="J286" s="41"/>
      <c r="K286" s="41"/>
      <c r="L286" s="41"/>
      <c r="M286" s="41"/>
      <c r="N286" s="41"/>
      <c r="O286" s="41"/>
      <c r="P286" s="41"/>
      <c r="Q286" s="41"/>
      <c r="R286" s="41"/>
      <c r="S286" s="41"/>
      <c r="T286" s="41"/>
      <c r="U286" s="41"/>
      <c r="V286" s="41"/>
      <c r="W286" s="41"/>
      <c r="X286" s="41"/>
      <c r="Y286" s="41"/>
      <c r="Z286" s="41"/>
    </row>
    <row r="287" ht="19.5" customHeight="1">
      <c r="A287" s="41"/>
      <c r="B287" s="102" t="s">
        <v>1027</v>
      </c>
      <c r="C287" s="13"/>
      <c r="D287" s="13"/>
      <c r="E287" s="14"/>
      <c r="F287" s="41"/>
      <c r="G287" s="41"/>
      <c r="H287" s="41"/>
      <c r="I287" s="41"/>
      <c r="J287" s="41"/>
      <c r="K287" s="41"/>
      <c r="L287" s="41"/>
      <c r="M287" s="41"/>
      <c r="N287" s="41"/>
      <c r="O287" s="41"/>
      <c r="P287" s="41"/>
      <c r="Q287" s="41"/>
      <c r="R287" s="41"/>
      <c r="S287" s="41"/>
      <c r="T287" s="41"/>
      <c r="U287" s="41"/>
      <c r="V287" s="41"/>
      <c r="W287" s="41"/>
      <c r="X287" s="41"/>
      <c r="Y287" s="41"/>
      <c r="Z287" s="41"/>
    </row>
    <row r="288" ht="19.5" customHeight="1">
      <c r="A288" s="41"/>
      <c r="B288" s="84" t="s">
        <v>1028</v>
      </c>
      <c r="C288" s="110" t="s">
        <v>1029</v>
      </c>
      <c r="D288" s="18" t="s">
        <v>1029</v>
      </c>
      <c r="E288" s="18"/>
      <c r="F288" s="41"/>
      <c r="G288" s="41"/>
      <c r="H288" s="41"/>
      <c r="I288" s="41"/>
      <c r="J288" s="41"/>
      <c r="K288" s="41"/>
      <c r="L288" s="41"/>
      <c r="M288" s="41"/>
      <c r="N288" s="41"/>
      <c r="O288" s="41"/>
      <c r="P288" s="41"/>
      <c r="Q288" s="41"/>
      <c r="R288" s="41"/>
      <c r="S288" s="41"/>
      <c r="T288" s="41"/>
      <c r="U288" s="41"/>
      <c r="V288" s="41"/>
      <c r="W288" s="41"/>
      <c r="X288" s="41"/>
      <c r="Y288" s="41"/>
      <c r="Z288" s="41"/>
    </row>
    <row r="289" ht="19.5" customHeight="1">
      <c r="A289" s="41"/>
      <c r="B289" s="84" t="s">
        <v>120</v>
      </c>
      <c r="C289" s="110" t="s">
        <v>1015</v>
      </c>
      <c r="D289" s="18"/>
      <c r="E289" s="18"/>
      <c r="F289" s="41"/>
      <c r="G289" s="41"/>
      <c r="H289" s="41"/>
      <c r="I289" s="41"/>
      <c r="J289" s="41"/>
      <c r="K289" s="41"/>
      <c r="L289" s="41"/>
      <c r="M289" s="41"/>
      <c r="N289" s="41"/>
      <c r="O289" s="41"/>
      <c r="P289" s="41"/>
      <c r="Q289" s="41"/>
      <c r="R289" s="41"/>
      <c r="S289" s="41"/>
      <c r="T289" s="41"/>
      <c r="U289" s="41"/>
      <c r="V289" s="41"/>
      <c r="W289" s="41"/>
      <c r="X289" s="41"/>
      <c r="Y289" s="41"/>
      <c r="Z289" s="41"/>
    </row>
    <row r="290" ht="19.5" customHeight="1">
      <c r="A290" s="41"/>
      <c r="B290" s="84" t="s">
        <v>994</v>
      </c>
      <c r="C290" s="110" t="s">
        <v>1178</v>
      </c>
      <c r="D290" s="18" t="s">
        <v>1178</v>
      </c>
      <c r="E290" s="18"/>
      <c r="F290" s="41"/>
      <c r="G290" s="41"/>
      <c r="H290" s="41"/>
      <c r="I290" s="41"/>
      <c r="J290" s="41"/>
      <c r="K290" s="41"/>
      <c r="L290" s="41"/>
      <c r="M290" s="41"/>
      <c r="N290" s="41"/>
      <c r="O290" s="41"/>
      <c r="P290" s="41"/>
      <c r="Q290" s="41"/>
      <c r="R290" s="41"/>
      <c r="S290" s="41"/>
      <c r="T290" s="41"/>
      <c r="U290" s="41"/>
      <c r="V290" s="41"/>
      <c r="W290" s="41"/>
      <c r="X290" s="41"/>
      <c r="Y290" s="41"/>
      <c r="Z290" s="41"/>
    </row>
    <row r="291" ht="19.5" customHeight="1">
      <c r="A291" s="41"/>
      <c r="B291" s="233" t="s">
        <v>1031</v>
      </c>
      <c r="C291" s="66"/>
      <c r="D291" s="66"/>
      <c r="E291" s="67"/>
      <c r="F291" s="41"/>
      <c r="G291" s="41"/>
      <c r="H291" s="41"/>
      <c r="I291" s="41"/>
      <c r="J291" s="41"/>
      <c r="K291" s="41"/>
      <c r="L291" s="41"/>
      <c r="M291" s="41"/>
      <c r="N291" s="41"/>
      <c r="O291" s="41"/>
      <c r="P291" s="41"/>
      <c r="Q291" s="41"/>
      <c r="R291" s="41"/>
      <c r="S291" s="41"/>
      <c r="T291" s="41"/>
      <c r="U291" s="41"/>
      <c r="V291" s="41"/>
      <c r="W291" s="41"/>
      <c r="X291" s="41"/>
      <c r="Y291" s="41"/>
      <c r="Z291" s="41"/>
    </row>
    <row r="292" ht="19.5" customHeight="1">
      <c r="A292" s="41"/>
      <c r="B292" s="84" t="s">
        <v>1032</v>
      </c>
      <c r="C292" s="225" t="s">
        <v>1033</v>
      </c>
      <c r="D292" s="18" t="s">
        <v>1033</v>
      </c>
      <c r="E292" s="18"/>
      <c r="F292" s="41"/>
      <c r="G292" s="41"/>
      <c r="H292" s="41"/>
      <c r="I292" s="41"/>
      <c r="J292" s="41"/>
      <c r="K292" s="41"/>
      <c r="L292" s="41"/>
      <c r="M292" s="41"/>
      <c r="N292" s="41"/>
      <c r="O292" s="41"/>
      <c r="P292" s="41"/>
      <c r="Q292" s="41"/>
      <c r="R292" s="41"/>
      <c r="S292" s="41"/>
      <c r="T292" s="41"/>
      <c r="U292" s="41"/>
      <c r="V292" s="41"/>
      <c r="W292" s="41"/>
      <c r="X292" s="41"/>
      <c r="Y292" s="41"/>
      <c r="Z292" s="41"/>
    </row>
    <row r="293" ht="19.5" customHeight="1">
      <c r="A293" s="41"/>
      <c r="B293" s="84" t="s">
        <v>1034</v>
      </c>
      <c r="C293" s="225" t="str">
        <f>CONCATENATE(prefix_portable_component,"-net01","-cert")</f>
        <v>flt-net01-cert</v>
      </c>
      <c r="D293" s="18"/>
      <c r="E293" s="18"/>
      <c r="F293" s="41"/>
      <c r="G293" s="41"/>
      <c r="H293" s="41"/>
      <c r="I293" s="41"/>
      <c r="J293" s="41"/>
      <c r="K293" s="41"/>
      <c r="L293" s="41"/>
      <c r="M293" s="41"/>
      <c r="N293" s="41"/>
      <c r="O293" s="41"/>
      <c r="P293" s="41"/>
      <c r="Q293" s="41"/>
      <c r="R293" s="41"/>
      <c r="S293" s="41"/>
      <c r="T293" s="41"/>
      <c r="U293" s="41"/>
      <c r="V293" s="41"/>
      <c r="W293" s="41"/>
      <c r="X293" s="41"/>
      <c r="Y293" s="41"/>
      <c r="Z293" s="41"/>
    </row>
    <row r="294" ht="19.5" customHeight="1">
      <c r="A294" s="41"/>
      <c r="B294" s="84" t="s">
        <v>1035</v>
      </c>
      <c r="C294" s="225" t="str">
        <f>CONCATENATE(prefix_portable_component,"-net01","-cert.pem")</f>
        <v>flt-net01-cert.pem</v>
      </c>
      <c r="D294" s="18"/>
      <c r="E294" s="18"/>
      <c r="F294" s="41"/>
      <c r="G294" s="41"/>
      <c r="H294" s="41"/>
      <c r="I294" s="41"/>
      <c r="J294" s="41"/>
      <c r="K294" s="41"/>
      <c r="L294" s="41"/>
      <c r="M294" s="41"/>
      <c r="N294" s="41"/>
      <c r="O294" s="41"/>
      <c r="P294" s="41"/>
      <c r="Q294" s="41"/>
      <c r="R294" s="41"/>
      <c r="S294" s="41"/>
      <c r="T294" s="41"/>
      <c r="U294" s="41"/>
      <c r="V294" s="41"/>
      <c r="W294" s="41"/>
      <c r="X294" s="41"/>
      <c r="Y294" s="41"/>
      <c r="Z294" s="41"/>
    </row>
    <row r="295" ht="19.5" customHeight="1">
      <c r="A295" s="41"/>
      <c r="B295" s="84" t="s">
        <v>1036</v>
      </c>
      <c r="C295" s="226" t="str">
        <f>CONCATENATE(prefix_portable_component,"-net01",".",sample_parent_dns_zone)</f>
        <v>flt-net01.rainpole.io</v>
      </c>
      <c r="D295" s="18"/>
      <c r="E295" s="18"/>
      <c r="F295" s="41"/>
      <c r="G295" s="41"/>
      <c r="H295" s="41"/>
      <c r="I295" s="41"/>
      <c r="J295" s="41"/>
      <c r="K295" s="41"/>
      <c r="L295" s="41"/>
      <c r="M295" s="41"/>
      <c r="N295" s="41"/>
      <c r="O295" s="41"/>
      <c r="P295" s="41"/>
      <c r="Q295" s="41"/>
      <c r="R295" s="41"/>
      <c r="S295" s="41"/>
      <c r="T295" s="41"/>
      <c r="U295" s="41"/>
      <c r="V295" s="41"/>
      <c r="W295" s="41"/>
      <c r="X295" s="41"/>
      <c r="Y295" s="41"/>
      <c r="Z295" s="41"/>
    </row>
    <row r="296" ht="19.5" customHeight="1">
      <c r="A296" s="41"/>
      <c r="B296" s="84" t="s">
        <v>1037</v>
      </c>
      <c r="C296" s="225" t="s">
        <v>74</v>
      </c>
      <c r="D296" s="18"/>
      <c r="E296" s="18"/>
      <c r="F296" s="41"/>
      <c r="G296" s="41"/>
      <c r="H296" s="41"/>
      <c r="I296" s="41"/>
      <c r="J296" s="41"/>
      <c r="K296" s="41"/>
      <c r="L296" s="41"/>
      <c r="M296" s="41"/>
      <c r="N296" s="41"/>
      <c r="O296" s="41"/>
      <c r="P296" s="41"/>
      <c r="Q296" s="41"/>
      <c r="R296" s="41"/>
      <c r="S296" s="41"/>
      <c r="T296" s="41"/>
      <c r="U296" s="41"/>
      <c r="V296" s="41"/>
      <c r="W296" s="41"/>
      <c r="X296" s="41"/>
      <c r="Y296" s="41"/>
      <c r="Z296" s="41"/>
    </row>
    <row r="297" ht="19.5" customHeight="1">
      <c r="A297" s="41"/>
      <c r="B297" s="84" t="s">
        <v>1038</v>
      </c>
      <c r="C297" s="225" t="s">
        <v>558</v>
      </c>
      <c r="D297" s="18"/>
      <c r="E297" s="18"/>
      <c r="F297" s="41"/>
      <c r="G297" s="41"/>
      <c r="H297" s="41"/>
      <c r="I297" s="41"/>
      <c r="J297" s="41"/>
      <c r="K297" s="41"/>
      <c r="L297" s="41"/>
      <c r="M297" s="41"/>
      <c r="N297" s="41"/>
      <c r="O297" s="41"/>
      <c r="P297" s="41"/>
      <c r="Q297" s="41"/>
      <c r="R297" s="41"/>
      <c r="S297" s="41"/>
      <c r="T297" s="41"/>
      <c r="U297" s="41"/>
      <c r="V297" s="41"/>
      <c r="W297" s="41"/>
      <c r="X297" s="41"/>
      <c r="Y297" s="41"/>
      <c r="Z297" s="41"/>
    </row>
    <row r="298" ht="19.5" customHeight="1">
      <c r="A298" s="41"/>
      <c r="B298" s="84" t="s">
        <v>1039</v>
      </c>
      <c r="C298" s="225" t="s">
        <v>560</v>
      </c>
      <c r="D298" s="18"/>
      <c r="E298" s="18"/>
      <c r="F298" s="41"/>
      <c r="G298" s="41"/>
      <c r="H298" s="41"/>
      <c r="I298" s="41"/>
      <c r="J298" s="41"/>
      <c r="K298" s="41"/>
      <c r="L298" s="41"/>
      <c r="M298" s="41"/>
      <c r="N298" s="41"/>
      <c r="O298" s="41"/>
      <c r="P298" s="41"/>
      <c r="Q298" s="41"/>
      <c r="R298" s="41"/>
      <c r="S298" s="41"/>
      <c r="T298" s="41"/>
      <c r="U298" s="41"/>
      <c r="V298" s="41"/>
      <c r="W298" s="41"/>
      <c r="X298" s="41"/>
      <c r="Y298" s="41"/>
      <c r="Z298" s="41"/>
    </row>
    <row r="299" ht="19.5" customHeight="1">
      <c r="A299" s="41"/>
      <c r="B299" s="84" t="s">
        <v>1040</v>
      </c>
      <c r="C299" s="225" t="s">
        <v>564</v>
      </c>
      <c r="D299" s="18"/>
      <c r="E299" s="18"/>
      <c r="F299" s="41"/>
      <c r="G299" s="41"/>
      <c r="H299" s="41"/>
      <c r="I299" s="41"/>
      <c r="J299" s="41"/>
      <c r="K299" s="41"/>
      <c r="L299" s="41"/>
      <c r="M299" s="41"/>
      <c r="N299" s="41"/>
      <c r="O299" s="41"/>
      <c r="P299" s="41"/>
      <c r="Q299" s="41"/>
      <c r="R299" s="41"/>
      <c r="S299" s="41"/>
      <c r="T299" s="41"/>
      <c r="U299" s="41"/>
      <c r="V299" s="41"/>
      <c r="W299" s="41"/>
      <c r="X299" s="41"/>
      <c r="Y299" s="41"/>
      <c r="Z299" s="41"/>
    </row>
    <row r="300" ht="19.5" customHeight="1">
      <c r="A300" s="41"/>
      <c r="B300" s="84" t="s">
        <v>1041</v>
      </c>
      <c r="C300" s="225" t="s">
        <v>562</v>
      </c>
      <c r="D300" s="18"/>
      <c r="E300" s="18"/>
      <c r="F300" s="41"/>
      <c r="G300" s="41"/>
      <c r="H300" s="41"/>
      <c r="I300" s="41"/>
      <c r="J300" s="41"/>
      <c r="K300" s="41"/>
      <c r="L300" s="41"/>
      <c r="M300" s="41"/>
      <c r="N300" s="41"/>
      <c r="O300" s="41"/>
      <c r="P300" s="41"/>
      <c r="Q300" s="41"/>
      <c r="R300" s="41"/>
      <c r="S300" s="41"/>
      <c r="T300" s="41"/>
      <c r="U300" s="41"/>
      <c r="V300" s="41"/>
      <c r="W300" s="41"/>
      <c r="X300" s="41"/>
      <c r="Y300" s="41"/>
      <c r="Z300" s="41"/>
    </row>
    <row r="301" ht="19.5" customHeight="1">
      <c r="A301" s="41"/>
      <c r="B301" s="84" t="s">
        <v>1042</v>
      </c>
      <c r="C301" s="225">
        <v>4096.0</v>
      </c>
      <c r="D301" s="18" t="s">
        <v>1043</v>
      </c>
      <c r="E301" s="18"/>
      <c r="F301" s="41"/>
      <c r="G301" s="41"/>
      <c r="H301" s="41"/>
      <c r="I301" s="41"/>
      <c r="J301" s="41"/>
      <c r="K301" s="41"/>
      <c r="L301" s="41"/>
      <c r="M301" s="41"/>
      <c r="N301" s="41"/>
      <c r="O301" s="41"/>
      <c r="P301" s="41"/>
      <c r="Q301" s="41"/>
      <c r="R301" s="41"/>
      <c r="S301" s="41"/>
      <c r="T301" s="41"/>
      <c r="U301" s="41"/>
      <c r="V301" s="41"/>
      <c r="W301" s="41"/>
      <c r="X301" s="41"/>
      <c r="Y301" s="41"/>
      <c r="Z301" s="41"/>
    </row>
    <row r="302" ht="19.5" customHeight="1">
      <c r="A302" s="41"/>
      <c r="B302" s="84" t="s">
        <v>1179</v>
      </c>
      <c r="C302" s="226" t="str">
        <f>CONCATENATE(prefix_portable_component,"-net01a",".",sample_parent_dns_zone)</f>
        <v>flt-net01a.rainpole.io</v>
      </c>
      <c r="D302" s="18"/>
      <c r="E302" s="18"/>
      <c r="F302" s="41"/>
      <c r="G302" s="41"/>
      <c r="H302" s="41"/>
      <c r="I302" s="41"/>
      <c r="J302" s="41"/>
      <c r="K302" s="41"/>
      <c r="L302" s="41"/>
      <c r="M302" s="41"/>
      <c r="N302" s="41"/>
      <c r="O302" s="41"/>
      <c r="P302" s="41"/>
      <c r="Q302" s="41"/>
      <c r="R302" s="41"/>
      <c r="S302" s="41"/>
      <c r="T302" s="41"/>
      <c r="U302" s="41"/>
      <c r="V302" s="41"/>
      <c r="W302" s="41"/>
      <c r="X302" s="41"/>
      <c r="Y302" s="41"/>
      <c r="Z302" s="41"/>
    </row>
    <row r="303" ht="19.5" customHeight="1">
      <c r="A303" s="41"/>
      <c r="B303" s="84" t="s">
        <v>1180</v>
      </c>
      <c r="C303" s="226" t="str">
        <f>CONCATENATE(prefix_portable_component,"-net01b",".",sample_parent_dns_zone)</f>
        <v>flt-net01b.rainpole.io</v>
      </c>
      <c r="D303" s="18"/>
      <c r="E303" s="18"/>
      <c r="F303" s="41"/>
      <c r="G303" s="41"/>
      <c r="H303" s="41"/>
      <c r="I303" s="41"/>
      <c r="J303" s="41"/>
      <c r="K303" s="41"/>
      <c r="L303" s="41"/>
      <c r="M303" s="41"/>
      <c r="N303" s="41"/>
      <c r="O303" s="41"/>
      <c r="P303" s="41"/>
      <c r="Q303" s="41"/>
      <c r="R303" s="41"/>
      <c r="S303" s="41"/>
      <c r="T303" s="41"/>
      <c r="U303" s="41"/>
      <c r="V303" s="41"/>
      <c r="W303" s="41"/>
      <c r="X303" s="41"/>
      <c r="Y303" s="41"/>
      <c r="Z303" s="41"/>
    </row>
    <row r="304" ht="19.5" customHeight="1">
      <c r="A304" s="41"/>
      <c r="B304" s="84" t="s">
        <v>1181</v>
      </c>
      <c r="C304" s="226" t="str">
        <f>CONCATENATE(prefix_portable_component,"-net01c",".",sample_parent_dns_zone)</f>
        <v>flt-net01c.rainpole.io</v>
      </c>
      <c r="D304" s="18"/>
      <c r="E304" s="18"/>
      <c r="F304" s="41"/>
      <c r="G304" s="41"/>
      <c r="H304" s="41"/>
      <c r="I304" s="41"/>
      <c r="J304" s="41"/>
      <c r="K304" s="41"/>
      <c r="L304" s="41"/>
      <c r="M304" s="41"/>
      <c r="N304" s="41"/>
      <c r="O304" s="41"/>
      <c r="P304" s="41"/>
      <c r="Q304" s="41"/>
      <c r="R304" s="41"/>
      <c r="S304" s="41"/>
      <c r="T304" s="41"/>
      <c r="U304" s="41"/>
      <c r="V304" s="41"/>
      <c r="W304" s="41"/>
      <c r="X304" s="41"/>
      <c r="Y304" s="41"/>
      <c r="Z304" s="41"/>
    </row>
    <row r="305" ht="19.5" customHeight="1">
      <c r="A305" s="41"/>
      <c r="B305" s="84" t="s">
        <v>1182</v>
      </c>
      <c r="C305" s="226" t="str">
        <f>CONCATENATE(this_instance,"-netc01.",sample_child_dns_zone)</f>
        <v>lax-netc01.lax.rainpole.io</v>
      </c>
      <c r="D305" s="18"/>
      <c r="E305" s="18"/>
      <c r="F305" s="41"/>
      <c r="G305" s="41"/>
      <c r="H305" s="41"/>
      <c r="I305" s="41"/>
      <c r="J305" s="41"/>
      <c r="K305" s="41"/>
      <c r="L305" s="41"/>
      <c r="M305" s="41"/>
      <c r="N305" s="41"/>
      <c r="O305" s="41"/>
      <c r="P305" s="41"/>
      <c r="Q305" s="41"/>
      <c r="R305" s="41"/>
      <c r="S305" s="41"/>
      <c r="T305" s="41"/>
      <c r="U305" s="41"/>
      <c r="V305" s="41"/>
      <c r="W305" s="41"/>
      <c r="X305" s="41"/>
      <c r="Y305" s="41"/>
      <c r="Z305" s="41"/>
    </row>
    <row r="306" ht="19.5" customHeight="1">
      <c r="A306" s="41"/>
      <c r="B306" s="84" t="s">
        <v>1183</v>
      </c>
      <c r="C306" s="156" t="str">
        <f>IF(flt_custom_network_chosen="Shared Management Network",IF(mgmt_dpg_reuse_result="Included",CONCATENATE(prefix_mgmt_az1_cidr,"10.62"),CONCATENATE(prefix_mgmt_az1_cidr,"11.62")),IF(flt_custom_network_chosen="NSX Overlay Segment",CONCATENATE(prefix_xreg_cidr,".62"),CONCATENATE(prefix_flt_shared_cidr,".62")))</f>
        <v>10.21.10.62</v>
      </c>
      <c r="D306" s="29"/>
      <c r="E306" s="29"/>
      <c r="F306" s="41"/>
      <c r="G306" s="41"/>
      <c r="H306" s="41"/>
      <c r="I306" s="41"/>
      <c r="J306" s="41"/>
      <c r="K306" s="41"/>
      <c r="L306" s="41"/>
      <c r="M306" s="41"/>
      <c r="N306" s="41"/>
      <c r="O306" s="41"/>
      <c r="P306" s="41"/>
      <c r="Q306" s="41"/>
      <c r="R306" s="41"/>
      <c r="S306" s="41"/>
      <c r="T306" s="41"/>
      <c r="U306" s="41"/>
      <c r="V306" s="41"/>
      <c r="W306" s="41"/>
      <c r="X306" s="41"/>
      <c r="Y306" s="41"/>
      <c r="Z306" s="41"/>
    </row>
    <row r="307" ht="19.5" customHeight="1">
      <c r="A307" s="41"/>
      <c r="B307" s="84" t="s">
        <v>1184</v>
      </c>
      <c r="C307" s="156" t="str">
        <f>IF(flt_custom_network_chosen="Shared Management Network",IF(mgmt_dpg_reuse_result="Included",CONCATENATE(prefix_mgmt_az1_cidr,"10.63"),CONCATENATE(prefix_mgmt_az1_cidr,"11.63")),IF(flt_custom_network_chosen="NSX Overlay Segment",CONCATENATE(prefix_xreg_cidr,".63"),CONCATENATE(prefix_flt_shared_cidr,".63")))</f>
        <v>10.21.10.63</v>
      </c>
      <c r="D307" s="18"/>
      <c r="E307" s="18"/>
      <c r="F307" s="41"/>
      <c r="G307" s="41"/>
      <c r="H307" s="41"/>
      <c r="I307" s="41"/>
      <c r="J307" s="41"/>
      <c r="K307" s="41"/>
      <c r="L307" s="41"/>
      <c r="M307" s="41"/>
      <c r="N307" s="41"/>
      <c r="O307" s="41"/>
      <c r="P307" s="41"/>
      <c r="Q307" s="41"/>
      <c r="R307" s="41"/>
      <c r="S307" s="41"/>
      <c r="T307" s="41"/>
      <c r="U307" s="41"/>
      <c r="V307" s="41"/>
      <c r="W307" s="41"/>
      <c r="X307" s="41"/>
      <c r="Y307" s="41"/>
      <c r="Z307" s="41"/>
    </row>
    <row r="308" ht="19.5" customHeight="1">
      <c r="A308" s="41"/>
      <c r="B308" s="84" t="s">
        <v>1185</v>
      </c>
      <c r="C308" s="156" t="str">
        <f>IF(flt_custom_network_chosen="Shared Management Network",IF(mgmt_dpg_reuse_result="Included",CONCATENATE(prefix_mgmt_az1_cidr,"10.64"),CONCATENATE(prefix_mgmt_az1_cidr,"11.64")),IF(flt_custom_network_chosen="NSX Overlay Segment",CONCATENATE(prefix_xreg_cidr,".64"),CONCATENATE(prefix_flt_shared_cidr,".64")))</f>
        <v>10.21.10.64</v>
      </c>
      <c r="D308" s="18"/>
      <c r="E308" s="18"/>
      <c r="F308" s="41"/>
      <c r="G308" s="41"/>
      <c r="H308" s="41"/>
      <c r="I308" s="41"/>
      <c r="J308" s="41"/>
      <c r="K308" s="41"/>
      <c r="L308" s="41"/>
      <c r="M308" s="41"/>
      <c r="N308" s="41"/>
      <c r="O308" s="41"/>
      <c r="P308" s="41"/>
      <c r="Q308" s="41"/>
      <c r="R308" s="41"/>
      <c r="S308" s="41"/>
      <c r="T308" s="41"/>
      <c r="U308" s="41"/>
      <c r="V308" s="41"/>
      <c r="W308" s="41"/>
      <c r="X308" s="41"/>
      <c r="Y308" s="41"/>
      <c r="Z308" s="41"/>
    </row>
    <row r="309" ht="19.5" customHeight="1">
      <c r="A309" s="41"/>
      <c r="B309" s="84" t="s">
        <v>1186</v>
      </c>
      <c r="C309" s="156" t="str">
        <f>IF(mgmt_dpg_reuse_result="Included",CONCATENATE(prefix_mgmt_az1_cidr,"10.14"),CONCATENATE(prefix_mgmt_az1_cidr,"11.14"))</f>
        <v>10.21.10.14</v>
      </c>
      <c r="D309" s="18"/>
      <c r="E309" s="18"/>
      <c r="F309" s="41"/>
      <c r="G309" s="41"/>
      <c r="H309" s="41"/>
      <c r="I309" s="41"/>
      <c r="J309" s="41"/>
      <c r="K309" s="41"/>
      <c r="L309" s="41"/>
      <c r="M309" s="41"/>
      <c r="N309" s="41"/>
      <c r="O309" s="41"/>
      <c r="P309" s="41"/>
      <c r="Q309" s="41"/>
      <c r="R309" s="41"/>
      <c r="S309" s="41"/>
      <c r="T309" s="41"/>
      <c r="U309" s="41"/>
      <c r="V309" s="41"/>
      <c r="W309" s="41"/>
      <c r="X309" s="41"/>
      <c r="Y309" s="41"/>
      <c r="Z309" s="41"/>
    </row>
    <row r="310" ht="19.5" customHeight="1">
      <c r="A310" s="41"/>
      <c r="B310" s="84" t="s">
        <v>1046</v>
      </c>
      <c r="C310" s="110" t="str">
        <f>sample_flt_net_cert_alias</f>
        <v>flt-net01-cert</v>
      </c>
      <c r="D310" s="18" t="str">
        <f>flt_net_cert_alias</f>
        <v>Value Missing</v>
      </c>
      <c r="E310" s="18"/>
      <c r="F310" s="41"/>
      <c r="G310" s="41"/>
      <c r="H310" s="41"/>
      <c r="I310" s="41"/>
      <c r="J310" s="41"/>
      <c r="K310" s="41"/>
      <c r="L310" s="41"/>
      <c r="M310" s="41"/>
      <c r="N310" s="41"/>
      <c r="O310" s="41"/>
      <c r="P310" s="41"/>
      <c r="Q310" s="41"/>
      <c r="R310" s="41"/>
      <c r="S310" s="41"/>
      <c r="T310" s="41"/>
      <c r="U310" s="41"/>
      <c r="V310" s="41"/>
      <c r="W310" s="41"/>
      <c r="X310" s="41"/>
      <c r="Y310" s="41"/>
      <c r="Z310" s="41"/>
    </row>
    <row r="311" ht="19.5" customHeight="1">
      <c r="A311" s="41"/>
      <c r="B311" s="102" t="s">
        <v>1047</v>
      </c>
      <c r="C311" s="13"/>
      <c r="D311" s="13"/>
      <c r="E311" s="14"/>
      <c r="F311" s="41"/>
      <c r="G311" s="41"/>
      <c r="H311" s="41"/>
      <c r="I311" s="41"/>
      <c r="J311" s="41"/>
      <c r="K311" s="41"/>
      <c r="L311" s="41"/>
      <c r="M311" s="41"/>
      <c r="N311" s="41"/>
      <c r="O311" s="41"/>
      <c r="P311" s="41"/>
      <c r="Q311" s="41"/>
      <c r="R311" s="41"/>
      <c r="S311" s="41"/>
      <c r="T311" s="41"/>
      <c r="U311" s="41"/>
      <c r="V311" s="41"/>
      <c r="W311" s="41"/>
      <c r="X311" s="41"/>
      <c r="Y311" s="41"/>
      <c r="Z311" s="41"/>
    </row>
    <row r="312" ht="19.5" customHeight="1">
      <c r="A312" s="41"/>
      <c r="B312" s="84" t="s">
        <v>1048</v>
      </c>
      <c r="C312" s="111" t="str">
        <f>CONCATENATE(this_instance,"-m01-vc01.",sample_child_dns_zone)</f>
        <v>lax-m01-vc01.lax.rainpole.io</v>
      </c>
      <c r="D312" s="18"/>
      <c r="E312" s="18"/>
      <c r="F312" s="41"/>
      <c r="G312" s="41"/>
      <c r="H312" s="41"/>
      <c r="I312" s="41"/>
      <c r="J312" s="41"/>
      <c r="K312" s="41"/>
      <c r="L312" s="41"/>
      <c r="M312" s="41"/>
      <c r="N312" s="41"/>
      <c r="O312" s="41"/>
      <c r="P312" s="41"/>
      <c r="Q312" s="41"/>
      <c r="R312" s="41"/>
      <c r="S312" s="41"/>
      <c r="T312" s="41"/>
      <c r="U312" s="41"/>
      <c r="V312" s="41"/>
      <c r="W312" s="41"/>
      <c r="X312" s="41"/>
      <c r="Y312" s="41"/>
      <c r="Z312" s="41"/>
    </row>
    <row r="313" ht="19.5" customHeight="1">
      <c r="A313" s="41"/>
      <c r="B313" s="84" t="s">
        <v>1049</v>
      </c>
      <c r="C313" s="110" t="str">
        <f>CONCATENATE(sample_mgmt_datacenter,"#",sample_mgmt_cl01_cluster)</f>
        <v>lax-m01-dc01#lax-m01-cl01</v>
      </c>
      <c r="D313" s="18"/>
      <c r="E313" s="18"/>
      <c r="F313" s="41"/>
      <c r="G313" s="41"/>
      <c r="H313" s="41"/>
      <c r="I313" s="41"/>
      <c r="J313" s="41"/>
      <c r="K313" s="41"/>
      <c r="L313" s="41"/>
      <c r="M313" s="41"/>
      <c r="N313" s="41"/>
      <c r="O313" s="41"/>
      <c r="P313" s="41"/>
      <c r="Q313" s="41"/>
      <c r="R313" s="41"/>
      <c r="S313" s="41"/>
      <c r="T313" s="41"/>
      <c r="U313" s="41"/>
      <c r="V313" s="41"/>
      <c r="W313" s="41"/>
      <c r="X313" s="41"/>
      <c r="Y313" s="41"/>
      <c r="Z313" s="41"/>
    </row>
    <row r="314" ht="19.5" customHeight="1">
      <c r="A314" s="41"/>
      <c r="B314" s="84" t="s">
        <v>1050</v>
      </c>
      <c r="C314" s="110" t="str">
        <f>CONCATENATE(this_instance,"-m01-cl01-fd-flt-net01")</f>
        <v>lax-m01-cl01-fd-flt-net01</v>
      </c>
      <c r="D314" s="18"/>
      <c r="E314" s="18" t="s">
        <v>1187</v>
      </c>
      <c r="F314" s="41"/>
      <c r="G314" s="41"/>
      <c r="H314" s="41"/>
      <c r="I314" s="41"/>
      <c r="J314" s="41"/>
      <c r="K314" s="41"/>
      <c r="L314" s="41"/>
      <c r="M314" s="41"/>
      <c r="N314" s="41"/>
      <c r="O314" s="41"/>
      <c r="P314" s="41"/>
      <c r="Q314" s="41"/>
      <c r="R314" s="41"/>
      <c r="S314" s="41"/>
      <c r="T314" s="41"/>
      <c r="U314" s="41"/>
      <c r="V314" s="41"/>
      <c r="W314" s="41"/>
      <c r="X314" s="41"/>
      <c r="Y314" s="41"/>
      <c r="Z314" s="41"/>
    </row>
    <row r="315" ht="19.5" customHeight="1">
      <c r="A315" s="41"/>
      <c r="B315" s="84" t="s">
        <v>1052</v>
      </c>
      <c r="C315" s="110" t="str">
        <f>CONCATENATE(this_instance,"-m01-cl01-rp-flt-net01")</f>
        <v>lax-m01-cl01-rp-flt-net01</v>
      </c>
      <c r="D315" s="18"/>
      <c r="E315" s="18" t="s">
        <v>1187</v>
      </c>
      <c r="F315" s="41"/>
      <c r="G315" s="41"/>
      <c r="H315" s="41"/>
      <c r="I315" s="41"/>
      <c r="J315" s="41"/>
      <c r="K315" s="41"/>
      <c r="L315" s="41"/>
      <c r="M315" s="41"/>
      <c r="N315" s="41"/>
      <c r="O315" s="41"/>
      <c r="P315" s="41"/>
      <c r="Q315" s="41"/>
      <c r="R315" s="41"/>
      <c r="S315" s="41"/>
      <c r="T315" s="41"/>
      <c r="U315" s="41"/>
      <c r="V315" s="41"/>
      <c r="W315" s="41"/>
      <c r="X315" s="41"/>
      <c r="Y315" s="41"/>
      <c r="Z315" s="41"/>
    </row>
    <row r="316" ht="19.5" customHeight="1">
      <c r="A316" s="41"/>
      <c r="B316" s="84" t="s">
        <v>1053</v>
      </c>
      <c r="C316" s="110"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lax-m01-cl01-vds01-pg-vm-mgmt</v>
      </c>
      <c r="D316" s="18"/>
      <c r="E316" s="18"/>
      <c r="F316" s="41"/>
      <c r="G316" s="41"/>
      <c r="H316" s="41"/>
      <c r="I316" s="41"/>
      <c r="J316" s="41"/>
      <c r="K316" s="41"/>
      <c r="L316" s="41"/>
      <c r="M316" s="41"/>
      <c r="N316" s="41"/>
      <c r="O316" s="41"/>
      <c r="P316" s="41"/>
      <c r="Q316" s="41"/>
      <c r="R316" s="41"/>
      <c r="S316" s="41"/>
      <c r="T316" s="41"/>
      <c r="U316" s="41"/>
      <c r="V316" s="41"/>
      <c r="W316" s="41"/>
      <c r="X316" s="41"/>
      <c r="Y316" s="41"/>
      <c r="Z316" s="41"/>
    </row>
    <row r="317" ht="19.5" customHeight="1">
      <c r="A317" s="41"/>
      <c r="B317" s="84" t="s">
        <v>1054</v>
      </c>
      <c r="C317" s="110" t="str">
        <f>IF(mgmt_principal_storage_chosen="VMFS on Fibre Channel (FC)",CONCATENATE(this_instance,"-m01-cl01-ds-vmfs01"),IF(mgmt_principal_storage_chosen="NFSv3",CONCATENATE(this_instance,"-m01-cl01-ds-nfs01"),CONCATENATE(this_instance,"-m01-cl01-ds-vsan01")))</f>
        <v>lax-m01-cl01-ds-nfs01</v>
      </c>
      <c r="D317" s="18"/>
      <c r="E317" s="18"/>
      <c r="F317" s="41"/>
      <c r="G317" s="41"/>
      <c r="H317" s="41"/>
      <c r="I317" s="41"/>
      <c r="J317" s="41"/>
      <c r="K317" s="41"/>
      <c r="L317" s="41"/>
      <c r="M317" s="41"/>
      <c r="N317" s="41"/>
      <c r="O317" s="41"/>
      <c r="P317" s="41"/>
      <c r="Q317" s="41"/>
      <c r="R317" s="41"/>
      <c r="S317" s="41"/>
      <c r="T317" s="41"/>
      <c r="U317" s="41"/>
      <c r="V317" s="41"/>
      <c r="W317" s="41"/>
      <c r="X317" s="41"/>
      <c r="Y317" s="41"/>
      <c r="Z317" s="41"/>
    </row>
    <row r="318" ht="19.5" customHeight="1">
      <c r="A318" s="41"/>
      <c r="B318" s="84" t="s">
        <v>1150</v>
      </c>
      <c r="C318" s="110" t="s">
        <v>1151</v>
      </c>
      <c r="D318" s="18" t="s">
        <v>1151</v>
      </c>
      <c r="E318" s="18"/>
      <c r="F318" s="41"/>
      <c r="G318" s="41"/>
      <c r="H318" s="41"/>
      <c r="I318" s="41"/>
      <c r="J318" s="41"/>
      <c r="K318" s="41"/>
      <c r="L318" s="41"/>
      <c r="M318" s="41"/>
      <c r="N318" s="41"/>
      <c r="O318" s="41"/>
      <c r="P318" s="41"/>
      <c r="Q318" s="41"/>
      <c r="R318" s="41"/>
      <c r="S318" s="41"/>
      <c r="T318" s="41"/>
      <c r="U318" s="41"/>
      <c r="V318" s="41"/>
      <c r="W318" s="41"/>
      <c r="X318" s="41"/>
      <c r="Y318" s="41"/>
      <c r="Z318" s="41"/>
    </row>
    <row r="319" ht="19.5" customHeight="1">
      <c r="A319" s="41"/>
      <c r="B319" s="102" t="s">
        <v>717</v>
      </c>
      <c r="C319" s="13"/>
      <c r="D319" s="13"/>
      <c r="E319" s="14"/>
      <c r="F319" s="41"/>
      <c r="G319" s="41"/>
      <c r="H319" s="41"/>
      <c r="I319" s="41"/>
      <c r="J319" s="41"/>
      <c r="K319" s="41"/>
      <c r="L319" s="41"/>
      <c r="M319" s="41"/>
      <c r="N319" s="41"/>
      <c r="O319" s="41"/>
      <c r="P319" s="41"/>
      <c r="Q319" s="41"/>
      <c r="R319" s="41"/>
      <c r="S319" s="41"/>
      <c r="T319" s="41"/>
      <c r="U319" s="41"/>
      <c r="V319" s="41"/>
      <c r="W319" s="41"/>
      <c r="X319" s="41"/>
      <c r="Y319" s="41"/>
      <c r="Z319" s="41"/>
    </row>
    <row r="320" ht="19.5" customHeight="1">
      <c r="A320" s="41"/>
      <c r="B320" s="84" t="s">
        <v>356</v>
      </c>
      <c r="C320" s="111" t="str">
        <f>sample_parent_dns_zone</f>
        <v>rainpole.io</v>
      </c>
      <c r="D320" s="18" t="str">
        <f>parent_dns_zone</f>
        <v>Value Missing</v>
      </c>
      <c r="E320" s="18"/>
      <c r="F320" s="41"/>
      <c r="G320" s="41"/>
      <c r="H320" s="41"/>
      <c r="I320" s="41"/>
      <c r="J320" s="41"/>
      <c r="K320" s="41"/>
      <c r="L320" s="41"/>
      <c r="M320" s="41"/>
      <c r="N320" s="41"/>
      <c r="O320" s="41"/>
      <c r="P320" s="41"/>
      <c r="Q320" s="41"/>
      <c r="R320" s="41"/>
      <c r="S320" s="41"/>
      <c r="T320" s="41"/>
      <c r="U320" s="41"/>
      <c r="V320" s="41"/>
      <c r="W320" s="41"/>
      <c r="X320" s="41"/>
      <c r="Y320" s="41"/>
      <c r="Z320" s="41"/>
    </row>
    <row r="321" ht="19.5" customHeight="1">
      <c r="A321" s="41"/>
      <c r="B321" s="84" t="s">
        <v>1055</v>
      </c>
      <c r="C321" s="111" t="str">
        <f>sample_parent_dns_zone</f>
        <v>rainpole.io</v>
      </c>
      <c r="D321" s="18" t="str">
        <f>parent_dns_zone</f>
        <v>Value Missing</v>
      </c>
      <c r="E321" s="18"/>
      <c r="F321" s="41"/>
      <c r="G321" s="41"/>
      <c r="H321" s="41"/>
      <c r="I321" s="41"/>
      <c r="J321" s="41"/>
      <c r="K321" s="41"/>
      <c r="L321" s="41"/>
      <c r="M321" s="41"/>
      <c r="N321" s="41"/>
      <c r="O321" s="41"/>
      <c r="P321" s="41"/>
      <c r="Q321" s="41"/>
      <c r="R321" s="41"/>
      <c r="S321" s="41"/>
      <c r="T321" s="41"/>
      <c r="U321" s="41"/>
      <c r="V321" s="41"/>
      <c r="W321" s="41"/>
      <c r="X321" s="41"/>
      <c r="Y321" s="41"/>
      <c r="Z321" s="41"/>
    </row>
    <row r="322" ht="19.5" customHeight="1">
      <c r="A322" s="41"/>
      <c r="B322" s="84" t="s">
        <v>1056</v>
      </c>
      <c r="C322" s="203" t="str">
        <f>CONCATENATE(sample_region_dns1_ip,",",sample_region_dns2_ip)</f>
        <v>10.21.10.4,10.21.10.5</v>
      </c>
      <c r="D322" s="18" t="str">
        <f>CONCATENATE(region_dns1_ip,",",region_dns2_ip)</f>
        <v>Value Missing,Value Missing</v>
      </c>
      <c r="E322" s="18"/>
      <c r="F322" s="41"/>
      <c r="G322" s="41"/>
      <c r="H322" s="41"/>
      <c r="I322" s="41"/>
      <c r="J322" s="41"/>
      <c r="K322" s="41"/>
      <c r="L322" s="41"/>
      <c r="M322" s="41"/>
      <c r="N322" s="41"/>
      <c r="O322" s="41"/>
      <c r="P322" s="41"/>
      <c r="Q322" s="41"/>
      <c r="R322" s="41"/>
      <c r="S322" s="41"/>
      <c r="T322" s="41"/>
      <c r="U322" s="41"/>
      <c r="V322" s="41"/>
      <c r="W322" s="41"/>
      <c r="X322" s="41"/>
      <c r="Y322" s="41"/>
      <c r="Z322" s="41"/>
    </row>
    <row r="323" ht="19.5" customHeight="1">
      <c r="A323" s="41"/>
      <c r="B323" s="84" t="s">
        <v>1057</v>
      </c>
      <c r="C323" s="203" t="s">
        <v>1058</v>
      </c>
      <c r="D323" s="18" t="s">
        <v>1058</v>
      </c>
      <c r="E323" s="18"/>
      <c r="F323" s="41"/>
      <c r="G323" s="41"/>
      <c r="H323" s="41"/>
      <c r="I323" s="41"/>
      <c r="J323" s="41"/>
      <c r="K323" s="41"/>
      <c r="L323" s="41"/>
      <c r="M323" s="41"/>
      <c r="N323" s="41"/>
      <c r="O323" s="41"/>
      <c r="P323" s="41"/>
      <c r="Q323" s="41"/>
      <c r="R323" s="41"/>
      <c r="S323" s="41"/>
      <c r="T323" s="41"/>
      <c r="U323" s="41"/>
      <c r="V323" s="41"/>
      <c r="W323" s="41"/>
      <c r="X323" s="41"/>
      <c r="Y323" s="41"/>
      <c r="Z323" s="41"/>
    </row>
    <row r="324" ht="19.5" customHeight="1">
      <c r="A324" s="41"/>
      <c r="B324" s="84" t="s">
        <v>757</v>
      </c>
      <c r="C324" s="110" t="str">
        <f>CONCATENATE(sample_region_ntp1_server,",",sample_region_ntp2_server)</f>
        <v>ntp0.lax.rainpole.io,ntp1.lax.rainpole.io</v>
      </c>
      <c r="D324" s="18" t="str">
        <f>CONCATENATE(region_ntp1_server,",",region_ntp2_server)</f>
        <v>Value Missing,Value Missing</v>
      </c>
      <c r="E324" s="18"/>
      <c r="F324" s="41"/>
      <c r="G324" s="41"/>
      <c r="H324" s="41"/>
      <c r="I324" s="41"/>
      <c r="J324" s="41"/>
      <c r="K324" s="41"/>
      <c r="L324" s="41"/>
      <c r="M324" s="41"/>
      <c r="N324" s="41"/>
      <c r="O324" s="41"/>
      <c r="P324" s="41"/>
      <c r="Q324" s="41"/>
      <c r="R324" s="41"/>
      <c r="S324" s="41"/>
      <c r="T324" s="41"/>
      <c r="U324" s="41"/>
      <c r="V324" s="41"/>
      <c r="W324" s="41"/>
      <c r="X324" s="41"/>
      <c r="Y324" s="41"/>
      <c r="Z324" s="41"/>
    </row>
    <row r="325" ht="19.5" customHeight="1">
      <c r="A325" s="41"/>
      <c r="B325" s="84" t="s">
        <v>1059</v>
      </c>
      <c r="C325" s="110" t="str">
        <f>IF(flt_custom_network_chosen="Shared Management Network",IF(mgmt_dpg_reuse_result="Included",CONCATENATE(prefix_mgmt_az1_cidr,"10.1"),CONCATENATE(prefix_mgmt_az1_cidr,"11.1")),IF(flt_custom_network_chosen="NSX Overlay Segment",CONCATENATE(prefix_xreg_cidr,".1"),CONCATENATE(prefix_flt_shared_cidr,".1")))</f>
        <v>10.21.10.1</v>
      </c>
      <c r="D325" s="18"/>
      <c r="E325" s="18"/>
      <c r="F325" s="41"/>
      <c r="G325" s="41"/>
      <c r="H325" s="41"/>
      <c r="I325" s="41"/>
      <c r="J325" s="41"/>
      <c r="K325" s="41"/>
      <c r="L325" s="41"/>
      <c r="M325" s="41"/>
      <c r="N325" s="41"/>
      <c r="O325" s="41"/>
      <c r="P325" s="41"/>
      <c r="Q325" s="41"/>
      <c r="R325" s="41"/>
      <c r="S325" s="41"/>
      <c r="T325" s="41"/>
      <c r="U325" s="41"/>
      <c r="V325" s="41"/>
      <c r="W325" s="41"/>
      <c r="X325" s="41"/>
      <c r="Y325" s="41"/>
      <c r="Z325" s="41"/>
    </row>
    <row r="326" ht="19.5" customHeight="1">
      <c r="A326" s="41"/>
      <c r="B326" s="84" t="s">
        <v>1060</v>
      </c>
      <c r="C326" s="110" t="s">
        <v>622</v>
      </c>
      <c r="D326" s="18"/>
      <c r="E326" s="18"/>
      <c r="F326" s="41"/>
      <c r="G326" s="41"/>
      <c r="H326" s="41"/>
      <c r="I326" s="41"/>
      <c r="J326" s="41"/>
      <c r="K326" s="41"/>
      <c r="L326" s="41"/>
      <c r="M326" s="41"/>
      <c r="N326" s="41"/>
      <c r="O326" s="41"/>
      <c r="P326" s="41"/>
      <c r="Q326" s="41"/>
      <c r="R326" s="41"/>
      <c r="S326" s="41"/>
      <c r="T326" s="41"/>
      <c r="U326" s="41"/>
      <c r="V326" s="41"/>
      <c r="W326" s="41"/>
      <c r="X326" s="41"/>
      <c r="Y326" s="41"/>
      <c r="Z326" s="41"/>
    </row>
    <row r="327" ht="19.5" customHeight="1">
      <c r="A327" s="41"/>
      <c r="B327" s="102" t="s">
        <v>1061</v>
      </c>
      <c r="C327" s="13"/>
      <c r="D327" s="13"/>
      <c r="E327" s="14"/>
      <c r="F327" s="41"/>
      <c r="G327" s="41"/>
      <c r="H327" s="41"/>
      <c r="I327" s="41"/>
      <c r="J327" s="41"/>
      <c r="K327" s="41"/>
      <c r="L327" s="41"/>
      <c r="M327" s="41"/>
      <c r="N327" s="41"/>
      <c r="O327" s="41"/>
      <c r="P327" s="41"/>
      <c r="Q327" s="41"/>
      <c r="R327" s="41"/>
      <c r="S327" s="41"/>
      <c r="T327" s="41"/>
      <c r="U327" s="41"/>
      <c r="V327" s="41"/>
      <c r="W327" s="41"/>
      <c r="X327" s="41"/>
      <c r="Y327" s="41"/>
      <c r="Z327" s="41"/>
    </row>
    <row r="328" ht="19.5" customHeight="1">
      <c r="A328" s="41"/>
      <c r="B328" s="84" t="s">
        <v>1152</v>
      </c>
      <c r="C328" s="225" t="str">
        <f>CONCATENATE(prefix_portable_component,"-net01a","-admin-password")</f>
        <v>flt-net01a-admin-password</v>
      </c>
      <c r="D328" s="18"/>
      <c r="E328" s="18"/>
      <c r="F328" s="41"/>
      <c r="G328" s="41"/>
      <c r="H328" s="41"/>
      <c r="I328" s="41"/>
      <c r="J328" s="41"/>
      <c r="K328" s="41"/>
      <c r="L328" s="41"/>
      <c r="M328" s="41"/>
      <c r="N328" s="41"/>
      <c r="O328" s="41"/>
      <c r="P328" s="41"/>
      <c r="Q328" s="41"/>
      <c r="R328" s="41"/>
      <c r="S328" s="41"/>
      <c r="T328" s="41"/>
      <c r="U328" s="41"/>
      <c r="V328" s="41"/>
      <c r="W328" s="41"/>
      <c r="X328" s="41"/>
      <c r="Y328" s="41"/>
      <c r="Z328" s="41"/>
    </row>
    <row r="329" ht="19.5" customHeight="1">
      <c r="A329" s="41"/>
      <c r="B329" s="84" t="s">
        <v>685</v>
      </c>
      <c r="C329" s="225" t="s">
        <v>297</v>
      </c>
      <c r="D329" s="18"/>
      <c r="E329" s="18"/>
      <c r="F329" s="41"/>
      <c r="G329" s="41"/>
      <c r="H329" s="41"/>
      <c r="I329" s="41"/>
      <c r="J329" s="41"/>
      <c r="K329" s="41"/>
      <c r="L329" s="41"/>
      <c r="M329" s="41"/>
      <c r="N329" s="41"/>
      <c r="O329" s="41"/>
      <c r="P329" s="41"/>
      <c r="Q329" s="41"/>
      <c r="R329" s="41"/>
      <c r="S329" s="41"/>
      <c r="T329" s="41"/>
      <c r="U329" s="41"/>
      <c r="V329" s="41"/>
      <c r="W329" s="41"/>
      <c r="X329" s="41"/>
      <c r="Y329" s="41"/>
      <c r="Z329" s="41"/>
    </row>
    <row r="330" ht="19.5" customHeight="1">
      <c r="A330" s="41"/>
      <c r="B330" s="84" t="s">
        <v>1153</v>
      </c>
      <c r="C330" s="225" t="s">
        <v>1188</v>
      </c>
      <c r="D330" s="18"/>
      <c r="E330" s="18"/>
      <c r="F330" s="41"/>
      <c r="G330" s="41"/>
      <c r="H330" s="41"/>
      <c r="I330" s="41"/>
      <c r="J330" s="41"/>
      <c r="K330" s="41"/>
      <c r="L330" s="41"/>
      <c r="M330" s="41"/>
      <c r="N330" s="41"/>
      <c r="O330" s="41"/>
      <c r="P330" s="41"/>
      <c r="Q330" s="41"/>
      <c r="R330" s="41"/>
      <c r="S330" s="41"/>
      <c r="T330" s="41"/>
      <c r="U330" s="41"/>
      <c r="V330" s="41"/>
      <c r="W330" s="41"/>
      <c r="X330" s="41"/>
      <c r="Y330" s="41"/>
      <c r="Z330" s="41"/>
    </row>
    <row r="331" ht="19.5" customHeight="1">
      <c r="A331" s="41"/>
      <c r="B331" s="84" t="s">
        <v>1155</v>
      </c>
      <c r="C331" s="225" t="s">
        <v>889</v>
      </c>
      <c r="D331" s="18"/>
      <c r="E331" s="18"/>
      <c r="F331" s="41"/>
      <c r="G331" s="41"/>
      <c r="H331" s="41"/>
      <c r="I331" s="41"/>
      <c r="J331" s="41"/>
      <c r="K331" s="41"/>
      <c r="L331" s="41"/>
      <c r="M331" s="41"/>
      <c r="N331" s="41"/>
      <c r="O331" s="41"/>
      <c r="P331" s="41"/>
      <c r="Q331" s="41"/>
      <c r="R331" s="41"/>
      <c r="S331" s="41"/>
      <c r="T331" s="41"/>
      <c r="U331" s="41"/>
      <c r="V331" s="41"/>
      <c r="W331" s="41"/>
      <c r="X331" s="41"/>
      <c r="Y331" s="41"/>
      <c r="Z331" s="41"/>
    </row>
    <row r="332" ht="19.5" customHeight="1">
      <c r="A332" s="41"/>
      <c r="B332" s="84" t="s">
        <v>1159</v>
      </c>
      <c r="C332" s="110" t="s">
        <v>285</v>
      </c>
      <c r="D332" s="18" t="s">
        <v>285</v>
      </c>
      <c r="E332" s="18" t="s">
        <v>1161</v>
      </c>
      <c r="F332" s="41"/>
      <c r="G332" s="41"/>
      <c r="H332" s="41"/>
      <c r="I332" s="41"/>
      <c r="J332" s="41"/>
      <c r="K332" s="41"/>
      <c r="L332" s="41"/>
      <c r="M332" s="41"/>
      <c r="N332" s="41"/>
      <c r="O332" s="41"/>
      <c r="P332" s="41"/>
      <c r="Q332" s="41"/>
      <c r="R332" s="41"/>
      <c r="S332" s="41"/>
      <c r="T332" s="41"/>
      <c r="U332" s="41"/>
      <c r="V332" s="41"/>
      <c r="W332" s="41"/>
      <c r="X332" s="41"/>
      <c r="Y332" s="41"/>
      <c r="Z332" s="41"/>
    </row>
    <row r="333" ht="19.5" customHeight="1">
      <c r="A333" s="41"/>
      <c r="B333" s="84" t="s">
        <v>1160</v>
      </c>
      <c r="C333" s="110" t="str">
        <f>sample_flt_net_cert_alias</f>
        <v>flt-net01-cert</v>
      </c>
      <c r="D333" s="18" t="str">
        <f>flt_net_cert_alias</f>
        <v>Value Missing</v>
      </c>
      <c r="E333" s="18"/>
      <c r="F333" s="41"/>
      <c r="G333" s="41"/>
      <c r="H333" s="41"/>
      <c r="I333" s="41"/>
      <c r="J333" s="41"/>
      <c r="K333" s="41"/>
      <c r="L333" s="41"/>
      <c r="M333" s="41"/>
      <c r="N333" s="41"/>
      <c r="O333" s="41"/>
      <c r="P333" s="41"/>
      <c r="Q333" s="41"/>
      <c r="R333" s="41"/>
      <c r="S333" s="41"/>
      <c r="T333" s="41"/>
      <c r="U333" s="41"/>
      <c r="V333" s="41"/>
      <c r="W333" s="41"/>
      <c r="X333" s="41"/>
      <c r="Y333" s="41"/>
      <c r="Z333" s="41"/>
    </row>
    <row r="334" ht="19.5" customHeight="1">
      <c r="A334" s="41"/>
      <c r="B334" s="84" t="s">
        <v>1162</v>
      </c>
      <c r="C334" s="110" t="s">
        <v>285</v>
      </c>
      <c r="D334" s="18" t="s">
        <v>285</v>
      </c>
      <c r="E334" s="18"/>
      <c r="F334" s="41"/>
      <c r="G334" s="41"/>
      <c r="H334" s="41"/>
      <c r="I334" s="41"/>
      <c r="J334" s="41"/>
      <c r="K334" s="41"/>
      <c r="L334" s="41"/>
      <c r="M334" s="41"/>
      <c r="N334" s="41"/>
      <c r="O334" s="41"/>
      <c r="P334" s="41"/>
      <c r="Q334" s="41"/>
      <c r="R334" s="41"/>
      <c r="S334" s="41"/>
      <c r="T334" s="41"/>
      <c r="U334" s="41"/>
      <c r="V334" s="41"/>
      <c r="W334" s="41"/>
      <c r="X334" s="41"/>
      <c r="Y334" s="41"/>
      <c r="Z334" s="41"/>
    </row>
    <row r="335" ht="19.5" customHeight="1">
      <c r="A335" s="41"/>
      <c r="B335" s="84" t="s">
        <v>1189</v>
      </c>
      <c r="C335" s="110" t="s">
        <v>285</v>
      </c>
      <c r="D335" s="18" t="s">
        <v>285</v>
      </c>
      <c r="E335" s="18"/>
      <c r="F335" s="41"/>
      <c r="G335" s="41"/>
      <c r="H335" s="41"/>
      <c r="I335" s="41"/>
      <c r="J335" s="41"/>
      <c r="K335" s="41"/>
      <c r="L335" s="41"/>
      <c r="M335" s="41"/>
      <c r="N335" s="41"/>
      <c r="O335" s="41"/>
      <c r="P335" s="41"/>
      <c r="Q335" s="41"/>
      <c r="R335" s="41"/>
      <c r="S335" s="41"/>
      <c r="T335" s="41"/>
      <c r="U335" s="41"/>
      <c r="V335" s="41"/>
      <c r="W335" s="41"/>
      <c r="X335" s="41"/>
      <c r="Y335" s="41"/>
      <c r="Z335" s="41"/>
    </row>
    <row r="336" ht="19.5" customHeight="1">
      <c r="A336" s="41"/>
      <c r="B336" s="84" t="s">
        <v>757</v>
      </c>
      <c r="C336" s="110" t="str">
        <f>CONCATENATE(sample_region_ntp1_server,",",sample_region_ntp2_server)</f>
        <v>ntp0.lax.rainpole.io,ntp1.lax.rainpole.io</v>
      </c>
      <c r="D336" s="18" t="str">
        <f>CONCATENATE(region_ntp1_server,",",region_ntp2_server)</f>
        <v>Value Missing,Value Missing</v>
      </c>
      <c r="E336" s="18"/>
      <c r="F336" s="41"/>
      <c r="G336" s="41"/>
      <c r="H336" s="41"/>
      <c r="I336" s="41"/>
      <c r="J336" s="41"/>
      <c r="K336" s="41"/>
      <c r="L336" s="41"/>
      <c r="M336" s="41"/>
      <c r="N336" s="41"/>
      <c r="O336" s="41"/>
      <c r="P336" s="41"/>
      <c r="Q336" s="41"/>
      <c r="R336" s="41"/>
      <c r="S336" s="41"/>
      <c r="T336" s="41"/>
      <c r="U336" s="41"/>
      <c r="V336" s="41"/>
      <c r="W336" s="41"/>
      <c r="X336" s="41"/>
      <c r="Y336" s="41"/>
      <c r="Z336" s="41"/>
    </row>
    <row r="337" ht="19.5" customHeight="1">
      <c r="A337" s="41"/>
      <c r="B337" s="84" t="s">
        <v>1190</v>
      </c>
      <c r="C337" s="110" t="s">
        <v>297</v>
      </c>
      <c r="D337" s="18"/>
      <c r="E337" s="18"/>
      <c r="F337" s="41"/>
      <c r="G337" s="41"/>
      <c r="H337" s="41"/>
      <c r="I337" s="41"/>
      <c r="J337" s="41"/>
      <c r="K337" s="41"/>
      <c r="L337" s="41"/>
      <c r="M337" s="41"/>
      <c r="N337" s="41"/>
      <c r="O337" s="41"/>
      <c r="P337" s="41"/>
      <c r="Q337" s="41"/>
      <c r="R337" s="41"/>
      <c r="S337" s="41"/>
      <c r="T337" s="41"/>
      <c r="U337" s="41"/>
      <c r="V337" s="41"/>
      <c r="W337" s="41"/>
      <c r="X337" s="41"/>
      <c r="Y337" s="41"/>
      <c r="Z337" s="41"/>
    </row>
    <row r="338" ht="19.5" customHeight="1">
      <c r="A338" s="41"/>
      <c r="B338" s="84" t="s">
        <v>1191</v>
      </c>
      <c r="C338" s="110" t="s">
        <v>297</v>
      </c>
      <c r="D338" s="18"/>
      <c r="E338" s="18"/>
      <c r="F338" s="41"/>
      <c r="G338" s="41"/>
      <c r="H338" s="41"/>
      <c r="I338" s="41"/>
      <c r="J338" s="41"/>
      <c r="K338" s="41"/>
      <c r="L338" s="41"/>
      <c r="M338" s="41"/>
      <c r="N338" s="41"/>
      <c r="O338" s="41"/>
      <c r="P338" s="41"/>
      <c r="Q338" s="41"/>
      <c r="R338" s="41"/>
      <c r="S338" s="41"/>
      <c r="T338" s="41"/>
      <c r="U338" s="41"/>
      <c r="V338" s="41"/>
      <c r="W338" s="41"/>
      <c r="X338" s="41"/>
      <c r="Y338" s="41"/>
      <c r="Z338" s="41"/>
    </row>
    <row r="339" ht="19.5" customHeight="1">
      <c r="A339" s="41"/>
      <c r="B339" s="84" t="s">
        <v>1192</v>
      </c>
      <c r="C339" s="110" t="s">
        <v>297</v>
      </c>
      <c r="D339" s="18"/>
      <c r="E339" s="18"/>
      <c r="F339" s="41"/>
      <c r="G339" s="41"/>
      <c r="H339" s="41"/>
      <c r="I339" s="41"/>
      <c r="J339" s="41"/>
      <c r="K339" s="41"/>
      <c r="L339" s="41"/>
      <c r="M339" s="41"/>
      <c r="N339" s="41"/>
      <c r="O339" s="41"/>
      <c r="P339" s="41"/>
      <c r="Q339" s="41"/>
      <c r="R339" s="41"/>
      <c r="S339" s="41"/>
      <c r="T339" s="41"/>
      <c r="U339" s="41"/>
      <c r="V339" s="41"/>
      <c r="W339" s="41"/>
      <c r="X339" s="41"/>
      <c r="Y339" s="41"/>
      <c r="Z339" s="41"/>
    </row>
    <row r="340" ht="19.5" customHeight="1">
      <c r="A340" s="41"/>
      <c r="B340" s="84" t="s">
        <v>1072</v>
      </c>
      <c r="C340" s="232" t="str">
        <f>CONCATENATE(this_instance,"-m01-vc01.",sample_child_dns_zone)</f>
        <v>lax-m01-vc01.lax.rainpole.io</v>
      </c>
      <c r="D340" s="18"/>
      <c r="E340" s="18" t="s">
        <v>1193</v>
      </c>
      <c r="F340" s="41"/>
      <c r="G340" s="41"/>
      <c r="H340" s="41"/>
      <c r="I340" s="41"/>
      <c r="J340" s="41"/>
      <c r="K340" s="41"/>
      <c r="L340" s="41"/>
      <c r="M340" s="41"/>
      <c r="N340" s="41"/>
      <c r="O340" s="41"/>
      <c r="P340" s="41"/>
      <c r="Q340" s="41"/>
      <c r="R340" s="41"/>
      <c r="S340" s="41"/>
      <c r="T340" s="41"/>
      <c r="U340" s="41"/>
      <c r="V340" s="41"/>
      <c r="W340" s="41"/>
      <c r="X340" s="41"/>
      <c r="Y340" s="41"/>
      <c r="Z340" s="41"/>
    </row>
    <row r="341" ht="19.5" customHeight="1">
      <c r="A341" s="41"/>
      <c r="B341" s="102" t="s">
        <v>1194</v>
      </c>
      <c r="C341" s="13"/>
      <c r="D341" s="13"/>
      <c r="E341" s="14"/>
      <c r="F341" s="41"/>
      <c r="G341" s="41"/>
      <c r="H341" s="41"/>
      <c r="I341" s="41"/>
      <c r="J341" s="41"/>
      <c r="K341" s="41"/>
      <c r="L341" s="41"/>
      <c r="M341" s="41"/>
      <c r="N341" s="41"/>
      <c r="O341" s="41"/>
      <c r="P341" s="41"/>
      <c r="Q341" s="41"/>
      <c r="R341" s="41"/>
      <c r="S341" s="41"/>
      <c r="T341" s="41"/>
      <c r="U341" s="41"/>
      <c r="V341" s="41"/>
      <c r="W341" s="41"/>
      <c r="X341" s="41"/>
      <c r="Y341" s="41"/>
      <c r="Z341" s="41"/>
    </row>
    <row r="342" ht="19.5" customHeight="1">
      <c r="A342" s="41"/>
      <c r="B342" s="84" t="s">
        <v>1171</v>
      </c>
      <c r="C342" s="110" t="s">
        <v>1195</v>
      </c>
      <c r="D342" s="18" t="str">
        <f>flt_net_nodea_hostname</f>
        <v>Value Missing</v>
      </c>
      <c r="E342" s="18"/>
      <c r="F342" s="41"/>
      <c r="G342" s="41"/>
      <c r="H342" s="41"/>
      <c r="I342" s="41"/>
      <c r="J342" s="41"/>
      <c r="K342" s="41"/>
      <c r="L342" s="41"/>
      <c r="M342" s="41"/>
      <c r="N342" s="41"/>
      <c r="O342" s="41"/>
      <c r="P342" s="41"/>
      <c r="Q342" s="41"/>
      <c r="R342" s="41"/>
      <c r="S342" s="41"/>
      <c r="T342" s="41"/>
      <c r="U342" s="41"/>
      <c r="V342" s="41"/>
      <c r="W342" s="41"/>
      <c r="X342" s="41"/>
      <c r="Y342" s="41"/>
      <c r="Z342" s="41"/>
    </row>
    <row r="343" ht="19.5" customHeight="1">
      <c r="A343" s="41"/>
      <c r="B343" s="84" t="s">
        <v>741</v>
      </c>
      <c r="C343" s="110" t="str">
        <f>sample_flt_net_nodea_ip</f>
        <v>10.21.10.62</v>
      </c>
      <c r="D343" s="18" t="str">
        <f t="array" ref="D343">flt_net_nodea_ip</f>
        <v>Value Missing</v>
      </c>
      <c r="E343" s="18"/>
      <c r="F343" s="41"/>
      <c r="G343" s="41"/>
      <c r="H343" s="41"/>
      <c r="I343" s="41"/>
      <c r="J343" s="41"/>
      <c r="K343" s="41"/>
      <c r="L343" s="41"/>
      <c r="M343" s="41"/>
      <c r="N343" s="41"/>
      <c r="O343" s="41"/>
      <c r="P343" s="41"/>
      <c r="Q343" s="41"/>
      <c r="R343" s="41"/>
      <c r="S343" s="41"/>
      <c r="T343" s="41"/>
      <c r="U343" s="41"/>
      <c r="V343" s="41"/>
      <c r="W343" s="41"/>
      <c r="X343" s="41"/>
      <c r="Y343" s="41"/>
      <c r="Z343" s="41"/>
    </row>
    <row r="344" ht="19.5" customHeight="1">
      <c r="A344" s="41"/>
      <c r="B344" s="84" t="s">
        <v>1196</v>
      </c>
      <c r="C344" s="110" t="s">
        <v>225</v>
      </c>
      <c r="D344" s="18" t="s">
        <v>225</v>
      </c>
      <c r="E344" s="18"/>
      <c r="F344" s="41"/>
      <c r="G344" s="41"/>
      <c r="H344" s="41"/>
      <c r="I344" s="41"/>
      <c r="J344" s="41"/>
      <c r="K344" s="41"/>
      <c r="L344" s="41"/>
      <c r="M344" s="41"/>
      <c r="N344" s="41"/>
      <c r="O344" s="41"/>
      <c r="P344" s="41"/>
      <c r="Q344" s="41"/>
      <c r="R344" s="41"/>
      <c r="S344" s="41"/>
      <c r="T344" s="41"/>
      <c r="U344" s="41"/>
      <c r="V344" s="41"/>
      <c r="W344" s="41"/>
      <c r="X344" s="41"/>
      <c r="Y344" s="41"/>
      <c r="Z344" s="41"/>
    </row>
    <row r="345" ht="19.5" customHeight="1">
      <c r="A345" s="41"/>
      <c r="B345" s="102" t="s">
        <v>1194</v>
      </c>
      <c r="C345" s="13"/>
      <c r="D345" s="13"/>
      <c r="E345" s="14"/>
      <c r="F345" s="41"/>
      <c r="G345" s="41"/>
      <c r="H345" s="41"/>
      <c r="I345" s="41"/>
      <c r="J345" s="41"/>
      <c r="K345" s="41"/>
      <c r="L345" s="41"/>
      <c r="M345" s="41"/>
      <c r="N345" s="41"/>
      <c r="O345" s="41"/>
      <c r="P345" s="41"/>
      <c r="Q345" s="41"/>
      <c r="R345" s="41"/>
      <c r="S345" s="41"/>
      <c r="T345" s="41"/>
      <c r="U345" s="41"/>
      <c r="V345" s="41"/>
      <c r="W345" s="41"/>
      <c r="X345" s="41"/>
      <c r="Y345" s="41"/>
      <c r="Z345" s="41"/>
    </row>
    <row r="346" ht="19.5" customHeight="1">
      <c r="A346" s="41"/>
      <c r="B346" s="84" t="s">
        <v>1171</v>
      </c>
      <c r="C346" s="110" t="s">
        <v>1197</v>
      </c>
      <c r="D346" s="18" t="str">
        <f>flt_net_nodeb_hostname</f>
        <v>Value Missing</v>
      </c>
      <c r="E346" s="18"/>
      <c r="F346" s="41"/>
      <c r="G346" s="41"/>
      <c r="H346" s="41"/>
      <c r="I346" s="41"/>
      <c r="J346" s="41"/>
      <c r="K346" s="41"/>
      <c r="L346" s="41"/>
      <c r="M346" s="41"/>
      <c r="N346" s="41"/>
      <c r="O346" s="41"/>
      <c r="P346" s="41"/>
      <c r="Q346" s="41"/>
      <c r="R346" s="41"/>
      <c r="S346" s="41"/>
      <c r="T346" s="41"/>
      <c r="U346" s="41"/>
      <c r="V346" s="41"/>
      <c r="W346" s="41"/>
      <c r="X346" s="41"/>
      <c r="Y346" s="41"/>
      <c r="Z346" s="41"/>
    </row>
    <row r="347" ht="19.5" customHeight="1">
      <c r="A347" s="41"/>
      <c r="B347" s="84" t="s">
        <v>741</v>
      </c>
      <c r="C347" s="110" t="str">
        <f>sample_flt_net_nodeb_ip</f>
        <v>10.21.10.63</v>
      </c>
      <c r="D347" s="18" t="str">
        <f t="array" ref="D347">flt_net_nodeb_ip</f>
        <v>Value Missing</v>
      </c>
      <c r="E347" s="18"/>
      <c r="F347" s="41"/>
      <c r="G347" s="41"/>
      <c r="H347" s="41"/>
      <c r="I347" s="41"/>
      <c r="J347" s="41"/>
      <c r="K347" s="41"/>
      <c r="L347" s="41"/>
      <c r="M347" s="41"/>
      <c r="N347" s="41"/>
      <c r="O347" s="41"/>
      <c r="P347" s="41"/>
      <c r="Q347" s="41"/>
      <c r="R347" s="41"/>
      <c r="S347" s="41"/>
      <c r="T347" s="41"/>
      <c r="U347" s="41"/>
      <c r="V347" s="41"/>
      <c r="W347" s="41"/>
      <c r="X347" s="41"/>
      <c r="Y347" s="41"/>
      <c r="Z347" s="41"/>
    </row>
    <row r="348" ht="19.5" customHeight="1">
      <c r="A348" s="41"/>
      <c r="B348" s="84" t="s">
        <v>1196</v>
      </c>
      <c r="C348" s="110" t="s">
        <v>225</v>
      </c>
      <c r="D348" s="18" t="s">
        <v>225</v>
      </c>
      <c r="E348" s="18"/>
      <c r="F348" s="41"/>
      <c r="G348" s="41"/>
      <c r="H348" s="41"/>
      <c r="I348" s="41"/>
      <c r="J348" s="41"/>
      <c r="K348" s="41"/>
      <c r="L348" s="41"/>
      <c r="M348" s="41"/>
      <c r="N348" s="41"/>
      <c r="O348" s="41"/>
      <c r="P348" s="41"/>
      <c r="Q348" s="41"/>
      <c r="R348" s="41"/>
      <c r="S348" s="41"/>
      <c r="T348" s="41"/>
      <c r="U348" s="41"/>
      <c r="V348" s="41"/>
      <c r="W348" s="41"/>
      <c r="X348" s="41"/>
      <c r="Y348" s="41"/>
      <c r="Z348" s="41"/>
    </row>
    <row r="349" ht="19.5" customHeight="1">
      <c r="A349" s="41"/>
      <c r="B349" s="102" t="s">
        <v>1194</v>
      </c>
      <c r="C349" s="13"/>
      <c r="D349" s="13"/>
      <c r="E349" s="14"/>
      <c r="F349" s="41"/>
      <c r="G349" s="41"/>
      <c r="H349" s="41"/>
      <c r="I349" s="41"/>
      <c r="J349" s="41"/>
      <c r="K349" s="41"/>
      <c r="L349" s="41"/>
      <c r="M349" s="41"/>
      <c r="N349" s="41"/>
      <c r="O349" s="41"/>
      <c r="P349" s="41"/>
      <c r="Q349" s="41"/>
      <c r="R349" s="41"/>
      <c r="S349" s="41"/>
      <c r="T349" s="41"/>
      <c r="U349" s="41"/>
      <c r="V349" s="41"/>
      <c r="W349" s="41"/>
      <c r="X349" s="41"/>
      <c r="Y349" s="41"/>
      <c r="Z349" s="41"/>
    </row>
    <row r="350" ht="19.5" customHeight="1">
      <c r="A350" s="41"/>
      <c r="B350" s="84" t="s">
        <v>1171</v>
      </c>
      <c r="C350" s="110" t="s">
        <v>1198</v>
      </c>
      <c r="D350" s="18" t="str">
        <f>flt_net_nodec_hostname</f>
        <v>Value Missing</v>
      </c>
      <c r="E350" s="18"/>
      <c r="F350" s="41"/>
      <c r="G350" s="41"/>
      <c r="H350" s="41"/>
      <c r="I350" s="41"/>
      <c r="J350" s="41"/>
      <c r="K350" s="41"/>
      <c r="L350" s="41"/>
      <c r="M350" s="41"/>
      <c r="N350" s="41"/>
      <c r="O350" s="41"/>
      <c r="P350" s="41"/>
      <c r="Q350" s="41"/>
      <c r="R350" s="41"/>
      <c r="S350" s="41"/>
      <c r="T350" s="41"/>
      <c r="U350" s="41"/>
      <c r="V350" s="41"/>
      <c r="W350" s="41"/>
      <c r="X350" s="41"/>
      <c r="Y350" s="41"/>
      <c r="Z350" s="41"/>
    </row>
    <row r="351" ht="19.5" customHeight="1">
      <c r="A351" s="41"/>
      <c r="B351" s="84" t="s">
        <v>741</v>
      </c>
      <c r="C351" s="110" t="str">
        <f>sample_flt_net_nodec_ip</f>
        <v>10.21.10.64</v>
      </c>
      <c r="D351" s="18" t="str">
        <f t="array" ref="D351">flt_net_nodec_ip</f>
        <v>Value Missing</v>
      </c>
      <c r="E351" s="18"/>
      <c r="F351" s="41"/>
      <c r="G351" s="41"/>
      <c r="H351" s="41"/>
      <c r="I351" s="41"/>
      <c r="J351" s="41"/>
      <c r="K351" s="41"/>
      <c r="L351" s="41"/>
      <c r="M351" s="41"/>
      <c r="N351" s="41"/>
      <c r="O351" s="41"/>
      <c r="P351" s="41"/>
      <c r="Q351" s="41"/>
      <c r="R351" s="41"/>
      <c r="S351" s="41"/>
      <c r="T351" s="41"/>
      <c r="U351" s="41"/>
      <c r="V351" s="41"/>
      <c r="W351" s="41"/>
      <c r="X351" s="41"/>
      <c r="Y351" s="41"/>
      <c r="Z351" s="41"/>
    </row>
    <row r="352" ht="19.5" customHeight="1">
      <c r="A352" s="41"/>
      <c r="B352" s="84" t="s">
        <v>1196</v>
      </c>
      <c r="C352" s="110" t="s">
        <v>225</v>
      </c>
      <c r="D352" s="18" t="s">
        <v>225</v>
      </c>
      <c r="E352" s="18"/>
      <c r="F352" s="41"/>
      <c r="G352" s="41"/>
      <c r="H352" s="41"/>
      <c r="I352" s="41"/>
      <c r="J352" s="41"/>
      <c r="K352" s="41"/>
      <c r="L352" s="41"/>
      <c r="M352" s="41"/>
      <c r="N352" s="41"/>
      <c r="O352" s="41"/>
      <c r="P352" s="41"/>
      <c r="Q352" s="41"/>
      <c r="R352" s="41"/>
      <c r="S352" s="41"/>
      <c r="T352" s="41"/>
      <c r="U352" s="41"/>
      <c r="V352" s="41"/>
      <c r="W352" s="41"/>
      <c r="X352" s="41"/>
      <c r="Y352" s="41"/>
      <c r="Z352" s="41"/>
    </row>
    <row r="353" ht="19.5" customHeight="1">
      <c r="A353" s="41"/>
      <c r="B353" s="102" t="s">
        <v>1199</v>
      </c>
      <c r="C353" s="13"/>
      <c r="D353" s="13"/>
      <c r="E353" s="14"/>
      <c r="F353" s="41"/>
      <c r="G353" s="41"/>
      <c r="H353" s="41"/>
      <c r="I353" s="41"/>
      <c r="J353" s="41"/>
      <c r="K353" s="41"/>
      <c r="L353" s="41"/>
      <c r="M353" s="41"/>
      <c r="N353" s="41"/>
      <c r="O353" s="41"/>
      <c r="P353" s="41"/>
      <c r="Q353" s="41"/>
      <c r="R353" s="41"/>
      <c r="S353" s="41"/>
      <c r="T353" s="41"/>
      <c r="U353" s="41"/>
      <c r="V353" s="41"/>
      <c r="W353" s="41"/>
      <c r="X353" s="41"/>
      <c r="Y353" s="41"/>
      <c r="Z353" s="41"/>
    </row>
    <row r="354" ht="19.5" customHeight="1">
      <c r="A354" s="41"/>
      <c r="B354" s="84" t="s">
        <v>1171</v>
      </c>
      <c r="C354" s="110" t="str">
        <f>CONCATENATE(this_instance,"-netc01")</f>
        <v>lax-netc01</v>
      </c>
      <c r="D354" s="18" t="str">
        <f>flt_net_prxy_hostname</f>
        <v>Value Missing</v>
      </c>
      <c r="E354" s="18"/>
      <c r="F354" s="41"/>
      <c r="G354" s="41"/>
      <c r="H354" s="41"/>
      <c r="I354" s="41"/>
      <c r="J354" s="41"/>
      <c r="K354" s="41"/>
      <c r="L354" s="41"/>
      <c r="M354" s="41"/>
      <c r="N354" s="41"/>
      <c r="O354" s="41"/>
      <c r="P354" s="41"/>
      <c r="Q354" s="41"/>
      <c r="R354" s="41"/>
      <c r="S354" s="41"/>
      <c r="T354" s="41"/>
      <c r="U354" s="41"/>
      <c r="V354" s="41"/>
      <c r="W354" s="41"/>
      <c r="X354" s="41"/>
      <c r="Y354" s="41"/>
      <c r="Z354" s="41"/>
    </row>
    <row r="355" ht="19.5" customHeight="1">
      <c r="A355" s="41"/>
      <c r="B355" s="84" t="s">
        <v>741</v>
      </c>
      <c r="C355" s="110" t="str">
        <f>sample_flt_net_prxy_ip</f>
        <v>10.21.10.14</v>
      </c>
      <c r="D355" s="18" t="str">
        <f t="array" ref="D355">flt_net_prxy_ip</f>
        <v>Value Missing</v>
      </c>
      <c r="E355" s="18"/>
      <c r="F355" s="41"/>
      <c r="G355" s="41"/>
      <c r="H355" s="41"/>
      <c r="I355" s="41"/>
      <c r="J355" s="41"/>
      <c r="K355" s="41"/>
      <c r="L355" s="41"/>
      <c r="M355" s="41"/>
      <c r="N355" s="41"/>
      <c r="O355" s="41"/>
      <c r="P355" s="41"/>
      <c r="Q355" s="41"/>
      <c r="R355" s="41"/>
      <c r="S355" s="41"/>
      <c r="T355" s="41"/>
      <c r="U355" s="41"/>
      <c r="V355" s="41"/>
      <c r="W355" s="41"/>
      <c r="X355" s="41"/>
      <c r="Y355" s="41"/>
      <c r="Z355" s="41"/>
    </row>
    <row r="356" ht="19.5" customHeight="1">
      <c r="A356" s="41"/>
      <c r="B356" s="84" t="s">
        <v>1059</v>
      </c>
      <c r="C356" s="110" t="str">
        <f>IF(mgmt_dpg_reuse_result="Included",CONCATENATE(prefix_mgmt_az1_cidr,"10.1"),CONCATENATE(prefix_mgmt_az1_cidr,"11.1"))</f>
        <v>10.21.10.1</v>
      </c>
      <c r="D356" s="18"/>
      <c r="E356" s="18"/>
      <c r="F356" s="41"/>
      <c r="G356" s="41"/>
      <c r="H356" s="41"/>
      <c r="I356" s="41"/>
      <c r="J356" s="41"/>
      <c r="K356" s="41"/>
      <c r="L356" s="41"/>
      <c r="M356" s="41"/>
      <c r="N356" s="41"/>
      <c r="O356" s="41"/>
      <c r="P356" s="41"/>
      <c r="Q356" s="41"/>
      <c r="R356" s="41"/>
      <c r="S356" s="41"/>
      <c r="T356" s="41"/>
      <c r="U356" s="41"/>
      <c r="V356" s="41"/>
      <c r="W356" s="41"/>
      <c r="X356" s="41"/>
      <c r="Y356" s="41"/>
      <c r="Z356" s="41"/>
    </row>
    <row r="357" ht="19.5" customHeight="1">
      <c r="A357" s="41"/>
      <c r="B357" s="84" t="s">
        <v>1060</v>
      </c>
      <c r="C357" s="110" t="s">
        <v>622</v>
      </c>
      <c r="D357" s="18"/>
      <c r="E357" s="18"/>
      <c r="F357" s="41"/>
      <c r="G357" s="41"/>
      <c r="H357" s="41"/>
      <c r="I357" s="41"/>
      <c r="J357" s="41"/>
      <c r="K357" s="41"/>
      <c r="L357" s="41"/>
      <c r="M357" s="41"/>
      <c r="N357" s="41"/>
      <c r="O357" s="41"/>
      <c r="P357" s="41"/>
      <c r="Q357" s="41"/>
      <c r="R357" s="41"/>
      <c r="S357" s="41"/>
      <c r="T357" s="41"/>
      <c r="U357" s="41"/>
      <c r="V357" s="41"/>
      <c r="W357" s="41"/>
      <c r="X357" s="41"/>
      <c r="Y357" s="41"/>
      <c r="Z357" s="41"/>
    </row>
    <row r="358" ht="19.5" customHeight="1">
      <c r="A358" s="41"/>
      <c r="B358" s="84" t="s">
        <v>717</v>
      </c>
      <c r="C358" s="110" t="str">
        <f>CONCATENATE(this_instance,"-m01-cl01-vds01-pg-vm-mgmt")</f>
        <v>lax-m01-cl01-vds01-pg-vm-mgmt</v>
      </c>
      <c r="D358" s="18"/>
      <c r="E358" s="18"/>
      <c r="F358" s="41"/>
      <c r="G358" s="41"/>
      <c r="H358" s="41"/>
      <c r="I358" s="41"/>
      <c r="J358" s="41"/>
      <c r="K358" s="41"/>
      <c r="L358" s="41"/>
      <c r="M358" s="41"/>
      <c r="N358" s="41"/>
      <c r="O358" s="41"/>
      <c r="P358" s="41"/>
      <c r="Q358" s="41"/>
      <c r="R358" s="41"/>
      <c r="S358" s="41"/>
      <c r="T358" s="41"/>
      <c r="U358" s="41"/>
      <c r="V358" s="41"/>
      <c r="W358" s="41"/>
      <c r="X358" s="41"/>
      <c r="Y358" s="41"/>
      <c r="Z358" s="41"/>
    </row>
    <row r="359" ht="19.5" customHeight="1">
      <c r="A359" s="41"/>
      <c r="B359" s="84" t="s">
        <v>1196</v>
      </c>
      <c r="C359" s="110" t="s">
        <v>212</v>
      </c>
      <c r="D359" s="18" t="s">
        <v>212</v>
      </c>
      <c r="E359" s="18"/>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B360" s="41"/>
      <c r="C360" s="41"/>
      <c r="D360" s="1"/>
      <c r="E360" s="1"/>
    </row>
    <row r="361" ht="15.75" customHeight="1">
      <c r="D361" s="218"/>
      <c r="E361" s="218"/>
    </row>
    <row r="362" ht="15.75" customHeight="1">
      <c r="D362" s="218"/>
      <c r="E362" s="218"/>
    </row>
    <row r="363" ht="15.75" customHeight="1">
      <c r="D363" s="218"/>
      <c r="E363" s="218"/>
    </row>
    <row r="364" ht="15.75" customHeight="1">
      <c r="D364" s="218"/>
      <c r="E364" s="218"/>
    </row>
    <row r="365" ht="15.75" customHeight="1">
      <c r="D365" s="218"/>
      <c r="E365" s="218"/>
    </row>
    <row r="366" ht="15.75" customHeight="1">
      <c r="D366" s="218"/>
      <c r="E366" s="218"/>
    </row>
    <row r="367" ht="15.75" customHeight="1">
      <c r="D367" s="218"/>
      <c r="E367" s="218"/>
    </row>
    <row r="368" ht="15.75" customHeight="1">
      <c r="D368" s="218"/>
      <c r="E368" s="218"/>
    </row>
    <row r="369" ht="15.75" customHeight="1">
      <c r="D369" s="218"/>
      <c r="E369" s="218"/>
    </row>
    <row r="370" ht="15.75" customHeight="1">
      <c r="D370" s="218"/>
      <c r="E370" s="218"/>
    </row>
    <row r="371" ht="15.75" customHeight="1">
      <c r="D371" s="218"/>
      <c r="E371" s="218"/>
    </row>
    <row r="372" ht="15.75" customHeight="1">
      <c r="D372" s="218"/>
      <c r="E372" s="218"/>
    </row>
    <row r="373" ht="15.75" customHeight="1">
      <c r="D373" s="218"/>
      <c r="E373" s="218"/>
    </row>
    <row r="374" ht="15.75" customHeight="1">
      <c r="D374" s="218"/>
      <c r="E374" s="218"/>
    </row>
    <row r="375" ht="15.75" customHeight="1">
      <c r="D375" s="218"/>
      <c r="E375" s="218"/>
    </row>
    <row r="376" ht="15.75" customHeight="1">
      <c r="D376" s="218"/>
      <c r="E376" s="218"/>
    </row>
    <row r="377" ht="15.75" customHeight="1">
      <c r="D377" s="218"/>
      <c r="E377" s="218"/>
    </row>
    <row r="378" ht="15.75" customHeight="1">
      <c r="D378" s="218"/>
      <c r="E378" s="218"/>
    </row>
    <row r="379" ht="15.75" customHeight="1">
      <c r="D379" s="218"/>
      <c r="E379" s="218"/>
    </row>
    <row r="380" ht="15.75" customHeight="1">
      <c r="D380" s="218"/>
      <c r="E380" s="218"/>
    </row>
    <row r="381" ht="15.75" customHeight="1">
      <c r="D381" s="218"/>
      <c r="E381" s="218"/>
    </row>
    <row r="382" ht="15.75" customHeight="1">
      <c r="D382" s="218"/>
      <c r="E382" s="218"/>
    </row>
    <row r="383" ht="15.75" customHeight="1">
      <c r="D383" s="218"/>
      <c r="E383" s="218"/>
    </row>
    <row r="384" ht="15.75" customHeight="1">
      <c r="D384" s="218"/>
      <c r="E384" s="218"/>
    </row>
    <row r="385" ht="15.75" customHeight="1">
      <c r="D385" s="218"/>
      <c r="E385" s="218"/>
    </row>
    <row r="386" ht="15.75" customHeight="1">
      <c r="D386" s="218"/>
      <c r="E386" s="218"/>
    </row>
    <row r="387" ht="15.75" customHeight="1">
      <c r="D387" s="218"/>
      <c r="E387" s="218"/>
    </row>
    <row r="388" ht="15.75" customHeight="1">
      <c r="D388" s="218"/>
      <c r="E388" s="218"/>
    </row>
    <row r="389" ht="15.75" customHeight="1">
      <c r="D389" s="218"/>
      <c r="E389" s="218"/>
    </row>
    <row r="390" ht="15.75" customHeight="1">
      <c r="D390" s="218"/>
      <c r="E390" s="218"/>
    </row>
    <row r="391" ht="15.75" customHeight="1">
      <c r="D391" s="218"/>
      <c r="E391" s="218"/>
    </row>
    <row r="392" ht="15.75" customHeight="1">
      <c r="D392" s="218"/>
      <c r="E392" s="218"/>
    </row>
    <row r="393" ht="15.75" customHeight="1">
      <c r="D393" s="218"/>
      <c r="E393" s="218"/>
    </row>
    <row r="394" ht="15.75" customHeight="1">
      <c r="D394" s="218"/>
      <c r="E394" s="218"/>
    </row>
    <row r="395" ht="15.75" customHeight="1">
      <c r="D395" s="218"/>
      <c r="E395" s="218"/>
    </row>
    <row r="396" ht="15.75" customHeight="1">
      <c r="D396" s="218"/>
      <c r="E396" s="218"/>
    </row>
    <row r="397" ht="15.75" customHeight="1">
      <c r="D397" s="218"/>
      <c r="E397" s="218"/>
    </row>
    <row r="398" ht="15.75" customHeight="1">
      <c r="D398" s="218"/>
      <c r="E398" s="218"/>
    </row>
    <row r="399" ht="15.75" customHeight="1">
      <c r="D399" s="218"/>
      <c r="E399" s="218"/>
    </row>
    <row r="400" ht="15.75" customHeight="1">
      <c r="D400" s="218"/>
      <c r="E400" s="218"/>
    </row>
    <row r="401" ht="15.75" customHeight="1">
      <c r="D401" s="218"/>
      <c r="E401" s="218"/>
    </row>
    <row r="402" ht="15.75" customHeight="1">
      <c r="D402" s="218"/>
      <c r="E402" s="218"/>
    </row>
    <row r="403" ht="15.75" customHeight="1">
      <c r="D403" s="218"/>
      <c r="E403" s="218"/>
    </row>
    <row r="404" ht="15.75" customHeight="1">
      <c r="D404" s="218"/>
      <c r="E404" s="218"/>
    </row>
    <row r="405" ht="15.75" customHeight="1">
      <c r="D405" s="218"/>
      <c r="E405" s="218"/>
    </row>
    <row r="406" ht="15.75" customHeight="1">
      <c r="D406" s="218"/>
      <c r="E406" s="218"/>
    </row>
    <row r="407" ht="15.75" customHeight="1">
      <c r="D407" s="218"/>
      <c r="E407" s="218"/>
    </row>
    <row r="408" ht="15.75" customHeight="1">
      <c r="D408" s="218"/>
      <c r="E408" s="218"/>
    </row>
    <row r="409" ht="15.75" customHeight="1">
      <c r="D409" s="218"/>
      <c r="E409" s="218"/>
    </row>
    <row r="410" ht="15.75" customHeight="1">
      <c r="D410" s="218"/>
      <c r="E410" s="218"/>
    </row>
    <row r="411" ht="15.75" customHeight="1">
      <c r="D411" s="218"/>
      <c r="E411" s="218"/>
    </row>
    <row r="412" ht="15.75" customHeight="1">
      <c r="D412" s="218"/>
      <c r="E412" s="218"/>
    </row>
    <row r="413" ht="15.75" customHeight="1">
      <c r="D413" s="218"/>
      <c r="E413" s="218"/>
    </row>
    <row r="414" ht="15.75" customHeight="1">
      <c r="D414" s="218"/>
      <c r="E414" s="218"/>
    </row>
    <row r="415" ht="15.75" customHeight="1">
      <c r="D415" s="218"/>
      <c r="E415" s="218"/>
    </row>
    <row r="416" ht="15.75" customHeight="1">
      <c r="D416" s="218"/>
      <c r="E416" s="218"/>
    </row>
    <row r="417" ht="15.75" customHeight="1">
      <c r="D417" s="218"/>
      <c r="E417" s="218"/>
    </row>
    <row r="418" ht="15.75" customHeight="1">
      <c r="D418" s="218"/>
      <c r="E418" s="218"/>
    </row>
    <row r="419" ht="15.75" customHeight="1">
      <c r="D419" s="218"/>
      <c r="E419" s="218"/>
    </row>
    <row r="420" ht="15.75" customHeight="1">
      <c r="D420" s="218"/>
      <c r="E420" s="218"/>
    </row>
    <row r="421" ht="15.75" customHeight="1">
      <c r="D421" s="218"/>
      <c r="E421" s="218"/>
    </row>
    <row r="422" ht="15.75" customHeight="1">
      <c r="D422" s="218"/>
      <c r="E422" s="218"/>
    </row>
    <row r="423" ht="15.75" customHeight="1">
      <c r="D423" s="218"/>
      <c r="E423" s="218"/>
    </row>
    <row r="424" ht="15.75" customHeight="1">
      <c r="D424" s="218"/>
      <c r="E424" s="218"/>
    </row>
    <row r="425" ht="15.75" customHeight="1">
      <c r="D425" s="218"/>
      <c r="E425" s="218"/>
    </row>
    <row r="426" ht="15.75" customHeight="1">
      <c r="D426" s="218"/>
      <c r="E426" s="218"/>
    </row>
    <row r="427" ht="15.75" customHeight="1">
      <c r="D427" s="218"/>
      <c r="E427" s="218"/>
    </row>
    <row r="428" ht="15.75" customHeight="1">
      <c r="D428" s="218"/>
      <c r="E428" s="218"/>
    </row>
    <row r="429" ht="15.75" customHeight="1">
      <c r="D429" s="218"/>
      <c r="E429" s="218"/>
    </row>
    <row r="430" ht="15.75" customHeight="1">
      <c r="D430" s="218"/>
      <c r="E430" s="218"/>
    </row>
    <row r="431" ht="15.75" customHeight="1">
      <c r="D431" s="218"/>
      <c r="E431" s="218"/>
    </row>
    <row r="432" ht="15.75" customHeight="1">
      <c r="D432" s="218"/>
      <c r="E432" s="218"/>
    </row>
    <row r="433" ht="15.75" customHeight="1">
      <c r="D433" s="218"/>
      <c r="E433" s="218"/>
    </row>
    <row r="434" ht="15.75" customHeight="1">
      <c r="D434" s="218"/>
      <c r="E434" s="218"/>
    </row>
    <row r="435" ht="15.75" customHeight="1">
      <c r="D435" s="218"/>
      <c r="E435" s="218"/>
    </row>
    <row r="436" ht="15.75" customHeight="1">
      <c r="D436" s="218"/>
      <c r="E436" s="218"/>
    </row>
    <row r="437" ht="15.75" customHeight="1">
      <c r="D437" s="218"/>
      <c r="E437" s="218"/>
    </row>
    <row r="438" ht="15.75" customHeight="1">
      <c r="D438" s="218"/>
      <c r="E438" s="218"/>
    </row>
    <row r="439" ht="15.75" customHeight="1">
      <c r="D439" s="218"/>
      <c r="E439" s="218"/>
    </row>
    <row r="440" ht="15.75" customHeight="1">
      <c r="D440" s="218"/>
      <c r="E440" s="218"/>
    </row>
    <row r="441" ht="15.75" customHeight="1">
      <c r="D441" s="218"/>
      <c r="E441" s="218"/>
    </row>
    <row r="442" ht="15.75" customHeight="1">
      <c r="D442" s="218"/>
      <c r="E442" s="218"/>
    </row>
    <row r="443" ht="15.75" customHeight="1">
      <c r="D443" s="218"/>
      <c r="E443" s="218"/>
    </row>
    <row r="444" ht="15.75" customHeight="1">
      <c r="D444" s="218"/>
      <c r="E444" s="218"/>
    </row>
    <row r="445" ht="15.75" customHeight="1">
      <c r="D445" s="218"/>
      <c r="E445" s="218"/>
    </row>
    <row r="446" ht="15.75" customHeight="1">
      <c r="D446" s="218"/>
      <c r="E446" s="218"/>
    </row>
    <row r="447" ht="15.75" customHeight="1">
      <c r="D447" s="218"/>
      <c r="E447" s="218"/>
    </row>
    <row r="448" ht="15.75" customHeight="1">
      <c r="D448" s="218"/>
      <c r="E448" s="218"/>
    </row>
    <row r="449" ht="15.75" customHeight="1">
      <c r="D449" s="218"/>
      <c r="E449" s="218"/>
    </row>
    <row r="450" ht="15.75" customHeight="1">
      <c r="D450" s="218"/>
      <c r="E450" s="218"/>
    </row>
    <row r="451" ht="15.75" customHeight="1">
      <c r="D451" s="218"/>
      <c r="E451" s="218"/>
    </row>
    <row r="452" ht="15.75" customHeight="1">
      <c r="D452" s="218"/>
      <c r="E452" s="218"/>
    </row>
    <row r="453" ht="15.75" customHeight="1">
      <c r="D453" s="218"/>
      <c r="E453" s="218"/>
    </row>
    <row r="454" ht="15.75" customHeight="1">
      <c r="D454" s="218"/>
      <c r="E454" s="218"/>
    </row>
    <row r="455" ht="15.75" customHeight="1">
      <c r="D455" s="218"/>
      <c r="E455" s="218"/>
    </row>
    <row r="456" ht="15.75" customHeight="1">
      <c r="D456" s="218"/>
      <c r="E456" s="218"/>
    </row>
    <row r="457" ht="15.75" customHeight="1">
      <c r="D457" s="218"/>
      <c r="E457" s="218"/>
    </row>
    <row r="458" ht="15.75" customHeight="1">
      <c r="D458" s="218"/>
      <c r="E458" s="218"/>
    </row>
    <row r="459" ht="15.75" customHeight="1">
      <c r="D459" s="218"/>
      <c r="E459" s="218"/>
    </row>
    <row r="460" ht="15.75" customHeight="1">
      <c r="D460" s="218"/>
      <c r="E460" s="218"/>
    </row>
    <row r="461" ht="15.75" customHeight="1">
      <c r="D461" s="218"/>
      <c r="E461" s="218"/>
    </row>
    <row r="462" ht="15.75" customHeight="1">
      <c r="D462" s="218"/>
      <c r="E462" s="218"/>
    </row>
    <row r="463" ht="15.75" customHeight="1">
      <c r="D463" s="218"/>
      <c r="E463" s="218"/>
    </row>
    <row r="464" ht="15.75" customHeight="1">
      <c r="D464" s="218"/>
      <c r="E464" s="218"/>
    </row>
    <row r="465" ht="15.75" customHeight="1">
      <c r="D465" s="218"/>
      <c r="E465" s="218"/>
    </row>
    <row r="466" ht="15.75" customHeight="1">
      <c r="D466" s="218"/>
      <c r="E466" s="218"/>
    </row>
    <row r="467" ht="15.75" customHeight="1">
      <c r="D467" s="218"/>
      <c r="E467" s="218"/>
    </row>
    <row r="468" ht="15.75" customHeight="1">
      <c r="D468" s="218"/>
      <c r="E468" s="218"/>
    </row>
    <row r="469" ht="15.75" customHeight="1">
      <c r="D469" s="218"/>
      <c r="E469" s="218"/>
    </row>
    <row r="470" ht="15.75" customHeight="1">
      <c r="D470" s="218"/>
      <c r="E470" s="218"/>
    </row>
    <row r="471" ht="15.75" customHeight="1">
      <c r="D471" s="218"/>
      <c r="E471" s="218"/>
    </row>
    <row r="472" ht="15.75" customHeight="1">
      <c r="D472" s="218"/>
      <c r="E472" s="218"/>
    </row>
    <row r="473" ht="15.75" customHeight="1">
      <c r="D473" s="218"/>
      <c r="E473" s="218"/>
    </row>
    <row r="474" ht="15.75" customHeight="1">
      <c r="D474" s="218"/>
      <c r="E474" s="218"/>
    </row>
    <row r="475" ht="15.75" customHeight="1">
      <c r="D475" s="218"/>
      <c r="E475" s="218"/>
    </row>
    <row r="476" ht="15.75" customHeight="1">
      <c r="D476" s="218"/>
      <c r="E476" s="218"/>
    </row>
    <row r="477" ht="15.75" customHeight="1">
      <c r="D477" s="218"/>
      <c r="E477" s="218"/>
    </row>
    <row r="478" ht="15.75" customHeight="1">
      <c r="D478" s="218"/>
      <c r="E478" s="218"/>
    </row>
    <row r="479" ht="15.75" customHeight="1">
      <c r="D479" s="218"/>
      <c r="E479" s="218"/>
    </row>
    <row r="480" ht="15.75" customHeight="1">
      <c r="D480" s="218"/>
      <c r="E480" s="218"/>
    </row>
    <row r="481" ht="15.75" customHeight="1">
      <c r="D481" s="218"/>
      <c r="E481" s="218"/>
    </row>
    <row r="482" ht="15.75" customHeight="1">
      <c r="D482" s="218"/>
      <c r="E482" s="218"/>
    </row>
    <row r="483" ht="15.75" customHeight="1">
      <c r="D483" s="218"/>
      <c r="E483" s="218"/>
    </row>
    <row r="484" ht="15.75" customHeight="1">
      <c r="D484" s="218"/>
      <c r="E484" s="218"/>
    </row>
    <row r="485" ht="15.75" customHeight="1">
      <c r="D485" s="218"/>
      <c r="E485" s="218"/>
    </row>
    <row r="486" ht="15.75" customHeight="1">
      <c r="D486" s="218"/>
      <c r="E486" s="218"/>
    </row>
    <row r="487" ht="15.75" customHeight="1">
      <c r="D487" s="218"/>
      <c r="E487" s="218"/>
    </row>
    <row r="488" ht="15.75" customHeight="1">
      <c r="D488" s="218"/>
      <c r="E488" s="218"/>
    </row>
    <row r="489" ht="15.75" customHeight="1">
      <c r="D489" s="218"/>
      <c r="E489" s="218"/>
    </row>
    <row r="490" ht="15.75" customHeight="1">
      <c r="D490" s="218"/>
      <c r="E490" s="218"/>
    </row>
    <row r="491" ht="15.75" customHeight="1">
      <c r="D491" s="218"/>
      <c r="E491" s="218"/>
    </row>
    <row r="492" ht="15.75" customHeight="1">
      <c r="D492" s="218"/>
      <c r="E492" s="218"/>
    </row>
    <row r="493" ht="15.75" customHeight="1">
      <c r="D493" s="218"/>
      <c r="E493" s="218"/>
    </row>
    <row r="494" ht="15.75" customHeight="1">
      <c r="D494" s="218"/>
      <c r="E494" s="218"/>
    </row>
    <row r="495" ht="15.75" customHeight="1">
      <c r="D495" s="218"/>
      <c r="E495" s="218"/>
    </row>
    <row r="496" ht="15.75" customHeight="1">
      <c r="D496" s="218"/>
      <c r="E496" s="218"/>
    </row>
    <row r="497" ht="15.75" customHeight="1">
      <c r="D497" s="218"/>
      <c r="E497" s="218"/>
    </row>
    <row r="498" ht="15.75" customHeight="1">
      <c r="D498" s="218"/>
      <c r="E498" s="218"/>
    </row>
    <row r="499" ht="15.75" customHeight="1">
      <c r="D499" s="218"/>
      <c r="E499" s="218"/>
    </row>
    <row r="500" ht="15.75" customHeight="1">
      <c r="D500" s="218"/>
      <c r="E500" s="218"/>
    </row>
    <row r="501" ht="15.75" customHeight="1">
      <c r="D501" s="218"/>
      <c r="E501" s="218"/>
    </row>
    <row r="502" ht="15.75" customHeight="1">
      <c r="D502" s="218"/>
      <c r="E502" s="218"/>
    </row>
    <row r="503" ht="15.75" customHeight="1">
      <c r="D503" s="218"/>
      <c r="E503" s="218"/>
    </row>
    <row r="504" ht="15.75" customHeight="1">
      <c r="D504" s="218"/>
      <c r="E504" s="218"/>
    </row>
    <row r="505" ht="15.75" customHeight="1">
      <c r="D505" s="218"/>
      <c r="E505" s="218"/>
    </row>
    <row r="506" ht="15.75" customHeight="1">
      <c r="D506" s="218"/>
      <c r="E506" s="218"/>
    </row>
    <row r="507" ht="15.75" customHeight="1">
      <c r="D507" s="218"/>
      <c r="E507" s="218"/>
    </row>
    <row r="508" ht="15.75" customHeight="1">
      <c r="D508" s="218"/>
      <c r="E508" s="218"/>
    </row>
    <row r="509" ht="15.75" customHeight="1">
      <c r="D509" s="218"/>
      <c r="E509" s="218"/>
    </row>
    <row r="510" ht="15.75" customHeight="1">
      <c r="D510" s="218"/>
      <c r="E510" s="218"/>
    </row>
    <row r="511" ht="15.75" customHeight="1">
      <c r="D511" s="218"/>
      <c r="E511" s="218"/>
    </row>
    <row r="512" ht="15.75" customHeight="1">
      <c r="D512" s="218"/>
      <c r="E512" s="218"/>
    </row>
    <row r="513" ht="15.75" customHeight="1">
      <c r="D513" s="218"/>
      <c r="E513" s="218"/>
    </row>
    <row r="514" ht="15.75" customHeight="1">
      <c r="D514" s="218"/>
      <c r="E514" s="218"/>
    </row>
    <row r="515" ht="15.75" customHeight="1">
      <c r="D515" s="218"/>
      <c r="E515" s="218"/>
    </row>
    <row r="516" ht="15.75" customHeight="1">
      <c r="D516" s="218"/>
      <c r="E516" s="218"/>
    </row>
    <row r="517" ht="15.75" customHeight="1">
      <c r="D517" s="218"/>
      <c r="E517" s="218"/>
    </row>
    <row r="518" ht="15.75" customHeight="1">
      <c r="D518" s="218"/>
      <c r="E518" s="218"/>
    </row>
    <row r="519" ht="15.75" customHeight="1">
      <c r="D519" s="218"/>
      <c r="E519" s="218"/>
    </row>
    <row r="520" ht="15.75" customHeight="1">
      <c r="D520" s="218"/>
      <c r="E520" s="218"/>
    </row>
    <row r="521" ht="15.75" customHeight="1">
      <c r="D521" s="218"/>
      <c r="E521" s="218"/>
    </row>
    <row r="522" ht="15.75" customHeight="1">
      <c r="D522" s="218"/>
      <c r="E522" s="218"/>
    </row>
    <row r="523" ht="15.75" customHeight="1">
      <c r="D523" s="218"/>
      <c r="E523" s="218"/>
    </row>
    <row r="524" ht="15.75" customHeight="1">
      <c r="D524" s="218"/>
      <c r="E524" s="218"/>
    </row>
    <row r="525" ht="15.75" customHeight="1">
      <c r="D525" s="218"/>
      <c r="E525" s="218"/>
    </row>
    <row r="526" ht="15.75" customHeight="1">
      <c r="D526" s="218"/>
      <c r="E526" s="218"/>
    </row>
    <row r="527" ht="15.75" customHeight="1">
      <c r="D527" s="218"/>
      <c r="E527" s="218"/>
    </row>
    <row r="528" ht="15.75" customHeight="1">
      <c r="D528" s="218"/>
      <c r="E528" s="218"/>
    </row>
    <row r="529" ht="15.75" customHeight="1">
      <c r="D529" s="218"/>
      <c r="E529" s="218"/>
    </row>
    <row r="530" ht="15.75" customHeight="1">
      <c r="D530" s="218"/>
      <c r="E530" s="218"/>
    </row>
    <row r="531" ht="15.75" customHeight="1">
      <c r="D531" s="218"/>
      <c r="E531" s="218"/>
    </row>
    <row r="532" ht="15.75" customHeight="1">
      <c r="D532" s="218"/>
      <c r="E532" s="218"/>
    </row>
    <row r="533" ht="15.75" customHeight="1">
      <c r="D533" s="218"/>
      <c r="E533" s="218"/>
    </row>
    <row r="534" ht="15.75" customHeight="1">
      <c r="D534" s="218"/>
      <c r="E534" s="218"/>
    </row>
    <row r="535" ht="15.75" customHeight="1">
      <c r="D535" s="218"/>
      <c r="E535" s="218"/>
    </row>
    <row r="536" ht="15.75" customHeight="1">
      <c r="D536" s="218"/>
      <c r="E536" s="218"/>
    </row>
    <row r="537" ht="15.75" customHeight="1">
      <c r="D537" s="218"/>
      <c r="E537" s="218"/>
    </row>
    <row r="538" ht="15.75" customHeight="1">
      <c r="D538" s="218"/>
      <c r="E538" s="218"/>
    </row>
    <row r="539" ht="15.75" customHeight="1">
      <c r="D539" s="218"/>
      <c r="E539" s="218"/>
    </row>
    <row r="540" ht="15.75" customHeight="1">
      <c r="D540" s="218"/>
      <c r="E540" s="218"/>
    </row>
    <row r="541" ht="15.75" customHeight="1">
      <c r="D541" s="218"/>
      <c r="E541" s="218"/>
    </row>
    <row r="542" ht="15.75" customHeight="1">
      <c r="D542" s="218"/>
      <c r="E542" s="218"/>
    </row>
    <row r="543" ht="15.75" customHeight="1">
      <c r="D543" s="218"/>
      <c r="E543" s="218"/>
    </row>
    <row r="544" ht="15.75" customHeight="1">
      <c r="D544" s="218"/>
      <c r="E544" s="218"/>
    </row>
    <row r="545" ht="15.75" customHeight="1">
      <c r="D545" s="218"/>
      <c r="E545" s="218"/>
    </row>
    <row r="546" ht="15.75" customHeight="1">
      <c r="D546" s="218"/>
      <c r="E546" s="218"/>
    </row>
    <row r="547" ht="15.75" customHeight="1">
      <c r="D547" s="218"/>
      <c r="E547" s="218"/>
    </row>
    <row r="548" ht="15.75" customHeight="1">
      <c r="D548" s="218"/>
      <c r="E548" s="218"/>
    </row>
    <row r="549" ht="15.75" customHeight="1">
      <c r="D549" s="218"/>
      <c r="E549" s="218"/>
    </row>
    <row r="550" ht="15.75" customHeight="1">
      <c r="D550" s="218"/>
      <c r="E550" s="218"/>
    </row>
    <row r="551" ht="15.75" customHeight="1">
      <c r="D551" s="218"/>
      <c r="E551" s="218"/>
    </row>
    <row r="552" ht="15.75" customHeight="1">
      <c r="D552" s="218"/>
      <c r="E552" s="218"/>
    </row>
    <row r="553" ht="15.75" customHeight="1">
      <c r="D553" s="218"/>
      <c r="E553" s="218"/>
    </row>
    <row r="554" ht="15.75" customHeight="1">
      <c r="D554" s="218"/>
      <c r="E554" s="218"/>
    </row>
    <row r="555" ht="15.75" customHeight="1">
      <c r="D555" s="218"/>
      <c r="E555" s="218"/>
    </row>
    <row r="556" ht="15.75" customHeight="1">
      <c r="D556" s="218"/>
      <c r="E556" s="218"/>
    </row>
    <row r="557" ht="15.75" customHeight="1">
      <c r="D557" s="218"/>
      <c r="E557" s="218"/>
    </row>
    <row r="558" ht="15.75" customHeight="1">
      <c r="D558" s="218"/>
      <c r="E558" s="218"/>
    </row>
    <row r="559" ht="15.75" customHeight="1">
      <c r="D559" s="218"/>
      <c r="E559" s="218"/>
    </row>
    <row r="560" ht="15.75" customHeight="1">
      <c r="D560" s="218"/>
      <c r="E560" s="218"/>
    </row>
    <row r="561" ht="15.75" customHeight="1">
      <c r="D561" s="218"/>
      <c r="E561" s="218"/>
    </row>
    <row r="562" ht="15.75" customHeight="1">
      <c r="D562" s="218"/>
      <c r="E562" s="218"/>
    </row>
    <row r="563" ht="15.75" customHeight="1">
      <c r="D563" s="218"/>
      <c r="E563" s="218"/>
    </row>
    <row r="564" ht="15.75" customHeight="1">
      <c r="D564" s="218"/>
      <c r="E564" s="218"/>
    </row>
    <row r="565" ht="15.75" customHeight="1">
      <c r="D565" s="218"/>
      <c r="E565" s="218"/>
    </row>
    <row r="566" ht="15.75" customHeight="1">
      <c r="D566" s="218"/>
      <c r="E566" s="218"/>
    </row>
    <row r="567" ht="15.75" customHeight="1">
      <c r="D567" s="218"/>
      <c r="E567" s="218"/>
    </row>
    <row r="568" ht="15.75" customHeight="1">
      <c r="D568" s="218"/>
      <c r="E568" s="218"/>
    </row>
    <row r="569" ht="15.75" customHeight="1">
      <c r="D569" s="218"/>
      <c r="E569" s="218"/>
    </row>
    <row r="570" ht="15.75" customHeight="1">
      <c r="D570" s="218"/>
      <c r="E570" s="218"/>
    </row>
    <row r="571" ht="15.75" customHeight="1">
      <c r="D571" s="218"/>
      <c r="E571" s="218"/>
    </row>
    <row r="572" ht="15.75" customHeight="1">
      <c r="D572" s="218"/>
      <c r="E572" s="218"/>
    </row>
    <row r="573" ht="15.75" customHeight="1">
      <c r="D573" s="218"/>
      <c r="E573" s="218"/>
    </row>
    <row r="574" ht="15.75" customHeight="1">
      <c r="D574" s="218"/>
      <c r="E574" s="218"/>
    </row>
    <row r="575" ht="15.75" customHeight="1">
      <c r="D575" s="218"/>
      <c r="E575" s="218"/>
    </row>
    <row r="576" ht="15.75" customHeight="1">
      <c r="D576" s="218"/>
      <c r="E576" s="218"/>
    </row>
    <row r="577" ht="15.75" customHeight="1">
      <c r="D577" s="218"/>
      <c r="E577" s="218"/>
    </row>
    <row r="578" ht="15.75" customHeight="1">
      <c r="D578" s="218"/>
      <c r="E578" s="218"/>
    </row>
    <row r="579" ht="15.75" customHeight="1">
      <c r="D579" s="218"/>
      <c r="E579" s="218"/>
    </row>
    <row r="580" ht="15.75" customHeight="1">
      <c r="D580" s="218"/>
      <c r="E580" s="218"/>
    </row>
    <row r="581" ht="15.75" customHeight="1">
      <c r="D581" s="218"/>
      <c r="E581" s="218"/>
    </row>
    <row r="582" ht="15.75" customHeight="1">
      <c r="D582" s="218"/>
      <c r="E582" s="218"/>
    </row>
    <row r="583" ht="15.75" customHeight="1">
      <c r="D583" s="218"/>
      <c r="E583" s="218"/>
    </row>
    <row r="584" ht="15.75" customHeight="1">
      <c r="D584" s="218"/>
      <c r="E584" s="218"/>
    </row>
    <row r="585" ht="15.75" customHeight="1">
      <c r="D585" s="218"/>
      <c r="E585" s="218"/>
    </row>
    <row r="586" ht="15.75" customHeight="1">
      <c r="D586" s="218"/>
      <c r="E586" s="218"/>
    </row>
    <row r="587" ht="15.75" customHeight="1">
      <c r="D587" s="218"/>
      <c r="E587" s="218"/>
    </row>
    <row r="588" ht="15.75" customHeight="1">
      <c r="D588" s="218"/>
      <c r="E588" s="218"/>
    </row>
    <row r="589" ht="15.75" customHeight="1">
      <c r="D589" s="218"/>
      <c r="E589" s="218"/>
    </row>
    <row r="590" ht="15.75" customHeight="1">
      <c r="D590" s="218"/>
      <c r="E590" s="218"/>
    </row>
    <row r="591" ht="15.75" customHeight="1">
      <c r="D591" s="218"/>
      <c r="E591" s="218"/>
    </row>
    <row r="592" ht="15.75" customHeight="1">
      <c r="D592" s="218"/>
      <c r="E592" s="218"/>
    </row>
    <row r="593" ht="15.75" customHeight="1">
      <c r="D593" s="218"/>
      <c r="E593" s="218"/>
    </row>
    <row r="594" ht="15.75" customHeight="1">
      <c r="D594" s="218"/>
      <c r="E594" s="218"/>
    </row>
    <row r="595" ht="15.75" customHeight="1">
      <c r="D595" s="218"/>
      <c r="E595" s="218"/>
    </row>
    <row r="596" ht="15.75" customHeight="1">
      <c r="D596" s="218"/>
      <c r="E596" s="218"/>
    </row>
    <row r="597" ht="15.75" customHeight="1">
      <c r="D597" s="218"/>
      <c r="E597" s="218"/>
    </row>
    <row r="598" ht="15.75" customHeight="1">
      <c r="D598" s="218"/>
      <c r="E598" s="218"/>
    </row>
    <row r="599" ht="15.75" customHeight="1">
      <c r="D599" s="218"/>
      <c r="E599" s="218"/>
    </row>
    <row r="600" ht="15.75" customHeight="1">
      <c r="D600" s="218"/>
      <c r="E600" s="218"/>
    </row>
    <row r="601" ht="15.75" customHeight="1">
      <c r="D601" s="218"/>
      <c r="E601" s="218"/>
    </row>
    <row r="602" ht="15.75" customHeight="1">
      <c r="D602" s="218"/>
      <c r="E602" s="218"/>
    </row>
    <row r="603" ht="15.75" customHeight="1">
      <c r="D603" s="218"/>
      <c r="E603" s="218"/>
    </row>
    <row r="604" ht="15.75" customHeight="1">
      <c r="D604" s="218"/>
      <c r="E604" s="218"/>
    </row>
    <row r="605" ht="15.75" customHeight="1">
      <c r="D605" s="218"/>
      <c r="E605" s="218"/>
    </row>
    <row r="606" ht="15.75" customHeight="1">
      <c r="D606" s="218"/>
      <c r="E606" s="218"/>
    </row>
    <row r="607" ht="15.75" customHeight="1">
      <c r="D607" s="218"/>
      <c r="E607" s="218"/>
    </row>
    <row r="608" ht="15.75" customHeight="1">
      <c r="D608" s="218"/>
      <c r="E608" s="218"/>
    </row>
    <row r="609" ht="15.75" customHeight="1">
      <c r="D609" s="218"/>
      <c r="E609" s="218"/>
    </row>
    <row r="610" ht="15.75" customHeight="1">
      <c r="D610" s="218"/>
      <c r="E610" s="218"/>
    </row>
    <row r="611" ht="15.75" customHeight="1">
      <c r="D611" s="218"/>
      <c r="E611" s="218"/>
    </row>
    <row r="612" ht="15.75" customHeight="1">
      <c r="D612" s="218"/>
      <c r="E612" s="218"/>
    </row>
    <row r="613" ht="15.75" customHeight="1">
      <c r="D613" s="218"/>
      <c r="E613" s="218"/>
    </row>
    <row r="614" ht="15.75" customHeight="1">
      <c r="D614" s="218"/>
      <c r="E614" s="218"/>
    </row>
    <row r="615" ht="15.75" customHeight="1">
      <c r="D615" s="218"/>
      <c r="E615" s="218"/>
    </row>
    <row r="616" ht="15.75" customHeight="1">
      <c r="D616" s="218"/>
      <c r="E616" s="218"/>
    </row>
    <row r="617" ht="15.75" customHeight="1">
      <c r="D617" s="218"/>
      <c r="E617" s="218"/>
    </row>
    <row r="618" ht="15.75" customHeight="1">
      <c r="D618" s="218"/>
      <c r="E618" s="218"/>
    </row>
    <row r="619" ht="15.75" customHeight="1">
      <c r="D619" s="218"/>
      <c r="E619" s="218"/>
    </row>
    <row r="620" ht="15.75" customHeight="1">
      <c r="D620" s="218"/>
      <c r="E620" s="218"/>
    </row>
    <row r="621" ht="15.75" customHeight="1">
      <c r="D621" s="218"/>
      <c r="E621" s="218"/>
    </row>
    <row r="622" ht="15.75" customHeight="1">
      <c r="D622" s="218"/>
      <c r="E622" s="218"/>
    </row>
    <row r="623" ht="15.75" customHeight="1">
      <c r="D623" s="218"/>
      <c r="E623" s="218"/>
    </row>
    <row r="624" ht="15.75" customHeight="1">
      <c r="D624" s="218"/>
      <c r="E624" s="218"/>
    </row>
    <row r="625" ht="15.75" customHeight="1">
      <c r="D625" s="218"/>
      <c r="E625" s="218"/>
    </row>
    <row r="626" ht="15.75" customHeight="1">
      <c r="D626" s="218"/>
      <c r="E626" s="218"/>
    </row>
    <row r="627" ht="15.75" customHeight="1">
      <c r="D627" s="218"/>
      <c r="E627" s="218"/>
    </row>
    <row r="628" ht="15.75" customHeight="1">
      <c r="D628" s="218"/>
      <c r="E628" s="218"/>
    </row>
    <row r="629" ht="15.75" customHeight="1">
      <c r="D629" s="218"/>
      <c r="E629" s="218"/>
    </row>
    <row r="630" ht="15.75" customHeight="1">
      <c r="D630" s="218"/>
      <c r="E630" s="218"/>
    </row>
    <row r="631" ht="15.75" customHeight="1">
      <c r="D631" s="218"/>
      <c r="E631" s="218"/>
    </row>
    <row r="632" ht="15.75" customHeight="1">
      <c r="D632" s="218"/>
      <c r="E632" s="218"/>
    </row>
    <row r="633" ht="15.75" customHeight="1">
      <c r="D633" s="218"/>
      <c r="E633" s="218"/>
    </row>
    <row r="634" ht="15.75" customHeight="1">
      <c r="D634" s="218"/>
      <c r="E634" s="218"/>
    </row>
    <row r="635" ht="15.75" customHeight="1">
      <c r="D635" s="218"/>
      <c r="E635" s="218"/>
    </row>
    <row r="636" ht="15.75" customHeight="1">
      <c r="D636" s="218"/>
      <c r="E636" s="218"/>
    </row>
    <row r="637" ht="15.75" customHeight="1">
      <c r="D637" s="218"/>
      <c r="E637" s="218"/>
    </row>
    <row r="638" ht="15.75" customHeight="1">
      <c r="D638" s="218"/>
      <c r="E638" s="218"/>
    </row>
    <row r="639" ht="15.75" customHeight="1">
      <c r="D639" s="218"/>
      <c r="E639" s="218"/>
    </row>
    <row r="640" ht="15.75" customHeight="1">
      <c r="D640" s="218"/>
      <c r="E640" s="218"/>
    </row>
    <row r="641" ht="15.75" customHeight="1">
      <c r="D641" s="218"/>
      <c r="E641" s="218"/>
    </row>
    <row r="642" ht="15.75" customHeight="1">
      <c r="D642" s="218"/>
      <c r="E642" s="218"/>
    </row>
    <row r="643" ht="15.75" customHeight="1">
      <c r="D643" s="218"/>
      <c r="E643" s="218"/>
    </row>
    <row r="644" ht="15.75" customHeight="1">
      <c r="D644" s="218"/>
      <c r="E644" s="218"/>
    </row>
    <row r="645" ht="15.75" customHeight="1">
      <c r="D645" s="218"/>
      <c r="E645" s="218"/>
    </row>
    <row r="646" ht="15.75" customHeight="1">
      <c r="D646" s="218"/>
      <c r="E646" s="218"/>
    </row>
    <row r="647" ht="15.75" customHeight="1">
      <c r="D647" s="218"/>
      <c r="E647" s="218"/>
    </row>
    <row r="648" ht="15.75" customHeight="1">
      <c r="D648" s="218"/>
      <c r="E648" s="218"/>
    </row>
    <row r="649" ht="15.75" customHeight="1">
      <c r="D649" s="218"/>
      <c r="E649" s="218"/>
    </row>
    <row r="650" ht="15.75" customHeight="1">
      <c r="D650" s="218"/>
      <c r="E650" s="218"/>
    </row>
    <row r="651" ht="15.75" customHeight="1">
      <c r="D651" s="218"/>
      <c r="E651" s="218"/>
    </row>
    <row r="652" ht="15.75" customHeight="1">
      <c r="D652" s="218"/>
      <c r="E652" s="218"/>
    </row>
    <row r="653" ht="15.75" customHeight="1">
      <c r="D653" s="218"/>
      <c r="E653" s="218"/>
    </row>
    <row r="654" ht="15.75" customHeight="1">
      <c r="D654" s="218"/>
      <c r="E654" s="218"/>
    </row>
    <row r="655" ht="15.75" customHeight="1">
      <c r="D655" s="218"/>
      <c r="E655" s="218"/>
    </row>
    <row r="656" ht="15.75" customHeight="1">
      <c r="D656" s="218"/>
      <c r="E656" s="218"/>
    </row>
    <row r="657" ht="15.75" customHeight="1">
      <c r="D657" s="218"/>
      <c r="E657" s="218"/>
    </row>
    <row r="658" ht="15.75" customHeight="1">
      <c r="D658" s="218"/>
      <c r="E658" s="218"/>
    </row>
    <row r="659" ht="15.75" customHeight="1">
      <c r="D659" s="218"/>
      <c r="E659" s="218"/>
    </row>
    <row r="660" ht="15.75" customHeight="1">
      <c r="D660" s="218"/>
      <c r="E660" s="218"/>
    </row>
    <row r="661" ht="15.75" customHeight="1">
      <c r="D661" s="218"/>
      <c r="E661" s="218"/>
    </row>
    <row r="662" ht="15.75" customHeight="1">
      <c r="D662" s="218"/>
      <c r="E662" s="218"/>
    </row>
    <row r="663" ht="15.75" customHeight="1">
      <c r="D663" s="218"/>
      <c r="E663" s="218"/>
    </row>
    <row r="664" ht="15.75" customHeight="1">
      <c r="D664" s="218"/>
      <c r="E664" s="218"/>
    </row>
    <row r="665" ht="15.75" customHeight="1">
      <c r="D665" s="218"/>
      <c r="E665" s="218"/>
    </row>
    <row r="666" ht="15.75" customHeight="1">
      <c r="D666" s="218"/>
      <c r="E666" s="218"/>
    </row>
    <row r="667" ht="15.75" customHeight="1">
      <c r="D667" s="218"/>
      <c r="E667" s="218"/>
    </row>
    <row r="668" ht="15.75" customHeight="1">
      <c r="D668" s="218"/>
      <c r="E668" s="218"/>
    </row>
    <row r="669" ht="15.75" customHeight="1">
      <c r="D669" s="218"/>
      <c r="E669" s="218"/>
    </row>
    <row r="670" ht="15.75" customHeight="1">
      <c r="D670" s="218"/>
      <c r="E670" s="218"/>
    </row>
    <row r="671" ht="15.75" customHeight="1">
      <c r="D671" s="218"/>
      <c r="E671" s="218"/>
    </row>
    <row r="672" ht="15.75" customHeight="1">
      <c r="D672" s="218"/>
      <c r="E672" s="218"/>
    </row>
    <row r="673" ht="15.75" customHeight="1">
      <c r="D673" s="218"/>
      <c r="E673" s="218"/>
    </row>
    <row r="674" ht="15.75" customHeight="1">
      <c r="D674" s="218"/>
      <c r="E674" s="218"/>
    </row>
    <row r="675" ht="15.75" customHeight="1">
      <c r="D675" s="218"/>
      <c r="E675" s="218"/>
    </row>
    <row r="676" ht="15.75" customHeight="1">
      <c r="D676" s="218"/>
      <c r="E676" s="218"/>
    </row>
    <row r="677" ht="15.75" customHeight="1">
      <c r="D677" s="218"/>
      <c r="E677" s="218"/>
    </row>
    <row r="678" ht="15.75" customHeight="1">
      <c r="D678" s="218"/>
      <c r="E678" s="218"/>
    </row>
    <row r="679" ht="15.75" customHeight="1">
      <c r="D679" s="218"/>
      <c r="E679" s="218"/>
    </row>
    <row r="680" ht="15.75" customHeight="1">
      <c r="D680" s="218"/>
      <c r="E680" s="218"/>
    </row>
    <row r="681" ht="15.75" customHeight="1">
      <c r="D681" s="218"/>
      <c r="E681" s="218"/>
    </row>
    <row r="682" ht="15.75" customHeight="1">
      <c r="D682" s="218"/>
      <c r="E682" s="218"/>
    </row>
    <row r="683" ht="15.75" customHeight="1">
      <c r="D683" s="218"/>
      <c r="E683" s="218"/>
    </row>
    <row r="684" ht="15.75" customHeight="1">
      <c r="D684" s="218"/>
      <c r="E684" s="218"/>
    </row>
    <row r="685" ht="15.75" customHeight="1">
      <c r="D685" s="218"/>
      <c r="E685" s="218"/>
    </row>
    <row r="686" ht="15.75" customHeight="1">
      <c r="D686" s="218"/>
      <c r="E686" s="218"/>
    </row>
    <row r="687" ht="15.75" customHeight="1">
      <c r="D687" s="218"/>
      <c r="E687" s="218"/>
    </row>
    <row r="688" ht="15.75" customHeight="1">
      <c r="D688" s="218"/>
      <c r="E688" s="218"/>
    </row>
    <row r="689" ht="15.75" customHeight="1">
      <c r="D689" s="218"/>
      <c r="E689" s="218"/>
    </row>
    <row r="690" ht="15.75" customHeight="1">
      <c r="D690" s="218"/>
      <c r="E690" s="218"/>
    </row>
    <row r="691" ht="15.75" customHeight="1">
      <c r="D691" s="218"/>
      <c r="E691" s="218"/>
    </row>
    <row r="692" ht="15.75" customHeight="1">
      <c r="D692" s="218"/>
      <c r="E692" s="218"/>
    </row>
    <row r="693" ht="15.75" customHeight="1">
      <c r="D693" s="218"/>
      <c r="E693" s="218"/>
    </row>
    <row r="694" ht="15.75" customHeight="1">
      <c r="D694" s="218"/>
      <c r="E694" s="218"/>
    </row>
    <row r="695" ht="15.75" customHeight="1">
      <c r="D695" s="218"/>
      <c r="E695" s="218"/>
    </row>
    <row r="696" ht="15.75" customHeight="1">
      <c r="D696" s="218"/>
      <c r="E696" s="218"/>
    </row>
    <row r="697" ht="15.75" customHeight="1">
      <c r="D697" s="218"/>
      <c r="E697" s="218"/>
    </row>
    <row r="698" ht="15.75" customHeight="1">
      <c r="D698" s="218"/>
      <c r="E698" s="218"/>
    </row>
    <row r="699" ht="15.75" customHeight="1">
      <c r="D699" s="218"/>
      <c r="E699" s="218"/>
    </row>
    <row r="700" ht="15.75" customHeight="1">
      <c r="D700" s="218"/>
      <c r="E700" s="218"/>
    </row>
    <row r="701" ht="15.75" customHeight="1">
      <c r="D701" s="218"/>
      <c r="E701" s="218"/>
    </row>
    <row r="702" ht="15.75" customHeight="1">
      <c r="D702" s="218"/>
      <c r="E702" s="218"/>
    </row>
    <row r="703" ht="15.75" customHeight="1">
      <c r="D703" s="218"/>
      <c r="E703" s="218"/>
    </row>
    <row r="704" ht="15.75" customHeight="1">
      <c r="D704" s="218"/>
      <c r="E704" s="218"/>
    </row>
    <row r="705" ht="15.75" customHeight="1">
      <c r="D705" s="218"/>
      <c r="E705" s="218"/>
    </row>
    <row r="706" ht="15.75" customHeight="1">
      <c r="D706" s="218"/>
      <c r="E706" s="218"/>
    </row>
    <row r="707" ht="15.75" customHeight="1">
      <c r="D707" s="218"/>
      <c r="E707" s="218"/>
    </row>
    <row r="708" ht="15.75" customHeight="1">
      <c r="D708" s="218"/>
      <c r="E708" s="218"/>
    </row>
    <row r="709" ht="15.75" customHeight="1">
      <c r="D709" s="218"/>
      <c r="E709" s="218"/>
    </row>
    <row r="710" ht="15.75" customHeight="1">
      <c r="D710" s="218"/>
      <c r="E710" s="218"/>
    </row>
    <row r="711" ht="15.75" customHeight="1">
      <c r="D711" s="218"/>
      <c r="E711" s="218"/>
    </row>
    <row r="712" ht="15.75" customHeight="1">
      <c r="D712" s="218"/>
      <c r="E712" s="218"/>
    </row>
    <row r="713" ht="15.75" customHeight="1">
      <c r="D713" s="218"/>
      <c r="E713" s="218"/>
    </row>
    <row r="714" ht="15.75" customHeight="1">
      <c r="D714" s="218"/>
      <c r="E714" s="218"/>
    </row>
    <row r="715" ht="15.75" customHeight="1">
      <c r="D715" s="218"/>
      <c r="E715" s="218"/>
    </row>
    <row r="716" ht="15.75" customHeight="1">
      <c r="D716" s="218"/>
      <c r="E716" s="218"/>
    </row>
    <row r="717" ht="15.75" customHeight="1">
      <c r="D717" s="218"/>
      <c r="E717" s="218"/>
    </row>
    <row r="718" ht="15.75" customHeight="1">
      <c r="D718" s="218"/>
      <c r="E718" s="218"/>
    </row>
    <row r="719" ht="15.75" customHeight="1">
      <c r="D719" s="218"/>
      <c r="E719" s="218"/>
    </row>
    <row r="720" ht="15.75" customHeight="1">
      <c r="D720" s="218"/>
      <c r="E720" s="218"/>
    </row>
    <row r="721" ht="15.75" customHeight="1">
      <c r="D721" s="218"/>
      <c r="E721" s="218"/>
    </row>
    <row r="722" ht="15.75" customHeight="1">
      <c r="D722" s="218"/>
      <c r="E722" s="218"/>
    </row>
    <row r="723" ht="15.75" customHeight="1">
      <c r="D723" s="218"/>
      <c r="E723" s="218"/>
    </row>
    <row r="724" ht="15.75" customHeight="1">
      <c r="D724" s="218"/>
      <c r="E724" s="218"/>
    </row>
    <row r="725" ht="15.75" customHeight="1">
      <c r="D725" s="218"/>
      <c r="E725" s="218"/>
    </row>
    <row r="726" ht="15.75" customHeight="1">
      <c r="D726" s="218"/>
      <c r="E726" s="218"/>
    </row>
    <row r="727" ht="15.75" customHeight="1">
      <c r="D727" s="218"/>
      <c r="E727" s="218"/>
    </row>
    <row r="728" ht="15.75" customHeight="1">
      <c r="D728" s="218"/>
      <c r="E728" s="218"/>
    </row>
    <row r="729" ht="15.75" customHeight="1">
      <c r="D729" s="218"/>
      <c r="E729" s="218"/>
    </row>
    <row r="730" ht="15.75" customHeight="1">
      <c r="D730" s="218"/>
      <c r="E730" s="218"/>
    </row>
    <row r="731" ht="15.75" customHeight="1">
      <c r="D731" s="218"/>
      <c r="E731" s="218"/>
    </row>
    <row r="732" ht="15.75" customHeight="1">
      <c r="D732" s="218"/>
      <c r="E732" s="218"/>
    </row>
    <row r="733" ht="15.75" customHeight="1">
      <c r="D733" s="218"/>
      <c r="E733" s="218"/>
    </row>
    <row r="734" ht="15.75" customHeight="1">
      <c r="D734" s="218"/>
      <c r="E734" s="218"/>
    </row>
    <row r="735" ht="15.75" customHeight="1">
      <c r="D735" s="218"/>
      <c r="E735" s="218"/>
    </row>
    <row r="736" ht="15.75" customHeight="1">
      <c r="D736" s="218"/>
      <c r="E736" s="218"/>
    </row>
    <row r="737" ht="15.75" customHeight="1">
      <c r="D737" s="218"/>
      <c r="E737" s="218"/>
    </row>
    <row r="738" ht="15.75" customHeight="1">
      <c r="D738" s="218"/>
      <c r="E738" s="218"/>
    </row>
    <row r="739" ht="15.75" customHeight="1">
      <c r="D739" s="218"/>
      <c r="E739" s="218"/>
    </row>
    <row r="740" ht="15.75" customHeight="1">
      <c r="D740" s="218"/>
      <c r="E740" s="218"/>
    </row>
    <row r="741" ht="15.75" customHeight="1">
      <c r="D741" s="218"/>
      <c r="E741" s="218"/>
    </row>
    <row r="742" ht="15.75" customHeight="1">
      <c r="D742" s="218"/>
      <c r="E742" s="218"/>
    </row>
    <row r="743" ht="15.75" customHeight="1">
      <c r="D743" s="218"/>
      <c r="E743" s="218"/>
    </row>
    <row r="744" ht="15.75" customHeight="1">
      <c r="D744" s="218"/>
      <c r="E744" s="218"/>
    </row>
    <row r="745" ht="15.75" customHeight="1">
      <c r="D745" s="218"/>
      <c r="E745" s="218"/>
    </row>
    <row r="746" ht="15.75" customHeight="1">
      <c r="D746" s="218"/>
      <c r="E746" s="218"/>
    </row>
    <row r="747" ht="15.75" customHeight="1">
      <c r="D747" s="218"/>
      <c r="E747" s="218"/>
    </row>
    <row r="748" ht="15.75" customHeight="1">
      <c r="D748" s="218"/>
      <c r="E748" s="218"/>
    </row>
    <row r="749" ht="15.75" customHeight="1">
      <c r="D749" s="218"/>
      <c r="E749" s="218"/>
    </row>
    <row r="750" ht="15.75" customHeight="1">
      <c r="D750" s="218"/>
      <c r="E750" s="218"/>
    </row>
    <row r="751" ht="15.75" customHeight="1">
      <c r="D751" s="218"/>
      <c r="E751" s="218"/>
    </row>
    <row r="752" ht="15.75" customHeight="1">
      <c r="D752" s="218"/>
      <c r="E752" s="218"/>
    </row>
    <row r="753" ht="15.75" customHeight="1">
      <c r="D753" s="218"/>
      <c r="E753" s="218"/>
    </row>
    <row r="754" ht="15.75" customHeight="1">
      <c r="D754" s="218"/>
      <c r="E754" s="218"/>
    </row>
    <row r="755" ht="15.75" customHeight="1">
      <c r="D755" s="218"/>
      <c r="E755" s="218"/>
    </row>
    <row r="756" ht="15.75" customHeight="1">
      <c r="D756" s="218"/>
      <c r="E756" s="218"/>
    </row>
    <row r="757" ht="15.75" customHeight="1">
      <c r="D757" s="218"/>
      <c r="E757" s="218"/>
    </row>
    <row r="758" ht="15.75" customHeight="1">
      <c r="D758" s="218"/>
      <c r="E758" s="218"/>
    </row>
    <row r="759" ht="15.75" customHeight="1">
      <c r="D759" s="218"/>
      <c r="E759" s="218"/>
    </row>
    <row r="760" ht="15.75" customHeight="1">
      <c r="D760" s="218"/>
      <c r="E760" s="218"/>
    </row>
    <row r="761" ht="15.75" customHeight="1">
      <c r="D761" s="218"/>
      <c r="E761" s="218"/>
    </row>
    <row r="762" ht="15.75" customHeight="1">
      <c r="D762" s="218"/>
      <c r="E762" s="218"/>
    </row>
    <row r="763" ht="15.75" customHeight="1">
      <c r="D763" s="218"/>
      <c r="E763" s="218"/>
    </row>
    <row r="764" ht="15.75" customHeight="1">
      <c r="D764" s="218"/>
      <c r="E764" s="218"/>
    </row>
    <row r="765" ht="15.75" customHeight="1">
      <c r="D765" s="218"/>
      <c r="E765" s="218"/>
    </row>
    <row r="766" ht="15.75" customHeight="1">
      <c r="D766" s="218"/>
      <c r="E766" s="218"/>
    </row>
    <row r="767" ht="15.75" customHeight="1">
      <c r="D767" s="218"/>
      <c r="E767" s="218"/>
    </row>
    <row r="768" ht="15.75" customHeight="1">
      <c r="D768" s="218"/>
      <c r="E768" s="218"/>
    </row>
    <row r="769" ht="15.75" customHeight="1">
      <c r="D769" s="218"/>
      <c r="E769" s="218"/>
    </row>
    <row r="770" ht="15.75" customHeight="1">
      <c r="D770" s="218"/>
      <c r="E770" s="218"/>
    </row>
    <row r="771" ht="15.75" customHeight="1">
      <c r="D771" s="218"/>
      <c r="E771" s="218"/>
    </row>
    <row r="772" ht="15.75" customHeight="1">
      <c r="D772" s="218"/>
      <c r="E772" s="218"/>
    </row>
    <row r="773" ht="15.75" customHeight="1">
      <c r="D773" s="218"/>
      <c r="E773" s="218"/>
    </row>
    <row r="774" ht="15.75" customHeight="1">
      <c r="D774" s="218"/>
      <c r="E774" s="218"/>
    </row>
    <row r="775" ht="15.75" customHeight="1">
      <c r="D775" s="218"/>
      <c r="E775" s="218"/>
    </row>
    <row r="776" ht="15.75" customHeight="1">
      <c r="D776" s="218"/>
      <c r="E776" s="218"/>
    </row>
    <row r="777" ht="15.75" customHeight="1">
      <c r="D777" s="218"/>
      <c r="E777" s="218"/>
    </row>
    <row r="778" ht="15.75" customHeight="1">
      <c r="D778" s="218"/>
      <c r="E778" s="218"/>
    </row>
    <row r="779" ht="15.75" customHeight="1">
      <c r="D779" s="218"/>
      <c r="E779" s="218"/>
    </row>
    <row r="780" ht="15.75" customHeight="1">
      <c r="D780" s="218"/>
      <c r="E780" s="218"/>
    </row>
    <row r="781" ht="15.75" customHeight="1">
      <c r="D781" s="218"/>
      <c r="E781" s="218"/>
    </row>
    <row r="782" ht="15.75" customHeight="1">
      <c r="D782" s="218"/>
      <c r="E782" s="218"/>
    </row>
    <row r="783" ht="15.75" customHeight="1">
      <c r="D783" s="218"/>
      <c r="E783" s="218"/>
    </row>
    <row r="784" ht="15.75" customHeight="1">
      <c r="D784" s="218"/>
      <c r="E784" s="218"/>
    </row>
    <row r="785" ht="15.75" customHeight="1">
      <c r="D785" s="218"/>
      <c r="E785" s="218"/>
    </row>
    <row r="786" ht="15.75" customHeight="1">
      <c r="D786" s="218"/>
      <c r="E786" s="218"/>
    </row>
    <row r="787" ht="15.75" customHeight="1">
      <c r="D787" s="218"/>
      <c r="E787" s="218"/>
    </row>
    <row r="788" ht="15.75" customHeight="1">
      <c r="D788" s="218"/>
      <c r="E788" s="218"/>
    </row>
    <row r="789" ht="15.75" customHeight="1">
      <c r="D789" s="218"/>
      <c r="E789" s="218"/>
    </row>
    <row r="790" ht="15.75" customHeight="1">
      <c r="D790" s="218"/>
      <c r="E790" s="218"/>
    </row>
    <row r="791" ht="15.75" customHeight="1">
      <c r="D791" s="218"/>
      <c r="E791" s="218"/>
    </row>
    <row r="792" ht="15.75" customHeight="1">
      <c r="D792" s="218"/>
      <c r="E792" s="218"/>
    </row>
    <row r="793" ht="15.75" customHeight="1">
      <c r="D793" s="218"/>
      <c r="E793" s="218"/>
    </row>
    <row r="794" ht="15.75" customHeight="1">
      <c r="D794" s="218"/>
      <c r="E794" s="218"/>
    </row>
    <row r="795" ht="15.75" customHeight="1">
      <c r="D795" s="218"/>
      <c r="E795" s="218"/>
    </row>
    <row r="796" ht="15.75" customHeight="1">
      <c r="D796" s="218"/>
      <c r="E796" s="218"/>
    </row>
    <row r="797" ht="15.75" customHeight="1">
      <c r="D797" s="218"/>
      <c r="E797" s="218"/>
    </row>
    <row r="798" ht="15.75" customHeight="1">
      <c r="D798" s="218"/>
      <c r="E798" s="218"/>
    </row>
    <row r="799" ht="15.75" customHeight="1">
      <c r="D799" s="218"/>
      <c r="E799" s="218"/>
    </row>
    <row r="800" ht="15.75" customHeight="1">
      <c r="D800" s="218"/>
      <c r="E800" s="218"/>
    </row>
    <row r="801" ht="15.75" customHeight="1">
      <c r="D801" s="218"/>
      <c r="E801" s="218"/>
    </row>
    <row r="802" ht="15.75" customHeight="1">
      <c r="D802" s="218"/>
      <c r="E802" s="218"/>
    </row>
    <row r="803" ht="15.75" customHeight="1">
      <c r="D803" s="218"/>
      <c r="E803" s="218"/>
    </row>
    <row r="804" ht="15.75" customHeight="1">
      <c r="D804" s="218"/>
      <c r="E804" s="218"/>
    </row>
    <row r="805" ht="15.75" customHeight="1">
      <c r="D805" s="218"/>
      <c r="E805" s="218"/>
    </row>
    <row r="806" ht="15.75" customHeight="1">
      <c r="D806" s="218"/>
      <c r="E806" s="218"/>
    </row>
    <row r="807" ht="15.75" customHeight="1">
      <c r="D807" s="218"/>
      <c r="E807" s="218"/>
    </row>
    <row r="808" ht="15.75" customHeight="1">
      <c r="D808" s="218"/>
      <c r="E808" s="218"/>
    </row>
    <row r="809" ht="15.75" customHeight="1">
      <c r="D809" s="218"/>
      <c r="E809" s="218"/>
    </row>
    <row r="810" ht="15.75" customHeight="1">
      <c r="D810" s="218"/>
      <c r="E810" s="218"/>
    </row>
    <row r="811" ht="15.75" customHeight="1">
      <c r="D811" s="218"/>
      <c r="E811" s="218"/>
    </row>
    <row r="812" ht="15.75" customHeight="1">
      <c r="D812" s="218"/>
      <c r="E812" s="218"/>
    </row>
    <row r="813" ht="15.75" customHeight="1">
      <c r="D813" s="218"/>
      <c r="E813" s="218"/>
    </row>
    <row r="814" ht="15.75" customHeight="1">
      <c r="D814" s="218"/>
      <c r="E814" s="218"/>
    </row>
    <row r="815" ht="15.75" customHeight="1">
      <c r="D815" s="218"/>
      <c r="E815" s="218"/>
    </row>
    <row r="816" ht="15.75" customHeight="1">
      <c r="D816" s="218"/>
      <c r="E816" s="218"/>
    </row>
    <row r="817" ht="15.75" customHeight="1">
      <c r="D817" s="218"/>
      <c r="E817" s="218"/>
    </row>
    <row r="818" ht="15.75" customHeight="1">
      <c r="D818" s="218"/>
      <c r="E818" s="218"/>
    </row>
    <row r="819" ht="15.75" customHeight="1">
      <c r="D819" s="218"/>
      <c r="E819" s="218"/>
    </row>
    <row r="820" ht="15.75" customHeight="1">
      <c r="D820" s="218"/>
      <c r="E820" s="218"/>
    </row>
    <row r="821" ht="15.75" customHeight="1">
      <c r="D821" s="218"/>
      <c r="E821" s="218"/>
    </row>
    <row r="822" ht="15.75" customHeight="1">
      <c r="D822" s="218"/>
      <c r="E822" s="218"/>
    </row>
    <row r="823" ht="15.75" customHeight="1">
      <c r="D823" s="218"/>
      <c r="E823" s="218"/>
    </row>
    <row r="824" ht="15.75" customHeight="1">
      <c r="D824" s="218"/>
      <c r="E824" s="218"/>
    </row>
    <row r="825" ht="15.75" customHeight="1">
      <c r="D825" s="218"/>
      <c r="E825" s="218"/>
    </row>
    <row r="826" ht="15.75" customHeight="1">
      <c r="D826" s="218"/>
      <c r="E826" s="218"/>
    </row>
    <row r="827" ht="15.75" customHeight="1">
      <c r="D827" s="218"/>
      <c r="E827" s="218"/>
    </row>
    <row r="828" ht="15.75" customHeight="1">
      <c r="D828" s="218"/>
      <c r="E828" s="218"/>
    </row>
    <row r="829" ht="15.75" customHeight="1">
      <c r="D829" s="218"/>
      <c r="E829" s="218"/>
    </row>
    <row r="830" ht="15.75" customHeight="1">
      <c r="D830" s="218"/>
      <c r="E830" s="218"/>
    </row>
    <row r="831" ht="15.75" customHeight="1">
      <c r="D831" s="218"/>
      <c r="E831" s="218"/>
    </row>
    <row r="832" ht="15.75" customHeight="1">
      <c r="D832" s="218"/>
      <c r="E832" s="218"/>
    </row>
    <row r="833" ht="15.75" customHeight="1">
      <c r="D833" s="218"/>
      <c r="E833" s="218"/>
    </row>
    <row r="834" ht="15.75" customHeight="1">
      <c r="D834" s="218"/>
      <c r="E834" s="218"/>
    </row>
    <row r="835" ht="15.75" customHeight="1">
      <c r="D835" s="218"/>
      <c r="E835" s="218"/>
    </row>
    <row r="836" ht="15.75" customHeight="1">
      <c r="D836" s="218"/>
      <c r="E836" s="218"/>
    </row>
    <row r="837" ht="15.75" customHeight="1">
      <c r="D837" s="218"/>
      <c r="E837" s="218"/>
    </row>
    <row r="838" ht="15.75" customHeight="1">
      <c r="D838" s="218"/>
      <c r="E838" s="218"/>
    </row>
    <row r="839" ht="15.75" customHeight="1">
      <c r="D839" s="218"/>
      <c r="E839" s="218"/>
    </row>
    <row r="840" ht="15.75" customHeight="1">
      <c r="D840" s="218"/>
      <c r="E840" s="218"/>
    </row>
    <row r="841" ht="15.75" customHeight="1">
      <c r="D841" s="218"/>
      <c r="E841" s="218"/>
    </row>
    <row r="842" ht="15.75" customHeight="1">
      <c r="D842" s="218"/>
      <c r="E842" s="218"/>
    </row>
    <row r="843" ht="15.75" customHeight="1">
      <c r="D843" s="218"/>
      <c r="E843" s="218"/>
    </row>
    <row r="844" ht="15.75" customHeight="1">
      <c r="D844" s="218"/>
      <c r="E844" s="218"/>
    </row>
    <row r="845" ht="15.75" customHeight="1">
      <c r="D845" s="218"/>
      <c r="E845" s="218"/>
    </row>
    <row r="846" ht="15.75" customHeight="1">
      <c r="D846" s="218"/>
      <c r="E846" s="218"/>
    </row>
    <row r="847" ht="15.75" customHeight="1">
      <c r="D847" s="218"/>
      <c r="E847" s="218"/>
    </row>
    <row r="848" ht="15.75" customHeight="1">
      <c r="D848" s="218"/>
      <c r="E848" s="218"/>
    </row>
    <row r="849" ht="15.75" customHeight="1">
      <c r="D849" s="218"/>
      <c r="E849" s="218"/>
    </row>
    <row r="850" ht="15.75" customHeight="1">
      <c r="D850" s="218"/>
      <c r="E850" s="218"/>
    </row>
    <row r="851" ht="15.75" customHeight="1">
      <c r="D851" s="218"/>
      <c r="E851" s="218"/>
    </row>
    <row r="852" ht="15.75" customHeight="1">
      <c r="D852" s="218"/>
      <c r="E852" s="218"/>
    </row>
    <row r="853" ht="15.75" customHeight="1">
      <c r="D853" s="218"/>
      <c r="E853" s="218"/>
    </row>
    <row r="854" ht="15.75" customHeight="1">
      <c r="D854" s="218"/>
      <c r="E854" s="218"/>
    </row>
    <row r="855" ht="15.75" customHeight="1">
      <c r="D855" s="218"/>
      <c r="E855" s="218"/>
    </row>
    <row r="856" ht="15.75" customHeight="1">
      <c r="D856" s="218"/>
      <c r="E856" s="218"/>
    </row>
    <row r="857" ht="15.75" customHeight="1">
      <c r="D857" s="218"/>
      <c r="E857" s="218"/>
    </row>
    <row r="858" ht="15.75" customHeight="1">
      <c r="D858" s="218"/>
      <c r="E858" s="218"/>
    </row>
    <row r="859" ht="15.75" customHeight="1">
      <c r="D859" s="218"/>
      <c r="E859" s="218"/>
    </row>
    <row r="860" ht="15.75" customHeight="1">
      <c r="D860" s="218"/>
      <c r="E860" s="218"/>
    </row>
    <row r="861" ht="15.75" customHeight="1">
      <c r="D861" s="218"/>
      <c r="E861" s="218"/>
    </row>
    <row r="862" ht="15.75" customHeight="1">
      <c r="D862" s="218"/>
      <c r="E862" s="218"/>
    </row>
    <row r="863" ht="15.75" customHeight="1">
      <c r="D863" s="218"/>
      <c r="E863" s="218"/>
    </row>
    <row r="864" ht="15.75" customHeight="1">
      <c r="D864" s="218"/>
      <c r="E864" s="218"/>
    </row>
    <row r="865" ht="15.75" customHeight="1">
      <c r="D865" s="218"/>
      <c r="E865" s="218"/>
    </row>
    <row r="866" ht="15.75" customHeight="1">
      <c r="D866" s="218"/>
      <c r="E866" s="218"/>
    </row>
    <row r="867" ht="15.75" customHeight="1">
      <c r="D867" s="218"/>
      <c r="E867" s="218"/>
    </row>
    <row r="868" ht="15.75" customHeight="1">
      <c r="D868" s="218"/>
      <c r="E868" s="218"/>
    </row>
    <row r="869" ht="15.75" customHeight="1">
      <c r="D869" s="218"/>
      <c r="E869" s="218"/>
    </row>
    <row r="870" ht="15.75" customHeight="1">
      <c r="D870" s="218"/>
      <c r="E870" s="218"/>
    </row>
    <row r="871" ht="15.75" customHeight="1">
      <c r="D871" s="218"/>
      <c r="E871" s="218"/>
    </row>
    <row r="872" ht="15.75" customHeight="1">
      <c r="D872" s="218"/>
      <c r="E872" s="218"/>
    </row>
    <row r="873" ht="15.75" customHeight="1">
      <c r="D873" s="218"/>
      <c r="E873" s="218"/>
    </row>
    <row r="874" ht="15.75" customHeight="1">
      <c r="D874" s="218"/>
      <c r="E874" s="218"/>
    </row>
    <row r="875" ht="15.75" customHeight="1">
      <c r="D875" s="218"/>
      <c r="E875" s="218"/>
    </row>
    <row r="876" ht="15.75" customHeight="1">
      <c r="D876" s="218"/>
      <c r="E876" s="218"/>
    </row>
    <row r="877" ht="15.75" customHeight="1">
      <c r="D877" s="218"/>
      <c r="E877" s="218"/>
    </row>
    <row r="878" ht="15.75" customHeight="1">
      <c r="D878" s="218"/>
      <c r="E878" s="218"/>
    </row>
    <row r="879" ht="15.75" customHeight="1">
      <c r="D879" s="218"/>
      <c r="E879" s="218"/>
    </row>
    <row r="880" ht="15.75" customHeight="1">
      <c r="D880" s="218"/>
      <c r="E880" s="218"/>
    </row>
    <row r="881" ht="15.75" customHeight="1">
      <c r="D881" s="218"/>
      <c r="E881" s="218"/>
    </row>
    <row r="882" ht="15.75" customHeight="1">
      <c r="D882" s="218"/>
      <c r="E882" s="218"/>
    </row>
    <row r="883" ht="15.75" customHeight="1">
      <c r="D883" s="218"/>
      <c r="E883" s="218"/>
    </row>
    <row r="884" ht="15.75" customHeight="1">
      <c r="D884" s="218"/>
      <c r="E884" s="218"/>
    </row>
    <row r="885" ht="15.75" customHeight="1">
      <c r="D885" s="218"/>
      <c r="E885" s="218"/>
    </row>
    <row r="886" ht="15.75" customHeight="1">
      <c r="D886" s="218"/>
      <c r="E886" s="218"/>
    </row>
    <row r="887" ht="15.75" customHeight="1">
      <c r="D887" s="218"/>
      <c r="E887" s="218"/>
    </row>
    <row r="888" ht="15.75" customHeight="1">
      <c r="D888" s="218"/>
      <c r="E888" s="218"/>
    </row>
    <row r="889" ht="15.75" customHeight="1">
      <c r="D889" s="218"/>
      <c r="E889" s="218"/>
    </row>
    <row r="890" ht="15.75" customHeight="1">
      <c r="D890" s="218"/>
      <c r="E890" s="218"/>
    </row>
    <row r="891" ht="15.75" customHeight="1">
      <c r="D891" s="218"/>
      <c r="E891" s="218"/>
    </row>
    <row r="892" ht="15.75" customHeight="1">
      <c r="D892" s="218"/>
      <c r="E892" s="218"/>
    </row>
    <row r="893" ht="15.75" customHeight="1">
      <c r="D893" s="218"/>
      <c r="E893" s="218"/>
    </row>
    <row r="894" ht="15.75" customHeight="1">
      <c r="D894" s="218"/>
      <c r="E894" s="218"/>
    </row>
    <row r="895" ht="15.75" customHeight="1">
      <c r="D895" s="218"/>
      <c r="E895" s="218"/>
    </row>
    <row r="896" ht="15.75" customHeight="1">
      <c r="D896" s="218"/>
      <c r="E896" s="218"/>
    </row>
    <row r="897" ht="15.75" customHeight="1">
      <c r="D897" s="218"/>
      <c r="E897" s="218"/>
    </row>
    <row r="898" ht="15.75" customHeight="1">
      <c r="D898" s="218"/>
      <c r="E898" s="218"/>
    </row>
    <row r="899" ht="15.75" customHeight="1">
      <c r="D899" s="218"/>
      <c r="E899" s="218"/>
    </row>
    <row r="900" ht="15.75" customHeight="1">
      <c r="D900" s="218"/>
      <c r="E900" s="218"/>
    </row>
    <row r="901" ht="15.75" customHeight="1">
      <c r="D901" s="218"/>
      <c r="E901" s="218"/>
    </row>
    <row r="902" ht="15.75" customHeight="1">
      <c r="D902" s="218"/>
      <c r="E902" s="218"/>
    </row>
    <row r="903" ht="15.75" customHeight="1">
      <c r="D903" s="218"/>
      <c r="E903" s="218"/>
    </row>
    <row r="904" ht="15.75" customHeight="1">
      <c r="D904" s="218"/>
      <c r="E904" s="218"/>
    </row>
    <row r="905" ht="15.75" customHeight="1">
      <c r="D905" s="218"/>
      <c r="E905" s="218"/>
    </row>
    <row r="906" ht="15.75" customHeight="1">
      <c r="D906" s="218"/>
      <c r="E906" s="218"/>
    </row>
    <row r="907" ht="15.75" customHeight="1">
      <c r="D907" s="218"/>
      <c r="E907" s="218"/>
    </row>
    <row r="908" ht="15.75" customHeight="1">
      <c r="D908" s="218"/>
      <c r="E908" s="218"/>
    </row>
    <row r="909" ht="15.75" customHeight="1">
      <c r="D909" s="218"/>
      <c r="E909" s="218"/>
    </row>
    <row r="910" ht="15.75" customHeight="1">
      <c r="D910" s="218"/>
      <c r="E910" s="218"/>
    </row>
    <row r="911" ht="15.75" customHeight="1">
      <c r="D911" s="218"/>
      <c r="E911" s="218"/>
    </row>
    <row r="912" ht="15.75" customHeight="1">
      <c r="D912" s="218"/>
      <c r="E912" s="218"/>
    </row>
    <row r="913" ht="15.75" customHeight="1">
      <c r="D913" s="218"/>
      <c r="E913" s="218"/>
    </row>
    <row r="914" ht="15.75" customHeight="1">
      <c r="D914" s="218"/>
      <c r="E914" s="218"/>
    </row>
    <row r="915" ht="15.75" customHeight="1">
      <c r="D915" s="218"/>
      <c r="E915" s="218"/>
    </row>
    <row r="916" ht="15.75" customHeight="1">
      <c r="D916" s="218"/>
      <c r="E916" s="218"/>
    </row>
    <row r="917" ht="15.75" customHeight="1">
      <c r="D917" s="218"/>
      <c r="E917" s="218"/>
    </row>
    <row r="918" ht="15.75" customHeight="1">
      <c r="D918" s="218"/>
      <c r="E918" s="218"/>
    </row>
    <row r="919" ht="15.75" customHeight="1">
      <c r="D919" s="218"/>
      <c r="E919" s="218"/>
    </row>
    <row r="920" ht="15.75" customHeight="1">
      <c r="D920" s="218"/>
      <c r="E920" s="218"/>
    </row>
    <row r="921" ht="15.75" customHeight="1">
      <c r="D921" s="218"/>
      <c r="E921" s="218"/>
    </row>
    <row r="922" ht="15.75" customHeight="1">
      <c r="D922" s="218"/>
      <c r="E922" s="218"/>
    </row>
    <row r="923" ht="15.75" customHeight="1">
      <c r="D923" s="218"/>
      <c r="E923" s="218"/>
    </row>
    <row r="924" ht="15.75" customHeight="1">
      <c r="D924" s="218"/>
      <c r="E924" s="218"/>
    </row>
    <row r="925" ht="15.75" customHeight="1">
      <c r="D925" s="218"/>
      <c r="E925" s="218"/>
    </row>
    <row r="926" ht="15.75" customHeight="1">
      <c r="D926" s="218"/>
      <c r="E926" s="218"/>
    </row>
    <row r="927" ht="15.75" customHeight="1">
      <c r="D927" s="218"/>
      <c r="E927" s="218"/>
    </row>
    <row r="928" ht="15.75" customHeight="1">
      <c r="D928" s="218"/>
      <c r="E928" s="218"/>
    </row>
    <row r="929" ht="15.75" customHeight="1">
      <c r="D929" s="218"/>
      <c r="E929" s="218"/>
    </row>
    <row r="930" ht="15.75" customHeight="1">
      <c r="D930" s="218"/>
      <c r="E930" s="218"/>
    </row>
    <row r="931" ht="15.75" customHeight="1">
      <c r="D931" s="218"/>
      <c r="E931" s="218"/>
    </row>
    <row r="932" ht="15.75" customHeight="1">
      <c r="D932" s="218"/>
      <c r="E932" s="218"/>
    </row>
    <row r="933" ht="15.75" customHeight="1">
      <c r="D933" s="218"/>
      <c r="E933" s="218"/>
    </row>
    <row r="934" ht="15.75" customHeight="1">
      <c r="D934" s="218"/>
      <c r="E934" s="218"/>
    </row>
    <row r="935" ht="15.75" customHeight="1">
      <c r="D935" s="218"/>
      <c r="E935" s="218"/>
    </row>
    <row r="936" ht="15.75" customHeight="1">
      <c r="D936" s="218"/>
      <c r="E936" s="218"/>
    </row>
    <row r="937" ht="15.75" customHeight="1">
      <c r="D937" s="218"/>
      <c r="E937" s="218"/>
    </row>
    <row r="938" ht="15.75" customHeight="1">
      <c r="D938" s="218"/>
      <c r="E938" s="218"/>
    </row>
    <row r="939" ht="15.75" customHeight="1">
      <c r="D939" s="218"/>
      <c r="E939" s="218"/>
    </row>
    <row r="940" ht="15.75" customHeight="1">
      <c r="D940" s="218"/>
      <c r="E940" s="218"/>
    </row>
    <row r="941" ht="15.75" customHeight="1">
      <c r="D941" s="218"/>
      <c r="E941" s="218"/>
    </row>
    <row r="942" ht="15.75" customHeight="1">
      <c r="D942" s="218"/>
      <c r="E942" s="218"/>
    </row>
    <row r="943" ht="15.75" customHeight="1">
      <c r="D943" s="218"/>
      <c r="E943" s="218"/>
    </row>
    <row r="944" ht="15.75" customHeight="1">
      <c r="D944" s="218"/>
      <c r="E944" s="218"/>
    </row>
    <row r="945" ht="15.75" customHeight="1">
      <c r="D945" s="218"/>
      <c r="E945" s="218"/>
    </row>
    <row r="946" ht="15.75" customHeight="1">
      <c r="D946" s="218"/>
      <c r="E946" s="218"/>
    </row>
    <row r="947" ht="15.75" customHeight="1">
      <c r="D947" s="218"/>
      <c r="E947" s="218"/>
    </row>
    <row r="948" ht="15.75" customHeight="1">
      <c r="D948" s="218"/>
      <c r="E948" s="218"/>
    </row>
    <row r="949" ht="15.75" customHeight="1">
      <c r="D949" s="218"/>
      <c r="E949" s="218"/>
    </row>
    <row r="950" ht="15.75" customHeight="1">
      <c r="D950" s="218"/>
      <c r="E950" s="218"/>
    </row>
    <row r="951" ht="15.75" customHeight="1">
      <c r="D951" s="218"/>
      <c r="E951" s="218"/>
    </row>
    <row r="952" ht="15.75" customHeight="1">
      <c r="D952" s="218"/>
      <c r="E952" s="218"/>
    </row>
    <row r="953" ht="15.75" customHeight="1">
      <c r="D953" s="218"/>
      <c r="E953" s="218"/>
    </row>
    <row r="954" ht="15.75" customHeight="1">
      <c r="D954" s="218"/>
      <c r="E954" s="218"/>
    </row>
    <row r="955" ht="15.75" customHeight="1">
      <c r="D955" s="218"/>
      <c r="E955" s="218"/>
    </row>
    <row r="956" ht="15.75" customHeight="1">
      <c r="D956" s="218"/>
      <c r="E956" s="218"/>
    </row>
    <row r="957" ht="15.75" customHeight="1">
      <c r="D957" s="218"/>
      <c r="E957" s="218"/>
    </row>
    <row r="958" ht="15.75" customHeight="1">
      <c r="D958" s="218"/>
      <c r="E958" s="218"/>
    </row>
    <row r="959" ht="15.75" customHeight="1">
      <c r="D959" s="218"/>
      <c r="E959" s="218"/>
    </row>
    <row r="960" ht="15.75" customHeight="1">
      <c r="D960" s="218"/>
      <c r="E960" s="218"/>
    </row>
    <row r="961" ht="15.75" customHeight="1">
      <c r="D961" s="218"/>
      <c r="E961" s="218"/>
    </row>
    <row r="962" ht="15.75" customHeight="1">
      <c r="D962" s="218"/>
      <c r="E962" s="218"/>
    </row>
    <row r="963" ht="15.75" customHeight="1">
      <c r="D963" s="218"/>
      <c r="E963" s="218"/>
    </row>
    <row r="964" ht="15.75" customHeight="1">
      <c r="D964" s="218"/>
      <c r="E964" s="218"/>
    </row>
    <row r="965" ht="15.75" customHeight="1">
      <c r="D965" s="218"/>
      <c r="E965" s="218"/>
    </row>
    <row r="966" ht="15.75" customHeight="1">
      <c r="D966" s="218"/>
      <c r="E966" s="218"/>
    </row>
    <row r="967" ht="15.75" customHeight="1">
      <c r="D967" s="218"/>
      <c r="E967" s="218"/>
    </row>
    <row r="968" ht="15.75" customHeight="1">
      <c r="D968" s="218"/>
      <c r="E968" s="218"/>
    </row>
    <row r="969" ht="15.75" customHeight="1">
      <c r="D969" s="218"/>
      <c r="E969" s="218"/>
    </row>
    <row r="970" ht="15.75" customHeight="1">
      <c r="D970" s="218"/>
      <c r="E970" s="218"/>
    </row>
    <row r="971" ht="15.75" customHeight="1">
      <c r="D971" s="218"/>
      <c r="E971" s="218"/>
    </row>
    <row r="972" ht="15.75" customHeight="1">
      <c r="D972" s="218"/>
      <c r="E972" s="218"/>
    </row>
    <row r="973" ht="15.75" customHeight="1">
      <c r="D973" s="218"/>
      <c r="E973" s="218"/>
    </row>
    <row r="974" ht="15.75" customHeight="1">
      <c r="D974" s="218"/>
      <c r="E974" s="218"/>
    </row>
    <row r="975" ht="15.75" customHeight="1">
      <c r="D975" s="218"/>
      <c r="E975" s="218"/>
    </row>
    <row r="976" ht="15.75" customHeight="1">
      <c r="D976" s="218"/>
      <c r="E976" s="218"/>
    </row>
    <row r="977" ht="15.75" customHeight="1">
      <c r="D977" s="218"/>
      <c r="E977" s="218"/>
    </row>
    <row r="978" ht="15.75" customHeight="1">
      <c r="D978" s="218"/>
      <c r="E978" s="218"/>
    </row>
    <row r="979" ht="15.75" customHeight="1">
      <c r="D979" s="218"/>
      <c r="E979" s="218"/>
    </row>
    <row r="980" ht="15.75" customHeight="1">
      <c r="D980" s="218"/>
      <c r="E980" s="218"/>
    </row>
    <row r="981" ht="15.75" customHeight="1">
      <c r="D981" s="218"/>
      <c r="E981" s="218"/>
    </row>
    <row r="982" ht="15.75" customHeight="1">
      <c r="D982" s="218"/>
      <c r="E982" s="218"/>
    </row>
    <row r="983" ht="15.75" customHeight="1">
      <c r="D983" s="218"/>
      <c r="E983" s="218"/>
    </row>
    <row r="984" ht="15.75" customHeight="1">
      <c r="D984" s="218"/>
      <c r="E984" s="218"/>
    </row>
    <row r="985" ht="15.75" customHeight="1">
      <c r="D985" s="218"/>
      <c r="E985" s="218"/>
    </row>
    <row r="986" ht="15.75" customHeight="1">
      <c r="D986" s="218"/>
      <c r="E986" s="218"/>
    </row>
    <row r="987" ht="15.75" customHeight="1">
      <c r="D987" s="218"/>
      <c r="E987" s="218"/>
    </row>
    <row r="988" ht="15.75" customHeight="1">
      <c r="D988" s="218"/>
      <c r="E988" s="218"/>
    </row>
    <row r="989" ht="15.75" customHeight="1">
      <c r="D989" s="218"/>
      <c r="E989" s="218"/>
    </row>
    <row r="990" ht="15.75" customHeight="1">
      <c r="D990" s="218"/>
      <c r="E990" s="218"/>
    </row>
    <row r="991" ht="15.75" customHeight="1">
      <c r="D991" s="218"/>
      <c r="E991" s="218"/>
    </row>
    <row r="992" ht="15.75" customHeight="1">
      <c r="D992" s="218"/>
      <c r="E992" s="218"/>
    </row>
    <row r="993" ht="15.75" customHeight="1">
      <c r="D993" s="218"/>
      <c r="E993" s="218"/>
    </row>
    <row r="994" ht="15.75" customHeight="1">
      <c r="D994" s="218"/>
      <c r="E994" s="218"/>
    </row>
    <row r="995" ht="15.75" customHeight="1">
      <c r="D995" s="218"/>
      <c r="E995" s="218"/>
    </row>
    <row r="996" ht="15.75" customHeight="1">
      <c r="D996" s="218"/>
      <c r="E996" s="218"/>
    </row>
    <row r="997" ht="15.75" customHeight="1">
      <c r="D997" s="218"/>
      <c r="E997" s="218"/>
    </row>
    <row r="998" ht="15.75" customHeight="1">
      <c r="D998" s="218"/>
      <c r="E998" s="218"/>
    </row>
    <row r="999" ht="15.75" customHeight="1">
      <c r="D999" s="218"/>
      <c r="E999" s="218"/>
    </row>
    <row r="1000" ht="15.75" customHeight="1">
      <c r="D1000" s="218"/>
      <c r="E1000" s="218"/>
    </row>
  </sheetData>
  <mergeCells count="47">
    <mergeCell ref="B2:E2"/>
    <mergeCell ref="B3:E3"/>
    <mergeCell ref="B13:E13"/>
    <mergeCell ref="B16:E16"/>
    <mergeCell ref="B20:E20"/>
    <mergeCell ref="B24:E24"/>
    <mergeCell ref="B30:E30"/>
    <mergeCell ref="B43:E43"/>
    <mergeCell ref="B49:E49"/>
    <mergeCell ref="B60:E60"/>
    <mergeCell ref="B61:E61"/>
    <mergeCell ref="B66:E66"/>
    <mergeCell ref="B80:E80"/>
    <mergeCell ref="B87:E87"/>
    <mergeCell ref="B95:E95"/>
    <mergeCell ref="B118:E118"/>
    <mergeCell ref="B120:E120"/>
    <mergeCell ref="B121:E121"/>
    <mergeCell ref="B126:E126"/>
    <mergeCell ref="B140:E140"/>
    <mergeCell ref="B147:E147"/>
    <mergeCell ref="B155:E155"/>
    <mergeCell ref="B174:E174"/>
    <mergeCell ref="B192:E192"/>
    <mergeCell ref="B193:E193"/>
    <mergeCell ref="B201:E201"/>
    <mergeCell ref="B203:E203"/>
    <mergeCell ref="B206:E206"/>
    <mergeCell ref="B208:E208"/>
    <mergeCell ref="B212:E212"/>
    <mergeCell ref="B233:E233"/>
    <mergeCell ref="B241:E241"/>
    <mergeCell ref="B249:E249"/>
    <mergeCell ref="B269:E269"/>
    <mergeCell ref="B272:E272"/>
    <mergeCell ref="B327:E327"/>
    <mergeCell ref="B341:E341"/>
    <mergeCell ref="B345:E345"/>
    <mergeCell ref="B349:E349"/>
    <mergeCell ref="B353:E353"/>
    <mergeCell ref="B276:E276"/>
    <mergeCell ref="B280:E280"/>
    <mergeCell ref="B285:E285"/>
    <mergeCell ref="B287:E287"/>
    <mergeCell ref="B291:E291"/>
    <mergeCell ref="B311:E311"/>
    <mergeCell ref="B319:E319"/>
  </mergeCells>
  <conditionalFormatting sqref="B7 D7:E7">
    <cfRule type="expression" dxfId="11" priority="1">
      <formula>$E$7="NSX Centralized Connectivity is required to configure the Fleet appliance on NSX Overlay Segment"</formula>
    </cfRule>
  </conditionalFormatting>
  <conditionalFormatting sqref="B8 D8:E8">
    <cfRule type="expression" dxfId="11" priority="2">
      <formula>$E$8="Cause: VCF Operations is required to Deploy VCF Automation. Deploy VCF Operations during MGMT Domain Deploy or Day-N"</formula>
    </cfRule>
  </conditionalFormatting>
  <conditionalFormatting sqref="B8 D8:E8">
    <cfRule type="expression" dxfId="11" priority="3">
      <formula>$E$8="Cause: I want to connect a VCF Automation instance later option not selected in Deploy Management Domain Tab"</formula>
    </cfRule>
  </conditionalFormatting>
  <conditionalFormatting sqref="B8 D8:E8">
    <cfRule type="expression" dxfId="9" priority="4">
      <formula>$E$8="Cause: VCF Operations and Automation will be deployed during Managment Domain Deployment"</formula>
    </cfRule>
  </conditionalFormatting>
  <conditionalFormatting sqref="B8 D8:E8">
    <cfRule type="expression" dxfId="11" priority="5">
      <formula>$E$8="VCF Ops and Automation will be skipped during MGMT Domain deployment. Ensure they are planned as part of fleet Management Day-N"</formula>
    </cfRule>
  </conditionalFormatting>
  <conditionalFormatting sqref="B8 D8:E8">
    <cfRule type="expression" dxfId="9" priority="6">
      <formula>$E$8="Cause: Custom networking for VCF Operations and VCF Automation not selected in Deploy Management Domain Tab"</formula>
    </cfRule>
  </conditionalFormatting>
  <conditionalFormatting sqref="C77 C156:C164">
    <cfRule type="expression" dxfId="19" priority="7">
      <formula>OR((private_cloud_result="Excluded"),(private_cloud_chosen="Connect Instance"))</formula>
    </cfRule>
  </conditionalFormatting>
  <conditionalFormatting sqref="C100:C109">
    <cfRule type="expression" dxfId="19" priority="8">
      <formula>OR((private_cloud_result="Excluded"),(private_cloud_chosen="Connect Instance"))</formula>
    </cfRule>
  </conditionalFormatting>
  <conditionalFormatting sqref="C111:C112">
    <cfRule type="expression" dxfId="19" priority="9">
      <formula>OR((private_cloud_result="Excluded"),(private_cloud_chosen="Connect Instance"))</formula>
    </cfRule>
  </conditionalFormatting>
  <conditionalFormatting sqref="C137">
    <cfRule type="expression" dxfId="19" priority="10">
      <formula>OR((private_cloud_result="Excluded"),(private_cloud_chosen="Connect Instance"))</formula>
    </cfRule>
  </conditionalFormatting>
  <conditionalFormatting 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
    <cfRule type="notContainsBlanks" dxfId="15" priority="11">
      <formula>LEN(TRIM(D15))&gt;0</formula>
    </cfRule>
  </conditionalFormatting>
  <conditionalFormatting sqref="D65 D67:D77 D79 D81:D86 D88:D94 D105:D116">
    <cfRule type="expression" dxfId="6" priority="12">
      <formula>vcf_automation_type="Import"</formula>
    </cfRule>
  </conditionalFormatting>
  <conditionalFormatting sqref="D15 D17:D19 D21:D23 D25:D29 D31:D42 D44:D48 D50:D58 D63:D65 D67:D79 D81:D86 D88:D94 D96:D116 D123:D125 D127:D139 D141:D146 D148:D154 D156:D173 D176:D191 D194:D200 D202 D204 D209:D211 D213:D232 D234:D240 D242:D248 D250:D268 D270:D271 D273:D275 D277:D279 D281:D283 D288:D290 D292:D310 D312:D318 D320:D326 D328:D340 D342:D344 D346:D348 D350:D352 D354:D359">
    <cfRule type="containsBlanks" dxfId="10" priority="13">
      <formula>LEN(TRIM(D15))=0</formula>
    </cfRule>
  </conditionalFormatting>
  <dataValidations>
    <dataValidation type="list" allowBlank="1" showErrorMessage="1" sqref="B10:B11">
      <formula1>"Exclude,Include"</formula1>
    </dataValidation>
    <dataValidation type="list" allowBlank="1" showErrorMessage="1" sqref="D47">
      <formula1>"Small,Standard"</formula1>
    </dataValidation>
    <dataValidation type="list" allowBlank="1" showErrorMessage="1" sqref="D18 D22 D94 D154 D248 D326 D357">
      <formula1>table_masks</formula1>
    </dataValidation>
    <dataValidation type="list" allowBlank="1" showErrorMessage="1" sqref="D125">
      <formula1>"Small"</formula1>
    </dataValidation>
    <dataValidation type="list" allowBlank="1" showErrorMessage="1" sqref="D67 D127">
      <formula1>"Generate Certificate,Import Certificate"</formula1>
    </dataValidation>
    <dataValidation type="list" allowBlank="1" showErrorMessage="1" sqref="D180:D182 D260 D262:D265 D332 D334:D335">
      <formula1>"Selected,Unselected"</formula1>
    </dataValidation>
    <dataValidation type="list" allowBlank="1" showErrorMessage="1" sqref="D359">
      <formula1>"Small,Medium,Large,Extra Large,Extra Extra Large"</formula1>
    </dataValidation>
    <dataValidation type="list" allowBlank="1" showErrorMessage="1" sqref="B7">
      <formula1>"Shared Management Network,Dedicated Management Network,NSX Overlay Segment,NSX VLAN Segment"</formula1>
    </dataValidation>
    <dataValidation type="list" allowBlank="1" showErrorMessage="1" sqref="D25 D31">
      <formula1>"True,False"</formula1>
    </dataValidation>
    <dataValidation type="list" allowBlank="1" showErrorMessage="1" sqref="D76 D136 D223 D301">
      <formula1>"2048,4096"</formula1>
    </dataValidation>
    <dataValidation type="list" allowBlank="1" showErrorMessage="1" sqref="D240 D318">
      <formula1>"Thick,Thin"</formula1>
    </dataValidation>
    <dataValidation type="list" allowBlank="1" showErrorMessage="1" sqref="D185">
      <formula1>"Selected,Deselected"</formula1>
    </dataValidation>
    <dataValidation type="list" allowBlank="1" showErrorMessage="1" sqref="D188">
      <formula1>"sAMAccountName,userPrincipalName"</formula1>
    </dataValidation>
    <dataValidation type="list" allowBlank="1" showErrorMessage="1" sqref="D40">
      <formula1>"Extra Small,Small,Medium,Large,Extra Large"</formula1>
    </dataValidation>
    <dataValidation type="list" allowBlank="1" showErrorMessage="1" sqref="D91 D151 D245 D323">
      <formula1>"Use NTP Server,Use Host Time"</formula1>
    </dataValidation>
    <dataValidation type="list" allowBlank="1" showErrorMessage="1" sqref="D268">
      <formula1>"Use NTP Server,Use Host Time,Use Infra Selection"</formula1>
    </dataValidation>
    <dataValidation type="list" allowBlank="1" showErrorMessage="1" sqref="D63 D123 D209 D288">
      <formula1>"New Install,Import"</formula1>
    </dataValidation>
    <dataValidation type="list" allowBlank="1" showErrorMessage="1" sqref="D178">
      <formula1>"AD/LDAP,Open LDAP"</formula1>
    </dataValidation>
    <dataValidation type="list" allowBlank="1" showErrorMessage="1" sqref="D213 D292">
      <formula1>"Generate Certificate,Upload Certificate"</formula1>
    </dataValidation>
    <dataValidation type="list" allowBlank="1" showErrorMessage="1" sqref="D57 D111 D167">
      <formula1>"198.18.0.0/15,240.0.0.0/15,250.0.0.0/15"</formula1>
    </dataValidation>
    <dataValidation type="list" allowBlank="1" showErrorMessage="1" sqref="D344 D348 D352">
      <formula1>"Large,Extra Large,Extra Extra Large"</formula1>
    </dataValidation>
    <dataValidation type="list" allowBlank="1" showErrorMessage="1" sqref="B9">
      <formula1>"Exclude,Identity Broker (Embedded),Identity Broker Appliance"</formula1>
    </dataValidation>
    <dataValidation type="list" allowBlank="1" showErrorMessage="1" sqref="D108:D109">
      <formula1>"Internal Load Balancer,Others"</formula1>
    </dataValidation>
    <dataValidation type="list" allowBlank="1" showErrorMessage="1" sqref="D65 D259">
      <formula1>"Small,Medium,Large"</formula1>
    </dataValidation>
    <dataValidation type="list" allowBlank="1" showErrorMessage="1" sqref="B8">
      <formula1>"Exclude,Deploy VCF Operations and Automation,Deploy VCF Automation"</formula1>
    </dataValidation>
    <dataValidation type="list" allowBlank="1" showErrorMessage="1" sqref="D15 D211 D290">
      <formula1>"Standard,Cluster"</formula1>
    </dataValidation>
  </dataValidation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75.78"/>
    <col customWidth="1" min="3" max="3" width="76.11"/>
    <col customWidth="1" min="4" max="4" width="75.78"/>
    <col customWidth="1" min="5" max="5" width="109.11"/>
    <col customWidth="1" min="6" max="6" width="10.78"/>
    <col customWidth="1" min="7" max="26" width="11.0"/>
  </cols>
  <sheetData>
    <row r="1" ht="15.75" customHeight="1">
      <c r="A1" s="1"/>
      <c r="B1" s="1"/>
      <c r="C1" s="1"/>
      <c r="D1" s="1"/>
      <c r="E1" s="1"/>
      <c r="F1" s="41"/>
      <c r="G1" s="41"/>
      <c r="H1" s="41"/>
      <c r="I1" s="41"/>
      <c r="J1" s="41"/>
      <c r="K1" s="1"/>
      <c r="L1" s="1"/>
      <c r="M1" s="1"/>
      <c r="N1" s="1"/>
      <c r="O1" s="1"/>
      <c r="P1" s="1"/>
      <c r="Q1" s="1"/>
      <c r="R1" s="1"/>
      <c r="S1" s="1"/>
      <c r="T1" s="1"/>
      <c r="U1" s="1"/>
      <c r="V1" s="1"/>
      <c r="W1" s="1"/>
      <c r="X1" s="1"/>
      <c r="Y1" s="1"/>
      <c r="Z1" s="1"/>
    </row>
    <row r="2" ht="54.0" customHeight="1">
      <c r="A2" s="1"/>
      <c r="B2" s="179" t="s">
        <v>1200</v>
      </c>
      <c r="C2" s="13"/>
      <c r="D2" s="13"/>
      <c r="E2" s="14"/>
      <c r="F2" s="41"/>
      <c r="G2" s="41"/>
      <c r="H2" s="41"/>
      <c r="I2" s="41"/>
      <c r="J2" s="41"/>
      <c r="K2" s="1"/>
      <c r="L2" s="1"/>
      <c r="M2" s="1"/>
      <c r="N2" s="1"/>
      <c r="O2" s="1"/>
      <c r="P2" s="1"/>
      <c r="Q2" s="1"/>
      <c r="R2" s="1"/>
      <c r="S2" s="1"/>
      <c r="T2" s="1"/>
      <c r="U2" s="1"/>
      <c r="V2" s="1"/>
      <c r="W2" s="1"/>
      <c r="X2" s="1"/>
      <c r="Y2" s="1"/>
      <c r="Z2" s="1"/>
    </row>
    <row r="3" ht="19.5" customHeight="1">
      <c r="A3" s="1"/>
      <c r="B3" s="234" t="s">
        <v>1201</v>
      </c>
      <c r="C3" s="13"/>
      <c r="D3" s="13"/>
      <c r="E3" s="14"/>
      <c r="F3" s="41"/>
      <c r="G3" s="41"/>
      <c r="H3" s="41"/>
      <c r="I3" s="41"/>
      <c r="J3" s="41"/>
      <c r="K3" s="1"/>
      <c r="L3" s="1"/>
      <c r="M3" s="1"/>
      <c r="N3" s="1"/>
      <c r="O3" s="1"/>
      <c r="P3" s="1"/>
      <c r="Q3" s="1"/>
      <c r="R3" s="1"/>
      <c r="S3" s="1"/>
      <c r="T3" s="1"/>
      <c r="U3" s="1"/>
      <c r="V3" s="1"/>
      <c r="W3" s="1"/>
      <c r="X3" s="1"/>
      <c r="Y3" s="1"/>
      <c r="Z3" s="1"/>
    </row>
    <row r="4" ht="15.75" customHeight="1">
      <c r="A4" s="1"/>
      <c r="B4" s="1"/>
      <c r="C4" s="1"/>
      <c r="D4" s="9"/>
      <c r="E4" s="10"/>
      <c r="F4" s="10"/>
      <c r="G4" s="1"/>
      <c r="H4" s="1"/>
      <c r="I4" s="1"/>
      <c r="J4" s="1"/>
      <c r="K4" s="1"/>
      <c r="L4" s="1"/>
      <c r="M4" s="1"/>
      <c r="N4" s="1"/>
      <c r="O4" s="1"/>
      <c r="P4" s="1"/>
      <c r="Q4" s="1"/>
      <c r="R4" s="1"/>
      <c r="S4" s="1"/>
      <c r="T4" s="1"/>
      <c r="U4" s="1"/>
      <c r="V4" s="1"/>
      <c r="W4" s="1"/>
      <c r="X4" s="1"/>
      <c r="Y4" s="1"/>
      <c r="Z4" s="1"/>
    </row>
    <row r="5" ht="15.75"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ht="33.75" customHeight="1">
      <c r="A6" s="41"/>
      <c r="B6" s="184" t="s">
        <v>1202</v>
      </c>
      <c r="C6" s="13"/>
      <c r="D6" s="13"/>
      <c r="E6" s="14"/>
      <c r="F6" s="41"/>
      <c r="G6" s="41"/>
      <c r="H6" s="41"/>
      <c r="I6" s="41"/>
      <c r="J6" s="41"/>
      <c r="K6" s="41"/>
      <c r="L6" s="41"/>
      <c r="M6" s="41"/>
      <c r="N6" s="41"/>
      <c r="O6" s="41"/>
      <c r="P6" s="41"/>
      <c r="Q6" s="41"/>
      <c r="R6" s="41"/>
      <c r="S6" s="41"/>
      <c r="T6" s="41"/>
      <c r="U6" s="41"/>
      <c r="V6" s="41"/>
      <c r="W6" s="41"/>
      <c r="X6" s="41"/>
      <c r="Y6" s="41"/>
      <c r="Z6" s="41"/>
    </row>
    <row r="7" ht="15.75" customHeight="1">
      <c r="A7" s="41"/>
      <c r="B7" s="41"/>
      <c r="C7" s="41"/>
      <c r="D7" s="41"/>
      <c r="E7" s="41"/>
      <c r="F7" s="41"/>
      <c r="G7" s="41"/>
      <c r="H7" s="41"/>
      <c r="I7" s="41"/>
      <c r="J7" s="41"/>
      <c r="K7" s="41"/>
      <c r="L7" s="41"/>
      <c r="M7" s="41"/>
      <c r="N7" s="41"/>
      <c r="O7" s="41"/>
      <c r="P7" s="41"/>
      <c r="Q7" s="41"/>
      <c r="R7" s="41"/>
      <c r="S7" s="41"/>
      <c r="T7" s="41"/>
      <c r="U7" s="41"/>
      <c r="V7" s="41"/>
      <c r="W7" s="41"/>
      <c r="X7" s="41"/>
      <c r="Y7" s="41"/>
      <c r="Z7" s="41"/>
    </row>
    <row r="8" ht="33.75" customHeight="1">
      <c r="A8" s="41"/>
      <c r="B8" s="235" t="s">
        <v>1203</v>
      </c>
      <c r="C8" s="236"/>
      <c r="D8" s="236"/>
      <c r="E8" s="237"/>
      <c r="F8" s="41"/>
      <c r="G8" s="41"/>
      <c r="H8" s="41"/>
      <c r="I8" s="41"/>
      <c r="J8" s="41"/>
      <c r="K8" s="41"/>
      <c r="L8" s="41"/>
      <c r="M8" s="41"/>
      <c r="N8" s="41"/>
      <c r="O8" s="41"/>
      <c r="P8" s="41"/>
      <c r="Q8" s="41"/>
      <c r="R8" s="41"/>
      <c r="S8" s="41"/>
      <c r="T8" s="41"/>
      <c r="U8" s="41"/>
      <c r="V8" s="41"/>
      <c r="W8" s="41"/>
      <c r="X8" s="41"/>
      <c r="Y8" s="41"/>
      <c r="Z8" s="41"/>
    </row>
    <row r="9" ht="19.5" customHeight="1">
      <c r="A9" s="41"/>
      <c r="B9" s="49" t="s">
        <v>123</v>
      </c>
      <c r="C9" s="49" t="s">
        <v>38</v>
      </c>
      <c r="D9" s="49" t="s">
        <v>124</v>
      </c>
      <c r="E9" s="49" t="s">
        <v>125</v>
      </c>
      <c r="F9" s="41"/>
      <c r="G9" s="41"/>
      <c r="H9" s="41"/>
      <c r="I9" s="41"/>
      <c r="J9" s="41"/>
      <c r="K9" s="41"/>
      <c r="L9" s="41"/>
      <c r="M9" s="41"/>
      <c r="N9" s="41"/>
      <c r="O9" s="41"/>
      <c r="P9" s="41"/>
      <c r="Q9" s="41"/>
      <c r="R9" s="41"/>
      <c r="S9" s="41"/>
      <c r="T9" s="41"/>
      <c r="U9" s="41"/>
      <c r="V9" s="41"/>
      <c r="W9" s="41"/>
      <c r="X9" s="41"/>
      <c r="Y9" s="41"/>
      <c r="Z9" s="41"/>
    </row>
    <row r="10" ht="19.5" customHeight="1">
      <c r="A10" s="41"/>
      <c r="B10" s="18" t="s">
        <v>184</v>
      </c>
      <c r="C10" s="110" t="str">
        <f>IF(vcf_granular_option_chosen="Additional WLD Cluster","Deploy Additional Workload Cluster","Deploy Virtual Infrastructure (VI) Workload Domain")</f>
        <v>Deploy Virtual Infrastructure (VI) Workload Domain</v>
      </c>
      <c r="D10" s="18"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VI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8" t="str">
        <f>IF(mgmt_domain_deployment_type_chosen="VMware vSphere Foundation","Cannot be performed on a VMware vSphere Foundation deployment",
IF(vcf_granular_option_chosen="Create Cluster","Create VI Workload Domain or Deploy a new VCF fleet not selected on VCF &amp; VVF Planning Tab",
IF(AND(vcf_granular_option_chosen&lt;&gt;"Deploy a new VCF fleet",vcf_granular_option_chosen&lt;&gt;"Deploy a VCF Instance in an existing VCF fleet",vcf_granular_option_chosen&lt;&gt;"Create VI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c r="F10" s="41"/>
      <c r="G10" s="41"/>
      <c r="H10" s="41"/>
      <c r="I10" s="41"/>
      <c r="J10" s="41"/>
      <c r="K10" s="41"/>
      <c r="L10" s="41"/>
      <c r="M10" s="41"/>
      <c r="N10" s="41"/>
      <c r="O10" s="41"/>
      <c r="P10" s="41"/>
      <c r="Q10" s="41"/>
      <c r="R10" s="41"/>
      <c r="S10" s="41"/>
      <c r="T10" s="41"/>
      <c r="U10" s="41"/>
      <c r="V10" s="41"/>
      <c r="W10" s="41"/>
      <c r="X10" s="41"/>
      <c r="Y10" s="41"/>
      <c r="Z10" s="41"/>
    </row>
    <row r="11" ht="19.5" customHeight="1">
      <c r="A11" s="41"/>
      <c r="B11" s="238" t="s">
        <v>184</v>
      </c>
      <c r="C11" s="110" t="s">
        <v>1204</v>
      </c>
      <c r="D11" s="18" t="str">
        <f>IF(mgmt_domain_deployment_type_chosen="VMware vSphere Foundation","Excluded",
IF(AND(vcf_granular_option_chosen&lt;&gt;"Deploy a new VCF fleet",vcf_granular_option_chosen&lt;&gt;"Deploy a VCF Instance in an existing VCF fleet",vcf_granular_option_chosen&lt;&gt;"Create VI Workload Domain"),"Excluded",
IF(wld_compute_hosts_per_rack_chosen="Exclude","Excluded",
IF(AND(wld_domain_chosen="Deploy Workload Domain with a Multi-Rack Layer 3 Cluster",wld_multi_rack_count_chosen="Exclude"),"Excluded",
IF(wld_compute_total_number_hosts&gt;64,"Excluded",
IF(wld_compute_total_number_hosts&lt;2,"Excluded","Included"))))))</f>
        <v>Excluded</v>
      </c>
      <c r="E11" s="18"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IF(AND(wld_multirack_calc="Include",wld_multirack_result="Excluded"),"Cause: Multi Rack prerequistes not set. Define the number of additional racks.",
IF(wld_multirack_calc="Exclude","Cause: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VI Workload Domain Required</v>
      </c>
      <c r="F11" s="41"/>
      <c r="G11" s="41"/>
      <c r="H11" s="41"/>
      <c r="I11" s="41"/>
      <c r="J11" s="41"/>
      <c r="K11" s="41"/>
      <c r="L11" s="41"/>
      <c r="M11" s="41"/>
      <c r="N11" s="41"/>
      <c r="O11" s="41"/>
      <c r="P11" s="41"/>
      <c r="Q11" s="41"/>
      <c r="R11" s="41"/>
      <c r="S11" s="41"/>
      <c r="T11" s="41"/>
      <c r="U11" s="41"/>
      <c r="V11" s="41"/>
      <c r="W11" s="41"/>
      <c r="X11" s="41"/>
      <c r="Y11" s="41"/>
      <c r="Z11" s="41"/>
    </row>
    <row r="12" ht="19.5" customHeight="1">
      <c r="A12" s="41"/>
      <c r="B12" s="238" t="s">
        <v>184</v>
      </c>
      <c r="C12" s="110" t="s">
        <v>1205</v>
      </c>
      <c r="D12" s="18"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IF(wld_domain_chosen="Deploy Workload Domain with a Single-Rack / Multi-Rack Layer 2 Cluster","Excluded",
IF(wld_multirack_result="Excluded","Excluded",IF(wld_multi_rack_count_chosen="Exclude","Excluded","Included")))))</f>
        <v>Excluded</v>
      </c>
      <c r="E12" s="18"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VI Workload Domain"),"Option Not Required for current deployment type",
IF(wld_multirack_calc="Exclude","Cause: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VI Workload Domain Required</v>
      </c>
      <c r="F12" s="41"/>
      <c r="G12" s="41"/>
      <c r="H12" s="41"/>
      <c r="I12" s="41"/>
      <c r="J12" s="41"/>
      <c r="K12" s="41"/>
      <c r="L12" s="41"/>
      <c r="M12" s="41"/>
      <c r="N12" s="41"/>
      <c r="O12" s="41"/>
      <c r="P12" s="41"/>
      <c r="Q12" s="41"/>
      <c r="R12" s="41"/>
      <c r="S12" s="41"/>
      <c r="T12" s="41"/>
      <c r="U12" s="41"/>
      <c r="V12" s="41"/>
      <c r="W12" s="41"/>
      <c r="X12" s="41"/>
      <c r="Y12" s="41"/>
      <c r="Z12" s="41"/>
    </row>
    <row r="13" ht="19.5" customHeight="1">
      <c r="A13" s="41"/>
      <c r="B13" s="18" t="s">
        <v>184</v>
      </c>
      <c r="C13" s="110" t="s">
        <v>1206</v>
      </c>
      <c r="D13" s="18" t="str">
        <f>IF(mgmt_domain_deployment_type_chosen="VMware vSphere Foundation",IF(wld_dpg_separation_chosen="Exclude","Excluded"),"Included")</f>
        <v>Included</v>
      </c>
      <c r="E13" s="1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IF(wld_domain_chosen="Import VI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VI Workload Domain Required</v>
      </c>
      <c r="F13" s="41"/>
      <c r="G13" s="41"/>
      <c r="H13" s="41"/>
      <c r="I13" s="41"/>
      <c r="J13" s="41"/>
      <c r="K13" s="41"/>
      <c r="L13" s="41"/>
      <c r="M13" s="41"/>
      <c r="N13" s="41"/>
      <c r="O13" s="41"/>
      <c r="P13" s="41"/>
      <c r="Q13" s="41"/>
      <c r="R13" s="41"/>
      <c r="S13" s="41"/>
      <c r="T13" s="41"/>
      <c r="U13" s="41"/>
      <c r="V13" s="41"/>
      <c r="W13" s="41"/>
      <c r="X13" s="41"/>
      <c r="Y13" s="41"/>
      <c r="Z13" s="41"/>
    </row>
    <row r="14" ht="19.5" customHeight="1">
      <c r="A14" s="41"/>
      <c r="B14" s="82" t="s">
        <v>370</v>
      </c>
      <c r="C14" s="110" t="s">
        <v>1207</v>
      </c>
      <c r="D14" s="18" t="str">
        <f>IF(mgmt_domain_deployment_type_chosen="VMware vSphere Foundation","Excluded",IF(wld_domain_chosen="Import VI Workload Domain","Excluded",
IF((wld_domain_result="Excluded"),"Excluded",
IF(AND(wld_multirack_calc="Include",AND(wld_principal_storage_chosen&lt;&gt;"vSAN-ESA",wld_principal_storage_chosen&lt;&gt;"vSAN-OSA",wld_principal_storage_chosen&lt;&gt;"vSAN Compute Cluster")),"Excluded",
IF(vcf_version_chosen="No Version Selected","Excluded","Included")))))</f>
        <v>Excluded</v>
      </c>
      <c r="E14" s="1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IF(AND(wld_multirack_calc="Include",AND(wld_principal_storage_chosen&lt;&gt;"vSAN-ESA",wld_principal_storage_chosen&lt;&gt;"vSAN-OSA",wld_principal_storage_chosen&lt;&gt;"vSAN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IF(wld_principal_storage_chosen="NFSv3","Principal Storage will be NFS based",
IF(wld_principal_storage_chosen="VMFS on Fibre Channel (FC)","Principal Storage will be VMFS on FC based",""))))))))))</f>
        <v>Cause: Standard VI Workload Domain Required</v>
      </c>
      <c r="F14" s="41"/>
      <c r="G14" s="41"/>
      <c r="H14" s="41"/>
      <c r="I14" s="41"/>
      <c r="J14" s="41"/>
      <c r="K14" s="41"/>
      <c r="L14" s="41"/>
      <c r="M14" s="41"/>
      <c r="N14" s="41"/>
      <c r="O14" s="41"/>
      <c r="P14" s="41"/>
      <c r="Q14" s="41"/>
      <c r="R14" s="41"/>
      <c r="S14" s="41"/>
      <c r="T14" s="41"/>
      <c r="U14" s="41"/>
      <c r="V14" s="41"/>
      <c r="W14" s="41"/>
      <c r="X14" s="41"/>
      <c r="Y14" s="41"/>
      <c r="Z14" s="41"/>
    </row>
    <row r="15" ht="19.5" customHeight="1">
      <c r="A15" s="41"/>
      <c r="B15" s="148" t="s">
        <v>715</v>
      </c>
      <c r="C15" s="110" t="s">
        <v>1208</v>
      </c>
      <c r="D15" s="148" t="str">
        <f>IF((wld_domain_result="Excluded"),"Excluded",
IF(wld_domain_chosen="Import Workload Domain","Excluded","Included"))</f>
        <v>Excluded</v>
      </c>
      <c r="E15" s="18" t="str">
        <f>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VI Workload Domain Required</v>
      </c>
      <c r="F15" s="41"/>
      <c r="G15" s="41"/>
      <c r="H15" s="41"/>
      <c r="I15" s="41"/>
      <c r="J15" s="41"/>
      <c r="K15" s="41"/>
      <c r="L15" s="41"/>
      <c r="M15" s="41"/>
      <c r="N15" s="41"/>
      <c r="O15" s="41"/>
      <c r="P15" s="41"/>
      <c r="Q15" s="41"/>
      <c r="R15" s="41"/>
      <c r="S15" s="41"/>
      <c r="T15" s="41"/>
      <c r="U15" s="41"/>
      <c r="V15" s="41"/>
      <c r="W15" s="41"/>
      <c r="X15" s="41"/>
      <c r="Y15" s="41"/>
      <c r="Z15" s="41"/>
    </row>
    <row r="16" ht="19.5" customHeight="1">
      <c r="A16" s="41"/>
      <c r="B16" s="18" t="s">
        <v>184</v>
      </c>
      <c r="C16" s="110" t="str">
        <f>IF(wld_principal_storage_chosen="vSAN Storage Cluster","Prepare vSAN Storage Cluster with a vSAN Client Network","Prepare Workload Domain with a Secondary Storage Network")</f>
        <v>Prepare Workload Domain with a Secondary Storage Network</v>
      </c>
      <c r="D16" s="18"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IF(wld_secondary_storage_chosen="Exclude","Cause: Not Selected. Workload Domain will not be prepared with Secondary Storage Network",
IF(wld_domain_result="Excluded","Cause: Standard VI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VI Workload Domain Required</v>
      </c>
      <c r="F16" s="41"/>
      <c r="G16" s="41"/>
      <c r="H16" s="41"/>
      <c r="I16" s="41"/>
      <c r="J16" s="41"/>
      <c r="K16" s="41"/>
      <c r="L16" s="41"/>
      <c r="M16" s="41"/>
      <c r="N16" s="41"/>
      <c r="O16" s="41"/>
      <c r="P16" s="41"/>
      <c r="Q16" s="41"/>
      <c r="R16" s="41"/>
      <c r="S16" s="41"/>
      <c r="T16" s="41"/>
      <c r="U16" s="41"/>
      <c r="V16" s="41"/>
      <c r="W16" s="41"/>
      <c r="X16" s="41"/>
      <c r="Y16" s="41"/>
      <c r="Z16" s="41"/>
    </row>
    <row r="17" ht="19.5" customHeight="1">
      <c r="A17" s="41"/>
      <c r="B17" s="51" t="s">
        <v>184</v>
      </c>
      <c r="C17" s="110" t="s">
        <v>1209</v>
      </c>
      <c r="D17" s="18" t="str">
        <f>IF(wld_domain_result="Excluded","Excluded",
IF(mgmt_domain_deployment_type_chosen="VMware vSphere Foundation","Excluded",IF(wld_esxi_external_certs_chosen="Include","Included","Excluded")))</f>
        <v>Excluded</v>
      </c>
      <c r="E17" s="1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ESXi hosts with External Certificates",IF(wld_domain_result="Excluded","Cause: Standard Workload Domain Required")))))))</f>
        <v>Cause: Standard VI Workload Domain Required</v>
      </c>
      <c r="F17" s="41"/>
      <c r="G17" s="41"/>
      <c r="H17" s="41"/>
      <c r="I17" s="41"/>
      <c r="J17" s="41"/>
      <c r="K17" s="41"/>
      <c r="L17" s="41"/>
      <c r="M17" s="41"/>
      <c r="N17" s="41"/>
      <c r="O17" s="41"/>
      <c r="P17" s="41"/>
      <c r="Q17" s="41"/>
      <c r="R17" s="41"/>
      <c r="S17" s="41"/>
      <c r="T17" s="41"/>
      <c r="U17" s="41"/>
      <c r="V17" s="41"/>
      <c r="W17" s="41"/>
      <c r="X17" s="41"/>
      <c r="Y17" s="41"/>
      <c r="Z17" s="41"/>
    </row>
    <row r="18" ht="19.5" customHeight="1">
      <c r="A18" s="41"/>
      <c r="B18" s="18" t="s">
        <v>184</v>
      </c>
      <c r="C18" s="110" t="s">
        <v>1210</v>
      </c>
      <c r="D18" s="18" t="str">
        <f>IF(mgmt_domain_deployment_type_chosen="VMware vSphere Foundation","Excluded",
IF(wld_domain_result="Excluded","Excluded",
IF(wld_stretched_cluster_chosen="Include","Excluded",
IF(wld_iaas_chosen="Include","Included","Excluded"))))</f>
        <v>Excluded</v>
      </c>
      <c r="E18" s="1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VI Workload Domain Required</v>
      </c>
      <c r="F18" s="41"/>
      <c r="G18" s="195"/>
      <c r="H18" s="41"/>
      <c r="I18" s="41"/>
      <c r="J18" s="41"/>
      <c r="K18" s="41"/>
      <c r="L18" s="41"/>
      <c r="M18" s="41"/>
      <c r="N18" s="41"/>
      <c r="O18" s="41"/>
      <c r="P18" s="41"/>
      <c r="Q18" s="41"/>
      <c r="R18" s="41"/>
      <c r="S18" s="41"/>
      <c r="T18" s="41"/>
      <c r="U18" s="41"/>
      <c r="V18" s="41"/>
      <c r="W18" s="41"/>
      <c r="X18" s="41"/>
      <c r="Y18" s="41"/>
      <c r="Z18" s="41"/>
    </row>
    <row r="19" ht="15.75" customHeight="1">
      <c r="A19" s="41"/>
      <c r="B19" s="41"/>
      <c r="C19" s="41"/>
      <c r="D19" s="41"/>
      <c r="E19" s="41"/>
      <c r="F19" s="41"/>
      <c r="G19" s="195"/>
      <c r="H19" s="41"/>
      <c r="I19" s="41"/>
      <c r="J19" s="41"/>
      <c r="K19" s="41"/>
      <c r="L19" s="41"/>
      <c r="M19" s="41"/>
      <c r="N19" s="41"/>
      <c r="O19" s="41"/>
      <c r="P19" s="41"/>
      <c r="Q19" s="41"/>
      <c r="R19" s="41"/>
      <c r="S19" s="41"/>
      <c r="T19" s="41"/>
      <c r="U19" s="41"/>
      <c r="V19" s="41"/>
      <c r="W19" s="41"/>
      <c r="X19" s="41"/>
      <c r="Y19" s="41"/>
      <c r="Z19" s="41"/>
    </row>
    <row r="20" ht="33.75" customHeight="1">
      <c r="A20" s="41"/>
      <c r="B20" s="12" t="s">
        <v>1211</v>
      </c>
      <c r="C20" s="13"/>
      <c r="D20" s="13"/>
      <c r="E20" s="14"/>
      <c r="F20" s="41"/>
      <c r="G20" s="195"/>
      <c r="H20" s="41"/>
      <c r="I20" s="41"/>
      <c r="J20" s="41"/>
      <c r="K20" s="41"/>
      <c r="L20" s="41"/>
      <c r="M20" s="41"/>
      <c r="N20" s="41"/>
      <c r="O20" s="41"/>
      <c r="P20" s="41"/>
      <c r="Q20" s="41"/>
      <c r="R20" s="41"/>
      <c r="S20" s="41"/>
      <c r="T20" s="41"/>
      <c r="U20" s="41"/>
      <c r="V20" s="41"/>
      <c r="W20" s="41"/>
      <c r="X20" s="41"/>
      <c r="Y20" s="41"/>
      <c r="Z20" s="41"/>
    </row>
    <row r="21" ht="19.5" customHeight="1">
      <c r="A21" s="41"/>
      <c r="B21" s="102" t="s">
        <v>311</v>
      </c>
      <c r="C21" s="13"/>
      <c r="D21" s="13"/>
      <c r="E21" s="14"/>
      <c r="F21" s="41"/>
      <c r="G21" s="195"/>
      <c r="H21" s="41"/>
      <c r="I21" s="41"/>
      <c r="J21" s="41"/>
      <c r="K21" s="41"/>
      <c r="L21" s="41"/>
      <c r="M21" s="41"/>
      <c r="N21" s="41"/>
      <c r="O21" s="41"/>
      <c r="P21" s="41"/>
      <c r="Q21" s="41"/>
      <c r="R21" s="41"/>
      <c r="S21" s="41"/>
      <c r="T21" s="41"/>
      <c r="U21" s="41"/>
      <c r="V21" s="41"/>
      <c r="W21" s="41"/>
      <c r="X21" s="41"/>
      <c r="Y21" s="41"/>
      <c r="Z21" s="41"/>
    </row>
    <row r="22" ht="19.5" customHeight="1">
      <c r="A22" s="41"/>
      <c r="B22" s="49" t="s">
        <v>37</v>
      </c>
      <c r="C22" s="49" t="s">
        <v>273</v>
      </c>
      <c r="D22" s="49" t="s">
        <v>274</v>
      </c>
      <c r="E22" s="49" t="s">
        <v>5</v>
      </c>
      <c r="F22" s="41"/>
      <c r="G22" s="195"/>
      <c r="H22" s="41"/>
      <c r="I22" s="41"/>
      <c r="J22" s="41"/>
      <c r="K22" s="41"/>
      <c r="L22" s="41"/>
      <c r="M22" s="41"/>
      <c r="N22" s="41"/>
      <c r="O22" s="41"/>
      <c r="P22" s="41"/>
      <c r="Q22" s="41"/>
      <c r="R22" s="41"/>
      <c r="S22" s="41"/>
      <c r="T22" s="41"/>
      <c r="U22" s="41"/>
      <c r="V22" s="41"/>
      <c r="W22" s="41"/>
      <c r="X22" s="41"/>
      <c r="Y22" s="41"/>
      <c r="Z22" s="41"/>
    </row>
    <row r="23" ht="19.5" customHeight="1">
      <c r="A23" s="41"/>
      <c r="B23" s="84" t="s">
        <v>1212</v>
      </c>
      <c r="C23" s="163" t="str">
        <f>CONCATENATE(this_instance,"-w0",wld_domain_number_chosen)</f>
        <v>lax-w01</v>
      </c>
      <c r="D23" s="18"/>
      <c r="E23" s="213" t="str">
        <f>IF(wld_domain_chosen="Import Workload Domain","Use this section for Import Workload Domain","")</f>
        <v/>
      </c>
      <c r="F23" s="41"/>
      <c r="G23" s="195"/>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195"/>
      <c r="H24" s="41"/>
      <c r="I24" s="41"/>
      <c r="J24" s="41"/>
      <c r="K24" s="41"/>
      <c r="L24" s="41"/>
      <c r="M24" s="41"/>
      <c r="N24" s="41"/>
      <c r="O24" s="41"/>
      <c r="P24" s="41"/>
      <c r="Q24" s="41"/>
      <c r="R24" s="41"/>
      <c r="S24" s="41"/>
      <c r="T24" s="41"/>
      <c r="U24" s="41"/>
      <c r="V24" s="41"/>
      <c r="W24" s="41"/>
      <c r="X24" s="41"/>
      <c r="Y24" s="41"/>
      <c r="Z24" s="41"/>
    </row>
    <row r="25" ht="33.75" customHeight="1">
      <c r="A25" s="41"/>
      <c r="B25" s="197" t="s">
        <v>1213</v>
      </c>
      <c r="C25" s="13"/>
      <c r="D25" s="13"/>
      <c r="E25" s="14"/>
      <c r="F25" s="41"/>
      <c r="G25" s="195"/>
      <c r="H25" s="41"/>
      <c r="I25" s="41"/>
      <c r="J25" s="41"/>
      <c r="K25" s="41"/>
      <c r="L25" s="41"/>
      <c r="M25" s="41"/>
      <c r="N25" s="41"/>
      <c r="O25" s="41"/>
      <c r="P25" s="41"/>
      <c r="Q25" s="41"/>
      <c r="R25" s="41"/>
      <c r="S25" s="41"/>
      <c r="T25" s="41"/>
      <c r="U25" s="41"/>
      <c r="V25" s="41"/>
      <c r="W25" s="41"/>
      <c r="X25" s="41"/>
      <c r="Y25" s="41"/>
      <c r="Z25" s="41"/>
    </row>
    <row r="26" ht="19.5" customHeight="1">
      <c r="A26" s="41"/>
      <c r="B26" s="102" t="s">
        <v>311</v>
      </c>
      <c r="C26" s="13"/>
      <c r="D26" s="13"/>
      <c r="E26" s="14"/>
      <c r="F26" s="41"/>
      <c r="G26" s="195"/>
      <c r="H26" s="41"/>
      <c r="I26" s="41"/>
      <c r="J26" s="41"/>
      <c r="K26" s="41"/>
      <c r="L26" s="41"/>
      <c r="M26" s="41"/>
      <c r="N26" s="41"/>
      <c r="O26" s="41"/>
      <c r="P26" s="41"/>
      <c r="Q26" s="41"/>
      <c r="R26" s="41"/>
      <c r="S26" s="41"/>
      <c r="T26" s="41"/>
      <c r="U26" s="41"/>
      <c r="V26" s="41"/>
      <c r="W26" s="41"/>
      <c r="X26" s="41"/>
      <c r="Y26" s="41"/>
      <c r="Z26" s="41"/>
    </row>
    <row r="27" ht="19.5" customHeight="1">
      <c r="A27" s="41"/>
      <c r="B27" s="49" t="s">
        <v>37</v>
      </c>
      <c r="C27" s="49" t="s">
        <v>273</v>
      </c>
      <c r="D27" s="49" t="s">
        <v>274</v>
      </c>
      <c r="E27" s="49" t="s">
        <v>5</v>
      </c>
      <c r="F27" s="41"/>
      <c r="G27" s="195"/>
      <c r="H27" s="41"/>
      <c r="I27" s="41"/>
      <c r="J27" s="41"/>
      <c r="K27" s="41"/>
      <c r="L27" s="41"/>
      <c r="M27" s="41"/>
      <c r="N27" s="41"/>
      <c r="O27" s="41"/>
      <c r="P27" s="41"/>
      <c r="Q27" s="41"/>
      <c r="R27" s="41"/>
      <c r="S27" s="41"/>
      <c r="T27" s="41"/>
      <c r="U27" s="41"/>
      <c r="V27" s="41"/>
      <c r="W27" s="41"/>
      <c r="X27" s="41"/>
      <c r="Y27" s="41"/>
      <c r="Z27" s="41"/>
    </row>
    <row r="28" ht="19.5" customHeight="1">
      <c r="A28" s="41"/>
      <c r="B28" s="84" t="s">
        <v>1214</v>
      </c>
      <c r="C28" s="163" t="s">
        <v>1215</v>
      </c>
      <c r="D28" s="18" t="s">
        <v>1215</v>
      </c>
      <c r="E28" s="191"/>
      <c r="F28" s="41"/>
      <c r="G28" s="195"/>
      <c r="H28" s="41"/>
      <c r="I28" s="41"/>
      <c r="J28" s="41"/>
      <c r="K28" s="41"/>
      <c r="L28" s="41"/>
      <c r="M28" s="41"/>
      <c r="N28" s="41"/>
      <c r="O28" s="41"/>
      <c r="P28" s="41"/>
      <c r="Q28" s="41"/>
      <c r="R28" s="41"/>
      <c r="S28" s="41"/>
      <c r="T28" s="41"/>
      <c r="U28" s="41"/>
      <c r="V28" s="41"/>
      <c r="W28" s="41"/>
      <c r="X28" s="41"/>
      <c r="Y28" s="41"/>
      <c r="Z28" s="41"/>
    </row>
    <row r="29" ht="19.5" customHeight="1">
      <c r="A29" s="41"/>
      <c r="B29" s="84" t="s">
        <v>1216</v>
      </c>
      <c r="C29" s="160" t="str">
        <f>CONCATENATE(this_instance,"-w0",wld_domain_number_chosen,"-vc01",".",sample_child_dns_zone)</f>
        <v>lax-w01-vc01.lax.rainpole.io</v>
      </c>
      <c r="D29" s="18"/>
      <c r="E29" s="191"/>
      <c r="F29" s="41"/>
      <c r="G29" s="195"/>
      <c r="H29" s="41"/>
      <c r="I29" s="41"/>
      <c r="J29" s="41"/>
      <c r="K29" s="41"/>
      <c r="L29" s="41"/>
      <c r="M29" s="41"/>
      <c r="N29" s="41"/>
      <c r="O29" s="41"/>
      <c r="P29" s="41"/>
      <c r="Q29" s="41"/>
      <c r="R29" s="41"/>
      <c r="S29" s="41"/>
      <c r="T29" s="41"/>
      <c r="U29" s="41"/>
      <c r="V29" s="41"/>
      <c r="W29" s="41"/>
      <c r="X29" s="41"/>
      <c r="Y29" s="41"/>
      <c r="Z29" s="41"/>
    </row>
    <row r="30" ht="19.5" customHeight="1">
      <c r="A30" s="41"/>
      <c r="B30" s="84" t="s">
        <v>1217</v>
      </c>
      <c r="C30" s="163" t="s">
        <v>297</v>
      </c>
      <c r="D30" s="18"/>
      <c r="E30" s="239"/>
      <c r="F30" s="41"/>
      <c r="G30" s="195"/>
      <c r="H30" s="41"/>
      <c r="I30" s="41"/>
      <c r="J30" s="41"/>
      <c r="K30" s="41"/>
      <c r="L30" s="41"/>
      <c r="M30" s="41"/>
      <c r="N30" s="41"/>
      <c r="O30" s="41"/>
      <c r="P30" s="41"/>
      <c r="Q30" s="41"/>
      <c r="R30" s="41"/>
      <c r="S30" s="41"/>
      <c r="T30" s="41"/>
      <c r="U30" s="41"/>
      <c r="V30" s="41"/>
      <c r="W30" s="41"/>
      <c r="X30" s="41"/>
      <c r="Y30" s="41"/>
      <c r="Z30" s="41"/>
    </row>
    <row r="31" ht="19.5" customHeight="1">
      <c r="A31" s="41"/>
      <c r="B31" s="84" t="s">
        <v>1218</v>
      </c>
      <c r="C31" s="163" t="str">
        <f>CONCATENATE("administrator@",this_instance,"-w0",wld_domain_number_chosen,".local")</f>
        <v>administrator@lax-w01.local</v>
      </c>
      <c r="D31" s="18"/>
      <c r="E31" s="239"/>
      <c r="F31" s="41"/>
      <c r="G31" s="195"/>
      <c r="H31" s="41"/>
      <c r="I31" s="41"/>
      <c r="J31" s="41"/>
      <c r="K31" s="41"/>
      <c r="L31" s="41"/>
      <c r="M31" s="41"/>
      <c r="N31" s="41"/>
      <c r="O31" s="41"/>
      <c r="P31" s="41"/>
      <c r="Q31" s="41"/>
      <c r="R31" s="41"/>
      <c r="S31" s="41"/>
      <c r="T31" s="41"/>
      <c r="U31" s="41"/>
      <c r="V31" s="41"/>
      <c r="W31" s="41"/>
      <c r="X31" s="41"/>
      <c r="Y31" s="41"/>
      <c r="Z31" s="41"/>
    </row>
    <row r="32" ht="19.5" customHeight="1">
      <c r="A32" s="41"/>
      <c r="B32" s="84" t="s">
        <v>1219</v>
      </c>
      <c r="C32" s="163" t="s">
        <v>297</v>
      </c>
      <c r="D32" s="18"/>
      <c r="E32" s="239"/>
      <c r="F32" s="41"/>
      <c r="G32" s="195"/>
      <c r="H32" s="41"/>
      <c r="I32" s="41"/>
      <c r="J32" s="41"/>
      <c r="K32" s="41"/>
      <c r="L32" s="41"/>
      <c r="M32" s="41"/>
      <c r="N32" s="41"/>
      <c r="O32" s="41"/>
      <c r="P32" s="41"/>
      <c r="Q32" s="41"/>
      <c r="R32" s="41"/>
      <c r="S32" s="41"/>
      <c r="T32" s="41"/>
      <c r="U32" s="41"/>
      <c r="V32" s="41"/>
      <c r="W32" s="41"/>
      <c r="X32" s="41"/>
      <c r="Y32" s="41"/>
      <c r="Z32" s="41"/>
    </row>
    <row r="33" ht="19.5" customHeight="1">
      <c r="A33" s="41"/>
      <c r="B33" s="84" t="s">
        <v>1220</v>
      </c>
      <c r="C33" s="163" t="s">
        <v>285</v>
      </c>
      <c r="D33" s="18" t="s">
        <v>285</v>
      </c>
      <c r="E33" s="239"/>
      <c r="F33" s="41"/>
      <c r="G33" s="195"/>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33.75" customHeight="1">
      <c r="A35" s="41"/>
      <c r="B35" s="197" t="s">
        <v>300</v>
      </c>
      <c r="C35" s="13"/>
      <c r="D35" s="13"/>
      <c r="E35" s="14"/>
      <c r="F35" s="41"/>
      <c r="G35" s="41"/>
      <c r="H35" s="41"/>
      <c r="I35" s="41"/>
      <c r="J35" s="41"/>
      <c r="K35" s="41"/>
      <c r="L35" s="41"/>
      <c r="M35" s="41"/>
      <c r="N35" s="41"/>
      <c r="O35" s="41"/>
      <c r="P35" s="41"/>
      <c r="Q35" s="41"/>
      <c r="R35" s="41"/>
      <c r="S35" s="41"/>
      <c r="T35" s="41"/>
      <c r="U35" s="41"/>
      <c r="V35" s="41"/>
      <c r="W35" s="41"/>
      <c r="X35" s="41"/>
      <c r="Y35" s="41"/>
      <c r="Z35" s="41"/>
    </row>
    <row r="36" ht="19.5" customHeight="1">
      <c r="A36" s="41"/>
      <c r="B36" s="102" t="s">
        <v>1221</v>
      </c>
      <c r="C36" s="13"/>
      <c r="D36" s="13"/>
      <c r="E36" s="14"/>
      <c r="F36" s="41"/>
      <c r="G36" s="41"/>
      <c r="H36" s="41"/>
      <c r="I36" s="41"/>
      <c r="J36" s="41"/>
      <c r="K36" s="41"/>
      <c r="L36" s="41"/>
      <c r="M36" s="41"/>
      <c r="N36" s="41"/>
      <c r="O36" s="41"/>
      <c r="P36" s="41"/>
      <c r="Q36" s="41"/>
      <c r="R36" s="41"/>
      <c r="S36" s="41"/>
      <c r="T36" s="41"/>
      <c r="U36" s="41"/>
      <c r="V36" s="41"/>
      <c r="W36" s="41"/>
      <c r="X36" s="41"/>
      <c r="Y36" s="41"/>
      <c r="Z36" s="41"/>
    </row>
    <row r="37" ht="19.5" customHeight="1">
      <c r="A37" s="41"/>
      <c r="B37" s="49" t="s">
        <v>37</v>
      </c>
      <c r="C37" s="49" t="s">
        <v>273</v>
      </c>
      <c r="D37" s="49" t="s">
        <v>274</v>
      </c>
      <c r="E37" s="49" t="s">
        <v>5</v>
      </c>
      <c r="F37" s="41"/>
      <c r="G37" s="195"/>
      <c r="H37" s="41"/>
      <c r="I37" s="41"/>
      <c r="J37" s="41"/>
      <c r="K37" s="41"/>
      <c r="L37" s="41"/>
      <c r="M37" s="41"/>
      <c r="N37" s="41"/>
      <c r="O37" s="41"/>
      <c r="P37" s="41"/>
      <c r="Q37" s="41"/>
      <c r="R37" s="41"/>
      <c r="S37" s="41"/>
      <c r="T37" s="41"/>
      <c r="U37" s="41"/>
      <c r="V37" s="41"/>
      <c r="W37" s="41"/>
      <c r="X37" s="41"/>
      <c r="Y37" s="41"/>
      <c r="Z37" s="41"/>
    </row>
    <row r="38" ht="19.5" customHeight="1">
      <c r="A38" s="41"/>
      <c r="B38" s="173" t="s">
        <v>1222</v>
      </c>
      <c r="C38" s="110" t="s">
        <v>1223</v>
      </c>
      <c r="D38" s="18" t="s">
        <v>1223</v>
      </c>
      <c r="E38" s="191"/>
      <c r="F38" s="41"/>
      <c r="G38" s="41"/>
      <c r="H38" s="41"/>
      <c r="I38" s="41"/>
      <c r="J38" s="41"/>
      <c r="K38" s="41"/>
      <c r="L38" s="41"/>
      <c r="M38" s="41"/>
      <c r="N38" s="41"/>
      <c r="O38" s="41"/>
      <c r="P38" s="41"/>
      <c r="Q38" s="41"/>
      <c r="R38" s="41"/>
      <c r="S38" s="41"/>
      <c r="T38" s="41"/>
      <c r="U38" s="41"/>
      <c r="V38" s="41"/>
      <c r="W38" s="41"/>
      <c r="X38" s="41"/>
      <c r="Y38" s="41"/>
      <c r="Z38" s="41"/>
    </row>
    <row r="39" ht="19.5" customHeight="1">
      <c r="A39" s="41"/>
      <c r="B39" s="173" t="s">
        <v>1224</v>
      </c>
      <c r="C39" s="110" t="s">
        <v>1225</v>
      </c>
      <c r="D39" s="18" t="s">
        <v>1225</v>
      </c>
      <c r="E39" s="191"/>
      <c r="F39" s="41"/>
      <c r="G39" s="41"/>
      <c r="H39" s="41"/>
      <c r="I39" s="41"/>
      <c r="J39" s="41"/>
      <c r="K39" s="41"/>
      <c r="L39" s="41"/>
      <c r="M39" s="41"/>
      <c r="N39" s="41"/>
      <c r="O39" s="41"/>
      <c r="P39" s="41"/>
      <c r="Q39" s="41"/>
      <c r="R39" s="41"/>
      <c r="S39" s="41"/>
      <c r="T39" s="41"/>
      <c r="U39" s="41"/>
      <c r="V39" s="41"/>
      <c r="W39" s="41"/>
      <c r="X39" s="41"/>
      <c r="Y39" s="41"/>
      <c r="Z39" s="41"/>
    </row>
    <row r="40" ht="19.5" customHeight="1">
      <c r="A40" s="41"/>
      <c r="B40" s="173" t="s">
        <v>351</v>
      </c>
      <c r="C40" s="110" t="s">
        <v>212</v>
      </c>
      <c r="D40" s="18" t="s">
        <v>212</v>
      </c>
      <c r="E40" s="191"/>
      <c r="F40" s="41"/>
      <c r="G40" s="41"/>
      <c r="H40" s="41"/>
      <c r="I40" s="41"/>
      <c r="J40" s="41"/>
      <c r="K40" s="41"/>
      <c r="L40" s="41"/>
      <c r="M40" s="41"/>
      <c r="N40" s="41"/>
      <c r="O40" s="41"/>
      <c r="P40" s="41"/>
      <c r="Q40" s="41"/>
      <c r="R40" s="41"/>
      <c r="S40" s="41"/>
      <c r="T40" s="41"/>
      <c r="U40" s="41"/>
      <c r="V40" s="41"/>
      <c r="W40" s="41"/>
      <c r="X40" s="41"/>
      <c r="Y40" s="41"/>
      <c r="Z40" s="41"/>
    </row>
    <row r="41" ht="19.5" customHeight="1">
      <c r="A41" s="41"/>
      <c r="B41" s="173" t="s">
        <v>362</v>
      </c>
      <c r="C41" s="188" t="str">
        <f>CONCATENATE(this_instance,"-w0",wld_domain_number_chosen,"-nsx01a",".",sample_child_dns_zone)</f>
        <v>lax-w01-nsx01a.lax.rainpole.io</v>
      </c>
      <c r="D41" s="18"/>
      <c r="E41" s="18" t="s">
        <v>1226</v>
      </c>
      <c r="F41" s="41"/>
      <c r="G41" s="41"/>
      <c r="H41" s="41"/>
      <c r="I41" s="41"/>
      <c r="J41" s="41"/>
      <c r="K41" s="41"/>
      <c r="L41" s="41"/>
      <c r="M41" s="41"/>
      <c r="N41" s="41"/>
      <c r="O41" s="41"/>
      <c r="P41" s="41"/>
      <c r="Q41" s="41"/>
      <c r="R41" s="41"/>
      <c r="S41" s="41"/>
      <c r="T41" s="41"/>
      <c r="U41" s="41"/>
      <c r="V41" s="41"/>
      <c r="W41" s="41"/>
      <c r="X41" s="41"/>
      <c r="Y41" s="41"/>
      <c r="Z41" s="41"/>
    </row>
    <row r="42" ht="19.5" customHeight="1">
      <c r="A42" s="41"/>
      <c r="B42" s="173" t="s">
        <v>1227</v>
      </c>
      <c r="C42" s="188" t="str">
        <f>CONCATENATE(this_instance,"-w0",wld_domain_number_chosen,"-nsx01b",".",sample_child_dns_zone)</f>
        <v>lax-w01-nsx01b.lax.rainpole.io</v>
      </c>
      <c r="D42" s="18"/>
      <c r="E42" s="18" t="s">
        <v>1228</v>
      </c>
      <c r="F42" s="41"/>
      <c r="G42" s="41"/>
      <c r="H42" s="41"/>
      <c r="I42" s="41"/>
      <c r="J42" s="41"/>
      <c r="K42" s="41"/>
      <c r="L42" s="41"/>
      <c r="M42" s="41"/>
      <c r="N42" s="41"/>
      <c r="O42" s="41"/>
      <c r="P42" s="41"/>
      <c r="Q42" s="41"/>
      <c r="R42" s="41"/>
      <c r="S42" s="41"/>
      <c r="T42" s="41"/>
      <c r="U42" s="41"/>
      <c r="V42" s="41"/>
      <c r="W42" s="41"/>
      <c r="X42" s="41"/>
      <c r="Y42" s="41"/>
      <c r="Z42" s="41"/>
    </row>
    <row r="43" ht="19.5" customHeight="1">
      <c r="A43" s="41"/>
      <c r="B43" s="173" t="s">
        <v>1229</v>
      </c>
      <c r="C43" s="188" t="str">
        <f>CONCATENATE(this_instance,"-w0",wld_domain_number_chosen,"-nsx01c",".",sample_child_dns_zone)</f>
        <v>lax-w01-nsx01c.lax.rainpole.io</v>
      </c>
      <c r="D43" s="18"/>
      <c r="E43" s="18" t="s">
        <v>1230</v>
      </c>
      <c r="F43" s="41"/>
      <c r="G43" s="41"/>
      <c r="H43" s="41"/>
      <c r="I43" s="41"/>
      <c r="J43" s="41"/>
      <c r="K43" s="41"/>
      <c r="L43" s="41"/>
      <c r="M43" s="41"/>
      <c r="N43" s="41"/>
      <c r="O43" s="41"/>
      <c r="P43" s="41"/>
      <c r="Q43" s="41"/>
      <c r="R43" s="41"/>
      <c r="S43" s="41"/>
      <c r="T43" s="41"/>
      <c r="U43" s="41"/>
      <c r="V43" s="41"/>
      <c r="W43" s="41"/>
      <c r="X43" s="41"/>
      <c r="Y43" s="41"/>
      <c r="Z43" s="41"/>
    </row>
    <row r="44" ht="19.5" customHeight="1">
      <c r="A44" s="41"/>
      <c r="B44" s="173" t="s">
        <v>1231</v>
      </c>
      <c r="C44" s="188" t="str">
        <f>CONCATENATE(this_instance,"-w0",wld_domain_number_chosen,"-nsx01",".",sample_child_dns_zone)</f>
        <v>lax-w01-nsx01.lax.rainpole.io</v>
      </c>
      <c r="D44" s="18"/>
      <c r="E44" s="18" t="s">
        <v>1232</v>
      </c>
      <c r="F44" s="41"/>
      <c r="G44" s="195"/>
      <c r="H44" s="41"/>
      <c r="I44" s="41"/>
      <c r="J44" s="41"/>
      <c r="K44" s="41"/>
      <c r="L44" s="41"/>
      <c r="M44" s="41"/>
      <c r="N44" s="41"/>
      <c r="O44" s="41"/>
      <c r="P44" s="41"/>
      <c r="Q44" s="41"/>
      <c r="R44" s="41"/>
      <c r="S44" s="41"/>
      <c r="T44" s="41"/>
      <c r="U44" s="41"/>
      <c r="V44" s="41"/>
      <c r="W44" s="41"/>
      <c r="X44" s="41"/>
      <c r="Y44" s="41"/>
      <c r="Z44" s="41"/>
    </row>
    <row r="45" ht="19.5" customHeight="1">
      <c r="A45" s="41"/>
      <c r="B45" s="84" t="s">
        <v>366</v>
      </c>
      <c r="C45" s="163" t="s">
        <v>285</v>
      </c>
      <c r="D45" s="18" t="s">
        <v>285</v>
      </c>
      <c r="E45" s="18" t="s">
        <v>1233</v>
      </c>
      <c r="F45" s="41"/>
      <c r="G45" s="41"/>
      <c r="H45" s="41"/>
      <c r="I45" s="41"/>
      <c r="J45" s="41"/>
      <c r="K45" s="41"/>
      <c r="L45" s="41"/>
      <c r="M45" s="41"/>
      <c r="N45" s="41"/>
      <c r="O45" s="41"/>
      <c r="P45" s="41"/>
      <c r="Q45" s="41"/>
      <c r="R45" s="41"/>
      <c r="S45" s="41"/>
      <c r="T45" s="41"/>
      <c r="U45" s="41"/>
      <c r="V45" s="41"/>
      <c r="W45" s="41"/>
      <c r="X45" s="41"/>
      <c r="Y45" s="41"/>
      <c r="Z45" s="41"/>
    </row>
    <row r="46" ht="19.5" customHeight="1">
      <c r="A46" s="41"/>
      <c r="B46" s="173" t="s">
        <v>1234</v>
      </c>
      <c r="C46" s="110" t="s">
        <v>285</v>
      </c>
      <c r="D46" s="18" t="s">
        <v>285</v>
      </c>
      <c r="E46" s="18" t="s">
        <v>1235</v>
      </c>
      <c r="F46" s="41"/>
      <c r="G46" s="41"/>
      <c r="H46" s="41"/>
      <c r="I46" s="41"/>
      <c r="J46" s="41"/>
      <c r="K46" s="41"/>
      <c r="L46" s="41"/>
      <c r="M46" s="41"/>
      <c r="N46" s="41"/>
      <c r="O46" s="41"/>
      <c r="P46" s="41"/>
      <c r="Q46" s="41"/>
      <c r="R46" s="41"/>
      <c r="S46" s="41"/>
      <c r="T46" s="41"/>
      <c r="U46" s="41"/>
      <c r="V46" s="41"/>
      <c r="W46" s="41"/>
      <c r="X46" s="41"/>
      <c r="Y46" s="41"/>
      <c r="Z46" s="41"/>
    </row>
    <row r="47" ht="19.5" customHeight="1">
      <c r="A47" s="41"/>
      <c r="B47" s="173" t="s">
        <v>1236</v>
      </c>
      <c r="C47" s="110" t="s">
        <v>284</v>
      </c>
      <c r="D47" s="18" t="s">
        <v>284</v>
      </c>
      <c r="E47" s="18"/>
      <c r="F47" s="41"/>
      <c r="G47" s="41"/>
      <c r="H47" s="41"/>
      <c r="I47" s="41"/>
      <c r="J47" s="41"/>
      <c r="K47" s="41"/>
      <c r="L47" s="41"/>
      <c r="M47" s="41"/>
      <c r="N47" s="41"/>
      <c r="O47" s="41"/>
      <c r="P47" s="41"/>
      <c r="Q47" s="41"/>
      <c r="R47" s="41"/>
      <c r="S47" s="41"/>
      <c r="T47" s="41"/>
      <c r="U47" s="41"/>
      <c r="V47" s="41"/>
      <c r="W47" s="41"/>
      <c r="X47" s="41"/>
      <c r="Y47" s="41"/>
      <c r="Z47" s="41"/>
    </row>
    <row r="48" ht="19.5" customHeight="1">
      <c r="A48" s="41"/>
      <c r="B48" s="84" t="s">
        <v>1237</v>
      </c>
      <c r="C48" s="163" t="s">
        <v>297</v>
      </c>
      <c r="D48" s="18"/>
      <c r="E48" s="18" t="s">
        <v>686</v>
      </c>
      <c r="F48" s="41"/>
      <c r="G48" s="41"/>
      <c r="H48" s="41"/>
      <c r="I48" s="41"/>
      <c r="J48" s="41"/>
      <c r="K48" s="41"/>
      <c r="L48" s="41"/>
      <c r="M48" s="41"/>
      <c r="N48" s="41"/>
      <c r="O48" s="41"/>
      <c r="P48" s="41"/>
      <c r="Q48" s="41"/>
      <c r="R48" s="41"/>
      <c r="S48" s="41"/>
      <c r="T48" s="41"/>
      <c r="U48" s="41"/>
      <c r="V48" s="41"/>
      <c r="W48" s="41"/>
      <c r="X48" s="41"/>
      <c r="Y48" s="41"/>
      <c r="Z48" s="41"/>
    </row>
    <row r="49" ht="19.5" customHeight="1">
      <c r="A49" s="41"/>
      <c r="B49" s="84" t="s">
        <v>1238</v>
      </c>
      <c r="C49" s="163" t="s">
        <v>297</v>
      </c>
      <c r="D49" s="18"/>
      <c r="E49" s="18" t="s">
        <v>686</v>
      </c>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84" t="s">
        <v>1239</v>
      </c>
      <c r="C50" s="163" t="s">
        <v>297</v>
      </c>
      <c r="D50" s="18"/>
      <c r="E50" s="18" t="s">
        <v>686</v>
      </c>
      <c r="F50" s="41"/>
      <c r="G50" s="195"/>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195"/>
      <c r="H51" s="41"/>
      <c r="I51" s="41"/>
      <c r="J51" s="41"/>
      <c r="K51" s="41"/>
      <c r="L51" s="41"/>
      <c r="M51" s="41"/>
      <c r="N51" s="41"/>
      <c r="O51" s="41"/>
      <c r="P51" s="41"/>
      <c r="Q51" s="41"/>
      <c r="R51" s="41"/>
      <c r="S51" s="41"/>
      <c r="T51" s="41"/>
      <c r="U51" s="41"/>
      <c r="V51" s="41"/>
      <c r="W51" s="41"/>
      <c r="X51" s="41"/>
      <c r="Y51" s="41"/>
      <c r="Z51" s="41"/>
    </row>
    <row r="52" ht="33.75" customHeight="1">
      <c r="A52" s="41"/>
      <c r="B52" s="240" t="s">
        <v>1240</v>
      </c>
      <c r="C52" s="13"/>
      <c r="D52" s="13"/>
      <c r="E52" s="14"/>
      <c r="F52" s="41"/>
      <c r="G52" s="195"/>
      <c r="H52" s="41"/>
      <c r="I52" s="41"/>
      <c r="J52" s="41"/>
      <c r="K52" s="41"/>
      <c r="L52" s="41"/>
      <c r="M52" s="41"/>
      <c r="N52" s="41"/>
      <c r="O52" s="41"/>
      <c r="P52" s="41"/>
      <c r="Q52" s="41"/>
      <c r="R52" s="41"/>
      <c r="S52" s="41"/>
      <c r="T52" s="41"/>
      <c r="U52" s="41"/>
      <c r="V52" s="41"/>
      <c r="W52" s="41"/>
      <c r="X52" s="41"/>
      <c r="Y52" s="41"/>
      <c r="Z52" s="41"/>
    </row>
    <row r="53" ht="19.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36.0" customHeight="1">
      <c r="A54" s="41"/>
      <c r="B54" s="197" t="s">
        <v>1241</v>
      </c>
      <c r="C54" s="13"/>
      <c r="D54" s="13"/>
      <c r="E54" s="14"/>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102"/>
      <c r="C55" s="13"/>
      <c r="D55" s="13"/>
      <c r="E55" s="14"/>
      <c r="F55" s="41"/>
      <c r="G55" s="41"/>
      <c r="H55" s="41"/>
      <c r="I55" s="41"/>
      <c r="J55" s="41"/>
      <c r="K55" s="41"/>
      <c r="L55" s="41"/>
      <c r="M55" s="41"/>
      <c r="N55" s="41"/>
      <c r="O55" s="41"/>
      <c r="P55" s="41"/>
      <c r="Q55" s="41"/>
      <c r="R55" s="41"/>
      <c r="S55" s="41"/>
      <c r="T55" s="41"/>
      <c r="U55" s="41"/>
      <c r="V55" s="41"/>
      <c r="W55" s="41"/>
      <c r="X55" s="41"/>
      <c r="Y55" s="41"/>
      <c r="Z55" s="41"/>
    </row>
    <row r="56" ht="19.5" customHeight="1">
      <c r="A56" s="41"/>
      <c r="B56" s="49" t="s">
        <v>37</v>
      </c>
      <c r="C56" s="49" t="s">
        <v>273</v>
      </c>
      <c r="D56" s="49" t="s">
        <v>274</v>
      </c>
      <c r="E56" s="49" t="s">
        <v>5</v>
      </c>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102" t="s">
        <v>400</v>
      </c>
      <c r="C57" s="13"/>
      <c r="D57" s="13"/>
      <c r="E57" s="14"/>
      <c r="F57" s="41"/>
      <c r="G57" s="41"/>
      <c r="H57" s="41"/>
      <c r="I57" s="41"/>
      <c r="J57" s="41"/>
      <c r="K57" s="41"/>
      <c r="L57" s="41"/>
      <c r="M57" s="41"/>
      <c r="N57" s="41"/>
      <c r="O57" s="41"/>
      <c r="P57" s="41"/>
      <c r="Q57" s="41"/>
      <c r="R57" s="41"/>
      <c r="S57" s="41"/>
      <c r="T57" s="41"/>
      <c r="U57" s="41"/>
      <c r="V57" s="41"/>
      <c r="W57" s="41"/>
      <c r="X57" s="41"/>
      <c r="Y57" s="41"/>
      <c r="Z57" s="41"/>
    </row>
    <row r="58" ht="19.5" customHeight="1">
      <c r="A58" s="41"/>
      <c r="B58" s="84" t="s">
        <v>401</v>
      </c>
      <c r="C58" s="156" t="str">
        <f>CONCATENATE(prefix_wld_az1_vlan,"11")</f>
        <v>2311</v>
      </c>
      <c r="D58" s="18"/>
      <c r="E58" s="84"/>
      <c r="F58" s="41"/>
      <c r="G58" s="41"/>
      <c r="H58" s="41"/>
      <c r="I58" s="41"/>
      <c r="J58" s="41"/>
      <c r="K58" s="41"/>
      <c r="L58" s="41"/>
      <c r="M58" s="41"/>
      <c r="N58" s="41"/>
      <c r="O58" s="41"/>
      <c r="P58" s="41"/>
      <c r="Q58" s="41"/>
      <c r="R58" s="41"/>
      <c r="S58" s="41"/>
      <c r="T58" s="41"/>
      <c r="U58" s="41"/>
      <c r="V58" s="41"/>
      <c r="W58" s="41"/>
      <c r="X58" s="41"/>
      <c r="Y58" s="41"/>
      <c r="Z58" s="41"/>
    </row>
    <row r="59" ht="19.5" customHeight="1">
      <c r="A59" s="41"/>
      <c r="B59" s="84" t="s">
        <v>402</v>
      </c>
      <c r="C59" s="156" t="str">
        <f>CONCATENATE(prefix_wld_az1_cidr,"11.1")</f>
        <v>10.23.11.1</v>
      </c>
      <c r="D59" s="18"/>
      <c r="E59" s="191"/>
      <c r="F59" s="41"/>
      <c r="G59" s="41"/>
      <c r="H59" s="41"/>
      <c r="I59" s="41"/>
      <c r="J59" s="41"/>
      <c r="K59" s="41"/>
      <c r="L59" s="41"/>
      <c r="M59" s="41"/>
      <c r="N59" s="41"/>
      <c r="O59" s="41"/>
      <c r="P59" s="41"/>
      <c r="Q59" s="41"/>
      <c r="R59" s="41"/>
      <c r="S59" s="41"/>
      <c r="T59" s="41"/>
      <c r="U59" s="41"/>
      <c r="V59" s="41"/>
      <c r="W59" s="41"/>
      <c r="X59" s="41"/>
      <c r="Y59" s="41"/>
      <c r="Z59" s="41"/>
    </row>
    <row r="60" ht="19.5" customHeight="1">
      <c r="A60" s="41"/>
      <c r="B60" s="84" t="s">
        <v>403</v>
      </c>
      <c r="C60" s="156" t="str">
        <f>CONCATENATE(prefix_wld_az1_cidr,"11.0/24")</f>
        <v>10.23.11.0/24</v>
      </c>
      <c r="D60" s="18"/>
      <c r="E60" s="191"/>
      <c r="F60" s="41"/>
      <c r="G60" s="41"/>
      <c r="H60" s="41"/>
      <c r="I60" s="41"/>
      <c r="J60" s="41"/>
      <c r="K60" s="41"/>
      <c r="L60" s="41"/>
      <c r="M60" s="41"/>
      <c r="N60" s="41"/>
      <c r="O60" s="41"/>
      <c r="P60" s="41"/>
      <c r="Q60" s="41"/>
      <c r="R60" s="41"/>
      <c r="S60" s="41"/>
      <c r="T60" s="41"/>
      <c r="U60" s="41"/>
      <c r="V60" s="41"/>
      <c r="W60" s="41"/>
      <c r="X60" s="41"/>
      <c r="Y60" s="41"/>
      <c r="Z60" s="41"/>
    </row>
    <row r="61" ht="19.5" customHeight="1">
      <c r="A61" s="41"/>
      <c r="B61" s="84" t="s">
        <v>404</v>
      </c>
      <c r="C61" s="156">
        <v>1500.0</v>
      </c>
      <c r="D61" s="18"/>
      <c r="E61" s="191"/>
      <c r="F61" s="41"/>
      <c r="G61" s="41"/>
      <c r="H61" s="41"/>
      <c r="I61" s="41"/>
      <c r="J61" s="41"/>
      <c r="K61" s="41"/>
      <c r="L61" s="41"/>
      <c r="M61" s="41"/>
      <c r="N61" s="41"/>
      <c r="O61" s="41"/>
      <c r="P61" s="41"/>
      <c r="Q61" s="41"/>
      <c r="R61" s="41"/>
      <c r="S61" s="41"/>
      <c r="T61" s="41"/>
      <c r="U61" s="41"/>
      <c r="V61" s="41"/>
      <c r="W61" s="41"/>
      <c r="X61" s="41"/>
      <c r="Y61" s="41"/>
      <c r="Z61" s="41"/>
    </row>
    <row r="62" ht="19.5" customHeight="1">
      <c r="A62" s="41"/>
      <c r="B62" s="17" t="s">
        <v>481</v>
      </c>
      <c r="C62" s="13"/>
      <c r="D62" s="13"/>
      <c r="E62" s="14"/>
      <c r="F62" s="41"/>
      <c r="G62" s="41"/>
      <c r="H62" s="41"/>
      <c r="I62" s="41"/>
      <c r="J62" s="41"/>
      <c r="K62" s="41"/>
      <c r="L62" s="41"/>
      <c r="M62" s="41"/>
      <c r="N62" s="41"/>
      <c r="O62" s="41"/>
      <c r="P62" s="41"/>
      <c r="Q62" s="41"/>
      <c r="R62" s="41"/>
      <c r="S62" s="41"/>
      <c r="T62" s="41"/>
      <c r="U62" s="41"/>
      <c r="V62" s="41"/>
      <c r="W62" s="41"/>
      <c r="X62" s="41"/>
      <c r="Y62" s="41"/>
      <c r="Z62" s="41"/>
    </row>
    <row r="63" ht="19.5" customHeight="1">
      <c r="A63" s="41"/>
      <c r="B63" s="173" t="s">
        <v>697</v>
      </c>
      <c r="C63" s="163" t="str">
        <f>CONCATENATE(prefix_wld_az1_cidr,"11.101")</f>
        <v>10.23.11.101</v>
      </c>
      <c r="D63" s="18"/>
      <c r="E63" s="199" t="s">
        <v>482</v>
      </c>
      <c r="F63" s="41"/>
      <c r="G63" s="41"/>
      <c r="H63" s="41"/>
      <c r="I63" s="41"/>
      <c r="J63" s="41"/>
      <c r="K63" s="41"/>
      <c r="L63" s="41"/>
      <c r="M63" s="41"/>
      <c r="N63" s="41"/>
      <c r="O63" s="41"/>
      <c r="P63" s="41"/>
      <c r="Q63" s="41"/>
      <c r="R63" s="41"/>
      <c r="S63" s="41"/>
      <c r="T63" s="41"/>
      <c r="U63" s="41"/>
      <c r="V63" s="41"/>
      <c r="W63" s="41"/>
      <c r="X63" s="41"/>
      <c r="Y63" s="41"/>
      <c r="Z63" s="41"/>
    </row>
    <row r="64" ht="19.5" customHeight="1">
      <c r="A64" s="41"/>
      <c r="B64" s="173" t="s">
        <v>698</v>
      </c>
      <c r="C64" s="163" t="str">
        <f>CONCATENATE(prefix_wld_az1_cidr,"11.102")</f>
        <v>10.23.11.102</v>
      </c>
      <c r="D64" s="18"/>
      <c r="E64" s="199" t="s">
        <v>484</v>
      </c>
      <c r="F64" s="41"/>
      <c r="G64" s="41"/>
      <c r="H64" s="41"/>
      <c r="I64" s="41"/>
      <c r="J64" s="41"/>
      <c r="K64" s="41"/>
      <c r="L64" s="41"/>
      <c r="M64" s="41"/>
      <c r="N64" s="41"/>
      <c r="O64" s="41"/>
      <c r="P64" s="41"/>
      <c r="Q64" s="41"/>
      <c r="R64" s="41"/>
      <c r="S64" s="41"/>
      <c r="T64" s="41"/>
      <c r="U64" s="41"/>
      <c r="V64" s="41"/>
      <c r="W64" s="41"/>
      <c r="X64" s="41"/>
      <c r="Y64" s="41"/>
      <c r="Z64" s="41"/>
    </row>
    <row r="65" ht="19.5" customHeight="1">
      <c r="A65" s="41"/>
      <c r="B65" s="173" t="s">
        <v>699</v>
      </c>
      <c r="C65" s="163" t="str">
        <f>CONCATENATE(prefix_wld_az1_cidr,"11.103")</f>
        <v>10.23.11.103</v>
      </c>
      <c r="D65" s="18"/>
      <c r="E65" s="199" t="s">
        <v>1242</v>
      </c>
      <c r="F65" s="41"/>
      <c r="G65" s="41"/>
      <c r="H65" s="41"/>
      <c r="I65" s="41"/>
      <c r="J65" s="41"/>
      <c r="K65" s="41"/>
      <c r="L65" s="41"/>
      <c r="M65" s="41"/>
      <c r="N65" s="41"/>
      <c r="O65" s="41"/>
      <c r="P65" s="41"/>
      <c r="Q65" s="41"/>
      <c r="R65" s="41"/>
      <c r="S65" s="41"/>
      <c r="T65" s="41"/>
      <c r="U65" s="41"/>
      <c r="V65" s="41"/>
      <c r="W65" s="41"/>
      <c r="X65" s="41"/>
      <c r="Y65" s="41"/>
      <c r="Z65" s="41"/>
    </row>
    <row r="66" ht="19.5" customHeight="1">
      <c r="A66" s="41"/>
      <c r="B66" s="173" t="s">
        <v>700</v>
      </c>
      <c r="C66" s="163" t="str">
        <f>CONCATENATE(prefix_wld_az1_cidr,"11.104")</f>
        <v>10.23.11.104</v>
      </c>
      <c r="D66" s="18"/>
      <c r="E66" s="199" t="s">
        <v>486</v>
      </c>
      <c r="F66" s="41"/>
      <c r="G66" s="41"/>
      <c r="H66" s="41"/>
      <c r="I66" s="41"/>
      <c r="J66" s="41"/>
      <c r="K66" s="41"/>
      <c r="L66" s="41"/>
      <c r="M66" s="41"/>
      <c r="N66" s="41"/>
      <c r="O66" s="41"/>
      <c r="P66" s="41"/>
      <c r="Q66" s="41"/>
      <c r="R66" s="41"/>
      <c r="S66" s="41"/>
      <c r="T66" s="41"/>
      <c r="U66" s="41"/>
      <c r="V66" s="41"/>
      <c r="W66" s="41"/>
      <c r="X66" s="41"/>
      <c r="Y66" s="41"/>
      <c r="Z66" s="41"/>
    </row>
    <row r="67" ht="19.5" customHeight="1">
      <c r="A67" s="41"/>
      <c r="B67" s="173" t="s">
        <v>701</v>
      </c>
      <c r="C67" s="163" t="str">
        <f>CONCATENATE(prefix_wld_az1_cidr,"11.105")</f>
        <v>10.23.11.105</v>
      </c>
      <c r="D67" s="18"/>
      <c r="E67" s="199" t="s">
        <v>487</v>
      </c>
      <c r="F67" s="41"/>
      <c r="G67" s="41"/>
      <c r="H67" s="41"/>
      <c r="I67" s="41"/>
      <c r="J67" s="41"/>
      <c r="K67" s="41"/>
      <c r="L67" s="41"/>
      <c r="M67" s="41"/>
      <c r="N67" s="41"/>
      <c r="O67" s="41"/>
      <c r="P67" s="41"/>
      <c r="Q67" s="41"/>
      <c r="R67" s="41"/>
      <c r="S67" s="41"/>
      <c r="T67" s="41"/>
      <c r="U67" s="41"/>
      <c r="V67" s="41"/>
      <c r="W67" s="41"/>
      <c r="X67" s="41"/>
      <c r="Y67" s="41"/>
      <c r="Z67" s="41"/>
    </row>
    <row r="68" ht="19.5" customHeight="1">
      <c r="A68" s="41"/>
      <c r="B68" s="173" t="s">
        <v>702</v>
      </c>
      <c r="C68" s="163" t="str">
        <f>CONCATENATE(prefix_wld_az1_cidr,"11.106")</f>
        <v>10.23.11.106</v>
      </c>
      <c r="D68" s="18"/>
      <c r="E68" s="199" t="s">
        <v>488</v>
      </c>
      <c r="F68" s="41"/>
      <c r="G68" s="41"/>
      <c r="H68" s="41"/>
      <c r="I68" s="41"/>
      <c r="J68" s="41"/>
      <c r="K68" s="41"/>
      <c r="L68" s="41"/>
      <c r="M68" s="41"/>
      <c r="N68" s="41"/>
      <c r="O68" s="41"/>
      <c r="P68" s="41"/>
      <c r="Q68" s="41"/>
      <c r="R68" s="41"/>
      <c r="S68" s="41"/>
      <c r="T68" s="41"/>
      <c r="U68" s="41"/>
      <c r="V68" s="41"/>
      <c r="W68" s="41"/>
      <c r="X68" s="41"/>
      <c r="Y68" s="41"/>
      <c r="Z68" s="41"/>
    </row>
    <row r="69" ht="19.5" customHeight="1">
      <c r="A69" s="41"/>
      <c r="B69" s="173" t="s">
        <v>703</v>
      </c>
      <c r="C69" s="163" t="str">
        <f>CONCATENATE(prefix_wld_az1_cidr,"11.107")</f>
        <v>10.23.11.107</v>
      </c>
      <c r="D69" s="18"/>
      <c r="E69" s="199" t="s">
        <v>489</v>
      </c>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173" t="s">
        <v>704</v>
      </c>
      <c r="C70" s="163" t="str">
        <f>CONCATENATE(prefix_wld_az1_cidr,"11.108")</f>
        <v>10.23.11.108</v>
      </c>
      <c r="D70" s="18"/>
      <c r="E70" s="199" t="s">
        <v>490</v>
      </c>
      <c r="F70" s="41"/>
      <c r="G70" s="41"/>
      <c r="H70" s="41"/>
      <c r="I70" s="41"/>
      <c r="J70" s="41"/>
      <c r="K70" s="41"/>
      <c r="L70" s="41"/>
      <c r="M70" s="41"/>
      <c r="N70" s="41"/>
      <c r="O70" s="41"/>
      <c r="P70" s="41"/>
      <c r="Q70" s="41"/>
      <c r="R70" s="41"/>
      <c r="S70" s="41"/>
      <c r="T70" s="41"/>
      <c r="U70" s="41"/>
      <c r="V70" s="41"/>
      <c r="W70" s="41"/>
      <c r="X70" s="41"/>
      <c r="Y70" s="41"/>
      <c r="Z70" s="41"/>
    </row>
    <row r="71" ht="19.5" customHeight="1">
      <c r="A71" s="41"/>
      <c r="B71" s="173" t="s">
        <v>705</v>
      </c>
      <c r="C71" s="163" t="str">
        <f>CONCATENATE(prefix_wld_az1_cidr,"11.109")</f>
        <v>10.23.11.109</v>
      </c>
      <c r="D71" s="18"/>
      <c r="E71" s="199" t="s">
        <v>491</v>
      </c>
      <c r="F71" s="41"/>
      <c r="G71" s="41"/>
      <c r="H71" s="41"/>
      <c r="I71" s="41"/>
      <c r="J71" s="41"/>
      <c r="K71" s="41"/>
      <c r="L71" s="41"/>
      <c r="M71" s="41"/>
      <c r="N71" s="41"/>
      <c r="O71" s="41"/>
      <c r="P71" s="41"/>
      <c r="Q71" s="41"/>
      <c r="R71" s="41"/>
      <c r="S71" s="41"/>
      <c r="T71" s="41"/>
      <c r="U71" s="41"/>
      <c r="V71" s="41"/>
      <c r="W71" s="41"/>
      <c r="X71" s="41"/>
      <c r="Y71" s="41"/>
      <c r="Z71" s="41"/>
    </row>
    <row r="72" ht="19.5" customHeight="1">
      <c r="A72" s="41"/>
      <c r="B72" s="173" t="s">
        <v>706</v>
      </c>
      <c r="C72" s="163" t="str">
        <f>CONCATENATE(prefix_wld_az1_cidr,"11.110")</f>
        <v>10.23.11.110</v>
      </c>
      <c r="D72" s="18"/>
      <c r="E72" s="199" t="s">
        <v>492</v>
      </c>
      <c r="F72" s="41"/>
      <c r="G72" s="41"/>
      <c r="H72" s="41"/>
      <c r="I72" s="41"/>
      <c r="J72" s="41"/>
      <c r="K72" s="41"/>
      <c r="L72" s="41"/>
      <c r="M72" s="41"/>
      <c r="N72" s="41"/>
      <c r="O72" s="41"/>
      <c r="P72" s="41"/>
      <c r="Q72" s="41"/>
      <c r="R72" s="41"/>
      <c r="S72" s="41"/>
      <c r="T72" s="41"/>
      <c r="U72" s="41"/>
      <c r="V72" s="41"/>
      <c r="W72" s="41"/>
      <c r="X72" s="41"/>
      <c r="Y72" s="41"/>
      <c r="Z72" s="41"/>
    </row>
    <row r="73" ht="19.5" customHeight="1">
      <c r="A73" s="41"/>
      <c r="B73" s="173" t="s">
        <v>707</v>
      </c>
      <c r="C73" s="163" t="str">
        <f>CONCATENATE(prefix_wld_az1_cidr,"11.111")</f>
        <v>10.23.11.111</v>
      </c>
      <c r="D73" s="18"/>
      <c r="E73" s="199" t="s">
        <v>493</v>
      </c>
      <c r="F73" s="41"/>
      <c r="G73" s="41"/>
      <c r="H73" s="41"/>
      <c r="I73" s="41"/>
      <c r="J73" s="41"/>
      <c r="K73" s="41"/>
      <c r="L73" s="41"/>
      <c r="M73" s="41"/>
      <c r="N73" s="41"/>
      <c r="O73" s="41"/>
      <c r="P73" s="41"/>
      <c r="Q73" s="41"/>
      <c r="R73" s="41"/>
      <c r="S73" s="41"/>
      <c r="T73" s="41"/>
      <c r="U73" s="41"/>
      <c r="V73" s="41"/>
      <c r="W73" s="41"/>
      <c r="X73" s="41"/>
      <c r="Y73" s="41"/>
      <c r="Z73" s="41"/>
    </row>
    <row r="74" ht="19.5" customHeight="1">
      <c r="A74" s="41"/>
      <c r="B74" s="173" t="s">
        <v>708</v>
      </c>
      <c r="C74" s="163" t="str">
        <f>CONCATENATE(prefix_wld_az1_cidr,"11.112")</f>
        <v>10.23.11.112</v>
      </c>
      <c r="D74" s="18"/>
      <c r="E74" s="199" t="s">
        <v>494</v>
      </c>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173" t="s">
        <v>709</v>
      </c>
      <c r="C75" s="163" t="str">
        <f>CONCATENATE(prefix_wld_az1_cidr,"11.113")</f>
        <v>10.23.11.113</v>
      </c>
      <c r="D75" s="18"/>
      <c r="E75" s="199" t="s">
        <v>495</v>
      </c>
      <c r="F75" s="41"/>
      <c r="G75" s="41"/>
      <c r="H75" s="41"/>
      <c r="I75" s="41"/>
      <c r="J75" s="41"/>
      <c r="K75" s="41"/>
      <c r="L75" s="41"/>
      <c r="M75" s="41"/>
      <c r="N75" s="41"/>
      <c r="O75" s="41"/>
      <c r="P75" s="41"/>
      <c r="Q75" s="41"/>
      <c r="R75" s="41"/>
      <c r="S75" s="41"/>
      <c r="T75" s="41"/>
      <c r="U75" s="41"/>
      <c r="V75" s="41"/>
      <c r="W75" s="41"/>
      <c r="X75" s="41"/>
      <c r="Y75" s="41"/>
      <c r="Z75" s="41"/>
    </row>
    <row r="76" ht="19.5" customHeight="1">
      <c r="A76" s="41"/>
      <c r="B76" s="173" t="s">
        <v>710</v>
      </c>
      <c r="C76" s="163" t="str">
        <f>CONCATENATE(prefix_wld_az1_cidr,"11.114")</f>
        <v>10.23.11.114</v>
      </c>
      <c r="D76" s="18"/>
      <c r="E76" s="199" t="s">
        <v>496</v>
      </c>
      <c r="F76" s="41"/>
      <c r="G76" s="41"/>
      <c r="H76" s="41"/>
      <c r="I76" s="41"/>
      <c r="J76" s="41"/>
      <c r="K76" s="41"/>
      <c r="L76" s="41"/>
      <c r="M76" s="41"/>
      <c r="N76" s="41"/>
      <c r="O76" s="41"/>
      <c r="P76" s="41"/>
      <c r="Q76" s="41"/>
      <c r="R76" s="41"/>
      <c r="S76" s="41"/>
      <c r="T76" s="41"/>
      <c r="U76" s="41"/>
      <c r="V76" s="41"/>
      <c r="W76" s="41"/>
      <c r="X76" s="41"/>
      <c r="Y76" s="41"/>
      <c r="Z76" s="41"/>
    </row>
    <row r="77" ht="19.5" customHeight="1">
      <c r="A77" s="41"/>
      <c r="B77" s="173" t="s">
        <v>711</v>
      </c>
      <c r="C77" s="163" t="str">
        <f>CONCATENATE(prefix_wld_az1_cidr,"11.115")</f>
        <v>10.23.11.115</v>
      </c>
      <c r="D77" s="18"/>
      <c r="E77" s="199" t="s">
        <v>497</v>
      </c>
      <c r="F77" s="41"/>
      <c r="G77" s="41"/>
      <c r="H77" s="41"/>
      <c r="I77" s="41"/>
      <c r="J77" s="41"/>
      <c r="K77" s="41"/>
      <c r="L77" s="41"/>
      <c r="M77" s="41"/>
      <c r="N77" s="41"/>
      <c r="O77" s="41"/>
      <c r="P77" s="41"/>
      <c r="Q77" s="41"/>
      <c r="R77" s="41"/>
      <c r="S77" s="41"/>
      <c r="T77" s="41"/>
      <c r="U77" s="41"/>
      <c r="V77" s="41"/>
      <c r="W77" s="41"/>
      <c r="X77" s="41"/>
      <c r="Y77" s="41"/>
      <c r="Z77" s="41"/>
    </row>
    <row r="78" ht="19.5" customHeight="1">
      <c r="A78" s="41"/>
      <c r="B78" s="173" t="s">
        <v>712</v>
      </c>
      <c r="C78" s="163" t="str">
        <f>CONCATENATE(prefix_wld_az1_cidr,"11.116")</f>
        <v>10.23.11.116</v>
      </c>
      <c r="D78" s="18"/>
      <c r="E78" s="199" t="s">
        <v>498</v>
      </c>
      <c r="F78" s="41"/>
      <c r="G78" s="195"/>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33.75" customHeight="1">
      <c r="A80" s="41"/>
      <c r="B80" s="197" t="s">
        <v>1243</v>
      </c>
      <c r="C80" s="13"/>
      <c r="D80" s="13"/>
      <c r="E80" s="14"/>
      <c r="F80" s="41"/>
      <c r="G80" s="41"/>
      <c r="H80" s="41"/>
      <c r="I80" s="41"/>
      <c r="J80" s="41"/>
      <c r="K80" s="41"/>
      <c r="L80" s="41"/>
      <c r="M80" s="41"/>
      <c r="N80" s="41"/>
      <c r="O80" s="41"/>
      <c r="P80" s="41"/>
      <c r="Q80" s="41"/>
      <c r="R80" s="41"/>
      <c r="S80" s="41"/>
      <c r="T80" s="41"/>
      <c r="U80" s="41"/>
      <c r="V80" s="41"/>
      <c r="W80" s="41"/>
      <c r="X80" s="41"/>
      <c r="Y80" s="41"/>
      <c r="Z80" s="41"/>
    </row>
    <row r="81" ht="19.5" customHeight="1">
      <c r="A81" s="41"/>
      <c r="B81" s="102"/>
      <c r="C81" s="13"/>
      <c r="D81" s="13"/>
      <c r="E81" s="14"/>
      <c r="F81" s="41"/>
      <c r="G81" s="41"/>
      <c r="H81" s="41"/>
      <c r="I81" s="41"/>
      <c r="J81" s="41"/>
      <c r="K81" s="41"/>
      <c r="L81" s="41"/>
      <c r="M81" s="41"/>
      <c r="N81" s="41"/>
      <c r="O81" s="41"/>
      <c r="P81" s="41"/>
      <c r="Q81" s="41"/>
      <c r="R81" s="41"/>
      <c r="S81" s="41"/>
      <c r="T81" s="41"/>
      <c r="U81" s="41"/>
      <c r="V81" s="41"/>
      <c r="W81" s="41"/>
      <c r="X81" s="41"/>
      <c r="Y81" s="41"/>
      <c r="Z81" s="41"/>
    </row>
    <row r="82" ht="19.5" customHeight="1">
      <c r="A82" s="41"/>
      <c r="B82" s="49" t="s">
        <v>37</v>
      </c>
      <c r="C82" s="49" t="s">
        <v>273</v>
      </c>
      <c r="D82" s="49" t="s">
        <v>274</v>
      </c>
      <c r="E82" s="49" t="s">
        <v>5</v>
      </c>
      <c r="F82" s="41"/>
      <c r="G82" s="41"/>
      <c r="H82" s="41"/>
      <c r="I82" s="41"/>
      <c r="J82" s="41"/>
      <c r="K82" s="41"/>
      <c r="L82" s="41"/>
      <c r="M82" s="41"/>
      <c r="N82" s="41"/>
      <c r="O82" s="41"/>
      <c r="P82" s="41"/>
      <c r="Q82" s="41"/>
      <c r="R82" s="41"/>
      <c r="S82" s="41"/>
      <c r="T82" s="41"/>
      <c r="U82" s="41"/>
      <c r="V82" s="41"/>
      <c r="W82" s="41"/>
      <c r="X82" s="41"/>
      <c r="Y82" s="41"/>
      <c r="Z82" s="41"/>
    </row>
    <row r="83" ht="19.5" customHeight="1">
      <c r="A83" s="41"/>
      <c r="B83" s="173" t="s">
        <v>716</v>
      </c>
      <c r="C83" s="156" t="str">
        <f>CONCATENATE(this_instance,"01-w0",wld_domain_number_chosen,"-r01-network-pool-01")</f>
        <v>lax01-w01-r01-network-pool-01</v>
      </c>
      <c r="D83" s="18"/>
      <c r="E83" s="191"/>
      <c r="F83" s="41"/>
      <c r="G83" s="41"/>
      <c r="H83" s="41"/>
      <c r="I83" s="41"/>
      <c r="J83" s="41"/>
      <c r="K83" s="41"/>
      <c r="L83" s="41"/>
      <c r="M83" s="41"/>
      <c r="N83" s="41"/>
      <c r="O83" s="41"/>
      <c r="P83" s="41"/>
      <c r="Q83" s="41"/>
      <c r="R83" s="41"/>
      <c r="S83" s="41"/>
      <c r="T83" s="41"/>
      <c r="U83" s="41"/>
      <c r="V83" s="41"/>
      <c r="W83" s="41"/>
      <c r="X83" s="41"/>
      <c r="Y83" s="41"/>
      <c r="Z83" s="41"/>
    </row>
    <row r="84" ht="19.5" customHeight="1">
      <c r="A84" s="41"/>
      <c r="B84" s="102" t="s">
        <v>407</v>
      </c>
      <c r="C84" s="13"/>
      <c r="D84" s="13"/>
      <c r="E84" s="14"/>
      <c r="F84" s="41"/>
      <c r="G84" s="41"/>
      <c r="H84" s="41"/>
      <c r="I84" s="41"/>
      <c r="J84" s="41"/>
      <c r="K84" s="41"/>
      <c r="L84" s="41"/>
      <c r="M84" s="41"/>
      <c r="N84" s="41"/>
      <c r="O84" s="41"/>
      <c r="P84" s="41"/>
      <c r="Q84" s="41"/>
      <c r="R84" s="41"/>
      <c r="S84" s="41"/>
      <c r="T84" s="41"/>
      <c r="U84" s="41"/>
      <c r="V84" s="41"/>
      <c r="W84" s="41"/>
      <c r="X84" s="41"/>
      <c r="Y84" s="41"/>
      <c r="Z84" s="41"/>
    </row>
    <row r="85" ht="19.5" customHeight="1">
      <c r="A85" s="41"/>
      <c r="B85" s="84" t="s">
        <v>401</v>
      </c>
      <c r="C85" s="156" t="str">
        <f>CONCATENATE(prefix_wld_az1_vlan,"12")</f>
        <v>2312</v>
      </c>
      <c r="D85" s="18"/>
      <c r="E85" s="84"/>
      <c r="F85" s="41"/>
      <c r="G85" s="41"/>
      <c r="H85" s="41"/>
      <c r="I85" s="41"/>
      <c r="J85" s="41"/>
      <c r="K85" s="41"/>
      <c r="L85" s="41"/>
      <c r="M85" s="41"/>
      <c r="N85" s="41"/>
      <c r="O85" s="41"/>
      <c r="P85" s="41"/>
      <c r="Q85" s="41"/>
      <c r="R85" s="41"/>
      <c r="S85" s="41"/>
      <c r="T85" s="41"/>
      <c r="U85" s="41"/>
      <c r="V85" s="41"/>
      <c r="W85" s="41"/>
      <c r="X85" s="41"/>
      <c r="Y85" s="41"/>
      <c r="Z85" s="41"/>
    </row>
    <row r="86" ht="19.5" customHeight="1">
      <c r="A86" s="41"/>
      <c r="B86" s="84" t="s">
        <v>404</v>
      </c>
      <c r="C86" s="156">
        <v>9000.0</v>
      </c>
      <c r="D86" s="18"/>
      <c r="E86" s="191"/>
      <c r="F86" s="41"/>
      <c r="G86" s="41"/>
      <c r="H86" s="41"/>
      <c r="I86" s="41"/>
      <c r="J86" s="41"/>
      <c r="K86" s="41"/>
      <c r="L86" s="41"/>
      <c r="M86" s="41"/>
      <c r="N86" s="41"/>
      <c r="O86" s="41"/>
      <c r="P86" s="41"/>
      <c r="Q86" s="41"/>
      <c r="R86" s="41"/>
      <c r="S86" s="41"/>
      <c r="T86" s="41"/>
      <c r="U86" s="41"/>
      <c r="V86" s="41"/>
      <c r="W86" s="41"/>
      <c r="X86" s="41"/>
      <c r="Y86" s="41"/>
      <c r="Z86" s="41"/>
    </row>
    <row r="87" ht="19.5" customHeight="1">
      <c r="A87" s="41"/>
      <c r="B87" s="84" t="s">
        <v>403</v>
      </c>
      <c r="C87" s="156" t="str">
        <f>CONCATENATE(prefix_wld_az1_cidr,"12.0")</f>
        <v>10.23.12.0</v>
      </c>
      <c r="D87" s="18"/>
      <c r="E87" s="191"/>
      <c r="F87" s="41"/>
      <c r="G87" s="41"/>
      <c r="H87" s="41"/>
      <c r="I87" s="41"/>
      <c r="J87" s="41"/>
      <c r="K87" s="41"/>
      <c r="L87" s="41"/>
      <c r="M87" s="41"/>
      <c r="N87" s="41"/>
      <c r="O87" s="41"/>
      <c r="P87" s="41"/>
      <c r="Q87" s="41"/>
      <c r="R87" s="41"/>
      <c r="S87" s="41"/>
      <c r="T87" s="41"/>
      <c r="U87" s="41"/>
      <c r="V87" s="41"/>
      <c r="W87" s="41"/>
      <c r="X87" s="41"/>
      <c r="Y87" s="41"/>
      <c r="Z87" s="41"/>
    </row>
    <row r="88" ht="19.5" customHeight="1">
      <c r="A88" s="41"/>
      <c r="B88" s="84" t="s">
        <v>743</v>
      </c>
      <c r="C88" s="156" t="s">
        <v>622</v>
      </c>
      <c r="D88" s="18"/>
      <c r="E88" s="191"/>
      <c r="F88" s="41"/>
      <c r="G88" s="41"/>
      <c r="H88" s="41"/>
      <c r="I88" s="41"/>
      <c r="J88" s="41"/>
      <c r="K88" s="41"/>
      <c r="L88" s="41"/>
      <c r="M88" s="41"/>
      <c r="N88" s="41"/>
      <c r="O88" s="41"/>
      <c r="P88" s="41"/>
      <c r="Q88" s="41"/>
      <c r="R88" s="41"/>
      <c r="S88" s="41"/>
      <c r="T88" s="41"/>
      <c r="U88" s="41"/>
      <c r="V88" s="41"/>
      <c r="W88" s="41"/>
      <c r="X88" s="41"/>
      <c r="Y88" s="41"/>
      <c r="Z88" s="41"/>
    </row>
    <row r="89" ht="19.5" customHeight="1">
      <c r="A89" s="41"/>
      <c r="B89" s="84" t="s">
        <v>402</v>
      </c>
      <c r="C89" s="156" t="str">
        <f>CONCATENATE(prefix_wld_az1_cidr,"12.1")</f>
        <v>10.23.12.1</v>
      </c>
      <c r="D89" s="18"/>
      <c r="E89" s="191"/>
      <c r="F89" s="41"/>
      <c r="G89" s="41"/>
      <c r="H89" s="41"/>
      <c r="I89" s="41"/>
      <c r="J89" s="41"/>
      <c r="K89" s="41"/>
      <c r="L89" s="41"/>
      <c r="M89" s="41"/>
      <c r="N89" s="41"/>
      <c r="O89" s="41"/>
      <c r="P89" s="41"/>
      <c r="Q89" s="41"/>
      <c r="R89" s="41"/>
      <c r="S89" s="41"/>
      <c r="T89" s="41"/>
      <c r="U89" s="41"/>
      <c r="V89" s="41"/>
      <c r="W89" s="41"/>
      <c r="X89" s="41"/>
      <c r="Y89" s="41"/>
      <c r="Z89" s="41"/>
    </row>
    <row r="90" ht="19.5" customHeight="1">
      <c r="A90" s="41"/>
      <c r="B90" s="173" t="s">
        <v>465</v>
      </c>
      <c r="C90" s="156" t="str">
        <f>CONCATENATE(prefix_wld_az1_cidr,"12.101")</f>
        <v>10.23.12.101</v>
      </c>
      <c r="D90" s="18"/>
      <c r="E90" s="191"/>
      <c r="F90" s="41"/>
      <c r="G90" s="41"/>
      <c r="H90" s="41"/>
      <c r="I90" s="41"/>
      <c r="J90" s="41"/>
      <c r="K90" s="41"/>
      <c r="L90" s="41"/>
      <c r="M90" s="41"/>
      <c r="N90" s="41"/>
      <c r="O90" s="41"/>
      <c r="P90" s="41"/>
      <c r="Q90" s="41"/>
      <c r="R90" s="41"/>
      <c r="S90" s="41"/>
      <c r="T90" s="41"/>
      <c r="U90" s="41"/>
      <c r="V90" s="41"/>
      <c r="W90" s="41"/>
      <c r="X90" s="41"/>
      <c r="Y90" s="41"/>
      <c r="Z90" s="41"/>
    </row>
    <row r="91" ht="19.5" customHeight="1">
      <c r="A91" s="41"/>
      <c r="B91" s="173" t="s">
        <v>466</v>
      </c>
      <c r="C91" s="156" t="str">
        <f>CONCATENATE(prefix_wld_az1_cidr,"12.116")</f>
        <v>10.23.12.116</v>
      </c>
      <c r="D91" s="18"/>
      <c r="E91" s="191"/>
      <c r="F91" s="41"/>
      <c r="G91" s="41"/>
      <c r="H91" s="41"/>
      <c r="I91" s="41"/>
      <c r="J91" s="41"/>
      <c r="K91" s="41"/>
      <c r="L91" s="41"/>
      <c r="M91" s="41"/>
      <c r="N91" s="41"/>
      <c r="O91" s="41"/>
      <c r="P91" s="41"/>
      <c r="Q91" s="41"/>
      <c r="R91" s="41"/>
      <c r="S91" s="41"/>
      <c r="T91" s="41"/>
      <c r="U91" s="41"/>
      <c r="V91" s="41"/>
      <c r="W91" s="41"/>
      <c r="X91" s="41"/>
      <c r="Y91" s="41"/>
      <c r="Z91" s="41"/>
    </row>
    <row r="92" ht="19.5" customHeight="1">
      <c r="A92" s="41"/>
      <c r="B92" s="102" t="str">
        <f>IF(wld_principal_storage_chosen="NFSv3","NFS Network","vSAN Network")</f>
        <v>vSAN Network</v>
      </c>
      <c r="C92" s="13"/>
      <c r="D92" s="13"/>
      <c r="E92" s="14"/>
      <c r="F92" s="41"/>
      <c r="G92" s="41"/>
      <c r="H92" s="41"/>
      <c r="I92" s="41"/>
      <c r="J92" s="41"/>
      <c r="K92" s="41"/>
      <c r="L92" s="41"/>
      <c r="M92" s="41"/>
      <c r="N92" s="41"/>
      <c r="O92" s="41"/>
      <c r="P92" s="41"/>
      <c r="Q92" s="41"/>
      <c r="R92" s="41"/>
      <c r="S92" s="41"/>
      <c r="T92" s="41"/>
      <c r="U92" s="41"/>
      <c r="V92" s="41"/>
      <c r="W92" s="41"/>
      <c r="X92" s="41"/>
      <c r="Y92" s="41"/>
      <c r="Z92" s="41"/>
    </row>
    <row r="93" ht="19.5" customHeight="1">
      <c r="A93" s="41"/>
      <c r="B93" s="84" t="s">
        <v>401</v>
      </c>
      <c r="C93" s="156" t="str">
        <f>CONCATENATE(prefix_wld_az1_vlan,"13")</f>
        <v>2313</v>
      </c>
      <c r="D93" s="241"/>
      <c r="E93" s="191"/>
      <c r="F93" s="41"/>
      <c r="G93" s="41"/>
      <c r="H93" s="41"/>
      <c r="I93" s="41"/>
      <c r="J93" s="41"/>
      <c r="K93" s="41"/>
      <c r="L93" s="41"/>
      <c r="M93" s="41"/>
      <c r="N93" s="41"/>
      <c r="O93" s="41"/>
      <c r="P93" s="41"/>
      <c r="Q93" s="41"/>
      <c r="R93" s="41"/>
      <c r="S93" s="41"/>
      <c r="T93" s="41"/>
      <c r="U93" s="41"/>
      <c r="V93" s="41"/>
      <c r="W93" s="41"/>
      <c r="X93" s="41"/>
      <c r="Y93" s="41"/>
      <c r="Z93" s="41"/>
    </row>
    <row r="94" ht="19.5" customHeight="1">
      <c r="A94" s="41"/>
      <c r="B94" s="84" t="s">
        <v>404</v>
      </c>
      <c r="C94" s="156">
        <v>9000.0</v>
      </c>
      <c r="D94" s="18"/>
      <c r="E94" s="191"/>
      <c r="F94" s="41"/>
      <c r="G94" s="41"/>
      <c r="H94" s="41"/>
      <c r="I94" s="41"/>
      <c r="J94" s="41"/>
      <c r="K94" s="41"/>
      <c r="L94" s="41"/>
      <c r="M94" s="41"/>
      <c r="N94" s="41"/>
      <c r="O94" s="41"/>
      <c r="P94" s="41"/>
      <c r="Q94" s="41"/>
      <c r="R94" s="41"/>
      <c r="S94" s="41"/>
      <c r="T94" s="41"/>
      <c r="U94" s="41"/>
      <c r="V94" s="41"/>
      <c r="W94" s="41"/>
      <c r="X94" s="41"/>
      <c r="Y94" s="41"/>
      <c r="Z94" s="41"/>
    </row>
    <row r="95" ht="19.5" customHeight="1">
      <c r="A95" s="41"/>
      <c r="B95" s="84" t="s">
        <v>403</v>
      </c>
      <c r="C95" s="156" t="str">
        <f>CONCATENATE(prefix_wld_az1_cidr,"13.0")</f>
        <v>10.23.13.0</v>
      </c>
      <c r="D95" s="18"/>
      <c r="E95" s="201"/>
      <c r="F95" s="41"/>
      <c r="G95" s="41"/>
      <c r="H95" s="41"/>
      <c r="I95" s="41"/>
      <c r="J95" s="41"/>
      <c r="K95" s="41"/>
      <c r="L95" s="41"/>
      <c r="M95" s="41"/>
      <c r="N95" s="41"/>
      <c r="O95" s="41"/>
      <c r="P95" s="41"/>
      <c r="Q95" s="41"/>
      <c r="R95" s="41"/>
      <c r="S95" s="41"/>
      <c r="T95" s="41"/>
      <c r="U95" s="41"/>
      <c r="V95" s="41"/>
      <c r="W95" s="41"/>
      <c r="X95" s="41"/>
      <c r="Y95" s="41"/>
      <c r="Z95" s="41"/>
    </row>
    <row r="96" ht="19.5" customHeight="1">
      <c r="A96" s="41"/>
      <c r="B96" s="84" t="s">
        <v>743</v>
      </c>
      <c r="C96" s="156" t="s">
        <v>622</v>
      </c>
      <c r="D96" s="18"/>
      <c r="E96" s="191"/>
      <c r="F96" s="41"/>
      <c r="G96" s="41"/>
      <c r="H96" s="41"/>
      <c r="I96" s="41"/>
      <c r="J96" s="41"/>
      <c r="K96" s="41"/>
      <c r="L96" s="41"/>
      <c r="M96" s="41"/>
      <c r="N96" s="41"/>
      <c r="O96" s="41"/>
      <c r="P96" s="41"/>
      <c r="Q96" s="41"/>
      <c r="R96" s="41"/>
      <c r="S96" s="41"/>
      <c r="T96" s="41"/>
      <c r="U96" s="41"/>
      <c r="V96" s="41"/>
      <c r="W96" s="41"/>
      <c r="X96" s="41"/>
      <c r="Y96" s="41"/>
      <c r="Z96" s="41"/>
    </row>
    <row r="97" ht="19.5" customHeight="1">
      <c r="A97" s="41"/>
      <c r="B97" s="84" t="s">
        <v>402</v>
      </c>
      <c r="C97" s="156" t="str">
        <f>CONCATENATE(prefix_wld_az1_cidr,"13.1")</f>
        <v>10.23.13.1</v>
      </c>
      <c r="D97" s="18"/>
      <c r="E97" s="191" t="str">
        <f>IF(AND(mgmt_stretched_cluster_result="Included",mgmt_dpg_reuse_result="Excluded"),"Stretched L2","")</f>
        <v/>
      </c>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173" t="s">
        <v>465</v>
      </c>
      <c r="C98" s="156" t="str">
        <f>CONCATENATE(prefix_wld_az1_cidr,"13.101")</f>
        <v>10.23.13.101</v>
      </c>
      <c r="D98" s="18"/>
      <c r="E98" s="201"/>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173" t="s">
        <v>466</v>
      </c>
      <c r="C99" s="156" t="str">
        <f>CONCATENATE(prefix_wld_az1_cidr,"13.116")</f>
        <v>10.23.13.116</v>
      </c>
      <c r="D99" s="18"/>
      <c r="E99" s="201"/>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102" t="str">
        <f>IF(wld_secondary_storage_chosen="Secondary NFS Storage Network","NFS Storage Network","vSAN Storage Client")</f>
        <v>vSAN Storage Client</v>
      </c>
      <c r="C100" s="13"/>
      <c r="D100" s="13"/>
      <c r="E100" s="14"/>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84" t="s">
        <v>401</v>
      </c>
      <c r="C101" s="156" t="str">
        <f>CONCATENATE(prefix_wld_az1_vlan,"15")</f>
        <v>2315</v>
      </c>
      <c r="D101" s="18"/>
      <c r="E101" s="191"/>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84" t="s">
        <v>404</v>
      </c>
      <c r="C102" s="156">
        <v>9000.0</v>
      </c>
      <c r="D102" s="18"/>
      <c r="E102" s="201"/>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84" t="s">
        <v>403</v>
      </c>
      <c r="C103" s="156" t="str">
        <f>CONCATENATE(prefix_wld_az1_cidr,"15.0")</f>
        <v>10.23.15.0</v>
      </c>
      <c r="D103" s="18"/>
      <c r="E103" s="191"/>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84" t="s">
        <v>743</v>
      </c>
      <c r="C104" s="156" t="s">
        <v>622</v>
      </c>
      <c r="D104" s="18"/>
      <c r="E104" s="191"/>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84" t="s">
        <v>402</v>
      </c>
      <c r="C105" s="156" t="str">
        <f>CONCATENATE(prefix_wld_az1_cidr,"15.1")</f>
        <v>10.23.15.1</v>
      </c>
      <c r="D105" s="18"/>
      <c r="E105" s="191" t="str">
        <f>IF(AND(mgmt_stretched_cluster_result="Included",mgmt_dpg_reuse_result="Excluded"),"Stretched L2","")</f>
        <v/>
      </c>
      <c r="F105" s="41"/>
      <c r="G105" s="41"/>
      <c r="H105" s="41"/>
      <c r="I105" s="41"/>
      <c r="J105" s="41"/>
      <c r="K105" s="41"/>
      <c r="L105" s="41"/>
      <c r="M105" s="41"/>
      <c r="N105" s="41"/>
      <c r="O105" s="41"/>
      <c r="P105" s="41"/>
      <c r="Q105" s="41"/>
      <c r="R105" s="41"/>
      <c r="S105" s="41"/>
      <c r="T105" s="41"/>
      <c r="U105" s="41"/>
      <c r="V105" s="41"/>
      <c r="W105" s="41"/>
      <c r="X105" s="41"/>
      <c r="Y105" s="41"/>
      <c r="Z105" s="41"/>
    </row>
    <row r="106" ht="19.5" customHeight="1">
      <c r="A106" s="41"/>
      <c r="B106" s="173" t="s">
        <v>465</v>
      </c>
      <c r="C106" s="156" t="str">
        <f>CONCATENATE(prefix_wld_az1_cidr,"15.101")</f>
        <v>10.23.15.101</v>
      </c>
      <c r="D106" s="18"/>
      <c r="E106" s="201"/>
      <c r="F106" s="41"/>
      <c r="G106" s="41"/>
      <c r="H106" s="41"/>
      <c r="I106" s="41"/>
      <c r="J106" s="41"/>
      <c r="K106" s="41"/>
      <c r="L106" s="41"/>
      <c r="M106" s="41"/>
      <c r="N106" s="41"/>
      <c r="O106" s="41"/>
      <c r="P106" s="41"/>
      <c r="Q106" s="41"/>
      <c r="R106" s="41"/>
      <c r="S106" s="41"/>
      <c r="T106" s="41"/>
      <c r="U106" s="41"/>
      <c r="V106" s="41"/>
      <c r="W106" s="41"/>
      <c r="X106" s="41"/>
      <c r="Y106" s="41"/>
      <c r="Z106" s="41"/>
    </row>
    <row r="107" ht="19.5" customHeight="1">
      <c r="A107" s="41"/>
      <c r="B107" s="173" t="s">
        <v>466</v>
      </c>
      <c r="C107" s="156" t="str">
        <f>CONCATENATE(prefix_wld_az1_cidr,"15.116")</f>
        <v>10.23.15.116</v>
      </c>
      <c r="D107" s="18"/>
      <c r="E107" s="201"/>
      <c r="F107" s="41"/>
      <c r="G107" s="41"/>
      <c r="H107" s="41"/>
      <c r="I107" s="41"/>
      <c r="J107" s="41"/>
      <c r="K107" s="41"/>
      <c r="L107" s="41"/>
      <c r="M107" s="41"/>
      <c r="N107" s="41"/>
      <c r="O107" s="41"/>
      <c r="P107" s="41"/>
      <c r="Q107" s="41"/>
      <c r="R107" s="41"/>
      <c r="S107" s="41"/>
      <c r="T107" s="41"/>
      <c r="U107" s="41"/>
      <c r="V107" s="41"/>
      <c r="W107" s="41"/>
      <c r="X107" s="41"/>
      <c r="Y107" s="41"/>
      <c r="Z107" s="41"/>
    </row>
    <row r="108" ht="19.5" customHeight="1">
      <c r="A108" s="41"/>
      <c r="B108" s="102" t="s">
        <v>1244</v>
      </c>
      <c r="C108" s="13"/>
      <c r="D108" s="13"/>
      <c r="E108" s="14"/>
      <c r="F108" s="41"/>
      <c r="G108" s="41"/>
      <c r="H108" s="41"/>
      <c r="I108" s="41"/>
      <c r="J108" s="41"/>
      <c r="K108" s="41"/>
      <c r="L108" s="41"/>
      <c r="M108" s="41"/>
      <c r="N108" s="41"/>
      <c r="O108" s="41"/>
      <c r="P108" s="41"/>
      <c r="Q108" s="41"/>
      <c r="R108" s="41"/>
      <c r="S108" s="41"/>
      <c r="T108" s="41"/>
      <c r="U108" s="41"/>
      <c r="V108" s="41"/>
      <c r="W108" s="41"/>
      <c r="X108" s="41"/>
      <c r="Y108" s="41"/>
      <c r="Z108" s="41"/>
    </row>
    <row r="109" ht="19.5" customHeight="1">
      <c r="A109" s="41"/>
      <c r="B109" s="84" t="s">
        <v>401</v>
      </c>
      <c r="C109" s="156" t="str">
        <f>CONCATENATE(prefix_wld_az1_vlan,"16")</f>
        <v>2316</v>
      </c>
      <c r="D109" s="18"/>
      <c r="E109" s="191"/>
      <c r="F109" s="41"/>
      <c r="G109" s="41"/>
      <c r="H109" s="41"/>
      <c r="I109" s="41"/>
      <c r="J109" s="41"/>
      <c r="K109" s="41"/>
      <c r="L109" s="41"/>
      <c r="M109" s="41"/>
      <c r="N109" s="41"/>
      <c r="O109" s="41"/>
      <c r="P109" s="41"/>
      <c r="Q109" s="41"/>
      <c r="R109" s="41"/>
      <c r="S109" s="41"/>
      <c r="T109" s="41"/>
      <c r="U109" s="41"/>
      <c r="V109" s="41"/>
      <c r="W109" s="41"/>
      <c r="X109" s="41"/>
      <c r="Y109" s="41"/>
      <c r="Z109" s="41"/>
    </row>
    <row r="110" ht="19.5" customHeight="1">
      <c r="A110" s="41"/>
      <c r="B110" s="84" t="s">
        <v>404</v>
      </c>
      <c r="C110" s="156">
        <v>9000.0</v>
      </c>
      <c r="D110" s="18"/>
      <c r="E110" s="201"/>
      <c r="F110" s="41"/>
      <c r="G110" s="41"/>
      <c r="H110" s="41"/>
      <c r="I110" s="41"/>
      <c r="J110" s="41"/>
      <c r="K110" s="41"/>
      <c r="L110" s="41"/>
      <c r="M110" s="41"/>
      <c r="N110" s="41"/>
      <c r="O110" s="41"/>
      <c r="P110" s="41"/>
      <c r="Q110" s="41"/>
      <c r="R110" s="41"/>
      <c r="S110" s="41"/>
      <c r="T110" s="41"/>
      <c r="U110" s="41"/>
      <c r="V110" s="41"/>
      <c r="W110" s="41"/>
      <c r="X110" s="41"/>
      <c r="Y110" s="41"/>
      <c r="Z110" s="41"/>
    </row>
    <row r="111" ht="19.5" customHeight="1">
      <c r="A111" s="41"/>
      <c r="B111" s="84" t="s">
        <v>403</v>
      </c>
      <c r="C111" s="156" t="str">
        <f>CONCATENATE(prefix_wld_az1_cidr,"16.0")</f>
        <v>10.23.16.0</v>
      </c>
      <c r="D111" s="18"/>
      <c r="E111" s="191"/>
      <c r="F111" s="41"/>
      <c r="G111" s="41"/>
      <c r="H111" s="41"/>
      <c r="I111" s="41"/>
      <c r="J111" s="41"/>
      <c r="K111" s="41"/>
      <c r="L111" s="41"/>
      <c r="M111" s="41"/>
      <c r="N111" s="41"/>
      <c r="O111" s="41"/>
      <c r="P111" s="41"/>
      <c r="Q111" s="41"/>
      <c r="R111" s="41"/>
      <c r="S111" s="41"/>
      <c r="T111" s="41"/>
      <c r="U111" s="41"/>
      <c r="V111" s="41"/>
      <c r="W111" s="41"/>
      <c r="X111" s="41"/>
      <c r="Y111" s="41"/>
      <c r="Z111" s="41"/>
    </row>
    <row r="112" ht="19.5" customHeight="1">
      <c r="A112" s="41"/>
      <c r="B112" s="84" t="s">
        <v>743</v>
      </c>
      <c r="C112" s="156" t="s">
        <v>622</v>
      </c>
      <c r="D112" s="18"/>
      <c r="E112" s="191"/>
      <c r="F112" s="41"/>
      <c r="G112" s="41"/>
      <c r="H112" s="41"/>
      <c r="I112" s="41"/>
      <c r="J112" s="41"/>
      <c r="K112" s="41"/>
      <c r="L112" s="41"/>
      <c r="M112" s="41"/>
      <c r="N112" s="41"/>
      <c r="O112" s="41"/>
      <c r="P112" s="41"/>
      <c r="Q112" s="41"/>
      <c r="R112" s="41"/>
      <c r="S112" s="41"/>
      <c r="T112" s="41"/>
      <c r="U112" s="41"/>
      <c r="V112" s="41"/>
      <c r="W112" s="41"/>
      <c r="X112" s="41"/>
      <c r="Y112" s="41"/>
      <c r="Z112" s="41"/>
    </row>
    <row r="113" ht="19.5" customHeight="1">
      <c r="A113" s="41"/>
      <c r="B113" s="84" t="s">
        <v>402</v>
      </c>
      <c r="C113" s="156" t="str">
        <f>CONCATENATE(prefix_wld_az1_cidr,"16.1")</f>
        <v>10.23.16.1</v>
      </c>
      <c r="D113" s="18"/>
      <c r="E113" s="191" t="str">
        <f>IF(AND(mgmt_stretched_cluster_result="Included",mgmt_dpg_reuse_result="Excluded"),"Stretched L2","")</f>
        <v/>
      </c>
      <c r="F113" s="41"/>
      <c r="G113" s="41"/>
      <c r="H113" s="41"/>
      <c r="I113" s="41"/>
      <c r="J113" s="41"/>
      <c r="K113" s="41"/>
      <c r="L113" s="41"/>
      <c r="M113" s="41"/>
      <c r="N113" s="41"/>
      <c r="O113" s="41"/>
      <c r="P113" s="41"/>
      <c r="Q113" s="41"/>
      <c r="R113" s="41"/>
      <c r="S113" s="41"/>
      <c r="T113" s="41"/>
      <c r="U113" s="41"/>
      <c r="V113" s="41"/>
      <c r="W113" s="41"/>
      <c r="X113" s="41"/>
      <c r="Y113" s="41"/>
      <c r="Z113" s="41"/>
    </row>
    <row r="114" ht="19.5" customHeight="1">
      <c r="A114" s="41"/>
      <c r="B114" s="173" t="s">
        <v>465</v>
      </c>
      <c r="C114" s="156" t="str">
        <f>CONCATENATE(prefix_wld_az1_cidr,"16.101")</f>
        <v>10.23.16.101</v>
      </c>
      <c r="D114" s="18"/>
      <c r="E114" s="201"/>
      <c r="F114" s="41"/>
      <c r="G114" s="41"/>
      <c r="H114" s="41"/>
      <c r="I114" s="41"/>
      <c r="J114" s="41"/>
      <c r="K114" s="41"/>
      <c r="L114" s="41"/>
      <c r="M114" s="41"/>
      <c r="N114" s="41"/>
      <c r="O114" s="41"/>
      <c r="P114" s="41"/>
      <c r="Q114" s="41"/>
      <c r="R114" s="41"/>
      <c r="S114" s="41"/>
      <c r="T114" s="41"/>
      <c r="U114" s="41"/>
      <c r="V114" s="41"/>
      <c r="W114" s="41"/>
      <c r="X114" s="41"/>
      <c r="Y114" s="41"/>
      <c r="Z114" s="41"/>
    </row>
    <row r="115" ht="19.5" customHeight="1">
      <c r="A115" s="41"/>
      <c r="B115" s="173" t="s">
        <v>466</v>
      </c>
      <c r="C115" s="156" t="str">
        <f>CONCATENATE(prefix_wld_az1_cidr,"16.116")</f>
        <v>10.23.16.116</v>
      </c>
      <c r="D115" s="18"/>
      <c r="E115" s="20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33.75" customHeight="1">
      <c r="A117" s="41"/>
      <c r="B117" s="197" t="s">
        <v>1245</v>
      </c>
      <c r="C117" s="13"/>
      <c r="D117" s="13"/>
      <c r="E117" s="14"/>
      <c r="F117" s="41"/>
      <c r="G117" s="41"/>
      <c r="H117" s="41"/>
      <c r="I117" s="41"/>
      <c r="J117" s="41"/>
      <c r="K117" s="41"/>
      <c r="L117" s="41"/>
      <c r="M117" s="41"/>
      <c r="N117" s="41"/>
      <c r="O117" s="41"/>
      <c r="P117" s="41"/>
      <c r="Q117" s="41"/>
      <c r="R117" s="41"/>
      <c r="S117" s="41"/>
      <c r="T117" s="41"/>
      <c r="U117" s="41"/>
      <c r="V117" s="41"/>
      <c r="W117" s="41"/>
      <c r="X117" s="41"/>
      <c r="Y117" s="41"/>
      <c r="Z117" s="41"/>
    </row>
    <row r="118" ht="19.5" customHeight="1">
      <c r="A118" s="41"/>
      <c r="B118" s="102"/>
      <c r="C118" s="13"/>
      <c r="D118" s="13"/>
      <c r="E118" s="14"/>
      <c r="F118" s="41"/>
      <c r="G118" s="41"/>
      <c r="H118" s="41"/>
      <c r="I118" s="41"/>
      <c r="J118" s="41"/>
      <c r="K118" s="41"/>
      <c r="L118" s="41"/>
      <c r="M118" s="41"/>
      <c r="N118" s="41"/>
      <c r="O118" s="41"/>
      <c r="P118" s="41"/>
      <c r="Q118" s="41"/>
      <c r="R118" s="41"/>
      <c r="S118" s="41"/>
      <c r="T118" s="41"/>
      <c r="U118" s="41"/>
      <c r="V118" s="41"/>
      <c r="W118" s="41"/>
      <c r="X118" s="41"/>
      <c r="Y118" s="41"/>
      <c r="Z118" s="41"/>
    </row>
    <row r="119" ht="19.5" customHeight="1">
      <c r="A119" s="41"/>
      <c r="B119" s="49" t="s">
        <v>37</v>
      </c>
      <c r="C119" s="49" t="s">
        <v>273</v>
      </c>
      <c r="D119" s="49" t="s">
        <v>274</v>
      </c>
      <c r="E119" s="49" t="s">
        <v>5</v>
      </c>
      <c r="F119" s="41"/>
      <c r="G119" s="41"/>
      <c r="H119" s="41"/>
      <c r="I119" s="41"/>
      <c r="J119" s="41"/>
      <c r="K119" s="41"/>
      <c r="L119" s="41"/>
      <c r="M119" s="41"/>
      <c r="N119" s="41"/>
      <c r="O119" s="41"/>
      <c r="P119" s="41"/>
      <c r="Q119" s="41"/>
      <c r="R119" s="41"/>
      <c r="S119" s="41"/>
      <c r="T119" s="41"/>
      <c r="U119" s="41"/>
      <c r="V119" s="41"/>
      <c r="W119" s="41"/>
      <c r="X119" s="41"/>
      <c r="Y119" s="41"/>
      <c r="Z119" s="41"/>
    </row>
    <row r="120" ht="19.5" customHeight="1">
      <c r="A120" s="41"/>
      <c r="B120" s="173" t="s">
        <v>697</v>
      </c>
      <c r="C120" s="160" t="str">
        <f>CONCATENATE(this_instance,"01-w0",wld_domain_number_chosen,"-r01-esx01",".",sample_child_dns_zone)</f>
        <v>lax01-w01-r01-esx01.lax.rainpole.io</v>
      </c>
      <c r="D120" s="18"/>
      <c r="E120" s="191"/>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173" t="s">
        <v>698</v>
      </c>
      <c r="C121" s="242" t="str">
        <f>CONCATENATE(this_instance,"01-w0",wld_domain_number_chosen,"-r01-esx02",".",sample_child_dns_zone)</f>
        <v>lax01-w01-r01-esx02.lax.rainpole.io</v>
      </c>
      <c r="D121" s="18"/>
      <c r="E121" s="191"/>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173" t="s">
        <v>699</v>
      </c>
      <c r="C122" s="242" t="str">
        <f>CONCATENATE(this_instance,"01-w0",wld_domain_number_chosen,"-r01-esx03",".",sample_child_dns_zone)</f>
        <v>lax01-w01-r01-esx03.lax.rainpole.io</v>
      </c>
      <c r="D122" s="18"/>
      <c r="E122" s="191"/>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173" t="s">
        <v>700</v>
      </c>
      <c r="C123" s="242" t="str">
        <f>CONCATENATE(this_instance,"01-w0",wld_domain_number_chosen,"-r01-esx04",".",sample_child_dns_zone)</f>
        <v>lax01-w01-r01-esx04.lax.rainpole.io</v>
      </c>
      <c r="D123" s="18"/>
      <c r="E123" s="191"/>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173" t="s">
        <v>701</v>
      </c>
      <c r="C124" s="242" t="str">
        <f>CONCATENATE(this_instance,"01-w0",wld_domain_number_chosen,"-r01-esx05",".",sample_child_dns_zone)</f>
        <v>lax01-w01-r01-esx05.lax.rainpole.io</v>
      </c>
      <c r="D124" s="18"/>
      <c r="E124" s="191"/>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173" t="s">
        <v>702</v>
      </c>
      <c r="C125" s="242" t="str">
        <f>CONCATENATE(this_instance,"01-w0",wld_domain_number_chosen,"-r01-esx06",".",sample_child_dns_zone)</f>
        <v>lax01-w01-r01-esx06.lax.rainpole.io</v>
      </c>
      <c r="D125" s="18"/>
      <c r="E125" s="191"/>
      <c r="F125" s="41"/>
      <c r="G125" s="41"/>
      <c r="H125" s="41"/>
      <c r="I125" s="41"/>
      <c r="J125" s="41"/>
      <c r="K125" s="41"/>
      <c r="L125" s="41"/>
      <c r="M125" s="41"/>
      <c r="N125" s="41"/>
      <c r="O125" s="41"/>
      <c r="P125" s="41"/>
      <c r="Q125" s="41"/>
      <c r="R125" s="41"/>
      <c r="S125" s="41"/>
      <c r="T125" s="41"/>
      <c r="U125" s="41"/>
      <c r="V125" s="41"/>
      <c r="W125" s="41"/>
      <c r="X125" s="41"/>
      <c r="Y125" s="41"/>
      <c r="Z125" s="41"/>
    </row>
    <row r="126" ht="19.5" customHeight="1">
      <c r="A126" s="41"/>
      <c r="B126" s="173" t="s">
        <v>703</v>
      </c>
      <c r="C126" s="242" t="str">
        <f>CONCATENATE(this_instance,"01-w0",wld_domain_number_chosen,"-r01-esx07",".",sample_child_dns_zone)</f>
        <v>lax01-w01-r01-esx07.lax.rainpole.io</v>
      </c>
      <c r="D126" s="18"/>
      <c r="E126" s="191"/>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173" t="s">
        <v>704</v>
      </c>
      <c r="C127" s="242" t="str">
        <f>CONCATENATE(this_instance,"01-w0",wld_domain_number_chosen,"-r01-esx08",".",sample_child_dns_zone)</f>
        <v>lax01-w01-r01-esx08.lax.rainpole.io</v>
      </c>
      <c r="D127" s="18"/>
      <c r="E127" s="191"/>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173" t="s">
        <v>705</v>
      </c>
      <c r="C128" s="242" t="str">
        <f>CONCATENATE(this_instance,"01-w0",wld_domain_number_chosen,"-r01-esx09",".",sample_child_dns_zone)</f>
        <v>lax01-w01-r01-esx09.lax.rainpole.io</v>
      </c>
      <c r="D128" s="18"/>
      <c r="E128" s="191"/>
      <c r="F128" s="41"/>
      <c r="G128" s="41"/>
      <c r="H128" s="41"/>
      <c r="I128" s="41"/>
      <c r="J128" s="41"/>
      <c r="K128" s="41"/>
      <c r="L128" s="41"/>
      <c r="M128" s="41"/>
      <c r="N128" s="41"/>
      <c r="O128" s="41"/>
      <c r="P128" s="41"/>
      <c r="Q128" s="41"/>
      <c r="R128" s="41"/>
      <c r="S128" s="41"/>
      <c r="T128" s="41"/>
      <c r="U128" s="41"/>
      <c r="V128" s="41"/>
      <c r="W128" s="41"/>
      <c r="X128" s="41"/>
      <c r="Y128" s="41"/>
      <c r="Z128" s="41"/>
    </row>
    <row r="129" ht="19.5" customHeight="1">
      <c r="A129" s="41"/>
      <c r="B129" s="173" t="s">
        <v>706</v>
      </c>
      <c r="C129" s="242" t="str">
        <f>CONCATENATE(this_instance,"01-w0",wld_domain_number_chosen,"-r01-esx10",".",sample_child_dns_zone)</f>
        <v>lax01-w01-r01-esx10.lax.rainpole.io</v>
      </c>
      <c r="D129" s="18"/>
      <c r="E129" s="191"/>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173" t="s">
        <v>707</v>
      </c>
      <c r="C130" s="242" t="str">
        <f>CONCATENATE(this_instance,"01-w0",wld_domain_number_chosen,"-r01-esx11",".",sample_child_dns_zone)</f>
        <v>lax01-w01-r01-esx11.lax.rainpole.io</v>
      </c>
      <c r="D130" s="18"/>
      <c r="E130" s="191"/>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173" t="s">
        <v>708</v>
      </c>
      <c r="C131" s="242" t="str">
        <f>CONCATENATE(this_instance,"01-w0",wld_domain_number_chosen,"-r01-esx12",".",sample_child_dns_zone)</f>
        <v>lax01-w01-r01-esx12.lax.rainpole.io</v>
      </c>
      <c r="D131" s="18"/>
      <c r="E131" s="191"/>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173" t="s">
        <v>709</v>
      </c>
      <c r="C132" s="242" t="str">
        <f>CONCATENATE(this_instance,"01-w0",wld_domain_number_chosen,"-r01-esx13",".",sample_child_dns_zone)</f>
        <v>lax01-w01-r01-esx13.lax.rainpole.io</v>
      </c>
      <c r="D132" s="18"/>
      <c r="E132" s="191"/>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173" t="s">
        <v>710</v>
      </c>
      <c r="C133" s="242" t="str">
        <f>CONCATENATE(this_instance,"01-w0",wld_domain_number_chosen,"-r01-esx14",".",sample_child_dns_zone)</f>
        <v>lax01-w01-r01-esx14.lax.rainpole.io</v>
      </c>
      <c r="D133" s="18"/>
      <c r="E133" s="191"/>
      <c r="F133" s="41"/>
      <c r="G133" s="41"/>
      <c r="H133" s="41"/>
      <c r="I133" s="41"/>
      <c r="J133" s="41"/>
      <c r="K133" s="41"/>
      <c r="L133" s="41"/>
      <c r="M133" s="41"/>
      <c r="N133" s="41"/>
      <c r="O133" s="41"/>
      <c r="P133" s="41"/>
      <c r="Q133" s="41"/>
      <c r="R133" s="41"/>
      <c r="S133" s="41"/>
      <c r="T133" s="41"/>
      <c r="U133" s="41"/>
      <c r="V133" s="41"/>
      <c r="W133" s="41"/>
      <c r="X133" s="41"/>
      <c r="Y133" s="41"/>
      <c r="Z133" s="41"/>
    </row>
    <row r="134" ht="19.5" customHeight="1">
      <c r="A134" s="41"/>
      <c r="B134" s="173" t="s">
        <v>711</v>
      </c>
      <c r="C134" s="242" t="str">
        <f>CONCATENATE(this_instance,"01-w0",wld_domain_number_chosen,"-r01-esx15",".",sample_child_dns_zone)</f>
        <v>lax01-w01-r01-esx15.lax.rainpole.io</v>
      </c>
      <c r="D134" s="18"/>
      <c r="E134" s="191"/>
      <c r="F134" s="41"/>
      <c r="G134" s="41"/>
      <c r="H134" s="41"/>
      <c r="I134" s="41"/>
      <c r="J134" s="41"/>
      <c r="K134" s="41"/>
      <c r="L134" s="41"/>
      <c r="M134" s="41"/>
      <c r="N134" s="41"/>
      <c r="O134" s="41"/>
      <c r="P134" s="41"/>
      <c r="Q134" s="41"/>
      <c r="R134" s="41"/>
      <c r="S134" s="41"/>
      <c r="T134" s="41"/>
      <c r="U134" s="41"/>
      <c r="V134" s="41"/>
      <c r="W134" s="41"/>
      <c r="X134" s="41"/>
      <c r="Y134" s="41"/>
      <c r="Z134" s="41"/>
    </row>
    <row r="135" ht="19.5" customHeight="1">
      <c r="A135" s="41"/>
      <c r="B135" s="173" t="s">
        <v>712</v>
      </c>
      <c r="C135" s="242" t="str">
        <f>CONCATENATE(this_instance,"01-w0",wld_domain_number_chosen,"-r01-esx16",".",sample_child_dns_zone)</f>
        <v>lax01-w01-r01-esx16.lax.rainpole.io</v>
      </c>
      <c r="D135" s="18"/>
      <c r="E135" s="191"/>
      <c r="F135" s="41"/>
      <c r="G135" s="41"/>
      <c r="H135" s="41"/>
      <c r="I135" s="41"/>
      <c r="J135" s="41"/>
      <c r="K135" s="41"/>
      <c r="L135" s="41"/>
      <c r="M135" s="41"/>
      <c r="N135" s="41"/>
      <c r="O135" s="41"/>
      <c r="P135" s="41"/>
      <c r="Q135" s="41"/>
      <c r="R135" s="41"/>
      <c r="S135" s="41"/>
      <c r="T135" s="41"/>
      <c r="U135" s="41"/>
      <c r="V135" s="41"/>
      <c r="W135" s="41"/>
      <c r="X135" s="41"/>
      <c r="Y135" s="41"/>
      <c r="Z135" s="41"/>
    </row>
    <row r="136" ht="19.5" customHeight="1">
      <c r="A136" s="41"/>
      <c r="B136" s="173" t="s">
        <v>723</v>
      </c>
      <c r="C136" s="149" t="s">
        <v>724</v>
      </c>
      <c r="D136" s="18"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36" s="191"/>
      <c r="F136" s="41"/>
      <c r="G136" s="41"/>
      <c r="H136" s="41"/>
      <c r="I136" s="41"/>
      <c r="J136" s="41"/>
      <c r="K136" s="41"/>
      <c r="L136" s="41"/>
      <c r="M136" s="41"/>
      <c r="N136" s="41"/>
      <c r="O136" s="41"/>
      <c r="P136" s="41"/>
      <c r="Q136" s="41"/>
      <c r="R136" s="41"/>
      <c r="S136" s="41"/>
      <c r="T136" s="41"/>
      <c r="U136" s="41"/>
      <c r="V136" s="41"/>
      <c r="W136" s="41"/>
      <c r="X136" s="41"/>
      <c r="Y136" s="41"/>
      <c r="Z136" s="41"/>
    </row>
    <row r="137" ht="19.5" customHeight="1">
      <c r="A137" s="41"/>
      <c r="B137" s="173" t="s">
        <v>725</v>
      </c>
      <c r="C137" s="149" t="s">
        <v>726</v>
      </c>
      <c r="D137" s="18" t="str">
        <f>IF(wld_principal_storage_chosen="vSAN Storage Cluster","vSAN Storage",IF(wld_principal_storage_chosen="vSAN Compute Cluster","Compute Cluster",IF(OR(wld_principal_storage_chosen="vSAN-ESA",wld_principal_storage_chosen="vSAN-OSA"),"vSAN HCI","")))</f>
        <v>vSAN HCI</v>
      </c>
      <c r="E137" s="191"/>
      <c r="F137" s="41"/>
      <c r="G137" s="41"/>
      <c r="H137" s="41"/>
      <c r="I137" s="41"/>
      <c r="J137" s="41"/>
      <c r="K137" s="41"/>
      <c r="L137" s="41"/>
      <c r="M137" s="41"/>
      <c r="N137" s="41"/>
      <c r="O137" s="41"/>
      <c r="P137" s="41"/>
      <c r="Q137" s="41"/>
      <c r="R137" s="41"/>
      <c r="S137" s="41"/>
      <c r="T137" s="41"/>
      <c r="U137" s="41"/>
      <c r="V137" s="41"/>
      <c r="W137" s="41"/>
      <c r="X137" s="41"/>
      <c r="Y137" s="41"/>
      <c r="Z137" s="41"/>
    </row>
    <row r="138" ht="19.5" customHeight="1">
      <c r="A138" s="41"/>
      <c r="B138" s="173" t="s">
        <v>727</v>
      </c>
      <c r="C138" s="149" t="s">
        <v>285</v>
      </c>
      <c r="D138" s="18" t="str">
        <f>IF(OR(wld_principal_storage_chosen="vSAN-ESA",wld_principal_storage_chosen="vSAN Storage Cluster",wld_principal_storage_chosen="vSAN Compute Cluster"),"Selected","Unselected")</f>
        <v>Selected</v>
      </c>
      <c r="E138" s="191"/>
      <c r="F138" s="41"/>
      <c r="G138" s="41"/>
      <c r="H138" s="41"/>
      <c r="I138" s="41"/>
      <c r="J138" s="41"/>
      <c r="K138" s="41"/>
      <c r="L138" s="41"/>
      <c r="M138" s="41"/>
      <c r="N138" s="41"/>
      <c r="O138" s="41"/>
      <c r="P138" s="41"/>
      <c r="Q138" s="41"/>
      <c r="R138" s="41"/>
      <c r="S138" s="41"/>
      <c r="T138" s="41"/>
      <c r="U138" s="41"/>
      <c r="V138" s="41"/>
      <c r="W138" s="41"/>
      <c r="X138" s="41"/>
      <c r="Y138" s="41"/>
      <c r="Z138" s="41"/>
    </row>
    <row r="139" ht="19.5" customHeight="1">
      <c r="A139" s="41"/>
      <c r="B139" s="173" t="s">
        <v>716</v>
      </c>
      <c r="C139" s="149" t="str">
        <f>sample_wld_az1_pool_name</f>
        <v>lax01-w01-r01-network-pool-01</v>
      </c>
      <c r="D139" s="18" t="str">
        <f>wld_az1_pool_name</f>
        <v>Value Missing</v>
      </c>
      <c r="E139" s="191"/>
      <c r="F139" s="41"/>
      <c r="G139" s="41"/>
      <c r="H139" s="41"/>
      <c r="I139" s="41"/>
      <c r="J139" s="41"/>
      <c r="K139" s="41"/>
      <c r="L139" s="41"/>
      <c r="M139" s="41"/>
      <c r="N139" s="41"/>
      <c r="O139" s="41"/>
      <c r="P139" s="41"/>
      <c r="Q139" s="41"/>
      <c r="R139" s="41"/>
      <c r="S139" s="41"/>
      <c r="T139" s="41"/>
      <c r="U139" s="41"/>
      <c r="V139" s="41"/>
      <c r="W139" s="41"/>
      <c r="X139" s="41"/>
      <c r="Y139" s="41"/>
      <c r="Z139" s="41"/>
    </row>
    <row r="140" ht="19.5" customHeight="1">
      <c r="A140" s="41"/>
      <c r="B140" s="173" t="s">
        <v>545</v>
      </c>
      <c r="C140" s="149" t="s">
        <v>728</v>
      </c>
      <c r="D140" s="18"/>
      <c r="E140" s="191"/>
      <c r="F140" s="41"/>
      <c r="G140" s="41"/>
      <c r="H140" s="41"/>
      <c r="I140" s="41"/>
      <c r="J140" s="41"/>
      <c r="K140" s="41"/>
      <c r="L140" s="41"/>
      <c r="M140" s="41"/>
      <c r="N140" s="41"/>
      <c r="O140" s="41"/>
      <c r="P140" s="41"/>
      <c r="Q140" s="41"/>
      <c r="R140" s="41"/>
      <c r="S140" s="41"/>
      <c r="T140" s="41"/>
      <c r="U140" s="41"/>
      <c r="V140" s="41"/>
      <c r="W140" s="41"/>
      <c r="X140" s="41"/>
      <c r="Y140" s="41"/>
      <c r="Z140" s="41"/>
    </row>
    <row r="141" ht="19.5" customHeight="1">
      <c r="A141" s="35"/>
      <c r="B141" s="173" t="s">
        <v>296</v>
      </c>
      <c r="C141" s="149" t="s">
        <v>382</v>
      </c>
      <c r="D141" s="18"/>
      <c r="E141" s="191"/>
      <c r="F141" s="35"/>
      <c r="G141" s="35"/>
      <c r="H141" s="35"/>
      <c r="I141" s="40"/>
      <c r="J141" s="35"/>
      <c r="K141" s="35"/>
      <c r="L141" s="35"/>
      <c r="M141" s="35"/>
      <c r="N141" s="35"/>
      <c r="O141" s="35"/>
      <c r="P141" s="35"/>
      <c r="Q141" s="35"/>
      <c r="R141" s="35"/>
      <c r="S141" s="35"/>
      <c r="T141" s="35"/>
      <c r="U141" s="35"/>
      <c r="V141" s="35"/>
      <c r="W141" s="35"/>
      <c r="X141" s="35"/>
      <c r="Y141" s="35"/>
      <c r="Z141" s="35"/>
    </row>
    <row r="142" ht="15.75" customHeight="1">
      <c r="A142" s="41"/>
      <c r="B142" s="35"/>
      <c r="C142" s="35"/>
      <c r="D142" s="35"/>
      <c r="E142" s="35"/>
      <c r="F142" s="41"/>
      <c r="G142" s="41"/>
      <c r="H142" s="41"/>
      <c r="I142" s="41"/>
      <c r="J142" s="41"/>
      <c r="K142" s="41"/>
      <c r="L142" s="41"/>
      <c r="M142" s="41"/>
      <c r="N142" s="41"/>
      <c r="O142" s="41"/>
      <c r="P142" s="41"/>
      <c r="Q142" s="41"/>
      <c r="R142" s="41"/>
      <c r="S142" s="41"/>
      <c r="T142" s="41"/>
      <c r="U142" s="41"/>
      <c r="V142" s="41"/>
      <c r="W142" s="41"/>
      <c r="X142" s="41"/>
      <c r="Y142" s="41"/>
      <c r="Z142" s="41"/>
    </row>
    <row r="143" ht="33.75" customHeight="1">
      <c r="A143" s="41"/>
      <c r="B143" s="197" t="s">
        <v>1246</v>
      </c>
      <c r="C143" s="13"/>
      <c r="D143" s="13"/>
      <c r="E143" s="14"/>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35"/>
      <c r="C144" s="35"/>
      <c r="D144" s="35"/>
      <c r="E144" s="35"/>
      <c r="F144" s="41"/>
      <c r="G144" s="41"/>
      <c r="H144" s="41"/>
      <c r="I144" s="41"/>
      <c r="J144" s="41"/>
      <c r="K144" s="41"/>
      <c r="L144" s="41"/>
      <c r="M144" s="41"/>
      <c r="N144" s="41"/>
      <c r="O144" s="41"/>
      <c r="P144" s="41"/>
      <c r="Q144" s="41"/>
      <c r="R144" s="41"/>
      <c r="S144" s="41"/>
      <c r="T144" s="41"/>
      <c r="U144" s="41"/>
      <c r="V144" s="41"/>
      <c r="W144" s="41"/>
      <c r="X144" s="41"/>
      <c r="Y144" s="41"/>
      <c r="Z144" s="41"/>
    </row>
    <row r="145" ht="33.75" customHeight="1">
      <c r="A145" s="41"/>
      <c r="B145" s="12" t="s">
        <v>310</v>
      </c>
      <c r="C145" s="13"/>
      <c r="D145" s="13"/>
      <c r="E145" s="14"/>
      <c r="F145" s="41"/>
      <c r="G145" s="41"/>
      <c r="H145" s="41"/>
      <c r="I145" s="41"/>
      <c r="J145" s="41"/>
      <c r="K145" s="41"/>
      <c r="L145" s="41"/>
      <c r="M145" s="41"/>
      <c r="N145" s="41"/>
      <c r="O145" s="41"/>
      <c r="P145" s="41"/>
      <c r="Q145" s="41"/>
      <c r="R145" s="41"/>
      <c r="S145" s="41"/>
      <c r="T145" s="41"/>
      <c r="U145" s="41"/>
      <c r="V145" s="41"/>
      <c r="W145" s="41"/>
      <c r="X145" s="41"/>
      <c r="Y145" s="41"/>
      <c r="Z145" s="41"/>
    </row>
    <row r="146" ht="19.5" customHeight="1">
      <c r="A146" s="41"/>
      <c r="B146" s="102" t="s">
        <v>311</v>
      </c>
      <c r="C146" s="13"/>
      <c r="D146" s="13"/>
      <c r="E146" s="14"/>
      <c r="F146" s="41"/>
      <c r="G146" s="41"/>
      <c r="H146" s="41"/>
      <c r="I146" s="41"/>
      <c r="J146" s="41"/>
      <c r="K146" s="41"/>
      <c r="L146" s="41"/>
      <c r="M146" s="41"/>
      <c r="N146" s="41"/>
      <c r="O146" s="41"/>
      <c r="P146" s="41"/>
      <c r="Q146" s="41"/>
      <c r="R146" s="41"/>
      <c r="S146" s="41"/>
      <c r="T146" s="41"/>
      <c r="U146" s="41"/>
      <c r="V146" s="41"/>
      <c r="W146" s="41"/>
      <c r="X146" s="41"/>
      <c r="Y146" s="41"/>
      <c r="Z146" s="41"/>
    </row>
    <row r="147" ht="19.5" customHeight="1">
      <c r="A147" s="41"/>
      <c r="B147" s="49" t="s">
        <v>37</v>
      </c>
      <c r="C147" s="49" t="s">
        <v>273</v>
      </c>
      <c r="D147" s="49" t="s">
        <v>274</v>
      </c>
      <c r="E147" s="49" t="s">
        <v>5</v>
      </c>
      <c r="F147" s="41"/>
      <c r="G147" s="41"/>
      <c r="H147" s="41"/>
      <c r="I147" s="41"/>
      <c r="J147" s="41"/>
      <c r="K147" s="41"/>
      <c r="L147" s="41"/>
      <c r="M147" s="41"/>
      <c r="N147" s="41"/>
      <c r="O147" s="41"/>
      <c r="P147" s="41"/>
      <c r="Q147" s="41"/>
      <c r="R147" s="41"/>
      <c r="S147" s="41"/>
      <c r="T147" s="41"/>
      <c r="U147" s="41"/>
      <c r="V147" s="41"/>
      <c r="W147" s="41"/>
      <c r="X147" s="41"/>
      <c r="Y147" s="41"/>
      <c r="Z147" s="41"/>
    </row>
    <row r="148" ht="19.5" customHeight="1">
      <c r="A148" s="41"/>
      <c r="B148" s="173" t="s">
        <v>1212</v>
      </c>
      <c r="C148" s="110" t="str">
        <f>CONCATENATE(this_instance,"-w0",wld_domain_number_chosen)</f>
        <v>lax-w01</v>
      </c>
      <c r="D148" s="18"/>
      <c r="E148" s="191"/>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243" t="s">
        <v>1247</v>
      </c>
      <c r="C149" s="110" t="s">
        <v>673</v>
      </c>
      <c r="D149" s="18" t="str">
        <f>wld_iaas_chosen</f>
        <v>Exclude</v>
      </c>
      <c r="E149" s="243" t="s">
        <v>1248</v>
      </c>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173" t="s">
        <v>1249</v>
      </c>
      <c r="C150" s="110" t="str">
        <f>CONCATENATE(this_instance,"-w0",wld_domain_number_chosen,".local")</f>
        <v>lax-w01.local</v>
      </c>
      <c r="D150" s="18"/>
      <c r="E150" s="191"/>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173" t="s">
        <v>1250</v>
      </c>
      <c r="C151" s="110" t="s">
        <v>284</v>
      </c>
      <c r="D151" s="18" t="s">
        <v>284</v>
      </c>
      <c r="E151" s="191"/>
      <c r="F151" s="41"/>
      <c r="G151" s="41"/>
      <c r="H151" s="41"/>
      <c r="I151" s="41"/>
      <c r="J151" s="41"/>
      <c r="K151" s="41"/>
      <c r="L151" s="41"/>
      <c r="M151" s="41"/>
      <c r="N151" s="41"/>
      <c r="O151" s="41"/>
      <c r="P151" s="41"/>
      <c r="Q151" s="41"/>
      <c r="R151" s="41"/>
      <c r="S151" s="41"/>
      <c r="T151" s="41"/>
      <c r="U151" s="41"/>
      <c r="V151" s="41"/>
      <c r="W151" s="41"/>
      <c r="X151" s="41"/>
      <c r="Y151" s="41"/>
      <c r="Z151" s="41"/>
    </row>
    <row r="152" ht="19.5" customHeight="1">
      <c r="A152" s="41"/>
      <c r="B152" s="173" t="s">
        <v>1251</v>
      </c>
      <c r="C152" s="110" t="s">
        <v>297</v>
      </c>
      <c r="D152" s="18"/>
      <c r="E152" s="19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35"/>
      <c r="C153" s="35"/>
      <c r="D153" s="35"/>
      <c r="E153" s="35"/>
      <c r="F153" s="41"/>
      <c r="G153" s="41"/>
      <c r="H153" s="41"/>
      <c r="I153" s="41"/>
      <c r="J153" s="41"/>
      <c r="K153" s="41"/>
      <c r="L153" s="41"/>
      <c r="M153" s="41"/>
      <c r="N153" s="41"/>
      <c r="O153" s="41"/>
      <c r="P153" s="41"/>
      <c r="Q153" s="41"/>
      <c r="R153" s="41"/>
      <c r="S153" s="41"/>
      <c r="T153" s="41"/>
      <c r="U153" s="41"/>
      <c r="V153" s="41"/>
      <c r="W153" s="41"/>
      <c r="X153" s="41"/>
      <c r="Y153" s="41"/>
      <c r="Z153" s="41"/>
    </row>
    <row r="154" ht="33.75" customHeight="1">
      <c r="A154" s="41"/>
      <c r="B154" s="12" t="s">
        <v>299</v>
      </c>
      <c r="C154" s="13"/>
      <c r="D154" s="13"/>
      <c r="E154" s="14"/>
      <c r="F154" s="41"/>
      <c r="G154" s="41"/>
      <c r="H154" s="41"/>
      <c r="I154" s="41"/>
      <c r="J154" s="41"/>
      <c r="K154" s="41"/>
      <c r="L154" s="41"/>
      <c r="M154" s="41"/>
      <c r="N154" s="41"/>
      <c r="O154" s="41"/>
      <c r="P154" s="41"/>
      <c r="Q154" s="41"/>
      <c r="R154" s="41"/>
      <c r="S154" s="41"/>
      <c r="T154" s="41"/>
      <c r="U154" s="41"/>
      <c r="V154" s="41"/>
      <c r="W154" s="41"/>
      <c r="X154" s="41"/>
      <c r="Y154" s="41"/>
      <c r="Z154" s="41"/>
    </row>
    <row r="155" ht="19.5" customHeight="1">
      <c r="A155" s="41"/>
      <c r="B155" s="102" t="s">
        <v>299</v>
      </c>
      <c r="C155" s="13"/>
      <c r="D155" s="13"/>
      <c r="E155" s="14"/>
      <c r="F155" s="41"/>
      <c r="G155" s="41"/>
      <c r="H155" s="41"/>
      <c r="I155" s="41"/>
      <c r="J155" s="41"/>
      <c r="K155" s="41"/>
      <c r="L155" s="41"/>
      <c r="M155" s="41"/>
      <c r="N155" s="41"/>
      <c r="O155" s="41"/>
      <c r="P155" s="41"/>
      <c r="Q155" s="41"/>
      <c r="R155" s="41"/>
      <c r="S155" s="41"/>
      <c r="T155" s="41"/>
      <c r="U155" s="41"/>
      <c r="V155" s="41"/>
      <c r="W155" s="41"/>
      <c r="X155" s="41"/>
      <c r="Y155" s="41"/>
      <c r="Z155" s="41"/>
    </row>
    <row r="156" ht="19.5" customHeight="1">
      <c r="A156" s="41"/>
      <c r="B156" s="49" t="s">
        <v>37</v>
      </c>
      <c r="C156" s="49" t="s">
        <v>273</v>
      </c>
      <c r="D156" s="49" t="s">
        <v>274</v>
      </c>
      <c r="E156" s="49" t="s">
        <v>5</v>
      </c>
      <c r="F156" s="41"/>
      <c r="G156" s="41"/>
      <c r="H156" s="41"/>
      <c r="I156" s="41"/>
      <c r="J156" s="41"/>
      <c r="K156" s="41"/>
      <c r="L156" s="41"/>
      <c r="M156" s="41"/>
      <c r="N156" s="41"/>
      <c r="O156" s="41"/>
      <c r="P156" s="41"/>
      <c r="Q156" s="41"/>
      <c r="R156" s="41"/>
      <c r="S156" s="41"/>
      <c r="T156" s="41"/>
      <c r="U156" s="41"/>
      <c r="V156" s="41"/>
      <c r="W156" s="41"/>
      <c r="X156" s="41"/>
      <c r="Y156" s="41"/>
      <c r="Z156" s="41"/>
    </row>
    <row r="157" ht="18.75" customHeight="1">
      <c r="A157" s="41"/>
      <c r="B157" s="173" t="s">
        <v>1252</v>
      </c>
      <c r="C157" s="188" t="str">
        <f>CONCATENATE(this_instance,"-w0",wld_domain_number_chosen,"-vc01",".",sample_child_dns_zone)</f>
        <v>lax-w01-vc01.lax.rainpole.io</v>
      </c>
      <c r="D157" s="18"/>
      <c r="E157" s="191"/>
      <c r="F157" s="41"/>
      <c r="G157" s="41"/>
      <c r="H157" s="41"/>
      <c r="I157" s="41"/>
      <c r="J157" s="41"/>
      <c r="K157" s="41"/>
      <c r="L157" s="41"/>
      <c r="M157" s="41"/>
      <c r="N157" s="41"/>
      <c r="O157" s="41"/>
      <c r="P157" s="41"/>
      <c r="Q157" s="41"/>
      <c r="R157" s="41"/>
      <c r="S157" s="41"/>
      <c r="T157" s="41"/>
      <c r="U157" s="41"/>
      <c r="V157" s="41"/>
      <c r="W157" s="41"/>
      <c r="X157" s="41"/>
      <c r="Y157" s="41"/>
      <c r="Z157" s="41"/>
    </row>
    <row r="158" ht="18.75" customHeight="1">
      <c r="A158" s="41"/>
      <c r="B158" s="173" t="s">
        <v>1253</v>
      </c>
      <c r="C158" s="203" t="s">
        <v>297</v>
      </c>
      <c r="D158" s="18"/>
      <c r="E158" s="19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35"/>
      <c r="C159" s="35"/>
      <c r="D159" s="35"/>
      <c r="E159" s="35"/>
      <c r="F159" s="41"/>
      <c r="G159" s="41"/>
      <c r="H159" s="41"/>
      <c r="I159" s="41"/>
      <c r="J159" s="41"/>
      <c r="K159" s="41"/>
      <c r="L159" s="41"/>
      <c r="M159" s="41"/>
      <c r="N159" s="41"/>
      <c r="O159" s="41"/>
      <c r="P159" s="41"/>
      <c r="Q159" s="41"/>
      <c r="R159" s="41"/>
      <c r="S159" s="41"/>
      <c r="T159" s="41"/>
      <c r="U159" s="41"/>
      <c r="V159" s="41"/>
      <c r="W159" s="41"/>
      <c r="X159" s="41"/>
      <c r="Y159" s="41"/>
      <c r="Z159" s="41"/>
    </row>
    <row r="160" ht="33.75" customHeight="1">
      <c r="A160" s="41"/>
      <c r="B160" s="12" t="s">
        <v>1178</v>
      </c>
      <c r="C160" s="13"/>
      <c r="D160" s="13"/>
      <c r="E160" s="14"/>
      <c r="F160" s="41"/>
      <c r="G160" s="41"/>
      <c r="H160" s="41"/>
      <c r="I160" s="41"/>
      <c r="J160" s="41"/>
      <c r="K160" s="41"/>
      <c r="L160" s="41"/>
      <c r="M160" s="41"/>
      <c r="N160" s="41"/>
      <c r="O160" s="41"/>
      <c r="P160" s="41"/>
      <c r="Q160" s="41"/>
      <c r="R160" s="41"/>
      <c r="S160" s="41"/>
      <c r="T160" s="41"/>
      <c r="U160" s="41"/>
      <c r="V160" s="41"/>
      <c r="W160" s="41"/>
      <c r="X160" s="41"/>
      <c r="Y160" s="41"/>
      <c r="Z160" s="41"/>
    </row>
    <row r="161" ht="19.5" customHeight="1">
      <c r="A161" s="41"/>
      <c r="B161" s="102" t="s">
        <v>1254</v>
      </c>
      <c r="C161" s="13"/>
      <c r="D161" s="13"/>
      <c r="E161" s="14"/>
      <c r="F161" s="41"/>
      <c r="G161" s="41"/>
      <c r="H161" s="41"/>
      <c r="I161" s="41"/>
      <c r="J161" s="41"/>
      <c r="K161" s="41"/>
      <c r="L161" s="41"/>
      <c r="M161" s="41"/>
      <c r="N161" s="41"/>
      <c r="O161" s="41"/>
      <c r="P161" s="41"/>
      <c r="Q161" s="41"/>
      <c r="R161" s="41"/>
      <c r="S161" s="41"/>
      <c r="T161" s="41"/>
      <c r="U161" s="41"/>
      <c r="V161" s="41"/>
      <c r="W161" s="41"/>
      <c r="X161" s="41"/>
      <c r="Y161" s="41"/>
      <c r="Z161" s="41"/>
    </row>
    <row r="162" ht="19.5" customHeight="1">
      <c r="A162" s="41"/>
      <c r="B162" s="49" t="s">
        <v>37</v>
      </c>
      <c r="C162" s="49" t="s">
        <v>273</v>
      </c>
      <c r="D162" s="49" t="s">
        <v>274</v>
      </c>
      <c r="E162" s="49" t="s">
        <v>5</v>
      </c>
      <c r="F162" s="41"/>
      <c r="G162" s="41"/>
      <c r="H162" s="41"/>
      <c r="I162" s="41"/>
      <c r="J162" s="41"/>
      <c r="K162" s="41"/>
      <c r="L162" s="41"/>
      <c r="M162" s="41"/>
      <c r="N162" s="41"/>
      <c r="O162" s="41"/>
      <c r="P162" s="41"/>
      <c r="Q162" s="41"/>
      <c r="R162" s="41"/>
      <c r="S162" s="41"/>
      <c r="T162" s="41"/>
      <c r="U162" s="41"/>
      <c r="V162" s="41"/>
      <c r="W162" s="41"/>
      <c r="X162" s="41"/>
      <c r="Y162" s="41"/>
      <c r="Z162" s="41"/>
    </row>
    <row r="163" ht="19.5" customHeight="1">
      <c r="A163" s="41"/>
      <c r="B163" s="173" t="s">
        <v>355</v>
      </c>
      <c r="C163" s="110" t="str">
        <f>CONCATENATE(this_instance,"-w0",wld_domain_number_chosen,"-cl01")</f>
        <v>lax-w01-cl01</v>
      </c>
      <c r="D163" s="18"/>
      <c r="E163" s="191"/>
      <c r="F163" s="41"/>
      <c r="G163" s="41"/>
      <c r="H163" s="41"/>
      <c r="I163" s="41"/>
      <c r="J163" s="41"/>
      <c r="K163" s="41"/>
      <c r="L163" s="41"/>
      <c r="M163" s="41"/>
      <c r="N163" s="41"/>
      <c r="O163" s="41"/>
      <c r="P163" s="41"/>
      <c r="Q163" s="41"/>
      <c r="R163" s="41"/>
      <c r="S163" s="41"/>
      <c r="T163" s="41"/>
      <c r="U163" s="41"/>
      <c r="V163" s="41"/>
      <c r="W163" s="41"/>
      <c r="X163" s="41"/>
      <c r="Y163" s="41"/>
      <c r="Z163" s="41"/>
    </row>
    <row r="164" ht="18.75" customHeight="1">
      <c r="A164" s="41"/>
      <c r="B164" s="173" t="s">
        <v>1255</v>
      </c>
      <c r="C164" s="110" t="s">
        <v>1256</v>
      </c>
      <c r="D164" s="18"/>
      <c r="E164" s="18" t="str">
        <f>IF(wld_iaas_chosen="Exclude","This value is masked out as you have chosen not to deploy vSphere Supervisor with NSX VPC Networking")</f>
        <v>This value is masked out as you have chosen not to deploy vSphere Supervisor with NSX VPC Networking</v>
      </c>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35"/>
      <c r="C165" s="35"/>
      <c r="D165" s="35"/>
      <c r="E165" s="35"/>
      <c r="F165" s="41"/>
      <c r="G165" s="41"/>
      <c r="H165" s="41"/>
      <c r="I165" s="41"/>
      <c r="J165" s="41"/>
      <c r="K165" s="41"/>
      <c r="L165" s="41"/>
      <c r="M165" s="41"/>
      <c r="N165" s="41"/>
      <c r="O165" s="41"/>
      <c r="P165" s="41"/>
      <c r="Q165" s="41"/>
      <c r="R165" s="41"/>
      <c r="S165" s="41"/>
      <c r="T165" s="41"/>
      <c r="U165" s="41"/>
      <c r="V165" s="41"/>
      <c r="W165" s="41"/>
      <c r="X165" s="41"/>
      <c r="Y165" s="41"/>
      <c r="Z165" s="41"/>
    </row>
    <row r="166" ht="33.75" customHeight="1">
      <c r="A166" s="41"/>
      <c r="B166" s="12" t="s">
        <v>1257</v>
      </c>
      <c r="C166" s="13"/>
      <c r="D166" s="13"/>
      <c r="E166" s="14"/>
      <c r="F166" s="41"/>
      <c r="G166" s="41"/>
      <c r="H166" s="41"/>
      <c r="I166" s="41"/>
      <c r="J166" s="41"/>
      <c r="K166" s="41"/>
      <c r="L166" s="41"/>
      <c r="M166" s="41"/>
      <c r="N166" s="41"/>
      <c r="O166" s="41"/>
      <c r="P166" s="41"/>
      <c r="Q166" s="41"/>
      <c r="R166" s="41"/>
      <c r="S166" s="41"/>
      <c r="T166" s="41"/>
      <c r="U166" s="41"/>
      <c r="V166" s="41"/>
      <c r="W166" s="41"/>
      <c r="X166" s="41"/>
      <c r="Y166" s="41"/>
      <c r="Z166" s="41"/>
    </row>
    <row r="167" ht="19.5" customHeight="1">
      <c r="A167" s="41"/>
      <c r="B167" s="102" t="s">
        <v>1258</v>
      </c>
      <c r="C167" s="13"/>
      <c r="D167" s="13"/>
      <c r="E167" s="14"/>
      <c r="F167" s="41"/>
      <c r="G167" s="41"/>
      <c r="H167" s="41"/>
      <c r="I167" s="41"/>
      <c r="J167" s="41"/>
      <c r="K167" s="41"/>
      <c r="L167" s="41"/>
      <c r="M167" s="41"/>
      <c r="N167" s="41"/>
      <c r="O167" s="41"/>
      <c r="P167" s="41"/>
      <c r="Q167" s="41"/>
      <c r="R167" s="41"/>
      <c r="S167" s="41"/>
      <c r="T167" s="41"/>
      <c r="U167" s="41"/>
      <c r="V167" s="41"/>
      <c r="W167" s="41"/>
      <c r="X167" s="41"/>
      <c r="Y167" s="41"/>
      <c r="Z167" s="41"/>
    </row>
    <row r="168" ht="18.75" customHeight="1">
      <c r="A168" s="41"/>
      <c r="B168" s="173" t="s">
        <v>1257</v>
      </c>
      <c r="C168" s="110" t="str">
        <f>CONCATENATE(this_instance,"-w0",wld_domain_number_chosen,"-cl01")</f>
        <v>lax-w01-cl01</v>
      </c>
      <c r="D168" s="18"/>
      <c r="E168" s="19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35"/>
      <c r="C169" s="35"/>
      <c r="D169" s="35"/>
      <c r="E169" s="35"/>
      <c r="F169" s="41"/>
      <c r="G169" s="41"/>
      <c r="H169" s="41"/>
      <c r="I169" s="41"/>
      <c r="J169" s="41"/>
      <c r="K169" s="41"/>
      <c r="L169" s="41"/>
      <c r="M169" s="41"/>
      <c r="N169" s="41"/>
      <c r="O169" s="41"/>
      <c r="P169" s="41"/>
      <c r="Q169" s="41"/>
      <c r="R169" s="41"/>
      <c r="S169" s="41"/>
      <c r="T169" s="41"/>
      <c r="U169" s="41"/>
      <c r="V169" s="41"/>
      <c r="W169" s="41"/>
      <c r="X169" s="41"/>
      <c r="Y169" s="41"/>
      <c r="Z169" s="41"/>
    </row>
    <row r="170" ht="33.75" customHeight="1">
      <c r="A170" s="41"/>
      <c r="B170" s="12" t="s">
        <v>300</v>
      </c>
      <c r="C170" s="13"/>
      <c r="D170" s="13"/>
      <c r="E170" s="14"/>
      <c r="F170" s="41"/>
      <c r="G170" s="41"/>
      <c r="H170" s="41"/>
      <c r="I170" s="41"/>
      <c r="J170" s="41"/>
      <c r="K170" s="41"/>
      <c r="L170" s="41"/>
      <c r="M170" s="41"/>
      <c r="N170" s="41"/>
      <c r="O170" s="41"/>
      <c r="P170" s="41"/>
      <c r="Q170" s="41"/>
      <c r="R170" s="41"/>
      <c r="S170" s="41"/>
      <c r="T170" s="41"/>
      <c r="U170" s="41"/>
      <c r="V170" s="41"/>
      <c r="W170" s="41"/>
      <c r="X170" s="41"/>
      <c r="Y170" s="41"/>
      <c r="Z170" s="41"/>
    </row>
    <row r="171" ht="19.5" customHeight="1">
      <c r="A171" s="41"/>
      <c r="B171" s="102" t="s">
        <v>1221</v>
      </c>
      <c r="C171" s="13"/>
      <c r="D171" s="13"/>
      <c r="E171" s="14"/>
      <c r="F171" s="41"/>
      <c r="G171" s="41"/>
      <c r="H171" s="41"/>
      <c r="I171" s="41"/>
      <c r="J171" s="41"/>
      <c r="K171" s="41"/>
      <c r="L171" s="41"/>
      <c r="M171" s="41"/>
      <c r="N171" s="41"/>
      <c r="O171" s="41"/>
      <c r="P171" s="41"/>
      <c r="Q171" s="41"/>
      <c r="R171" s="41"/>
      <c r="S171" s="41"/>
      <c r="T171" s="41"/>
      <c r="U171" s="41"/>
      <c r="V171" s="41"/>
      <c r="W171" s="41"/>
      <c r="X171" s="41"/>
      <c r="Y171" s="41"/>
      <c r="Z171" s="41"/>
    </row>
    <row r="172" ht="19.5" customHeight="1">
      <c r="A172" s="41"/>
      <c r="B172" s="49" t="s">
        <v>37</v>
      </c>
      <c r="C172" s="49" t="s">
        <v>273</v>
      </c>
      <c r="D172" s="49" t="s">
        <v>274</v>
      </c>
      <c r="E172" s="49" t="s">
        <v>5</v>
      </c>
      <c r="F172" s="41"/>
      <c r="G172" s="41"/>
      <c r="H172" s="41"/>
      <c r="I172" s="41"/>
      <c r="J172" s="41"/>
      <c r="K172" s="41"/>
      <c r="L172" s="41"/>
      <c r="M172" s="41"/>
      <c r="N172" s="41"/>
      <c r="O172" s="41"/>
      <c r="P172" s="41"/>
      <c r="Q172" s="41"/>
      <c r="R172" s="41"/>
      <c r="S172" s="41"/>
      <c r="T172" s="41"/>
      <c r="U172" s="41"/>
      <c r="V172" s="41"/>
      <c r="W172" s="41"/>
      <c r="X172" s="41"/>
      <c r="Y172" s="41"/>
      <c r="Z172" s="41"/>
    </row>
    <row r="173" ht="19.5" customHeight="1">
      <c r="A173" s="41"/>
      <c r="B173" s="173" t="s">
        <v>1224</v>
      </c>
      <c r="C173" s="110" t="s">
        <v>1259</v>
      </c>
      <c r="D173" s="18" t="s">
        <v>1259</v>
      </c>
      <c r="E173" s="191"/>
      <c r="F173" s="41"/>
      <c r="G173" s="41"/>
      <c r="H173" s="41"/>
      <c r="I173" s="41"/>
      <c r="J173" s="41"/>
      <c r="K173" s="41"/>
      <c r="L173" s="41"/>
      <c r="M173" s="41"/>
      <c r="N173" s="41"/>
      <c r="O173" s="41"/>
      <c r="P173" s="41"/>
      <c r="Q173" s="41"/>
      <c r="R173" s="41"/>
      <c r="S173" s="41"/>
      <c r="T173" s="41"/>
      <c r="U173" s="41"/>
      <c r="V173" s="41"/>
      <c r="W173" s="41"/>
      <c r="X173" s="41"/>
      <c r="Y173" s="41"/>
      <c r="Z173" s="41"/>
    </row>
    <row r="174" ht="19.5" customHeight="1">
      <c r="A174" s="41"/>
      <c r="B174" s="173" t="s">
        <v>351</v>
      </c>
      <c r="C174" s="110" t="s">
        <v>212</v>
      </c>
      <c r="D174" s="18" t="s">
        <v>212</v>
      </c>
      <c r="E174" s="191"/>
      <c r="F174" s="41"/>
      <c r="G174" s="41"/>
      <c r="H174" s="41"/>
      <c r="I174" s="41"/>
      <c r="J174" s="41"/>
      <c r="K174" s="41"/>
      <c r="L174" s="41"/>
      <c r="M174" s="41"/>
      <c r="N174" s="41"/>
      <c r="O174" s="41"/>
      <c r="P174" s="41"/>
      <c r="Q174" s="41"/>
      <c r="R174" s="41"/>
      <c r="S174" s="41"/>
      <c r="T174" s="41"/>
      <c r="U174" s="41"/>
      <c r="V174" s="41"/>
      <c r="W174" s="41"/>
      <c r="X174" s="41"/>
      <c r="Y174" s="41"/>
      <c r="Z174" s="41"/>
    </row>
    <row r="175" ht="19.5" customHeight="1">
      <c r="A175" s="41"/>
      <c r="B175" s="173" t="s">
        <v>362</v>
      </c>
      <c r="C175" s="188" t="str">
        <f>CONCATENATE(this_instance,"-w0",wld_domain_number_chosen,"-nsx01a",".",sample_child_dns_zone)</f>
        <v>lax-w01-nsx01a.lax.rainpole.io</v>
      </c>
      <c r="D175" s="244"/>
      <c r="E175" s="190" t="s">
        <v>1226</v>
      </c>
      <c r="F175" s="41"/>
      <c r="G175" s="41"/>
      <c r="H175" s="41"/>
      <c r="I175" s="41"/>
      <c r="J175" s="41"/>
      <c r="K175" s="41"/>
      <c r="L175" s="41"/>
      <c r="M175" s="41"/>
      <c r="N175" s="41"/>
      <c r="O175" s="41"/>
      <c r="P175" s="41"/>
      <c r="Q175" s="41"/>
      <c r="R175" s="41"/>
      <c r="S175" s="41"/>
      <c r="T175" s="41"/>
      <c r="U175" s="41"/>
      <c r="V175" s="41"/>
      <c r="W175" s="41"/>
      <c r="X175" s="41"/>
      <c r="Y175" s="41"/>
      <c r="Z175" s="41"/>
    </row>
    <row r="176" ht="19.5" customHeight="1">
      <c r="A176" s="41"/>
      <c r="B176" s="173" t="s">
        <v>1260</v>
      </c>
      <c r="C176" s="203" t="str">
        <f>IF(mgmt_dpg_reuse_result="Included",CONCATENATE(prefix_mgmt_az1_cidr,"10.",(132 + (30*(wld_domain_number_chosen - 1)))),CONCATENATE(prefix_mgmt_az1_cidr,"11.",(132 + (30*(wld_domain_number_chosen - 1)))))</f>
        <v>10.21.10.132</v>
      </c>
      <c r="D176" s="18"/>
      <c r="E176" s="190" t="s">
        <v>1261</v>
      </c>
      <c r="F176" s="41"/>
      <c r="G176" s="41"/>
      <c r="H176" s="41"/>
      <c r="I176" s="41"/>
      <c r="J176" s="41"/>
      <c r="K176" s="41"/>
      <c r="L176" s="41"/>
      <c r="M176" s="41"/>
      <c r="N176" s="41"/>
      <c r="O176" s="41"/>
      <c r="P176" s="41"/>
      <c r="Q176" s="41"/>
      <c r="R176" s="41"/>
      <c r="S176" s="41"/>
      <c r="T176" s="41"/>
      <c r="U176" s="41"/>
      <c r="V176" s="41"/>
      <c r="W176" s="41"/>
      <c r="X176" s="41"/>
      <c r="Y176" s="41"/>
      <c r="Z176" s="41"/>
    </row>
    <row r="177" ht="19.5" customHeight="1">
      <c r="A177" s="41"/>
      <c r="B177" s="173" t="s">
        <v>1227</v>
      </c>
      <c r="C177" s="188" t="str">
        <f>CONCATENATE(this_instance,"-w0",wld_domain_number_chosen,"-nsx01b",".",sample_child_dns_zone)</f>
        <v>lax-w01-nsx01b.lax.rainpole.io</v>
      </c>
      <c r="D177" s="18"/>
      <c r="E177" s="190" t="s">
        <v>1228</v>
      </c>
      <c r="F177" s="41"/>
      <c r="G177" s="41"/>
      <c r="H177" s="41"/>
      <c r="I177" s="41"/>
      <c r="J177" s="41"/>
      <c r="K177" s="41"/>
      <c r="L177" s="41"/>
      <c r="M177" s="41"/>
      <c r="N177" s="41"/>
      <c r="O177" s="41"/>
      <c r="P177" s="41"/>
      <c r="Q177" s="41"/>
      <c r="R177" s="41"/>
      <c r="S177" s="41"/>
      <c r="T177" s="41"/>
      <c r="U177" s="41"/>
      <c r="V177" s="41"/>
      <c r="W177" s="41"/>
      <c r="X177" s="41"/>
      <c r="Y177" s="41"/>
      <c r="Z177" s="41"/>
    </row>
    <row r="178" ht="19.5" customHeight="1">
      <c r="A178" s="41"/>
      <c r="B178" s="173" t="s">
        <v>1262</v>
      </c>
      <c r="C178" s="203" t="str">
        <f>IF(mgmt_dpg_reuse_result="Included",CONCATENATE(prefix_mgmt_az1_cidr,"10.",(133 + (30*(wld_domain_number_chosen - 1)))),CONCATENATE(prefix_mgmt_az1_cidr,"11.",(133 + (30*(wld_domain_number_chosen - 1)))))</f>
        <v>10.21.10.133</v>
      </c>
      <c r="D178" s="18"/>
      <c r="E178" s="190" t="s">
        <v>1261</v>
      </c>
      <c r="F178" s="41"/>
      <c r="G178" s="41"/>
      <c r="H178" s="41"/>
      <c r="I178" s="41"/>
      <c r="J178" s="41"/>
      <c r="K178" s="41"/>
      <c r="L178" s="41"/>
      <c r="M178" s="41"/>
      <c r="N178" s="41"/>
      <c r="O178" s="41"/>
      <c r="P178" s="41"/>
      <c r="Q178" s="41"/>
      <c r="R178" s="41"/>
      <c r="S178" s="41"/>
      <c r="T178" s="41"/>
      <c r="U178" s="41"/>
      <c r="V178" s="41"/>
      <c r="W178" s="41"/>
      <c r="X178" s="41"/>
      <c r="Y178" s="41"/>
      <c r="Z178" s="41"/>
    </row>
    <row r="179" ht="19.5" customHeight="1">
      <c r="A179" s="41"/>
      <c r="B179" s="173" t="s">
        <v>1229</v>
      </c>
      <c r="C179" s="188" t="str">
        <f>CONCATENATE(this_instance,"-w0",wld_domain_number_chosen,"-nsx01c",".",sample_child_dns_zone)</f>
        <v>lax-w01-nsx01c.lax.rainpole.io</v>
      </c>
      <c r="D179" s="18"/>
      <c r="E179" s="190" t="s">
        <v>1230</v>
      </c>
      <c r="F179" s="41"/>
      <c r="G179" s="41"/>
      <c r="H179" s="41"/>
      <c r="I179" s="41"/>
      <c r="J179" s="41"/>
      <c r="K179" s="41"/>
      <c r="L179" s="41"/>
      <c r="M179" s="41"/>
      <c r="N179" s="41"/>
      <c r="O179" s="41"/>
      <c r="P179" s="41"/>
      <c r="Q179" s="41"/>
      <c r="R179" s="41"/>
      <c r="S179" s="41"/>
      <c r="T179" s="41"/>
      <c r="U179" s="41"/>
      <c r="V179" s="41"/>
      <c r="W179" s="41"/>
      <c r="X179" s="41"/>
      <c r="Y179" s="41"/>
      <c r="Z179" s="41"/>
    </row>
    <row r="180" ht="19.5" customHeight="1">
      <c r="A180" s="41"/>
      <c r="B180" s="173" t="s">
        <v>1263</v>
      </c>
      <c r="C180" s="203" t="str">
        <f>IF(mgmt_dpg_reuse_result="Included",CONCATENATE(prefix_mgmt_az1_cidr,"10.",(134 + (30*(wld_domain_number_chosen - 1)))),CONCATENATE(prefix_mgmt_az1_cidr,"11.",(134 + (30*(wld_domain_number_chosen - 1)))))</f>
        <v>10.21.10.134</v>
      </c>
      <c r="D180" s="18"/>
      <c r="E180" s="190" t="s">
        <v>1261</v>
      </c>
      <c r="F180" s="41"/>
      <c r="G180" s="41"/>
      <c r="H180" s="41"/>
      <c r="I180" s="41"/>
      <c r="J180" s="41"/>
      <c r="K180" s="41"/>
      <c r="L180" s="41"/>
      <c r="M180" s="41"/>
      <c r="N180" s="41"/>
      <c r="O180" s="41"/>
      <c r="P180" s="41"/>
      <c r="Q180" s="41"/>
      <c r="R180" s="41"/>
      <c r="S180" s="41"/>
      <c r="T180" s="41"/>
      <c r="U180" s="41"/>
      <c r="V180" s="41"/>
      <c r="W180" s="41"/>
      <c r="X180" s="41"/>
      <c r="Y180" s="41"/>
      <c r="Z180" s="41"/>
    </row>
    <row r="181" ht="19.5" customHeight="1">
      <c r="A181" s="41"/>
      <c r="B181" s="173" t="s">
        <v>1231</v>
      </c>
      <c r="C181" s="188" t="str">
        <f>CONCATENATE(this_instance,"-w0",wld_domain_number_chosen,"-nsx01",".",sample_child_dns_zone)</f>
        <v>lax-w01-nsx01.lax.rainpole.io</v>
      </c>
      <c r="D181" s="244"/>
      <c r="E181" s="190" t="s">
        <v>1232</v>
      </c>
      <c r="F181" s="41"/>
      <c r="G181" s="41"/>
      <c r="H181" s="41"/>
      <c r="I181" s="41"/>
      <c r="J181" s="41"/>
      <c r="K181" s="41"/>
      <c r="L181" s="41"/>
      <c r="M181" s="41"/>
      <c r="N181" s="41"/>
      <c r="O181" s="41"/>
      <c r="P181" s="41"/>
      <c r="Q181" s="41"/>
      <c r="R181" s="41"/>
      <c r="S181" s="41"/>
      <c r="T181" s="41"/>
      <c r="U181" s="41"/>
      <c r="V181" s="41"/>
      <c r="W181" s="41"/>
      <c r="X181" s="41"/>
      <c r="Y181" s="41"/>
      <c r="Z181" s="41"/>
    </row>
    <row r="182" ht="19.5" customHeight="1">
      <c r="A182" s="41"/>
      <c r="B182" s="173" t="s">
        <v>1264</v>
      </c>
      <c r="C182" s="203" t="str">
        <f>IF(mgmt_dpg_reuse_result="Included",CONCATENATE(prefix_mgmt_az1_cidr,"10.",(131+(30*(wld_domain_number_chosen-1)))),CONCATENATE(prefix_mgmt_az1_cidr,"11.",(131+(30*(wld_domain_number_chosen-1)))))</f>
        <v>10.21.10.131</v>
      </c>
      <c r="D182" s="18"/>
      <c r="E182" s="190" t="s">
        <v>1261</v>
      </c>
      <c r="F182" s="41"/>
      <c r="G182" s="41"/>
      <c r="H182" s="41"/>
      <c r="I182" s="41"/>
      <c r="J182" s="41"/>
      <c r="K182" s="41"/>
      <c r="L182" s="41"/>
      <c r="M182" s="41"/>
      <c r="N182" s="41"/>
      <c r="O182" s="41"/>
      <c r="P182" s="41"/>
      <c r="Q182" s="41"/>
      <c r="R182" s="41"/>
      <c r="S182" s="41"/>
      <c r="T182" s="41"/>
      <c r="U182" s="41"/>
      <c r="V182" s="41"/>
      <c r="W182" s="41"/>
      <c r="X182" s="41"/>
      <c r="Y182" s="41"/>
      <c r="Z182" s="41"/>
    </row>
    <row r="183" ht="19.5" customHeight="1">
      <c r="A183" s="41"/>
      <c r="B183" s="173" t="s">
        <v>685</v>
      </c>
      <c r="C183" s="110" t="s">
        <v>297</v>
      </c>
      <c r="D183" s="18"/>
      <c r="E183" s="191"/>
      <c r="F183" s="41"/>
      <c r="G183" s="41"/>
      <c r="H183" s="41"/>
      <c r="I183" s="41"/>
      <c r="J183" s="41"/>
      <c r="K183" s="41"/>
      <c r="L183" s="41"/>
      <c r="M183" s="41"/>
      <c r="N183" s="41"/>
      <c r="O183" s="41"/>
      <c r="P183" s="41"/>
      <c r="Q183" s="41"/>
      <c r="R183" s="41"/>
      <c r="S183" s="41"/>
      <c r="T183" s="41"/>
      <c r="U183" s="41"/>
      <c r="V183" s="41"/>
      <c r="W183" s="41"/>
      <c r="X183" s="41"/>
      <c r="Y183" s="41"/>
      <c r="Z183" s="41"/>
    </row>
    <row r="184" ht="19.5" customHeight="1">
      <c r="A184" s="41"/>
      <c r="B184" s="173" t="s">
        <v>365</v>
      </c>
      <c r="C184" s="110" t="s">
        <v>297</v>
      </c>
      <c r="D184" s="18"/>
      <c r="E184" s="191"/>
      <c r="F184" s="41"/>
      <c r="G184" s="41"/>
      <c r="H184" s="41"/>
      <c r="I184" s="41"/>
      <c r="J184" s="41"/>
      <c r="K184" s="41"/>
      <c r="L184" s="41"/>
      <c r="M184" s="41"/>
      <c r="N184" s="41"/>
      <c r="O184" s="41"/>
      <c r="P184" s="41"/>
      <c r="Q184" s="41"/>
      <c r="R184" s="41"/>
      <c r="S184" s="41"/>
      <c r="T184" s="41"/>
      <c r="U184" s="41"/>
      <c r="V184" s="41"/>
      <c r="W184" s="41"/>
      <c r="X184" s="41"/>
      <c r="Y184" s="41"/>
      <c r="Z184" s="41"/>
    </row>
    <row r="185" ht="19.5" customHeight="1">
      <c r="A185" s="41"/>
      <c r="B185" s="173" t="s">
        <v>1265</v>
      </c>
      <c r="C185" s="110" t="s">
        <v>517</v>
      </c>
      <c r="D185" s="18" t="s">
        <v>517</v>
      </c>
      <c r="E185" s="18" t="str">
        <f>IF(wld_iaas_result="Included","vSphere Supervisor requires a Centralized Connectivity","")</f>
        <v/>
      </c>
      <c r="F185" s="41"/>
      <c r="G185" s="41"/>
      <c r="H185" s="41"/>
      <c r="I185" s="41"/>
      <c r="J185" s="41"/>
      <c r="K185" s="41"/>
      <c r="L185" s="41"/>
      <c r="M185" s="41"/>
      <c r="N185" s="41"/>
      <c r="O185" s="41"/>
      <c r="P185" s="41"/>
      <c r="Q185" s="41"/>
      <c r="R185" s="41"/>
      <c r="S185" s="41"/>
      <c r="T185" s="41"/>
      <c r="U185" s="41"/>
      <c r="V185" s="41"/>
      <c r="W185" s="41"/>
      <c r="X185" s="41"/>
      <c r="Y185" s="41"/>
      <c r="Z185" s="41"/>
    </row>
    <row r="186" ht="19.5" customHeight="1">
      <c r="A186" s="41"/>
      <c r="B186" s="173" t="s">
        <v>401</v>
      </c>
      <c r="C186" s="110">
        <v>1198.0</v>
      </c>
      <c r="D186" s="18"/>
      <c r="E186" s="191"/>
      <c r="F186" s="41"/>
      <c r="G186" s="41"/>
      <c r="H186" s="41"/>
      <c r="I186" s="41"/>
      <c r="J186" s="41"/>
      <c r="K186" s="41"/>
      <c r="L186" s="41"/>
      <c r="M186" s="41"/>
      <c r="N186" s="41"/>
      <c r="O186" s="41"/>
      <c r="P186" s="41"/>
      <c r="Q186" s="41"/>
      <c r="R186" s="41"/>
      <c r="S186" s="41"/>
      <c r="T186" s="41"/>
      <c r="U186" s="41"/>
      <c r="V186" s="41"/>
      <c r="W186" s="41"/>
      <c r="X186" s="41"/>
      <c r="Y186" s="41"/>
      <c r="Z186" s="41"/>
    </row>
    <row r="187" ht="19.5" customHeight="1">
      <c r="A187" s="41"/>
      <c r="B187" s="173" t="s">
        <v>1266</v>
      </c>
      <c r="C187" s="110" t="s">
        <v>582</v>
      </c>
      <c r="D187" s="18"/>
      <c r="E187" s="191"/>
      <c r="F187" s="41"/>
      <c r="G187" s="41"/>
      <c r="H187" s="41"/>
      <c r="I187" s="41"/>
      <c r="J187" s="41"/>
      <c r="K187" s="41"/>
      <c r="L187" s="41"/>
      <c r="M187" s="41"/>
      <c r="N187" s="41"/>
      <c r="O187" s="41"/>
      <c r="P187" s="41"/>
      <c r="Q187" s="41"/>
      <c r="R187" s="41"/>
      <c r="S187" s="41"/>
      <c r="T187" s="41"/>
      <c r="U187" s="41"/>
      <c r="V187" s="41"/>
      <c r="W187" s="41"/>
      <c r="X187" s="41"/>
      <c r="Y187" s="41"/>
      <c r="Z187" s="41"/>
    </row>
    <row r="188" ht="19.5" customHeight="1">
      <c r="A188" s="41"/>
      <c r="B188" s="173" t="s">
        <v>1267</v>
      </c>
      <c r="C188" s="110" t="s">
        <v>1268</v>
      </c>
      <c r="D188" s="18"/>
      <c r="E188" s="191"/>
      <c r="F188" s="41"/>
      <c r="G188" s="41"/>
      <c r="H188" s="41"/>
      <c r="I188" s="41"/>
      <c r="J188" s="41"/>
      <c r="K188" s="41"/>
      <c r="L188" s="41"/>
      <c r="M188" s="41"/>
      <c r="N188" s="41"/>
      <c r="O188" s="41"/>
      <c r="P188" s="41"/>
      <c r="Q188" s="41"/>
      <c r="R188" s="41"/>
      <c r="S188" s="41"/>
      <c r="T188" s="41"/>
      <c r="U188" s="41"/>
      <c r="V188" s="41"/>
      <c r="W188" s="41"/>
      <c r="X188" s="41"/>
      <c r="Y188" s="41"/>
      <c r="Z188" s="41"/>
    </row>
    <row r="189" ht="18.75" customHeight="1">
      <c r="A189" s="41"/>
      <c r="B189" s="173" t="s">
        <v>1269</v>
      </c>
      <c r="C189" s="110" t="str">
        <f>sample_wld_cl01_supervisor_private_transit_gateway_cidr</f>
        <v>172.25.0.0/16</v>
      </c>
      <c r="D189" s="18"/>
      <c r="E189" s="19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35"/>
      <c r="C190" s="35"/>
      <c r="D190" s="35"/>
      <c r="E190" s="35"/>
      <c r="F190" s="41"/>
      <c r="G190" s="41"/>
      <c r="H190" s="41"/>
      <c r="I190" s="41"/>
      <c r="J190" s="41"/>
      <c r="K190" s="41"/>
      <c r="L190" s="41"/>
      <c r="M190" s="41"/>
      <c r="N190" s="41"/>
      <c r="O190" s="41"/>
      <c r="P190" s="41"/>
      <c r="Q190" s="41"/>
      <c r="R190" s="41"/>
      <c r="S190" s="41"/>
      <c r="T190" s="41"/>
      <c r="U190" s="41"/>
      <c r="V190" s="41"/>
      <c r="W190" s="41"/>
      <c r="X190" s="41"/>
      <c r="Y190" s="41"/>
      <c r="Z190" s="41"/>
    </row>
    <row r="191" ht="33.75" customHeight="1">
      <c r="A191" s="41"/>
      <c r="B191" s="12" t="s">
        <v>367</v>
      </c>
      <c r="C191" s="13"/>
      <c r="D191" s="13"/>
      <c r="E191" s="14"/>
      <c r="F191" s="41"/>
      <c r="G191" s="41"/>
      <c r="H191" s="41"/>
      <c r="I191" s="41"/>
      <c r="J191" s="41"/>
      <c r="K191" s="41"/>
      <c r="L191" s="41"/>
      <c r="M191" s="41"/>
      <c r="N191" s="41"/>
      <c r="O191" s="41"/>
      <c r="P191" s="41"/>
      <c r="Q191" s="41"/>
      <c r="R191" s="41"/>
      <c r="S191" s="41"/>
      <c r="T191" s="41"/>
      <c r="U191" s="41"/>
      <c r="V191" s="41"/>
      <c r="W191" s="41"/>
      <c r="X191" s="41"/>
      <c r="Y191" s="41"/>
      <c r="Z191" s="41"/>
    </row>
    <row r="192" ht="19.5" customHeight="1">
      <c r="A192" s="41"/>
      <c r="B192" s="102" t="s">
        <v>1258</v>
      </c>
      <c r="C192" s="13"/>
      <c r="D192" s="13"/>
      <c r="E192" s="14"/>
      <c r="F192" s="41"/>
      <c r="G192" s="41"/>
      <c r="H192" s="41"/>
      <c r="I192" s="41"/>
      <c r="J192" s="41"/>
      <c r="K192" s="41"/>
      <c r="L192" s="41"/>
      <c r="M192" s="41"/>
      <c r="N192" s="41"/>
      <c r="O192" s="41"/>
      <c r="P192" s="41"/>
      <c r="Q192" s="41"/>
      <c r="R192" s="41"/>
      <c r="S192" s="41"/>
      <c r="T192" s="41"/>
      <c r="U192" s="41"/>
      <c r="V192" s="41"/>
      <c r="W192" s="41"/>
      <c r="X192" s="41"/>
      <c r="Y192" s="41"/>
      <c r="Z192" s="41"/>
    </row>
    <row r="193" ht="19.5" customHeight="1">
      <c r="A193" s="41"/>
      <c r="B193" s="49" t="s">
        <v>37</v>
      </c>
      <c r="C193" s="49" t="s">
        <v>273</v>
      </c>
      <c r="D193" s="49" t="s">
        <v>274</v>
      </c>
      <c r="E193" s="49" t="s">
        <v>5</v>
      </c>
      <c r="F193" s="41"/>
      <c r="G193" s="41"/>
      <c r="H193" s="41"/>
      <c r="I193" s="41"/>
      <c r="J193" s="41"/>
      <c r="K193" s="41"/>
      <c r="L193" s="41"/>
      <c r="M193" s="41"/>
      <c r="N193" s="41"/>
      <c r="O193" s="41"/>
      <c r="P193" s="41"/>
      <c r="Q193" s="41"/>
      <c r="R193" s="41"/>
      <c r="S193" s="41"/>
      <c r="T193" s="41"/>
      <c r="U193" s="41"/>
      <c r="V193" s="41"/>
      <c r="W193" s="41"/>
      <c r="X193" s="41"/>
      <c r="Y193" s="41"/>
      <c r="Z193" s="41"/>
    </row>
    <row r="194" ht="18.75" customHeight="1">
      <c r="A194" s="41"/>
      <c r="B194" s="173" t="s">
        <v>1270</v>
      </c>
      <c r="C194" s="110" t="s">
        <v>724</v>
      </c>
      <c r="D194" s="18" t="str">
        <f>D136</f>
        <v>vSAN</v>
      </c>
      <c r="E194" s="191"/>
      <c r="F194" s="41"/>
      <c r="G194" s="41"/>
      <c r="H194" s="41"/>
      <c r="I194" s="41"/>
      <c r="J194" s="41"/>
      <c r="K194" s="41"/>
      <c r="L194" s="41"/>
      <c r="M194" s="41"/>
      <c r="N194" s="41"/>
      <c r="O194" s="41"/>
      <c r="P194" s="41"/>
      <c r="Q194" s="41"/>
      <c r="R194" s="41"/>
      <c r="S194" s="41"/>
      <c r="T194" s="41"/>
      <c r="U194" s="41"/>
      <c r="V194" s="41"/>
      <c r="W194" s="41"/>
      <c r="X194" s="41"/>
      <c r="Y194" s="41"/>
      <c r="Z194" s="41"/>
    </row>
    <row r="195" ht="18.75" customHeight="1">
      <c r="A195" s="41"/>
      <c r="B195" s="173" t="s">
        <v>1271</v>
      </c>
      <c r="C195" s="110" t="s">
        <v>285</v>
      </c>
      <c r="D195" s="18" t="str">
        <f>IF(OR(wld_principal_storage_chosen="vSAN-ESA",wld_principal_storage_chosen="vSAN Storage Cluster",wld_principal_storage_chosen="vSAN Compute Cluster"),"Selected","Unselected")</f>
        <v>Selected</v>
      </c>
      <c r="E195" s="19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35"/>
      <c r="C196" s="35"/>
      <c r="D196" s="35"/>
      <c r="E196" s="35"/>
      <c r="F196" s="41"/>
      <c r="G196" s="41"/>
      <c r="H196" s="41"/>
      <c r="I196" s="41"/>
      <c r="J196" s="41"/>
      <c r="K196" s="41"/>
      <c r="L196" s="41"/>
      <c r="M196" s="41"/>
      <c r="N196" s="41"/>
      <c r="O196" s="41"/>
      <c r="P196" s="41"/>
      <c r="Q196" s="41"/>
      <c r="R196" s="41"/>
      <c r="S196" s="41"/>
      <c r="T196" s="41"/>
      <c r="U196" s="41"/>
      <c r="V196" s="41"/>
      <c r="W196" s="41"/>
      <c r="X196" s="41"/>
      <c r="Y196" s="41"/>
      <c r="Z196" s="41"/>
    </row>
    <row r="197" ht="33.75" customHeight="1">
      <c r="A197" s="41"/>
      <c r="B197" s="12" t="str">
        <f>IF(OR(wld_principal_storage_chosen="vSAN-ESA",wld_principal_storage_chosen="vSAN Storage Cluster",wld_principal_storage_chosen="vSAN-OSA"),"vSAN Storage",IF(wld_principal_storage_chosen="NFSv3","NFS Storage",""))</f>
        <v>vSAN Storage</v>
      </c>
      <c r="C197" s="13"/>
      <c r="D197" s="13"/>
      <c r="E197" s="14"/>
      <c r="F197" s="41"/>
      <c r="G197" s="41"/>
      <c r="H197" s="41"/>
      <c r="I197" s="41"/>
      <c r="J197" s="41"/>
      <c r="K197" s="41"/>
      <c r="L197" s="41"/>
      <c r="M197" s="41"/>
      <c r="N197" s="41"/>
      <c r="O197" s="41"/>
      <c r="P197" s="41"/>
      <c r="Q197" s="41"/>
      <c r="R197" s="41"/>
      <c r="S197" s="41"/>
      <c r="T197" s="41"/>
      <c r="U197" s="41"/>
      <c r="V197" s="41"/>
      <c r="W197" s="41"/>
      <c r="X197" s="41"/>
      <c r="Y197" s="41"/>
      <c r="Z197" s="41"/>
    </row>
    <row r="198" ht="19.5" customHeight="1">
      <c r="A198" s="41"/>
      <c r="B198" s="102" t="s">
        <v>1272</v>
      </c>
      <c r="C198" s="13"/>
      <c r="D198" s="13"/>
      <c r="E198" s="14"/>
      <c r="F198" s="41"/>
      <c r="G198" s="41"/>
      <c r="H198" s="41"/>
      <c r="I198" s="41"/>
      <c r="J198" s="41"/>
      <c r="K198" s="41"/>
      <c r="L198" s="41"/>
      <c r="M198" s="41"/>
      <c r="N198" s="41"/>
      <c r="O198" s="41"/>
      <c r="P198" s="41"/>
      <c r="Q198" s="41"/>
      <c r="R198" s="41"/>
      <c r="S198" s="41"/>
      <c r="T198" s="41"/>
      <c r="U198" s="41"/>
      <c r="V198" s="41"/>
      <c r="W198" s="41"/>
      <c r="X198" s="41"/>
      <c r="Y198" s="41"/>
      <c r="Z198" s="41"/>
    </row>
    <row r="199" ht="19.5" customHeight="1">
      <c r="A199" s="41"/>
      <c r="B199" s="49" t="s">
        <v>37</v>
      </c>
      <c r="C199" s="49" t="s">
        <v>273</v>
      </c>
      <c r="D199" s="49" t="s">
        <v>274</v>
      </c>
      <c r="E199" s="49" t="s">
        <v>5</v>
      </c>
      <c r="F199" s="41"/>
      <c r="G199" s="41"/>
      <c r="H199" s="41"/>
      <c r="I199" s="41"/>
      <c r="J199" s="41"/>
      <c r="K199" s="41"/>
      <c r="L199" s="41"/>
      <c r="M199" s="41"/>
      <c r="N199" s="41"/>
      <c r="O199" s="41"/>
      <c r="P199" s="41"/>
      <c r="Q199" s="41"/>
      <c r="R199" s="41"/>
      <c r="S199" s="41"/>
      <c r="T199" s="41"/>
      <c r="U199" s="41"/>
      <c r="V199" s="41"/>
      <c r="W199" s="41"/>
      <c r="X199" s="41"/>
      <c r="Y199" s="41"/>
      <c r="Z199" s="41"/>
    </row>
    <row r="200" ht="19.5" customHeight="1">
      <c r="A200" s="41"/>
      <c r="B200" s="84" t="s">
        <v>1273</v>
      </c>
      <c r="C200" s="110" t="s">
        <v>1274</v>
      </c>
      <c r="D200" s="18" t="str">
        <f>D137</f>
        <v>vSAN HCI</v>
      </c>
      <c r="E200" s="18" t="str">
        <f>IF(D137="vSAN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c r="F200" s="41"/>
      <c r="G200" s="41"/>
      <c r="H200" s="41"/>
      <c r="I200" s="41"/>
      <c r="J200" s="41"/>
      <c r="K200" s="41"/>
      <c r="L200" s="41"/>
      <c r="M200" s="41"/>
      <c r="N200" s="41"/>
      <c r="O200" s="41"/>
      <c r="P200" s="41"/>
      <c r="Q200" s="41"/>
      <c r="R200" s="41"/>
      <c r="S200" s="41"/>
      <c r="T200" s="41"/>
      <c r="U200" s="41"/>
      <c r="V200" s="41"/>
      <c r="W200" s="41"/>
      <c r="X200" s="41"/>
      <c r="Y200" s="41"/>
      <c r="Z200" s="41"/>
    </row>
    <row r="201" ht="19.5" customHeight="1">
      <c r="A201" s="41"/>
      <c r="B201" s="84" t="s">
        <v>738</v>
      </c>
      <c r="C201" s="110" t="str">
        <f>CONCATENATE(sample_wld_sddc_domain,"-",sample_wld_cl01_cluster,"-vsan01")</f>
        <v>lax-w01-lax-w01-cl01-vsan01</v>
      </c>
      <c r="D201" s="18"/>
      <c r="E201" s="18" t="s">
        <v>1275</v>
      </c>
      <c r="F201" s="41"/>
      <c r="G201" s="41"/>
      <c r="H201" s="41"/>
      <c r="I201" s="41"/>
      <c r="J201" s="41"/>
      <c r="K201" s="41"/>
      <c r="L201" s="41"/>
      <c r="M201" s="41"/>
      <c r="N201" s="41"/>
      <c r="O201" s="41"/>
      <c r="P201" s="41"/>
      <c r="Q201" s="41"/>
      <c r="R201" s="41"/>
      <c r="S201" s="41"/>
      <c r="T201" s="41"/>
      <c r="U201" s="41"/>
      <c r="V201" s="41"/>
      <c r="W201" s="41"/>
      <c r="X201" s="41"/>
      <c r="Y201" s="41"/>
      <c r="Z201" s="41"/>
    </row>
    <row r="202" ht="19.5" customHeight="1">
      <c r="A202" s="41"/>
      <c r="B202" s="84" t="s">
        <v>1276</v>
      </c>
      <c r="C202" s="110" t="s">
        <v>284</v>
      </c>
      <c r="D202" s="18" t="str">
        <f>IF(wld_secondary_storage_chosen="vSAN Storage Client Network","Selected","Unselected")</f>
        <v>Unselected</v>
      </c>
      <c r="E202" s="95" t="s">
        <v>1248</v>
      </c>
      <c r="F202" s="41"/>
      <c r="G202" s="41"/>
      <c r="H202" s="41"/>
      <c r="I202" s="41"/>
      <c r="J202" s="41"/>
      <c r="K202" s="41"/>
      <c r="L202" s="41"/>
      <c r="M202" s="41"/>
      <c r="N202" s="41"/>
      <c r="O202" s="41"/>
      <c r="P202" s="41"/>
      <c r="Q202" s="41"/>
      <c r="R202" s="41"/>
      <c r="S202" s="41"/>
      <c r="T202" s="41"/>
      <c r="U202" s="41"/>
      <c r="V202" s="41"/>
      <c r="W202" s="41"/>
      <c r="X202" s="41"/>
      <c r="Y202" s="41"/>
      <c r="Z202" s="41"/>
    </row>
    <row r="203" ht="19.5" customHeight="1">
      <c r="A203" s="41"/>
      <c r="B203" s="84" t="str">
        <f>IF(wld_principal_storage_chosen="vSAN-ESA","Storage Policy", "vSAN: Failures to Tolerate (FTT)")</f>
        <v>Storage Policy</v>
      </c>
      <c r="C203" s="110">
        <v>1.0</v>
      </c>
      <c r="D203" s="18" t="s">
        <v>374</v>
      </c>
      <c r="E203" s="191"/>
      <c r="F203" s="41"/>
      <c r="G203" s="41"/>
      <c r="H203" s="41"/>
      <c r="I203" s="41"/>
      <c r="J203" s="41"/>
      <c r="K203" s="41"/>
      <c r="L203" s="41"/>
      <c r="M203" s="41"/>
      <c r="N203" s="41"/>
      <c r="O203" s="41"/>
      <c r="P203" s="41"/>
      <c r="Q203" s="41"/>
      <c r="R203" s="41"/>
      <c r="S203" s="41"/>
      <c r="T203" s="41"/>
      <c r="U203" s="41"/>
      <c r="V203" s="41"/>
      <c r="W203" s="41"/>
      <c r="X203" s="41"/>
      <c r="Y203" s="41"/>
      <c r="Z203" s="41"/>
    </row>
    <row r="204" ht="19.5" customHeight="1">
      <c r="A204" s="41"/>
      <c r="B204" s="84" t="s">
        <v>1277</v>
      </c>
      <c r="C204" s="110" t="s">
        <v>284</v>
      </c>
      <c r="D204" s="18" t="s">
        <v>284</v>
      </c>
      <c r="E204" s="191"/>
      <c r="F204" s="41"/>
      <c r="G204" s="41"/>
      <c r="H204" s="41"/>
      <c r="I204" s="41"/>
      <c r="J204" s="41"/>
      <c r="K204" s="41"/>
      <c r="L204" s="41"/>
      <c r="M204" s="41"/>
      <c r="N204" s="41"/>
      <c r="O204" s="41"/>
      <c r="P204" s="41"/>
      <c r="Q204" s="41"/>
      <c r="R204" s="41"/>
      <c r="S204" s="41"/>
      <c r="T204" s="41"/>
      <c r="U204" s="41"/>
      <c r="V204" s="41"/>
      <c r="W204" s="41"/>
      <c r="X204" s="41"/>
      <c r="Y204" s="41"/>
      <c r="Z204" s="41"/>
    </row>
    <row r="205" ht="19.5" customHeight="1">
      <c r="A205" s="41"/>
      <c r="B205" s="245" t="s">
        <v>1278</v>
      </c>
      <c r="C205" s="110" t="str">
        <f>CONCATENATE(this_instance,"-w0",wld_domain_number_chosen,"-cl01-ds-vmfs01")</f>
        <v>lax-w01-cl01-ds-vmfs01</v>
      </c>
      <c r="D205" s="18"/>
      <c r="E205" s="191"/>
      <c r="F205" s="41"/>
      <c r="G205" s="41"/>
      <c r="H205" s="41"/>
      <c r="I205" s="41"/>
      <c r="J205" s="41"/>
      <c r="K205" s="41"/>
      <c r="L205" s="41"/>
      <c r="M205" s="41"/>
      <c r="N205" s="41"/>
      <c r="O205" s="41"/>
      <c r="P205" s="41"/>
      <c r="Q205" s="41"/>
      <c r="R205" s="41"/>
      <c r="S205" s="41"/>
      <c r="T205" s="41"/>
      <c r="U205" s="41"/>
      <c r="V205" s="41"/>
      <c r="W205" s="41"/>
      <c r="X205" s="41"/>
      <c r="Y205" s="41"/>
      <c r="Z205" s="41"/>
    </row>
    <row r="206" ht="19.5" customHeight="1">
      <c r="A206" s="41"/>
      <c r="B206" s="187" t="s">
        <v>1279</v>
      </c>
      <c r="C206" s="110" t="str">
        <f>CONCATENATE(this_instance,"-w0",wld_domain_number_chosen,"-cl01-ds-nfs01")</f>
        <v>lax-w01-cl01-ds-nfs01</v>
      </c>
      <c r="D206" s="18"/>
      <c r="E206" s="191"/>
      <c r="F206" s="41"/>
      <c r="G206" s="41"/>
      <c r="H206" s="41"/>
      <c r="I206" s="41"/>
      <c r="J206" s="41"/>
      <c r="K206" s="41"/>
      <c r="L206" s="41"/>
      <c r="M206" s="41"/>
      <c r="N206" s="41"/>
      <c r="O206" s="41"/>
      <c r="P206" s="41"/>
      <c r="Q206" s="41"/>
      <c r="R206" s="41"/>
      <c r="S206" s="41"/>
      <c r="T206" s="41"/>
      <c r="U206" s="41"/>
      <c r="V206" s="41"/>
      <c r="W206" s="41"/>
      <c r="X206" s="41"/>
      <c r="Y206" s="41"/>
      <c r="Z206" s="41"/>
    </row>
    <row r="207" ht="19.5" customHeight="1">
      <c r="A207" s="41"/>
      <c r="B207" s="187" t="s">
        <v>1280</v>
      </c>
      <c r="C207" s="110" t="str">
        <f>CONCATENATE(this_instance,"-w0",wld_domain_number_chosen,"-cl01-ds-nfs01-share")</f>
        <v>lax-w01-cl01-ds-nfs01-share</v>
      </c>
      <c r="D207" s="18"/>
      <c r="E207" s="191"/>
      <c r="F207" s="41"/>
      <c r="G207" s="41"/>
      <c r="H207" s="41"/>
      <c r="I207" s="41"/>
      <c r="J207" s="41"/>
      <c r="K207" s="41"/>
      <c r="L207" s="41"/>
      <c r="M207" s="41"/>
      <c r="N207" s="41"/>
      <c r="O207" s="41"/>
      <c r="P207" s="41"/>
      <c r="Q207" s="41"/>
      <c r="R207" s="41"/>
      <c r="S207" s="41"/>
      <c r="T207" s="41"/>
      <c r="U207" s="41"/>
      <c r="V207" s="41"/>
      <c r="W207" s="41"/>
      <c r="X207" s="41"/>
      <c r="Y207" s="41"/>
      <c r="Z207" s="41"/>
    </row>
    <row r="208" ht="18.75" customHeight="1">
      <c r="A208" s="41"/>
      <c r="B208" s="187" t="s">
        <v>1281</v>
      </c>
      <c r="C208" s="110" t="str">
        <f>CONCATENATE(prefix_wld_az1_cidr,"15.4")</f>
        <v>10.23.15.4</v>
      </c>
      <c r="D208" s="18"/>
      <c r="E208" s="19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35"/>
      <c r="C209" s="35"/>
      <c r="D209" s="35"/>
      <c r="E209" s="35"/>
      <c r="F209" s="41"/>
      <c r="G209" s="41"/>
      <c r="H209" s="41"/>
      <c r="I209" s="41"/>
      <c r="J209" s="41"/>
      <c r="K209" s="41"/>
      <c r="L209" s="41"/>
      <c r="M209" s="41"/>
      <c r="N209" s="41"/>
      <c r="O209" s="41"/>
      <c r="P209" s="41"/>
      <c r="Q209" s="41"/>
      <c r="R209" s="41"/>
      <c r="S209" s="41"/>
      <c r="T209" s="41"/>
      <c r="U209" s="41"/>
      <c r="V209" s="41"/>
      <c r="W209" s="41"/>
      <c r="X209" s="41"/>
      <c r="Y209" s="41"/>
      <c r="Z209" s="41"/>
    </row>
    <row r="210" ht="33.75" customHeight="1">
      <c r="A210" s="41"/>
      <c r="B210" s="12" t="s">
        <v>1282</v>
      </c>
      <c r="C210" s="13"/>
      <c r="D210" s="13"/>
      <c r="E210" s="14"/>
      <c r="F210" s="41"/>
      <c r="G210" s="41"/>
      <c r="H210" s="41"/>
      <c r="I210" s="41"/>
      <c r="J210" s="41"/>
      <c r="K210" s="41"/>
      <c r="L210" s="41"/>
      <c r="M210" s="41"/>
      <c r="N210" s="41"/>
      <c r="O210" s="41"/>
      <c r="P210" s="41"/>
      <c r="Q210" s="41"/>
      <c r="R210" s="41"/>
      <c r="S210" s="41"/>
      <c r="T210" s="41"/>
      <c r="U210" s="41"/>
      <c r="V210" s="41"/>
      <c r="W210" s="41"/>
      <c r="X210" s="41"/>
      <c r="Y210" s="41"/>
      <c r="Z210" s="41"/>
    </row>
    <row r="211" ht="19.5" customHeight="1">
      <c r="A211" s="41"/>
      <c r="B211" s="102"/>
      <c r="C211" s="13"/>
      <c r="D211" s="13"/>
      <c r="E211" s="14"/>
      <c r="F211" s="41"/>
      <c r="G211" s="41"/>
      <c r="H211" s="41"/>
      <c r="I211" s="41"/>
      <c r="J211" s="41"/>
      <c r="K211" s="41"/>
      <c r="L211" s="41"/>
      <c r="M211" s="41"/>
      <c r="N211" s="41"/>
      <c r="O211" s="41"/>
      <c r="P211" s="41"/>
      <c r="Q211" s="41"/>
      <c r="R211" s="41"/>
      <c r="S211" s="41"/>
      <c r="T211" s="41"/>
      <c r="U211" s="41"/>
      <c r="V211" s="41"/>
      <c r="W211" s="41"/>
      <c r="X211" s="41"/>
      <c r="Y211" s="41"/>
      <c r="Z211" s="41"/>
    </row>
    <row r="212" ht="19.5" customHeight="1">
      <c r="A212" s="41"/>
      <c r="B212" s="49" t="s">
        <v>37</v>
      </c>
      <c r="C212" s="49" t="s">
        <v>273</v>
      </c>
      <c r="D212" s="49" t="s">
        <v>274</v>
      </c>
      <c r="E212" s="49" t="s">
        <v>5</v>
      </c>
      <c r="F212" s="41"/>
      <c r="G212" s="41"/>
      <c r="H212" s="41"/>
      <c r="I212" s="41"/>
      <c r="J212" s="41"/>
      <c r="K212" s="41"/>
      <c r="L212" s="41"/>
      <c r="M212" s="41"/>
      <c r="N212" s="41"/>
      <c r="O212" s="41"/>
      <c r="P212" s="41"/>
      <c r="Q212" s="41"/>
      <c r="R212" s="41"/>
      <c r="S212" s="41"/>
      <c r="T212" s="41"/>
      <c r="U212" s="41"/>
      <c r="V212" s="41"/>
      <c r="W212" s="41"/>
      <c r="X212" s="41"/>
      <c r="Y212" s="41"/>
      <c r="Z212" s="41"/>
    </row>
    <row r="213" ht="19.5" customHeight="1">
      <c r="A213" s="41"/>
      <c r="B213" s="173" t="s">
        <v>697</v>
      </c>
      <c r="C213" s="111" t="str">
        <f t="array" ref="C213:C228">sample_wld_az1_host_fqdns</f>
        <v>lax01-w01-r01-esx01.lax.rainpole.io</v>
      </c>
      <c r="D213" s="18" t="str">
        <f t="array" ref="D213:D228">wld_az1_host_fqdns</f>
        <v>Value Missing</v>
      </c>
      <c r="E213" s="191"/>
      <c r="F213" s="41"/>
      <c r="G213" s="41"/>
      <c r="H213" s="41"/>
      <c r="I213" s="41"/>
      <c r="J213" s="41"/>
      <c r="K213" s="41"/>
      <c r="L213" s="41"/>
      <c r="M213" s="41"/>
      <c r="N213" s="41"/>
      <c r="O213" s="41"/>
      <c r="P213" s="41"/>
      <c r="Q213" s="41"/>
      <c r="R213" s="41"/>
      <c r="S213" s="41"/>
      <c r="T213" s="41"/>
      <c r="U213" s="41"/>
      <c r="V213" s="41"/>
      <c r="W213" s="41"/>
      <c r="X213" s="41"/>
      <c r="Y213" s="41"/>
      <c r="Z213" s="41"/>
    </row>
    <row r="214" ht="19.5" customHeight="1">
      <c r="A214" s="41"/>
      <c r="B214" s="173" t="s">
        <v>698</v>
      </c>
      <c r="C214" s="111" t="s">
        <v>1283</v>
      </c>
      <c r="D214" s="18" t="s">
        <v>483</v>
      </c>
      <c r="E214" s="191"/>
      <c r="F214" s="41"/>
      <c r="G214" s="41"/>
      <c r="H214" s="41"/>
      <c r="I214" s="41"/>
      <c r="J214" s="41"/>
      <c r="K214" s="41"/>
      <c r="L214" s="41"/>
      <c r="M214" s="41"/>
      <c r="N214" s="41"/>
      <c r="O214" s="41"/>
      <c r="P214" s="41"/>
      <c r="Q214" s="41"/>
      <c r="R214" s="41"/>
      <c r="S214" s="41"/>
      <c r="T214" s="41"/>
      <c r="U214" s="41"/>
      <c r="V214" s="41"/>
      <c r="W214" s="41"/>
      <c r="X214" s="41"/>
      <c r="Y214" s="41"/>
      <c r="Z214" s="41"/>
    </row>
    <row r="215" ht="19.5" customHeight="1">
      <c r="A215" s="41"/>
      <c r="B215" s="173" t="s">
        <v>699</v>
      </c>
      <c r="C215" s="111" t="s">
        <v>1284</v>
      </c>
      <c r="D215" s="18" t="s">
        <v>483</v>
      </c>
      <c r="E215" s="191"/>
      <c r="F215" s="41"/>
      <c r="G215" s="41"/>
      <c r="H215" s="41"/>
      <c r="I215" s="41"/>
      <c r="J215" s="41"/>
      <c r="K215" s="41"/>
      <c r="L215" s="41"/>
      <c r="M215" s="41"/>
      <c r="N215" s="41"/>
      <c r="O215" s="41"/>
      <c r="P215" s="41"/>
      <c r="Q215" s="41"/>
      <c r="R215" s="41"/>
      <c r="S215" s="41"/>
      <c r="T215" s="41"/>
      <c r="U215" s="41"/>
      <c r="V215" s="41"/>
      <c r="W215" s="41"/>
      <c r="X215" s="41"/>
      <c r="Y215" s="41"/>
      <c r="Z215" s="41"/>
    </row>
    <row r="216" ht="19.5" customHeight="1">
      <c r="A216" s="41"/>
      <c r="B216" s="173" t="s">
        <v>700</v>
      </c>
      <c r="C216" s="111" t="s">
        <v>1285</v>
      </c>
      <c r="D216" s="18" t="s">
        <v>483</v>
      </c>
      <c r="E216" s="191"/>
      <c r="F216" s="41"/>
      <c r="G216" s="41"/>
      <c r="H216" s="41"/>
      <c r="I216" s="41"/>
      <c r="J216" s="41"/>
      <c r="K216" s="41"/>
      <c r="L216" s="41"/>
      <c r="M216" s="41"/>
      <c r="N216" s="41"/>
      <c r="O216" s="41"/>
      <c r="P216" s="41"/>
      <c r="Q216" s="41"/>
      <c r="R216" s="41"/>
      <c r="S216" s="41"/>
      <c r="T216" s="41"/>
      <c r="U216" s="41"/>
      <c r="V216" s="41"/>
      <c r="W216" s="41"/>
      <c r="X216" s="41"/>
      <c r="Y216" s="41"/>
      <c r="Z216" s="41"/>
    </row>
    <row r="217" ht="19.5" customHeight="1">
      <c r="A217" s="41"/>
      <c r="B217" s="173" t="s">
        <v>701</v>
      </c>
      <c r="C217" s="111" t="s">
        <v>1286</v>
      </c>
      <c r="D217" s="18" t="s">
        <v>483</v>
      </c>
      <c r="E217" s="173"/>
      <c r="F217" s="41"/>
      <c r="G217" s="41"/>
      <c r="H217" s="41"/>
      <c r="I217" s="41"/>
      <c r="J217" s="41"/>
      <c r="K217" s="41"/>
      <c r="L217" s="41"/>
      <c r="M217" s="41"/>
      <c r="N217" s="41"/>
      <c r="O217" s="41"/>
      <c r="P217" s="41"/>
      <c r="Q217" s="41"/>
      <c r="R217" s="41"/>
      <c r="S217" s="41"/>
      <c r="T217" s="41"/>
      <c r="U217" s="41"/>
      <c r="V217" s="41"/>
      <c r="W217" s="41"/>
      <c r="X217" s="41"/>
      <c r="Y217" s="41"/>
      <c r="Z217" s="41"/>
    </row>
    <row r="218" ht="19.5" customHeight="1">
      <c r="A218" s="41"/>
      <c r="B218" s="173" t="s">
        <v>702</v>
      </c>
      <c r="C218" s="111" t="s">
        <v>1287</v>
      </c>
      <c r="D218" s="18" t="s">
        <v>483</v>
      </c>
      <c r="E218" s="173"/>
      <c r="F218" s="41"/>
      <c r="G218" s="41"/>
      <c r="H218" s="41"/>
      <c r="I218" s="41"/>
      <c r="J218" s="41"/>
      <c r="K218" s="41"/>
      <c r="L218" s="41"/>
      <c r="M218" s="41"/>
      <c r="N218" s="41"/>
      <c r="O218" s="41"/>
      <c r="P218" s="41"/>
      <c r="Q218" s="41"/>
      <c r="R218" s="41"/>
      <c r="S218" s="41"/>
      <c r="T218" s="41"/>
      <c r="U218" s="41"/>
      <c r="V218" s="41"/>
      <c r="W218" s="41"/>
      <c r="X218" s="41"/>
      <c r="Y218" s="41"/>
      <c r="Z218" s="41"/>
    </row>
    <row r="219" ht="19.5" customHeight="1">
      <c r="A219" s="41"/>
      <c r="B219" s="173" t="s">
        <v>703</v>
      </c>
      <c r="C219" s="111" t="s">
        <v>1288</v>
      </c>
      <c r="D219" s="18" t="s">
        <v>483</v>
      </c>
      <c r="E219" s="173"/>
      <c r="F219" s="41"/>
      <c r="G219" s="41"/>
      <c r="H219" s="41"/>
      <c r="I219" s="41"/>
      <c r="J219" s="41"/>
      <c r="K219" s="41"/>
      <c r="L219" s="41"/>
      <c r="M219" s="41"/>
      <c r="N219" s="41"/>
      <c r="O219" s="41"/>
      <c r="P219" s="41"/>
      <c r="Q219" s="41"/>
      <c r="R219" s="41"/>
      <c r="S219" s="41"/>
      <c r="T219" s="41"/>
      <c r="U219" s="41"/>
      <c r="V219" s="41"/>
      <c r="W219" s="41"/>
      <c r="X219" s="41"/>
      <c r="Y219" s="41"/>
      <c r="Z219" s="41"/>
    </row>
    <row r="220" ht="19.5" customHeight="1">
      <c r="A220" s="41"/>
      <c r="B220" s="173" t="s">
        <v>704</v>
      </c>
      <c r="C220" s="111" t="s">
        <v>1289</v>
      </c>
      <c r="D220" s="18" t="s">
        <v>483</v>
      </c>
      <c r="E220" s="173"/>
      <c r="F220" s="41"/>
      <c r="G220" s="41"/>
      <c r="H220" s="41"/>
      <c r="I220" s="41"/>
      <c r="J220" s="41"/>
      <c r="K220" s="41"/>
      <c r="L220" s="41"/>
      <c r="M220" s="41"/>
      <c r="N220" s="41"/>
      <c r="O220" s="41"/>
      <c r="P220" s="41"/>
      <c r="Q220" s="41"/>
      <c r="R220" s="41"/>
      <c r="S220" s="41"/>
      <c r="T220" s="41"/>
      <c r="U220" s="41"/>
      <c r="V220" s="41"/>
      <c r="W220" s="41"/>
      <c r="X220" s="41"/>
      <c r="Y220" s="41"/>
      <c r="Z220" s="41"/>
    </row>
    <row r="221" ht="19.5" customHeight="1">
      <c r="A221" s="41"/>
      <c r="B221" s="173" t="s">
        <v>705</v>
      </c>
      <c r="C221" s="111" t="s">
        <v>1290</v>
      </c>
      <c r="D221" s="18" t="s">
        <v>483</v>
      </c>
      <c r="E221" s="173"/>
      <c r="F221" s="41"/>
      <c r="G221" s="41"/>
      <c r="H221" s="41"/>
      <c r="I221" s="41"/>
      <c r="J221" s="41"/>
      <c r="K221" s="41"/>
      <c r="L221" s="41"/>
      <c r="M221" s="41"/>
      <c r="N221" s="41"/>
      <c r="O221" s="41"/>
      <c r="P221" s="41"/>
      <c r="Q221" s="41"/>
      <c r="R221" s="41"/>
      <c r="S221" s="41"/>
      <c r="T221" s="41"/>
      <c r="U221" s="41"/>
      <c r="V221" s="41"/>
      <c r="W221" s="41"/>
      <c r="X221" s="41"/>
      <c r="Y221" s="41"/>
      <c r="Z221" s="41"/>
    </row>
    <row r="222" ht="19.5" customHeight="1">
      <c r="A222" s="41"/>
      <c r="B222" s="173" t="s">
        <v>706</v>
      </c>
      <c r="C222" s="111" t="s">
        <v>1291</v>
      </c>
      <c r="D222" s="18" t="s">
        <v>483</v>
      </c>
      <c r="E222" s="154"/>
      <c r="F222" s="41"/>
      <c r="G222" s="41"/>
      <c r="H222" s="41"/>
      <c r="I222" s="41"/>
      <c r="J222" s="41"/>
      <c r="K222" s="41"/>
      <c r="L222" s="41"/>
      <c r="M222" s="41"/>
      <c r="N222" s="41"/>
      <c r="O222" s="41"/>
      <c r="P222" s="41"/>
      <c r="Q222" s="41"/>
      <c r="R222" s="41"/>
      <c r="S222" s="41"/>
      <c r="T222" s="41"/>
      <c r="U222" s="41"/>
      <c r="V222" s="41"/>
      <c r="W222" s="41"/>
      <c r="X222" s="41"/>
      <c r="Y222" s="41"/>
      <c r="Z222" s="41"/>
    </row>
    <row r="223" ht="19.5" customHeight="1">
      <c r="A223" s="41"/>
      <c r="B223" s="173" t="s">
        <v>707</v>
      </c>
      <c r="C223" s="111" t="s">
        <v>1292</v>
      </c>
      <c r="D223" s="18" t="s">
        <v>483</v>
      </c>
      <c r="E223" s="173"/>
      <c r="F223" s="41"/>
      <c r="G223" s="41"/>
      <c r="H223" s="41"/>
      <c r="I223" s="41"/>
      <c r="J223" s="41"/>
      <c r="K223" s="41"/>
      <c r="L223" s="41"/>
      <c r="M223" s="41"/>
      <c r="N223" s="41"/>
      <c r="O223" s="41"/>
      <c r="P223" s="41"/>
      <c r="Q223" s="41"/>
      <c r="R223" s="41"/>
      <c r="S223" s="41"/>
      <c r="T223" s="41"/>
      <c r="U223" s="41"/>
      <c r="V223" s="41"/>
      <c r="W223" s="41"/>
      <c r="X223" s="41"/>
      <c r="Y223" s="41"/>
      <c r="Z223" s="41"/>
    </row>
    <row r="224" ht="19.5" customHeight="1">
      <c r="A224" s="41"/>
      <c r="B224" s="173" t="s">
        <v>708</v>
      </c>
      <c r="C224" s="111" t="s">
        <v>1293</v>
      </c>
      <c r="D224" s="18" t="s">
        <v>483</v>
      </c>
      <c r="E224" s="173"/>
      <c r="F224" s="41"/>
      <c r="G224" s="41"/>
      <c r="H224" s="41"/>
      <c r="I224" s="41"/>
      <c r="J224" s="41"/>
      <c r="K224" s="41"/>
      <c r="L224" s="41"/>
      <c r="M224" s="41"/>
      <c r="N224" s="41"/>
      <c r="O224" s="41"/>
      <c r="P224" s="41"/>
      <c r="Q224" s="41"/>
      <c r="R224" s="41"/>
      <c r="S224" s="41"/>
      <c r="T224" s="41"/>
      <c r="U224" s="41"/>
      <c r="V224" s="41"/>
      <c r="W224" s="41"/>
      <c r="X224" s="41"/>
      <c r="Y224" s="41"/>
      <c r="Z224" s="41"/>
    </row>
    <row r="225" ht="19.5" customHeight="1">
      <c r="A225" s="41"/>
      <c r="B225" s="173" t="s">
        <v>709</v>
      </c>
      <c r="C225" s="111" t="s">
        <v>1294</v>
      </c>
      <c r="D225" s="18" t="s">
        <v>483</v>
      </c>
      <c r="E225" s="173"/>
      <c r="F225" s="41"/>
      <c r="G225" s="41"/>
      <c r="H225" s="41"/>
      <c r="I225" s="41"/>
      <c r="J225" s="41"/>
      <c r="K225" s="41"/>
      <c r="L225" s="41"/>
      <c r="M225" s="41"/>
      <c r="N225" s="41"/>
      <c r="O225" s="41"/>
      <c r="P225" s="41"/>
      <c r="Q225" s="41"/>
      <c r="R225" s="41"/>
      <c r="S225" s="41"/>
      <c r="T225" s="41"/>
      <c r="U225" s="41"/>
      <c r="V225" s="41"/>
      <c r="W225" s="41"/>
      <c r="X225" s="41"/>
      <c r="Y225" s="41"/>
      <c r="Z225" s="41"/>
    </row>
    <row r="226" ht="19.5" customHeight="1">
      <c r="A226" s="41"/>
      <c r="B226" s="173" t="s">
        <v>710</v>
      </c>
      <c r="C226" s="111" t="s">
        <v>1295</v>
      </c>
      <c r="D226" s="18" t="s">
        <v>483</v>
      </c>
      <c r="E226" s="173"/>
      <c r="F226" s="41"/>
      <c r="G226" s="41"/>
      <c r="H226" s="41"/>
      <c r="I226" s="41"/>
      <c r="J226" s="41"/>
      <c r="K226" s="41"/>
      <c r="L226" s="41"/>
      <c r="M226" s="41"/>
      <c r="N226" s="41"/>
      <c r="O226" s="41"/>
      <c r="P226" s="41"/>
      <c r="Q226" s="41"/>
      <c r="R226" s="41"/>
      <c r="S226" s="41"/>
      <c r="T226" s="41"/>
      <c r="U226" s="41"/>
      <c r="V226" s="41"/>
      <c r="W226" s="41"/>
      <c r="X226" s="41"/>
      <c r="Y226" s="41"/>
      <c r="Z226" s="41"/>
    </row>
    <row r="227" ht="19.5" customHeight="1">
      <c r="A227" s="41"/>
      <c r="B227" s="173" t="s">
        <v>711</v>
      </c>
      <c r="C227" s="111" t="s">
        <v>1296</v>
      </c>
      <c r="D227" s="18" t="s">
        <v>483</v>
      </c>
      <c r="E227" s="173"/>
      <c r="F227" s="41"/>
      <c r="G227" s="41"/>
      <c r="H227" s="41"/>
      <c r="I227" s="41"/>
      <c r="J227" s="41"/>
      <c r="K227" s="41"/>
      <c r="L227" s="41"/>
      <c r="M227" s="41"/>
      <c r="N227" s="41"/>
      <c r="O227" s="41"/>
      <c r="P227" s="41"/>
      <c r="Q227" s="41"/>
      <c r="R227" s="41"/>
      <c r="S227" s="41"/>
      <c r="T227" s="41"/>
      <c r="U227" s="41"/>
      <c r="V227" s="41"/>
      <c r="W227" s="41"/>
      <c r="X227" s="41"/>
      <c r="Y227" s="41"/>
      <c r="Z227" s="41"/>
    </row>
    <row r="228" ht="18.75" customHeight="1">
      <c r="A228" s="41"/>
      <c r="B228" s="173" t="s">
        <v>712</v>
      </c>
      <c r="C228" s="111" t="s">
        <v>1297</v>
      </c>
      <c r="D228" s="18" t="s">
        <v>483</v>
      </c>
      <c r="E228" s="173"/>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35"/>
      <c r="C229" s="35"/>
      <c r="D229" s="35"/>
      <c r="E229" s="35"/>
      <c r="F229" s="41"/>
      <c r="G229" s="41"/>
      <c r="H229" s="41"/>
      <c r="I229" s="41"/>
      <c r="J229" s="41"/>
      <c r="K229" s="41"/>
      <c r="L229" s="41"/>
      <c r="M229" s="41"/>
      <c r="N229" s="41"/>
      <c r="O229" s="41"/>
      <c r="P229" s="41"/>
      <c r="Q229" s="41"/>
      <c r="R229" s="41"/>
      <c r="S229" s="41"/>
      <c r="T229" s="41"/>
      <c r="U229" s="41"/>
      <c r="V229" s="41"/>
      <c r="W229" s="41"/>
      <c r="X229" s="41"/>
      <c r="Y229" s="41"/>
      <c r="Z229" s="41"/>
    </row>
    <row r="230" ht="33.75" customHeight="1">
      <c r="A230" s="41"/>
      <c r="B230" s="12" t="s">
        <v>416</v>
      </c>
      <c r="C230" s="13"/>
      <c r="D230" s="13"/>
      <c r="E230" s="14"/>
      <c r="F230" s="41"/>
      <c r="G230" s="41"/>
      <c r="H230" s="41"/>
      <c r="I230" s="41"/>
      <c r="J230" s="41"/>
      <c r="K230" s="41"/>
      <c r="L230" s="41"/>
      <c r="M230" s="41"/>
      <c r="N230" s="41"/>
      <c r="O230" s="41"/>
      <c r="P230" s="41"/>
      <c r="Q230" s="41"/>
      <c r="R230" s="41"/>
      <c r="S230" s="41"/>
      <c r="T230" s="41"/>
      <c r="U230" s="41"/>
      <c r="V230" s="41"/>
      <c r="W230" s="41"/>
      <c r="X230" s="41"/>
      <c r="Y230" s="41"/>
      <c r="Z230" s="41"/>
    </row>
    <row r="231" ht="19.5" customHeight="1">
      <c r="A231" s="41"/>
      <c r="B231" s="102" t="s">
        <v>1298</v>
      </c>
      <c r="C231" s="13"/>
      <c r="D231" s="13"/>
      <c r="E231" s="14"/>
      <c r="F231" s="41"/>
      <c r="G231" s="41"/>
      <c r="H231" s="41"/>
      <c r="I231" s="41"/>
      <c r="J231" s="41"/>
      <c r="K231" s="41"/>
      <c r="L231" s="41"/>
      <c r="M231" s="41"/>
      <c r="N231" s="41"/>
      <c r="O231" s="41"/>
      <c r="P231" s="41"/>
      <c r="Q231" s="41"/>
      <c r="R231" s="41"/>
      <c r="S231" s="41"/>
      <c r="T231" s="41"/>
      <c r="U231" s="41"/>
      <c r="V231" s="41"/>
      <c r="W231" s="41"/>
      <c r="X231" s="41"/>
      <c r="Y231" s="41"/>
      <c r="Z231" s="41"/>
    </row>
    <row r="232" ht="19.5" customHeight="1">
      <c r="A232" s="41"/>
      <c r="B232" s="49" t="s">
        <v>37</v>
      </c>
      <c r="C232" s="49" t="s">
        <v>273</v>
      </c>
      <c r="D232" s="49" t="s">
        <v>274</v>
      </c>
      <c r="E232" s="49" t="s">
        <v>5</v>
      </c>
      <c r="F232" s="41"/>
      <c r="G232" s="41"/>
      <c r="H232" s="41"/>
      <c r="I232" s="41"/>
      <c r="J232" s="41"/>
      <c r="K232" s="41"/>
      <c r="L232" s="41"/>
      <c r="M232" s="41"/>
      <c r="N232" s="41"/>
      <c r="O232" s="41"/>
      <c r="P232" s="41"/>
      <c r="Q232" s="41"/>
      <c r="R232" s="41"/>
      <c r="S232" s="41"/>
      <c r="T232" s="41"/>
      <c r="U232" s="41"/>
      <c r="V232" s="41"/>
      <c r="W232" s="41"/>
      <c r="X232" s="41"/>
      <c r="Y232" s="41"/>
      <c r="Z232" s="41"/>
    </row>
    <row r="233" ht="19.5" customHeight="1">
      <c r="A233" s="41"/>
      <c r="B233" s="173" t="s">
        <v>418</v>
      </c>
      <c r="C233" s="110" t="s">
        <v>213</v>
      </c>
      <c r="D233" s="18" t="s">
        <v>213</v>
      </c>
      <c r="E233" s="191"/>
      <c r="F233" s="41"/>
      <c r="G233" s="41"/>
      <c r="H233" s="41"/>
      <c r="I233" s="41"/>
      <c r="J233" s="41"/>
      <c r="K233" s="41"/>
      <c r="L233" s="41"/>
      <c r="M233" s="41"/>
      <c r="N233" s="41"/>
      <c r="O233" s="41"/>
      <c r="P233" s="41"/>
      <c r="Q233" s="41"/>
      <c r="R233" s="41"/>
      <c r="S233" s="41"/>
      <c r="T233" s="41"/>
      <c r="U233" s="41"/>
      <c r="V233" s="41"/>
      <c r="W233" s="41"/>
      <c r="X233" s="41"/>
      <c r="Y233" s="41"/>
      <c r="Z233" s="41"/>
    </row>
    <row r="234" ht="19.5" customHeight="1">
      <c r="A234" s="41"/>
      <c r="B234" s="173" t="s">
        <v>1299</v>
      </c>
      <c r="C234" s="110" t="s">
        <v>284</v>
      </c>
      <c r="D234" s="18" t="s">
        <v>284</v>
      </c>
      <c r="E234" s="18" t="s">
        <v>1300</v>
      </c>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33.75" customHeight="1">
      <c r="A236" s="41"/>
      <c r="B236" s="246" t="s">
        <v>420</v>
      </c>
      <c r="C236" s="247"/>
      <c r="D236" s="247"/>
      <c r="E236" s="248"/>
      <c r="F236" s="41"/>
      <c r="G236" s="41"/>
      <c r="H236" s="41"/>
      <c r="I236" s="41"/>
      <c r="J236" s="41"/>
      <c r="K236" s="41"/>
      <c r="L236" s="41"/>
      <c r="M236" s="41"/>
      <c r="N236" s="41"/>
      <c r="O236" s="41"/>
      <c r="P236" s="41"/>
      <c r="Q236" s="41"/>
      <c r="R236" s="41"/>
      <c r="S236" s="41"/>
      <c r="T236" s="41"/>
      <c r="U236" s="41"/>
      <c r="V236" s="41"/>
      <c r="W236" s="41"/>
      <c r="X236" s="41"/>
      <c r="Y236" s="41"/>
      <c r="Z236" s="41"/>
    </row>
    <row r="237" ht="19.5" customHeight="1">
      <c r="A237" s="41"/>
      <c r="B237" s="249" t="s">
        <v>1301</v>
      </c>
      <c r="C237" s="250"/>
      <c r="D237" s="250"/>
      <c r="E237" s="251"/>
      <c r="F237" s="41"/>
      <c r="G237" s="41"/>
      <c r="H237" s="41"/>
      <c r="I237" s="41"/>
      <c r="J237" s="41"/>
      <c r="K237" s="41"/>
      <c r="L237" s="41"/>
      <c r="M237" s="41"/>
      <c r="N237" s="41"/>
      <c r="O237" s="41"/>
      <c r="P237" s="41"/>
      <c r="Q237" s="41"/>
      <c r="R237" s="41"/>
      <c r="S237" s="41"/>
      <c r="T237" s="41"/>
      <c r="U237" s="41"/>
      <c r="V237" s="41"/>
      <c r="W237" s="41"/>
      <c r="X237" s="41"/>
      <c r="Y237" s="41"/>
      <c r="Z237" s="41"/>
    </row>
    <row r="238" ht="19.5" customHeight="1">
      <c r="A238" s="41"/>
      <c r="B238" s="252" t="s">
        <v>37</v>
      </c>
      <c r="C238" s="253" t="s">
        <v>273</v>
      </c>
      <c r="D238" s="253" t="s">
        <v>274</v>
      </c>
      <c r="E238" s="253" t="s">
        <v>5</v>
      </c>
      <c r="F238" s="41"/>
      <c r="G238" s="41"/>
      <c r="H238" s="41"/>
      <c r="I238" s="41"/>
      <c r="J238" s="41"/>
      <c r="K238" s="41"/>
      <c r="L238" s="41"/>
      <c r="M238" s="41"/>
      <c r="N238" s="41"/>
      <c r="O238" s="41"/>
      <c r="P238" s="41"/>
      <c r="Q238" s="41"/>
      <c r="R238" s="41"/>
      <c r="S238" s="41"/>
      <c r="T238" s="41"/>
      <c r="U238" s="41"/>
      <c r="V238" s="41"/>
      <c r="W238" s="41"/>
      <c r="X238" s="41"/>
      <c r="Y238" s="41"/>
      <c r="Z238" s="41"/>
    </row>
    <row r="239" ht="19.5" customHeight="1">
      <c r="A239" s="41"/>
      <c r="B239" s="173" t="s">
        <v>1302</v>
      </c>
      <c r="C239" s="110" t="str">
        <f>CONCATENATE(sample_wld_cl01_cluster,"-vds01")</f>
        <v>lax-w01-cl01-vds01</v>
      </c>
      <c r="D239" s="18"/>
      <c r="E239" s="191"/>
      <c r="F239" s="41"/>
      <c r="G239" s="41"/>
      <c r="H239" s="41"/>
      <c r="I239" s="41"/>
      <c r="J239" s="41"/>
      <c r="K239" s="41"/>
      <c r="L239" s="41"/>
      <c r="M239" s="41"/>
      <c r="N239" s="41"/>
      <c r="O239" s="41"/>
      <c r="P239" s="41"/>
      <c r="Q239" s="41"/>
      <c r="R239" s="41"/>
      <c r="S239" s="41"/>
      <c r="T239" s="41"/>
      <c r="U239" s="41"/>
      <c r="V239" s="41"/>
      <c r="W239" s="41"/>
      <c r="X239" s="41"/>
      <c r="Y239" s="41"/>
      <c r="Z239" s="41"/>
    </row>
    <row r="240" ht="19.5" customHeight="1">
      <c r="A240" s="41"/>
      <c r="B240" s="173" t="s">
        <v>404</v>
      </c>
      <c r="C240" s="110">
        <v>9000.0</v>
      </c>
      <c r="D240" s="18"/>
      <c r="E240" s="191"/>
      <c r="F240" s="41"/>
      <c r="G240" s="41"/>
      <c r="H240" s="41"/>
      <c r="I240" s="41"/>
      <c r="J240" s="41"/>
      <c r="K240" s="41"/>
      <c r="L240" s="41"/>
      <c r="M240" s="41"/>
      <c r="N240" s="41"/>
      <c r="O240" s="41"/>
      <c r="P240" s="41"/>
      <c r="Q240" s="41"/>
      <c r="R240" s="41"/>
      <c r="S240" s="41"/>
      <c r="T240" s="41"/>
      <c r="U240" s="41"/>
      <c r="V240" s="41"/>
      <c r="W240" s="41"/>
      <c r="X240" s="41"/>
      <c r="Y240" s="41"/>
      <c r="Z240" s="41"/>
    </row>
    <row r="241" ht="19.5" customHeight="1">
      <c r="A241" s="41"/>
      <c r="B241" s="173" t="s">
        <v>30</v>
      </c>
      <c r="C241" s="110" t="s">
        <v>423</v>
      </c>
      <c r="D241" s="18" t="s">
        <v>423</v>
      </c>
      <c r="E241" s="254" t="str">
        <f>IF(wld_cl01_vds01_link_type_chosen="VDS Lag","Only supported via API. Use VCF.JSONGenerator to generate the JSON File once PnP is complete","Option is not visible VCF Operations UI")</f>
        <v>Option is not visible VCF Operations UI</v>
      </c>
      <c r="F241" s="41"/>
      <c r="G241" s="41"/>
      <c r="H241" s="41"/>
      <c r="I241" s="41"/>
      <c r="J241" s="41"/>
      <c r="K241" s="41"/>
      <c r="L241" s="41"/>
      <c r="M241" s="41"/>
      <c r="N241" s="41"/>
      <c r="O241" s="41"/>
      <c r="P241" s="41"/>
      <c r="Q241" s="41"/>
      <c r="R241" s="41"/>
      <c r="S241" s="41"/>
      <c r="T241" s="41"/>
      <c r="U241" s="41"/>
      <c r="V241" s="41"/>
      <c r="W241" s="41"/>
      <c r="X241" s="41"/>
      <c r="Y241" s="41"/>
      <c r="Z241" s="41"/>
    </row>
    <row r="242" ht="19.5" customHeight="1">
      <c r="A242" s="41"/>
      <c r="B242" s="84" t="s">
        <v>424</v>
      </c>
      <c r="C242" s="149" t="str">
        <f>CONCATENATE("w01-cl01-vds1-lg")</f>
        <v>w01-cl01-vds1-lg</v>
      </c>
      <c r="D242" s="18"/>
      <c r="E242" s="254" t="str">
        <f>IF(wld_cl01_vds01_link_type_chosen="VDS Uplinks","This input is masked out as you have chosen to configure VDS Uplinks","Option is not visible in VCF Operations UI. There is a 16 Character Limit for LAG Name")</f>
        <v>This input is masked out as you have chosen to configure VDS Uplinks</v>
      </c>
      <c r="F242" s="41"/>
      <c r="G242" s="41"/>
      <c r="H242" s="41"/>
      <c r="I242" s="41"/>
      <c r="J242" s="41"/>
      <c r="K242" s="41"/>
      <c r="L242" s="41"/>
      <c r="M242" s="41"/>
      <c r="N242" s="41"/>
      <c r="O242" s="41"/>
      <c r="P242" s="41"/>
      <c r="Q242" s="41"/>
      <c r="R242" s="41"/>
      <c r="S242" s="41"/>
      <c r="T242" s="41"/>
      <c r="U242" s="41"/>
      <c r="V242" s="41"/>
      <c r="W242" s="41"/>
      <c r="X242" s="41"/>
      <c r="Y242" s="41"/>
      <c r="Z242" s="41"/>
    </row>
    <row r="243" ht="19.5" customHeight="1">
      <c r="A243" s="41"/>
      <c r="B243" s="84" t="s">
        <v>425</v>
      </c>
      <c r="C243" s="208" t="s">
        <v>426</v>
      </c>
      <c r="D243" s="18" t="s">
        <v>426</v>
      </c>
      <c r="E243" s="254" t="str">
        <f>IF(wld_cl01_vds01_link_type_chosen="VDS Uplinks","This input is masked out as you have chosen to configure VDS Uplinks","Option is not visible in VCF Operations UI")</f>
        <v>This input is masked out as you have chosen to configure VDS Uplinks</v>
      </c>
      <c r="F243" s="41"/>
      <c r="G243" s="41"/>
      <c r="H243" s="41"/>
      <c r="I243" s="41"/>
      <c r="J243" s="41"/>
      <c r="K243" s="41"/>
      <c r="L243" s="41"/>
      <c r="M243" s="41"/>
      <c r="N243" s="41"/>
      <c r="O243" s="41"/>
      <c r="P243" s="41"/>
      <c r="Q243" s="41"/>
      <c r="R243" s="41"/>
      <c r="S243" s="41"/>
      <c r="T243" s="41"/>
      <c r="U243" s="41"/>
      <c r="V243" s="41"/>
      <c r="W243" s="41"/>
      <c r="X243" s="41"/>
      <c r="Y243" s="41"/>
      <c r="Z243" s="41"/>
    </row>
    <row r="244" ht="19.5" customHeight="1">
      <c r="A244" s="41"/>
      <c r="B244" s="84" t="s">
        <v>427</v>
      </c>
      <c r="C244" s="208" t="s">
        <v>428</v>
      </c>
      <c r="D244" s="18" t="s">
        <v>428</v>
      </c>
      <c r="E244" s="254" t="str">
        <f>IF(wld_cl01_vds01_link_type_chosen="VDS Uplinks","This input is masked out as you have chosen to configure VDS Uplinks","Option is not visible in VCF Operations UI")</f>
        <v>This input is masked out as you have chosen to configure VDS Uplinks</v>
      </c>
      <c r="F244" s="41"/>
      <c r="G244" s="41"/>
      <c r="H244" s="41"/>
      <c r="I244" s="41"/>
      <c r="J244" s="41"/>
      <c r="K244" s="41"/>
      <c r="L244" s="41"/>
      <c r="M244" s="41"/>
      <c r="N244" s="41"/>
      <c r="O244" s="41"/>
      <c r="P244" s="41"/>
      <c r="Q244" s="41"/>
      <c r="R244" s="41"/>
      <c r="S244" s="41"/>
      <c r="T244" s="41"/>
      <c r="U244" s="41"/>
      <c r="V244" s="41"/>
      <c r="W244" s="41"/>
      <c r="X244" s="41"/>
      <c r="Y244" s="41"/>
      <c r="Z244" s="41"/>
    </row>
    <row r="245" ht="19.5" customHeight="1">
      <c r="A245" s="41"/>
      <c r="B245" s="84" t="s">
        <v>429</v>
      </c>
      <c r="C245" s="208" t="s">
        <v>430</v>
      </c>
      <c r="D245" s="18" t="s">
        <v>430</v>
      </c>
      <c r="E245" s="254" t="str">
        <f>IF(wld_cl01_vds01_link_type_chosen="VDS Uplinks","This input is masked out as you have chosen to configure VDS Uplinks","Option is not visible in VCF Operations UI")</f>
        <v>This input is masked out as you have chosen to configure VDS Uplinks</v>
      </c>
      <c r="F245" s="41"/>
      <c r="G245" s="41"/>
      <c r="H245" s="41"/>
      <c r="I245" s="41"/>
      <c r="J245" s="41"/>
      <c r="K245" s="41"/>
      <c r="L245" s="41"/>
      <c r="M245" s="41"/>
      <c r="N245" s="41"/>
      <c r="O245" s="41"/>
      <c r="P245" s="41"/>
      <c r="Q245" s="41"/>
      <c r="R245" s="41"/>
      <c r="S245" s="41"/>
      <c r="T245" s="41"/>
      <c r="U245" s="41"/>
      <c r="V245" s="41"/>
      <c r="W245" s="41"/>
      <c r="X245" s="41"/>
      <c r="Y245" s="41"/>
      <c r="Z245" s="41"/>
    </row>
    <row r="246" ht="19.5" customHeight="1">
      <c r="A246" s="41"/>
      <c r="B246" s="187" t="s">
        <v>431</v>
      </c>
      <c r="C246" s="255">
        <v>2.0</v>
      </c>
      <c r="D246" s="148"/>
      <c r="E246" s="256"/>
      <c r="F246" s="41"/>
      <c r="G246" s="41"/>
      <c r="H246" s="41"/>
      <c r="I246" s="41"/>
      <c r="J246" s="41"/>
      <c r="K246" s="41"/>
      <c r="L246" s="41"/>
      <c r="M246" s="41"/>
      <c r="N246" s="41"/>
      <c r="O246" s="41"/>
      <c r="P246" s="41"/>
      <c r="Q246" s="41"/>
      <c r="R246" s="41"/>
      <c r="S246" s="41"/>
      <c r="T246" s="41"/>
      <c r="U246" s="41"/>
      <c r="V246" s="41"/>
      <c r="W246" s="41"/>
      <c r="X246" s="41"/>
      <c r="Y246" s="41"/>
      <c r="Z246" s="41"/>
    </row>
    <row r="247" ht="19.5" customHeight="1">
      <c r="A247" s="41"/>
      <c r="B247" s="173" t="s">
        <v>1303</v>
      </c>
      <c r="C247" s="110" t="s">
        <v>1304</v>
      </c>
      <c r="D247" s="18"/>
      <c r="E247" s="256"/>
      <c r="F247" s="41"/>
      <c r="G247" s="41"/>
      <c r="H247" s="41"/>
      <c r="I247" s="41"/>
      <c r="J247" s="41"/>
      <c r="K247" s="41"/>
      <c r="L247" s="41"/>
      <c r="M247" s="41"/>
      <c r="N247" s="41"/>
      <c r="O247" s="41"/>
      <c r="P247" s="41"/>
      <c r="Q247" s="41"/>
      <c r="R247" s="41"/>
      <c r="S247" s="41"/>
      <c r="T247" s="41"/>
      <c r="U247" s="41"/>
      <c r="V247" s="41"/>
      <c r="W247" s="41"/>
      <c r="X247" s="41"/>
      <c r="Y247" s="41"/>
      <c r="Z247" s="41"/>
    </row>
    <row r="248" ht="19.5" customHeight="1">
      <c r="A248" s="41"/>
      <c r="B248" s="173" t="s">
        <v>1305</v>
      </c>
      <c r="C248" s="110" t="s">
        <v>1306</v>
      </c>
      <c r="D248" s="18" t="str">
        <f>wld_cl01_vds01_traffic_type</f>
        <v>Management vMotion vSAN NSX-Overlay</v>
      </c>
      <c r="E248" s="191"/>
      <c r="F248" s="41"/>
      <c r="G248" s="41"/>
      <c r="H248" s="41"/>
      <c r="I248" s="41"/>
      <c r="J248" s="41"/>
      <c r="K248" s="41"/>
      <c r="L248" s="41"/>
      <c r="M248" s="41"/>
      <c r="N248" s="41"/>
      <c r="O248" s="41"/>
      <c r="P248" s="41"/>
      <c r="Q248" s="41"/>
      <c r="R248" s="41"/>
      <c r="S248" s="41"/>
      <c r="T248" s="41"/>
      <c r="U248" s="41"/>
      <c r="V248" s="41"/>
      <c r="W248" s="41"/>
      <c r="X248" s="41"/>
      <c r="Y248" s="41"/>
      <c r="Z248" s="41"/>
    </row>
    <row r="249" ht="19.5" customHeight="1">
      <c r="A249" s="41"/>
      <c r="B249" s="102" t="s">
        <v>434</v>
      </c>
      <c r="C249" s="13"/>
      <c r="D249" s="13"/>
      <c r="E249" s="14"/>
      <c r="F249" s="41"/>
      <c r="G249" s="41"/>
      <c r="H249" s="41"/>
      <c r="I249" s="41"/>
      <c r="J249" s="41"/>
      <c r="K249" s="41"/>
      <c r="L249" s="41"/>
      <c r="M249" s="41"/>
      <c r="N249" s="41"/>
      <c r="O249" s="41"/>
      <c r="P249" s="41"/>
      <c r="Q249" s="41"/>
      <c r="R249" s="41"/>
      <c r="S249" s="41"/>
      <c r="T249" s="41"/>
      <c r="U249" s="41"/>
      <c r="V249" s="41"/>
      <c r="W249" s="41"/>
      <c r="X249" s="41"/>
      <c r="Y249" s="41"/>
      <c r="Z249" s="41"/>
    </row>
    <row r="250" ht="19.5" customHeight="1">
      <c r="A250" s="41"/>
      <c r="B250" s="173" t="s">
        <v>1307</v>
      </c>
      <c r="C250" s="110" t="str">
        <f>CONCATENATE(sample_wld_cl01_cluster,"-vds02")</f>
        <v>lax-w01-cl01-vds02</v>
      </c>
      <c r="D250" s="18"/>
      <c r="E250" s="190" t="str">
        <f>IF(OR(wld_cl01_vds_profile_chosen="Default",wld_cl01_vds_profile_chosen="Custom Switch Configuration"),"This input is masked out due to VDS Profile selected","")</f>
        <v>This input is masked out due to VDS Profile selected</v>
      </c>
      <c r="F250" s="41"/>
      <c r="G250" s="41"/>
      <c r="H250" s="41"/>
      <c r="I250" s="41"/>
      <c r="J250" s="41"/>
      <c r="K250" s="41"/>
      <c r="L250" s="41"/>
      <c r="M250" s="41"/>
      <c r="N250" s="41"/>
      <c r="O250" s="41"/>
      <c r="P250" s="41"/>
      <c r="Q250" s="41"/>
      <c r="R250" s="41"/>
      <c r="S250" s="41"/>
      <c r="T250" s="41"/>
      <c r="U250" s="41"/>
      <c r="V250" s="41"/>
      <c r="W250" s="41"/>
      <c r="X250" s="41"/>
      <c r="Y250" s="41"/>
      <c r="Z250" s="41"/>
    </row>
    <row r="251" ht="19.5" customHeight="1">
      <c r="A251" s="41"/>
      <c r="B251" s="173" t="s">
        <v>404</v>
      </c>
      <c r="C251" s="110">
        <v>9000.0</v>
      </c>
      <c r="D251" s="18"/>
      <c r="E251" s="190" t="str">
        <f>IF(OR(wld_cl01_vds_profile_chosen="Default",wld_cl01_vds_profile_chosen="Custom Switch Configuration"),"This input is masked out due to VDS Profile selected","")</f>
        <v>This input is masked out due to VDS Profile selected</v>
      </c>
      <c r="F251" s="41"/>
      <c r="G251" s="41"/>
      <c r="H251" s="41"/>
      <c r="I251" s="41"/>
      <c r="J251" s="41"/>
      <c r="K251" s="41"/>
      <c r="L251" s="41"/>
      <c r="M251" s="41"/>
      <c r="N251" s="41"/>
      <c r="O251" s="41"/>
      <c r="P251" s="41"/>
      <c r="Q251" s="41"/>
      <c r="R251" s="41"/>
      <c r="S251" s="41"/>
      <c r="T251" s="41"/>
      <c r="U251" s="41"/>
      <c r="V251" s="41"/>
      <c r="W251" s="41"/>
      <c r="X251" s="41"/>
      <c r="Y251" s="41"/>
      <c r="Z251" s="41"/>
    </row>
    <row r="252" ht="19.5" customHeight="1">
      <c r="A252" s="41"/>
      <c r="B252" s="173" t="s">
        <v>30</v>
      </c>
      <c r="C252" s="110" t="s">
        <v>423</v>
      </c>
      <c r="D252" s="18" t="s">
        <v>423</v>
      </c>
      <c r="E252" s="257" t="str">
        <f>IF(wld_cl01_vds_profile_chosen="Default","This input is masked out due to VDS Profile selected",IF(wld_cl01_vds02_link_type_chosen="VDS Lag","Only supported via API. Use VCF.JSONGenerator to generate the JSON File once PnP is complete","Option is not visible in VCF Operations UI. There is a 16 Character Limit for LAG Name"))</f>
        <v>This input is masked out due to VDS Profile selected</v>
      </c>
      <c r="F252" s="41"/>
      <c r="G252" s="41"/>
      <c r="H252" s="41"/>
      <c r="I252" s="41"/>
      <c r="J252" s="41"/>
      <c r="K252" s="41"/>
      <c r="L252" s="41"/>
      <c r="M252" s="41"/>
      <c r="N252" s="41"/>
      <c r="O252" s="41"/>
      <c r="P252" s="41"/>
      <c r="Q252" s="41"/>
      <c r="R252" s="41"/>
      <c r="S252" s="41"/>
      <c r="T252" s="41"/>
      <c r="U252" s="41"/>
      <c r="V252" s="41"/>
      <c r="W252" s="41"/>
      <c r="X252" s="41"/>
      <c r="Y252" s="41"/>
      <c r="Z252" s="41"/>
    </row>
    <row r="253" ht="19.5" customHeight="1">
      <c r="A253" s="41"/>
      <c r="B253" s="84" t="s">
        <v>424</v>
      </c>
      <c r="C253" s="149" t="str">
        <f>CONCATENATE("w01-cl01-vds2-lg")</f>
        <v>w01-cl01-vds2-lg</v>
      </c>
      <c r="D253" s="18"/>
      <c r="E253" s="257"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 There is a 16 Character Limit for LAG Name"))</f>
        <v>This input is masked out due to VDS Profile selected</v>
      </c>
      <c r="F253" s="41"/>
      <c r="G253" s="41"/>
      <c r="H253" s="41"/>
      <c r="I253" s="41"/>
      <c r="J253" s="41"/>
      <c r="K253" s="41"/>
      <c r="L253" s="41"/>
      <c r="M253" s="41"/>
      <c r="N253" s="41"/>
      <c r="O253" s="41"/>
      <c r="P253" s="41"/>
      <c r="Q253" s="41"/>
      <c r="R253" s="41"/>
      <c r="S253" s="41"/>
      <c r="T253" s="41"/>
      <c r="U253" s="41"/>
      <c r="V253" s="41"/>
      <c r="W253" s="41"/>
      <c r="X253" s="41"/>
      <c r="Y253" s="41"/>
      <c r="Z253" s="41"/>
    </row>
    <row r="254" ht="19.5" customHeight="1">
      <c r="A254" s="41"/>
      <c r="B254" s="84" t="s">
        <v>425</v>
      </c>
      <c r="C254" s="208" t="s">
        <v>426</v>
      </c>
      <c r="D254" s="18" t="s">
        <v>426</v>
      </c>
      <c r="E254" s="257"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c r="F254" s="41"/>
      <c r="G254" s="41"/>
      <c r="H254" s="41"/>
      <c r="I254" s="41"/>
      <c r="J254" s="41"/>
      <c r="K254" s="41"/>
      <c r="L254" s="41"/>
      <c r="M254" s="41"/>
      <c r="N254" s="41"/>
      <c r="O254" s="41"/>
      <c r="P254" s="41"/>
      <c r="Q254" s="41"/>
      <c r="R254" s="41"/>
      <c r="S254" s="41"/>
      <c r="T254" s="41"/>
      <c r="U254" s="41"/>
      <c r="V254" s="41"/>
      <c r="W254" s="41"/>
      <c r="X254" s="41"/>
      <c r="Y254" s="41"/>
      <c r="Z254" s="41"/>
    </row>
    <row r="255" ht="19.5" customHeight="1">
      <c r="A255" s="41"/>
      <c r="B255" s="84" t="s">
        <v>427</v>
      </c>
      <c r="C255" s="208" t="s">
        <v>428</v>
      </c>
      <c r="D255" s="18" t="s">
        <v>428</v>
      </c>
      <c r="E255" s="257"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c r="F255" s="41"/>
      <c r="G255" s="41"/>
      <c r="H255" s="41"/>
      <c r="I255" s="41"/>
      <c r="J255" s="41"/>
      <c r="K255" s="41"/>
      <c r="L255" s="41"/>
      <c r="M255" s="41"/>
      <c r="N255" s="41"/>
      <c r="O255" s="41"/>
      <c r="P255" s="41"/>
      <c r="Q255" s="41"/>
      <c r="R255" s="41"/>
      <c r="S255" s="41"/>
      <c r="T255" s="41"/>
      <c r="U255" s="41"/>
      <c r="V255" s="41"/>
      <c r="W255" s="41"/>
      <c r="X255" s="41"/>
      <c r="Y255" s="41"/>
      <c r="Z255" s="41"/>
    </row>
    <row r="256" ht="19.5" customHeight="1">
      <c r="A256" s="41"/>
      <c r="B256" s="84" t="s">
        <v>429</v>
      </c>
      <c r="C256" s="208" t="s">
        <v>430</v>
      </c>
      <c r="D256" s="18" t="s">
        <v>430</v>
      </c>
      <c r="E256" s="257"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visible in VCF Operations UI"))</f>
        <v>This input is masked out due to VDS Profile selected</v>
      </c>
      <c r="F256" s="41"/>
      <c r="G256" s="41"/>
      <c r="H256" s="41"/>
      <c r="I256" s="41"/>
      <c r="J256" s="41"/>
      <c r="K256" s="41"/>
      <c r="L256" s="41"/>
      <c r="M256" s="41"/>
      <c r="N256" s="41"/>
      <c r="O256" s="41"/>
      <c r="P256" s="41"/>
      <c r="Q256" s="41"/>
      <c r="R256" s="41"/>
      <c r="S256" s="41"/>
      <c r="T256" s="41"/>
      <c r="U256" s="41"/>
      <c r="V256" s="41"/>
      <c r="W256" s="41"/>
      <c r="X256" s="41"/>
      <c r="Y256" s="41"/>
      <c r="Z256" s="41"/>
    </row>
    <row r="257" ht="19.5" customHeight="1">
      <c r="A257" s="41"/>
      <c r="B257" s="187" t="s">
        <v>431</v>
      </c>
      <c r="C257" s="255">
        <v>2.0</v>
      </c>
      <c r="D257" s="18"/>
      <c r="E257" s="257" t="str">
        <f>IF(OR(wld_cl01_vds_profile_chosen="Default",wld_cl01_vds_profile_chosen="Custom Switch Configuration"),"This input is masked out due to VDS Profile selected","")</f>
        <v>This input is masked out due to VDS Profile selected</v>
      </c>
      <c r="F257" s="41"/>
      <c r="G257" s="41"/>
      <c r="H257" s="41"/>
      <c r="I257" s="41"/>
      <c r="J257" s="41"/>
      <c r="K257" s="41"/>
      <c r="L257" s="41"/>
      <c r="M257" s="41"/>
      <c r="N257" s="41"/>
      <c r="O257" s="41"/>
      <c r="P257" s="41"/>
      <c r="Q257" s="41"/>
      <c r="R257" s="41"/>
      <c r="S257" s="41"/>
      <c r="T257" s="41"/>
      <c r="U257" s="41"/>
      <c r="V257" s="41"/>
      <c r="W257" s="41"/>
      <c r="X257" s="41"/>
      <c r="Y257" s="41"/>
      <c r="Z257" s="41"/>
    </row>
    <row r="258" ht="19.5" customHeight="1">
      <c r="A258" s="41"/>
      <c r="B258" s="173" t="s">
        <v>1303</v>
      </c>
      <c r="C258" s="110" t="s">
        <v>1308</v>
      </c>
      <c r="D258" s="18"/>
      <c r="E258" s="190" t="str">
        <f>IF(OR(wld_cl01_vds_profile_chosen="Default",wld_cl01_vds_profile_chosen="Custom Switch Configuration"),"This input is masked out due to VDS Profile selected","")</f>
        <v>This input is masked out due to VDS Profile selected</v>
      </c>
      <c r="F258" s="41"/>
      <c r="G258" s="41"/>
      <c r="H258" s="41"/>
      <c r="I258" s="41"/>
      <c r="J258" s="41"/>
      <c r="K258" s="41"/>
      <c r="L258" s="41"/>
      <c r="M258" s="41"/>
      <c r="N258" s="41"/>
      <c r="O258" s="41"/>
      <c r="P258" s="41"/>
      <c r="Q258" s="41"/>
      <c r="R258" s="41"/>
      <c r="S258" s="41"/>
      <c r="T258" s="41"/>
      <c r="U258" s="41"/>
      <c r="V258" s="41"/>
      <c r="W258" s="41"/>
      <c r="X258" s="41"/>
      <c r="Y258" s="41"/>
      <c r="Z258" s="41"/>
    </row>
    <row r="259" ht="19.5" customHeight="1">
      <c r="A259" s="41"/>
      <c r="B259" s="173" t="s">
        <v>1305</v>
      </c>
      <c r="C259" s="110" t="s">
        <v>724</v>
      </c>
      <c r="D259" s="18" t="str">
        <f>wld_cl01_vds02_traffic_type</f>
        <v>Value Missing</v>
      </c>
      <c r="E259" s="190" t="str">
        <f>IF(OR(wld_cl01_vds_profile_chosen="Default",wld_cl01_vds_profile_chosen="Custom Switch Configuration"),"This input is masked out due to VDS Profile selected","")</f>
        <v>This input is masked out due to VDS Profile selected</v>
      </c>
      <c r="F259" s="41"/>
      <c r="G259" s="41"/>
      <c r="H259" s="41"/>
      <c r="I259" s="41"/>
      <c r="J259" s="41"/>
      <c r="K259" s="41"/>
      <c r="L259" s="41"/>
      <c r="M259" s="41"/>
      <c r="N259" s="41"/>
      <c r="O259" s="41"/>
      <c r="P259" s="41"/>
      <c r="Q259" s="41"/>
      <c r="R259" s="41"/>
      <c r="S259" s="41"/>
      <c r="T259" s="41"/>
      <c r="U259" s="41"/>
      <c r="V259" s="41"/>
      <c r="W259" s="41"/>
      <c r="X259" s="41"/>
      <c r="Y259" s="41"/>
      <c r="Z259" s="41"/>
    </row>
    <row r="260" ht="19.5" customHeight="1">
      <c r="A260" s="41"/>
      <c r="B260" s="102" t="s">
        <v>437</v>
      </c>
      <c r="C260" s="13"/>
      <c r="D260" s="13"/>
      <c r="E260" s="14"/>
      <c r="F260" s="41"/>
      <c r="G260" s="41"/>
      <c r="H260" s="41"/>
      <c r="I260" s="41"/>
      <c r="J260" s="41"/>
      <c r="K260" s="41"/>
      <c r="L260" s="41"/>
      <c r="M260" s="41"/>
      <c r="N260" s="41"/>
      <c r="O260" s="41"/>
      <c r="P260" s="41"/>
      <c r="Q260" s="41"/>
      <c r="R260" s="41"/>
      <c r="S260" s="41"/>
      <c r="T260" s="41"/>
      <c r="U260" s="41"/>
      <c r="V260" s="41"/>
      <c r="W260" s="41"/>
      <c r="X260" s="41"/>
      <c r="Y260" s="41"/>
      <c r="Z260" s="41"/>
    </row>
    <row r="261" ht="19.5" customHeight="1">
      <c r="A261" s="41"/>
      <c r="B261" s="173" t="s">
        <v>1309</v>
      </c>
      <c r="C261" s="110" t="str">
        <f>CONCATENATE(sample_wld_cl01_cluster,"-vds03")</f>
        <v>lax-w01-cl01-vds03</v>
      </c>
      <c r="D261" s="18"/>
      <c r="E261" s="190" t="str">
        <f>IF(wld_cl01_vds_profile_chosen&lt;&gt;"Storage Traffic and NSX Traffic Separation","This input is masked out due to VDS Profile selected","")</f>
        <v>This input is masked out due to VDS Profile selected</v>
      </c>
      <c r="F261" s="41"/>
      <c r="G261" s="41"/>
      <c r="H261" s="41"/>
      <c r="I261" s="41"/>
      <c r="J261" s="41"/>
      <c r="K261" s="41"/>
      <c r="L261" s="41"/>
      <c r="M261" s="41"/>
      <c r="N261" s="41"/>
      <c r="O261" s="41"/>
      <c r="P261" s="41"/>
      <c r="Q261" s="41"/>
      <c r="R261" s="41"/>
      <c r="S261" s="41"/>
      <c r="T261" s="41"/>
      <c r="U261" s="41"/>
      <c r="V261" s="41"/>
      <c r="W261" s="41"/>
      <c r="X261" s="41"/>
      <c r="Y261" s="41"/>
      <c r="Z261" s="41"/>
    </row>
    <row r="262" ht="19.5" customHeight="1">
      <c r="A262" s="41"/>
      <c r="B262" s="173" t="s">
        <v>404</v>
      </c>
      <c r="C262" s="110">
        <v>9000.0</v>
      </c>
      <c r="D262" s="18"/>
      <c r="E262" s="190" t="str">
        <f>IF(wld_cl01_vds_profile_chosen&lt;&gt;"Storage Traffic and NSX Traffic Separation","This input is masked out due to VDS Profile selected","")</f>
        <v>This input is masked out due to VDS Profile selected</v>
      </c>
      <c r="F262" s="41"/>
      <c r="G262" s="41"/>
      <c r="H262" s="41"/>
      <c r="I262" s="41"/>
      <c r="J262" s="41"/>
      <c r="K262" s="41"/>
      <c r="L262" s="41"/>
      <c r="M262" s="41"/>
      <c r="N262" s="41"/>
      <c r="O262" s="41"/>
      <c r="P262" s="41"/>
      <c r="Q262" s="41"/>
      <c r="R262" s="41"/>
      <c r="S262" s="41"/>
      <c r="T262" s="41"/>
      <c r="U262" s="41"/>
      <c r="V262" s="41"/>
      <c r="W262" s="41"/>
      <c r="X262" s="41"/>
      <c r="Y262" s="41"/>
      <c r="Z262" s="41"/>
    </row>
    <row r="263" ht="19.5" customHeight="1">
      <c r="A263" s="41"/>
      <c r="B263" s="173" t="s">
        <v>30</v>
      </c>
      <c r="C263" s="110" t="s">
        <v>423</v>
      </c>
      <c r="D263" s="18" t="s">
        <v>423</v>
      </c>
      <c r="E263" s="254" t="str">
        <f>IF(wld_cl01_vds_profile_chosen&lt;&gt;"Storage Traffic and NSX Traffic Separation","This input is masked out due to VDS Profile selected",IF(wld_cl01_vds03_link_type_chosen="VDS Lag","Only supported via API. Use VCF.JSONGenerator to generate the JSON File once PnP is complete","Option is not visible VCF Operations UI"))</f>
        <v>This input is masked out due to VDS Profile selected</v>
      </c>
      <c r="F263" s="41"/>
      <c r="G263" s="41"/>
      <c r="H263" s="41"/>
      <c r="I263" s="41"/>
      <c r="J263" s="41"/>
      <c r="K263" s="41"/>
      <c r="L263" s="41"/>
      <c r="M263" s="41"/>
      <c r="N263" s="41"/>
      <c r="O263" s="41"/>
      <c r="P263" s="41"/>
      <c r="Q263" s="41"/>
      <c r="R263" s="41"/>
      <c r="S263" s="41"/>
      <c r="T263" s="41"/>
      <c r="U263" s="41"/>
      <c r="V263" s="41"/>
      <c r="W263" s="41"/>
      <c r="X263" s="41"/>
      <c r="Y263" s="41"/>
      <c r="Z263" s="41"/>
    </row>
    <row r="264" ht="19.5" customHeight="1">
      <c r="A264" s="41"/>
      <c r="B264" s="84" t="s">
        <v>424</v>
      </c>
      <c r="C264" s="149" t="str">
        <f>CONCATENATE("w01-cl01-vds3-lg")</f>
        <v>w01-cl01-vds3-lg</v>
      </c>
      <c r="D264" s="18"/>
      <c r="E264" s="254"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 There is a 16 Character Limit for LAG Name"))</f>
        <v>This input is masked out due to VDS Profile selected</v>
      </c>
      <c r="F264" s="41"/>
      <c r="G264" s="41"/>
      <c r="H264" s="41"/>
      <c r="I264" s="41"/>
      <c r="J264" s="41"/>
      <c r="K264" s="41"/>
      <c r="L264" s="41"/>
      <c r="M264" s="41"/>
      <c r="N264" s="41"/>
      <c r="O264" s="41"/>
      <c r="P264" s="41"/>
      <c r="Q264" s="41"/>
      <c r="R264" s="41"/>
      <c r="S264" s="41"/>
      <c r="T264" s="41"/>
      <c r="U264" s="41"/>
      <c r="V264" s="41"/>
      <c r="W264" s="41"/>
      <c r="X264" s="41"/>
      <c r="Y264" s="41"/>
      <c r="Z264" s="41"/>
    </row>
    <row r="265" ht="19.5" customHeight="1">
      <c r="A265" s="41"/>
      <c r="B265" s="84" t="s">
        <v>425</v>
      </c>
      <c r="C265" s="208" t="s">
        <v>426</v>
      </c>
      <c r="D265" s="18" t="s">
        <v>426</v>
      </c>
      <c r="E265" s="254"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c r="F265" s="41"/>
      <c r="G265" s="41"/>
      <c r="H265" s="41"/>
      <c r="I265" s="41"/>
      <c r="J265" s="41"/>
      <c r="K265" s="41"/>
      <c r="L265" s="41"/>
      <c r="M265" s="41"/>
      <c r="N265" s="41"/>
      <c r="O265" s="41"/>
      <c r="P265" s="41"/>
      <c r="Q265" s="41"/>
      <c r="R265" s="41"/>
      <c r="S265" s="41"/>
      <c r="T265" s="41"/>
      <c r="U265" s="41"/>
      <c r="V265" s="41"/>
      <c r="W265" s="41"/>
      <c r="X265" s="41"/>
      <c r="Y265" s="41"/>
      <c r="Z265" s="41"/>
    </row>
    <row r="266" ht="19.5" customHeight="1">
      <c r="A266" s="41"/>
      <c r="B266" s="84" t="s">
        <v>427</v>
      </c>
      <c r="C266" s="208" t="s">
        <v>428</v>
      </c>
      <c r="D266" s="18" t="s">
        <v>428</v>
      </c>
      <c r="E266" s="254"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c r="F266" s="41"/>
      <c r="G266" s="41"/>
      <c r="H266" s="41"/>
      <c r="I266" s="41"/>
      <c r="J266" s="41"/>
      <c r="K266" s="41"/>
      <c r="L266" s="41"/>
      <c r="M266" s="41"/>
      <c r="N266" s="41"/>
      <c r="O266" s="41"/>
      <c r="P266" s="41"/>
      <c r="Q266" s="41"/>
      <c r="R266" s="41"/>
      <c r="S266" s="41"/>
      <c r="T266" s="41"/>
      <c r="U266" s="41"/>
      <c r="V266" s="41"/>
      <c r="W266" s="41"/>
      <c r="X266" s="41"/>
      <c r="Y266" s="41"/>
      <c r="Z266" s="41"/>
    </row>
    <row r="267" ht="19.5" customHeight="1">
      <c r="A267" s="41"/>
      <c r="B267" s="84" t="s">
        <v>429</v>
      </c>
      <c r="C267" s="208" t="s">
        <v>430</v>
      </c>
      <c r="D267" s="18" t="s">
        <v>1310</v>
      </c>
      <c r="E267" s="254" t="str">
        <f>IF(wld_cl01_vds_profile_chosen&lt;&gt;"Storage Traffic and NSX Traffic Separation","This input is masked out due to VDS Profile selected",IF(wld_cl01_vds03_link_type_chosen="VDS Uplinks","This input is masked out as you have chosen to configure VDS Uplinks","Option is not visible in VCF Operations UI"))</f>
        <v>This input is masked out due to VDS Profile selected</v>
      </c>
      <c r="F267" s="41"/>
      <c r="G267" s="41"/>
      <c r="H267" s="41"/>
      <c r="I267" s="41"/>
      <c r="J267" s="41"/>
      <c r="K267" s="41"/>
      <c r="L267" s="41"/>
      <c r="M267" s="41"/>
      <c r="N267" s="41"/>
      <c r="O267" s="41"/>
      <c r="P267" s="41"/>
      <c r="Q267" s="41"/>
      <c r="R267" s="41"/>
      <c r="S267" s="41"/>
      <c r="T267" s="41"/>
      <c r="U267" s="41"/>
      <c r="V267" s="41"/>
      <c r="W267" s="41"/>
      <c r="X267" s="41"/>
      <c r="Y267" s="41"/>
      <c r="Z267" s="41"/>
    </row>
    <row r="268" ht="19.5" customHeight="1">
      <c r="A268" s="41"/>
      <c r="B268" s="187" t="s">
        <v>431</v>
      </c>
      <c r="C268" s="255">
        <v>2.0</v>
      </c>
      <c r="D268" s="18"/>
      <c r="E268" s="254" t="str">
        <f>IF(wld_cl01_vds_profile_chosen&lt;&gt;"Storage Traffic and NSX Traffic Separation","This input is masked out due to VDS Profile selected","")</f>
        <v>This input is masked out due to VDS Profile selected</v>
      </c>
      <c r="F268" s="41"/>
      <c r="G268" s="41"/>
      <c r="H268" s="41"/>
      <c r="I268" s="41"/>
      <c r="J268" s="41"/>
      <c r="K268" s="41"/>
      <c r="L268" s="41"/>
      <c r="M268" s="41"/>
      <c r="N268" s="41"/>
      <c r="O268" s="41"/>
      <c r="P268" s="41"/>
      <c r="Q268" s="41"/>
      <c r="R268" s="41"/>
      <c r="S268" s="41"/>
      <c r="T268" s="41"/>
      <c r="U268" s="41"/>
      <c r="V268" s="41"/>
      <c r="W268" s="41"/>
      <c r="X268" s="41"/>
      <c r="Y268" s="41"/>
      <c r="Z268" s="41"/>
    </row>
    <row r="269" ht="19.5" customHeight="1">
      <c r="A269" s="41"/>
      <c r="B269" s="173" t="s">
        <v>1303</v>
      </c>
      <c r="C269" s="110" t="s">
        <v>1311</v>
      </c>
      <c r="D269" s="18"/>
      <c r="E269" s="190" t="str">
        <f>IF(wld_cl01_vds_profile_chosen&lt;&gt;"Storage Traffic and NSX Traffic Separation","This input is masked out due to VDS Profile selected","")</f>
        <v>This input is masked out due to VDS Profile selected</v>
      </c>
      <c r="F269" s="41"/>
      <c r="G269" s="41"/>
      <c r="H269" s="41"/>
      <c r="I269" s="41"/>
      <c r="J269" s="41"/>
      <c r="K269" s="41"/>
      <c r="L269" s="41"/>
      <c r="M269" s="41"/>
      <c r="N269" s="41"/>
      <c r="O269" s="41"/>
      <c r="P269" s="41"/>
      <c r="Q269" s="41"/>
      <c r="R269" s="41"/>
      <c r="S269" s="41"/>
      <c r="T269" s="41"/>
      <c r="U269" s="41"/>
      <c r="V269" s="41"/>
      <c r="W269" s="41"/>
      <c r="X269" s="41"/>
      <c r="Y269" s="41"/>
      <c r="Z269" s="41"/>
    </row>
    <row r="270" ht="19.5" customHeight="1">
      <c r="A270" s="41"/>
      <c r="B270" s="173" t="s">
        <v>1305</v>
      </c>
      <c r="C270" s="110" t="s">
        <v>1312</v>
      </c>
      <c r="D270" s="18" t="str">
        <f>wld_cl01_vds03_traffic_type</f>
        <v>Value Missing</v>
      </c>
      <c r="E270" s="190" t="str">
        <f>IF(wld_cl01_vds_profile_chosen&lt;&gt;"Storage Traffic and NSX Traffic Separation","This input is masked out due to VDS Profile selected","")</f>
        <v>This input is masked out due to VDS Profile selected</v>
      </c>
      <c r="F270" s="41"/>
      <c r="G270" s="41"/>
      <c r="H270" s="41"/>
      <c r="I270" s="41"/>
      <c r="J270" s="41"/>
      <c r="K270" s="41"/>
      <c r="L270" s="41"/>
      <c r="M270" s="41"/>
      <c r="N270" s="41"/>
      <c r="O270" s="41"/>
      <c r="P270" s="41"/>
      <c r="Q270" s="41"/>
      <c r="R270" s="41"/>
      <c r="S270" s="41"/>
      <c r="T270" s="41"/>
      <c r="U270" s="41"/>
      <c r="V270" s="41"/>
      <c r="W270" s="41"/>
      <c r="X270" s="41"/>
      <c r="Y270" s="41"/>
      <c r="Z270" s="41"/>
    </row>
    <row r="271" ht="19.5" customHeight="1">
      <c r="A271" s="41"/>
      <c r="B271" s="249" t="s">
        <v>1313</v>
      </c>
      <c r="C271" s="250"/>
      <c r="D271" s="250"/>
      <c r="E271" s="251"/>
      <c r="F271" s="41"/>
      <c r="G271" s="41"/>
      <c r="H271" s="41"/>
      <c r="I271" s="41"/>
      <c r="J271" s="41"/>
      <c r="K271" s="41"/>
      <c r="L271" s="41"/>
      <c r="M271" s="41"/>
      <c r="N271" s="41"/>
      <c r="O271" s="41"/>
      <c r="P271" s="41"/>
      <c r="Q271" s="41"/>
      <c r="R271" s="41"/>
      <c r="S271" s="41"/>
      <c r="T271" s="41"/>
      <c r="U271" s="41"/>
      <c r="V271" s="41"/>
      <c r="W271" s="41"/>
      <c r="X271" s="41"/>
      <c r="Y271" s="41"/>
      <c r="Z271" s="41"/>
    </row>
    <row r="272" ht="19.5" customHeight="1">
      <c r="A272" s="41"/>
      <c r="B272" s="187" t="s">
        <v>441</v>
      </c>
      <c r="C272" s="110" t="str">
        <f>CONCATENATE(sample_wld_cl01_vds01_name,"-pg-esxi-mgmt")</f>
        <v>lax-w01-cl01-vds01-pg-esxi-mgmt</v>
      </c>
      <c r="D272" s="18"/>
      <c r="E272" s="18" t="s">
        <v>1314</v>
      </c>
      <c r="F272" s="41"/>
      <c r="G272" s="41"/>
      <c r="H272" s="41"/>
      <c r="I272" s="41"/>
      <c r="J272" s="41"/>
      <c r="K272" s="41"/>
      <c r="L272" s="41"/>
      <c r="M272" s="41"/>
      <c r="N272" s="41"/>
      <c r="O272" s="41"/>
      <c r="P272" s="41"/>
      <c r="Q272" s="41"/>
      <c r="R272" s="41"/>
      <c r="S272" s="41"/>
      <c r="T272" s="41"/>
      <c r="U272" s="41"/>
      <c r="V272" s="41"/>
      <c r="W272" s="41"/>
      <c r="X272" s="41"/>
      <c r="Y272" s="41"/>
      <c r="Z272" s="41"/>
    </row>
    <row r="273" ht="19.5" customHeight="1">
      <c r="A273" s="41"/>
      <c r="B273" s="187" t="s">
        <v>442</v>
      </c>
      <c r="C273" s="255" t="s">
        <v>443</v>
      </c>
      <c r="D273" s="148" t="s">
        <v>443</v>
      </c>
      <c r="E273" s="258" t="str">
        <f>IF(wld_cl01_vds01_link_type_chosen="VDS Lag","This input is masked out as you have chosen to configure VDS LAG","")</f>
        <v/>
      </c>
      <c r="F273" s="41"/>
      <c r="G273" s="41"/>
      <c r="H273" s="41"/>
      <c r="I273" s="41"/>
      <c r="J273" s="41"/>
      <c r="K273" s="41"/>
      <c r="L273" s="41"/>
      <c r="M273" s="41"/>
      <c r="N273" s="41"/>
      <c r="O273" s="41"/>
      <c r="P273" s="41"/>
      <c r="Q273" s="41"/>
      <c r="R273" s="41"/>
      <c r="S273" s="41"/>
      <c r="T273" s="41"/>
      <c r="U273" s="41"/>
      <c r="V273" s="41"/>
      <c r="W273" s="41"/>
      <c r="X273" s="41"/>
      <c r="Y273" s="41"/>
      <c r="Z273" s="41"/>
    </row>
    <row r="274" ht="19.5" customHeight="1">
      <c r="A274" s="41"/>
      <c r="B274" s="187" t="s">
        <v>445</v>
      </c>
      <c r="C274" s="255" t="s">
        <v>426</v>
      </c>
      <c r="D274" s="148" t="s">
        <v>426</v>
      </c>
      <c r="E274" s="258" t="str">
        <f>IF(wld_cl01_vds01_link_type_chosen="VDS Lag","This input is masked out as you have chosen to configure VDS LAG","")</f>
        <v/>
      </c>
      <c r="F274" s="41"/>
      <c r="G274" s="41"/>
      <c r="H274" s="41"/>
      <c r="I274" s="41"/>
      <c r="J274" s="41"/>
      <c r="K274" s="41"/>
      <c r="L274" s="41"/>
      <c r="M274" s="41"/>
      <c r="N274" s="41"/>
      <c r="O274" s="41"/>
      <c r="P274" s="41"/>
      <c r="Q274" s="41"/>
      <c r="R274" s="41"/>
      <c r="S274" s="41"/>
      <c r="T274" s="41"/>
      <c r="U274" s="41"/>
      <c r="V274" s="41"/>
      <c r="W274" s="41"/>
      <c r="X274" s="41"/>
      <c r="Y274" s="41"/>
      <c r="Z274" s="41"/>
    </row>
    <row r="275" ht="19.5" customHeight="1">
      <c r="A275" s="41"/>
      <c r="B275" s="187" t="s">
        <v>446</v>
      </c>
      <c r="C275" s="255" t="s">
        <v>426</v>
      </c>
      <c r="D275" s="148" t="s">
        <v>426</v>
      </c>
      <c r="E275" s="258" t="str">
        <f>IF(wld_cl01_vds01_link_type_chosen="VDS Lag","This input is masked out as you have chosen to configure VDS LAG","")</f>
        <v/>
      </c>
      <c r="F275" s="41"/>
      <c r="G275" s="41"/>
      <c r="H275" s="41"/>
      <c r="I275" s="41"/>
      <c r="J275" s="41"/>
      <c r="K275" s="41"/>
      <c r="L275" s="41"/>
      <c r="M275" s="41"/>
      <c r="N275" s="41"/>
      <c r="O275" s="41"/>
      <c r="P275" s="41"/>
      <c r="Q275" s="41"/>
      <c r="R275" s="41"/>
      <c r="S275" s="41"/>
      <c r="T275" s="41"/>
      <c r="U275" s="41"/>
      <c r="V275" s="41"/>
      <c r="W275" s="41"/>
      <c r="X275" s="41"/>
      <c r="Y275" s="41"/>
      <c r="Z275" s="41"/>
    </row>
    <row r="276" ht="19.5" customHeight="1">
      <c r="A276" s="41"/>
      <c r="B276" s="249" t="s">
        <v>447</v>
      </c>
      <c r="C276" s="250"/>
      <c r="D276" s="250"/>
      <c r="E276" s="251"/>
      <c r="F276" s="41"/>
      <c r="G276" s="41"/>
      <c r="H276" s="41"/>
      <c r="I276" s="41"/>
      <c r="J276" s="41"/>
      <c r="K276" s="41"/>
      <c r="L276" s="41"/>
      <c r="M276" s="41"/>
      <c r="N276" s="41"/>
      <c r="O276" s="41"/>
      <c r="P276" s="41"/>
      <c r="Q276" s="41"/>
      <c r="R276" s="41"/>
      <c r="S276" s="41"/>
      <c r="T276" s="41"/>
      <c r="U276" s="41"/>
      <c r="V276" s="41"/>
      <c r="W276" s="41"/>
      <c r="X276" s="41"/>
      <c r="Y276" s="41"/>
      <c r="Z276" s="41"/>
    </row>
    <row r="277" ht="19.5" customHeight="1">
      <c r="A277" s="41"/>
      <c r="B277" s="187" t="s">
        <v>441</v>
      </c>
      <c r="C277" s="110" t="str">
        <f>CONCATENATE(sample_wld_cl01_vds01_name,"-pg-vm-mgmt")</f>
        <v>lax-w01-cl01-vds01-pg-vm-mgmt</v>
      </c>
      <c r="D277" s="18"/>
      <c r="E277" s="258" t="s">
        <v>1315</v>
      </c>
      <c r="F277" s="41"/>
      <c r="G277" s="41"/>
      <c r="H277" s="41"/>
      <c r="I277" s="41"/>
      <c r="J277" s="41"/>
      <c r="K277" s="41"/>
      <c r="L277" s="41"/>
      <c r="M277" s="41"/>
      <c r="N277" s="41"/>
      <c r="O277" s="41"/>
      <c r="P277" s="41"/>
      <c r="Q277" s="41"/>
      <c r="R277" s="41"/>
      <c r="S277" s="41"/>
      <c r="T277" s="41"/>
      <c r="U277" s="41"/>
      <c r="V277" s="41"/>
      <c r="W277" s="41"/>
      <c r="X277" s="41"/>
      <c r="Y277" s="41"/>
      <c r="Z277" s="41"/>
    </row>
    <row r="278" ht="19.5" customHeight="1">
      <c r="A278" s="41"/>
      <c r="B278" s="187" t="s">
        <v>442</v>
      </c>
      <c r="C278" s="255" t="s">
        <v>443</v>
      </c>
      <c r="D278" s="148" t="s">
        <v>443</v>
      </c>
      <c r="E278" s="258" t="str">
        <f>IF(wld_cl01_vds01_link_type_chosen="VDS Lag","This input is masked out as you have chosen to configure VDS LAG","")</f>
        <v/>
      </c>
      <c r="F278" s="41"/>
      <c r="G278" s="41"/>
      <c r="H278" s="41"/>
      <c r="I278" s="41"/>
      <c r="J278" s="41"/>
      <c r="K278" s="41"/>
      <c r="L278" s="41"/>
      <c r="M278" s="41"/>
      <c r="N278" s="41"/>
      <c r="O278" s="41"/>
      <c r="P278" s="41"/>
      <c r="Q278" s="41"/>
      <c r="R278" s="41"/>
      <c r="S278" s="41"/>
      <c r="T278" s="41"/>
      <c r="U278" s="41"/>
      <c r="V278" s="41"/>
      <c r="W278" s="41"/>
      <c r="X278" s="41"/>
      <c r="Y278" s="41"/>
      <c r="Z278" s="41"/>
    </row>
    <row r="279" ht="19.5" customHeight="1">
      <c r="A279" s="41"/>
      <c r="B279" s="187" t="s">
        <v>445</v>
      </c>
      <c r="C279" s="255" t="s">
        <v>426</v>
      </c>
      <c r="D279" s="148" t="s">
        <v>426</v>
      </c>
      <c r="E279" s="258" t="str">
        <f>IF(wld_cl01_vds01_link_type_chosen="VDS Lag","This input is masked out as you have chosen to configure VDS LAG","")</f>
        <v/>
      </c>
      <c r="F279" s="41"/>
      <c r="G279" s="41"/>
      <c r="H279" s="41"/>
      <c r="I279" s="41"/>
      <c r="J279" s="41"/>
      <c r="K279" s="41"/>
      <c r="L279" s="41"/>
      <c r="M279" s="41"/>
      <c r="N279" s="41"/>
      <c r="O279" s="41"/>
      <c r="P279" s="41"/>
      <c r="Q279" s="41"/>
      <c r="R279" s="41"/>
      <c r="S279" s="41"/>
      <c r="T279" s="41"/>
      <c r="U279" s="41"/>
      <c r="V279" s="41"/>
      <c r="W279" s="41"/>
      <c r="X279" s="41"/>
      <c r="Y279" s="41"/>
      <c r="Z279" s="41"/>
    </row>
    <row r="280" ht="19.5" customHeight="1">
      <c r="A280" s="41"/>
      <c r="B280" s="187" t="s">
        <v>446</v>
      </c>
      <c r="C280" s="255" t="s">
        <v>426</v>
      </c>
      <c r="D280" s="148" t="s">
        <v>426</v>
      </c>
      <c r="E280" s="258" t="str">
        <f>IF(wld_cl01_vds01_link_type_chosen="VDS Lag","This input is masked out as you have chosen to configure VDS LAG","")</f>
        <v/>
      </c>
      <c r="F280" s="41"/>
      <c r="G280" s="41"/>
      <c r="H280" s="41"/>
      <c r="I280" s="41"/>
      <c r="J280" s="41"/>
      <c r="K280" s="41"/>
      <c r="L280" s="41"/>
      <c r="M280" s="41"/>
      <c r="N280" s="41"/>
      <c r="O280" s="41"/>
      <c r="P280" s="41"/>
      <c r="Q280" s="41"/>
      <c r="R280" s="41"/>
      <c r="S280" s="41"/>
      <c r="T280" s="41"/>
      <c r="U280" s="41"/>
      <c r="V280" s="41"/>
      <c r="W280" s="41"/>
      <c r="X280" s="41"/>
      <c r="Y280" s="41"/>
      <c r="Z280" s="41"/>
    </row>
    <row r="281" ht="19.5" customHeight="1">
      <c r="A281" s="41"/>
      <c r="B281" s="249" t="s">
        <v>448</v>
      </c>
      <c r="C281" s="250"/>
      <c r="D281" s="250"/>
      <c r="E281" s="251"/>
      <c r="F281" s="41"/>
      <c r="G281" s="41"/>
      <c r="H281" s="41"/>
      <c r="I281" s="41"/>
      <c r="J281" s="41"/>
      <c r="K281" s="41"/>
      <c r="L281" s="41"/>
      <c r="M281" s="41"/>
      <c r="N281" s="41"/>
      <c r="O281" s="41"/>
      <c r="P281" s="41"/>
      <c r="Q281" s="41"/>
      <c r="R281" s="41"/>
      <c r="S281" s="41"/>
      <c r="T281" s="41"/>
      <c r="U281" s="41"/>
      <c r="V281" s="41"/>
      <c r="W281" s="41"/>
      <c r="X281" s="41"/>
      <c r="Y281" s="41"/>
      <c r="Z281" s="41"/>
    </row>
    <row r="282" ht="19.5" customHeight="1">
      <c r="A282" s="41"/>
      <c r="B282" s="187" t="s">
        <v>441</v>
      </c>
      <c r="C282" s="110" t="str">
        <f>CONCATENATE(sample_wld_cl01_vds01_name,"-pg-vmotion")</f>
        <v>lax-w01-cl01-vds01-pg-vmotion</v>
      </c>
      <c r="D282" s="18"/>
      <c r="E282" s="18"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c r="F282" s="41"/>
      <c r="G282" s="41"/>
      <c r="H282" s="41"/>
      <c r="I282" s="41"/>
      <c r="J282" s="41"/>
      <c r="K282" s="41"/>
      <c r="L282" s="41"/>
      <c r="M282" s="41"/>
      <c r="N282" s="41"/>
      <c r="O282" s="41"/>
      <c r="P282" s="41"/>
      <c r="Q282" s="41"/>
      <c r="R282" s="41"/>
      <c r="S282" s="41"/>
      <c r="T282" s="41"/>
      <c r="U282" s="41"/>
      <c r="V282" s="41"/>
      <c r="W282" s="41"/>
      <c r="X282" s="41"/>
      <c r="Y282" s="41"/>
      <c r="Z282" s="41"/>
    </row>
    <row r="283" ht="19.5" customHeight="1">
      <c r="A283" s="41"/>
      <c r="B283" s="187" t="s">
        <v>442</v>
      </c>
      <c r="C283" s="255" t="s">
        <v>443</v>
      </c>
      <c r="D283" s="148" t="s">
        <v>443</v>
      </c>
      <c r="E283" s="258" t="str">
        <f>IF(wld_cl01_vds01_link_type_chosen="VDS Lag","This input is masked out as you have chosen to configure VDS LAG","")</f>
        <v/>
      </c>
      <c r="F283" s="41"/>
      <c r="G283" s="41"/>
      <c r="H283" s="41"/>
      <c r="I283" s="41"/>
      <c r="J283" s="41"/>
      <c r="K283" s="41"/>
      <c r="L283" s="41"/>
      <c r="M283" s="41"/>
      <c r="N283" s="41"/>
      <c r="O283" s="41"/>
      <c r="P283" s="41"/>
      <c r="Q283" s="41"/>
      <c r="R283" s="41"/>
      <c r="S283" s="41"/>
      <c r="T283" s="41"/>
      <c r="U283" s="41"/>
      <c r="V283" s="41"/>
      <c r="W283" s="41"/>
      <c r="X283" s="41"/>
      <c r="Y283" s="41"/>
      <c r="Z283" s="41"/>
    </row>
    <row r="284" ht="19.5" customHeight="1">
      <c r="A284" s="41"/>
      <c r="B284" s="187" t="s">
        <v>445</v>
      </c>
      <c r="C284" s="255" t="s">
        <v>426</v>
      </c>
      <c r="D284" s="148" t="s">
        <v>426</v>
      </c>
      <c r="E284" s="258" t="str">
        <f>IF(wld_cl01_vds01_link_type_chosen="VDS Lag","This input is masked out as you have chosen to configure VDS LAG","")</f>
        <v/>
      </c>
      <c r="F284" s="41"/>
      <c r="G284" s="41"/>
      <c r="H284" s="41"/>
      <c r="I284" s="41"/>
      <c r="J284" s="41"/>
      <c r="K284" s="41"/>
      <c r="L284" s="41"/>
      <c r="M284" s="41"/>
      <c r="N284" s="41"/>
      <c r="O284" s="41"/>
      <c r="P284" s="41"/>
      <c r="Q284" s="41"/>
      <c r="R284" s="41"/>
      <c r="S284" s="41"/>
      <c r="T284" s="41"/>
      <c r="U284" s="41"/>
      <c r="V284" s="41"/>
      <c r="W284" s="41"/>
      <c r="X284" s="41"/>
      <c r="Y284" s="41"/>
      <c r="Z284" s="41"/>
    </row>
    <row r="285" ht="19.5" customHeight="1">
      <c r="A285" s="41"/>
      <c r="B285" s="187" t="s">
        <v>446</v>
      </c>
      <c r="C285" s="255" t="s">
        <v>426</v>
      </c>
      <c r="D285" s="148" t="s">
        <v>426</v>
      </c>
      <c r="E285" s="258" t="str">
        <f>IF(wld_cl01_vds01_link_type_chosen="VDS Lag","This input is masked out as you have chosen to configure VDS LAG","")</f>
        <v/>
      </c>
      <c r="F285" s="41"/>
      <c r="G285" s="41"/>
      <c r="H285" s="41"/>
      <c r="I285" s="41"/>
      <c r="J285" s="41"/>
      <c r="K285" s="41"/>
      <c r="L285" s="41"/>
      <c r="M285" s="41"/>
      <c r="N285" s="41"/>
      <c r="O285" s="41"/>
      <c r="P285" s="41"/>
      <c r="Q285" s="41"/>
      <c r="R285" s="41"/>
      <c r="S285" s="41"/>
      <c r="T285" s="41"/>
      <c r="U285" s="41"/>
      <c r="V285" s="41"/>
      <c r="W285" s="41"/>
      <c r="X285" s="41"/>
      <c r="Y285" s="41"/>
      <c r="Z285" s="41"/>
    </row>
    <row r="286" ht="19.5" customHeight="1">
      <c r="A286" s="41"/>
      <c r="B286" s="249" t="str">
        <f>IF(wld_principal_storage_chosen="NFSv3","Network Traffic: NFS","Network Traffic: vSAN")</f>
        <v>Network Traffic: vSAN</v>
      </c>
      <c r="C286" s="250"/>
      <c r="D286" s="250"/>
      <c r="E286" s="251"/>
      <c r="F286" s="41"/>
      <c r="G286" s="41"/>
      <c r="H286" s="41"/>
      <c r="I286" s="41"/>
      <c r="J286" s="41"/>
      <c r="K286" s="41"/>
      <c r="L286" s="41"/>
      <c r="M286" s="41"/>
      <c r="N286" s="41"/>
      <c r="O286" s="41"/>
      <c r="P286" s="41"/>
      <c r="Q286" s="41"/>
      <c r="R286" s="41"/>
      <c r="S286" s="41"/>
      <c r="T286" s="41"/>
      <c r="U286" s="41"/>
      <c r="V286" s="41"/>
      <c r="W286" s="41"/>
      <c r="X286" s="41"/>
      <c r="Y286" s="41"/>
      <c r="Z286" s="41"/>
    </row>
    <row r="287" ht="19.5" customHeight="1">
      <c r="A287" s="41"/>
      <c r="B287" s="187" t="s">
        <v>441</v>
      </c>
      <c r="C287" s="110" t="str">
        <f>CONCATENATE(sample_wld_cl01_vds01_name,"-pg-vsan")</f>
        <v>lax-w01-cl01-vds01-pg-vsan</v>
      </c>
      <c r="D287" s="18"/>
      <c r="E287" s="18" t="str">
        <f>IF(wld_cl01_vds_profile_chosen="Storage Traffic Separation","Portgroup will be created on Secondary Distributed Switch",
IF(wld_cl01_vds_profile_chosen="vSAN Max Storage Traffic Separation","Portgroup will be created on Secondary Distributed Switch",
IF(wld_cl01_vds_profile_chosen="vSAN Max Storage Traffic and NSX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Portgroup will be created on Primary Distributed Switch</v>
      </c>
      <c r="F287" s="41"/>
      <c r="G287" s="41"/>
      <c r="H287" s="41"/>
      <c r="I287" s="41"/>
      <c r="J287" s="41"/>
      <c r="K287" s="41"/>
      <c r="L287" s="41"/>
      <c r="M287" s="41"/>
      <c r="N287" s="41"/>
      <c r="O287" s="41"/>
      <c r="P287" s="41"/>
      <c r="Q287" s="41"/>
      <c r="R287" s="41"/>
      <c r="S287" s="41"/>
      <c r="T287" s="41"/>
      <c r="U287" s="41"/>
      <c r="V287" s="41"/>
      <c r="W287" s="41"/>
      <c r="X287" s="41"/>
      <c r="Y287" s="41"/>
      <c r="Z287" s="41"/>
    </row>
    <row r="288" ht="19.5" customHeight="1">
      <c r="A288" s="41"/>
      <c r="B288" s="187" t="s">
        <v>442</v>
      </c>
      <c r="C288" s="255" t="s">
        <v>443</v>
      </c>
      <c r="D288" s="148" t="s">
        <v>443</v>
      </c>
      <c r="E288" s="258"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c r="F288" s="41"/>
      <c r="G288" s="41"/>
      <c r="H288" s="41"/>
      <c r="I288" s="41"/>
      <c r="J288" s="41"/>
      <c r="K288" s="41"/>
      <c r="L288" s="41"/>
      <c r="M288" s="41"/>
      <c r="N288" s="41"/>
      <c r="O288" s="41"/>
      <c r="P288" s="41"/>
      <c r="Q288" s="41"/>
      <c r="R288" s="41"/>
      <c r="S288" s="41"/>
      <c r="T288" s="41"/>
      <c r="U288" s="41"/>
      <c r="V288" s="41"/>
      <c r="W288" s="41"/>
      <c r="X288" s="41"/>
      <c r="Y288" s="41"/>
      <c r="Z288" s="41"/>
    </row>
    <row r="289" ht="19.5" customHeight="1">
      <c r="A289" s="41"/>
      <c r="B289" s="187" t="s">
        <v>445</v>
      </c>
      <c r="C289" s="255" t="s">
        <v>426</v>
      </c>
      <c r="D289" s="148" t="s">
        <v>426</v>
      </c>
      <c r="E289" s="258"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c r="F289" s="41"/>
      <c r="G289" s="41"/>
      <c r="H289" s="41"/>
      <c r="I289" s="41"/>
      <c r="J289" s="41"/>
      <c r="K289" s="41"/>
      <c r="L289" s="41"/>
      <c r="M289" s="41"/>
      <c r="N289" s="41"/>
      <c r="O289" s="41"/>
      <c r="P289" s="41"/>
      <c r="Q289" s="41"/>
      <c r="R289" s="41"/>
      <c r="S289" s="41"/>
      <c r="T289" s="41"/>
      <c r="U289" s="41"/>
      <c r="V289" s="41"/>
      <c r="W289" s="41"/>
      <c r="X289" s="41"/>
      <c r="Y289" s="41"/>
      <c r="Z289" s="41"/>
    </row>
    <row r="290" ht="19.5" customHeight="1">
      <c r="A290" s="41"/>
      <c r="B290" s="187" t="s">
        <v>446</v>
      </c>
      <c r="C290" s="255" t="s">
        <v>426</v>
      </c>
      <c r="D290" s="148" t="s">
        <v>426</v>
      </c>
      <c r="E290" s="258"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c r="F290" s="41"/>
      <c r="G290" s="41"/>
      <c r="H290" s="41"/>
      <c r="I290" s="41"/>
      <c r="J290" s="41"/>
      <c r="K290" s="41"/>
      <c r="L290" s="41"/>
      <c r="M290" s="41"/>
      <c r="N290" s="41"/>
      <c r="O290" s="41"/>
      <c r="P290" s="41"/>
      <c r="Q290" s="41"/>
      <c r="R290" s="41"/>
      <c r="S290" s="41"/>
      <c r="T290" s="41"/>
      <c r="U290" s="41"/>
      <c r="V290" s="41"/>
      <c r="W290" s="41"/>
      <c r="X290" s="41"/>
      <c r="Y290" s="41"/>
      <c r="Z290" s="41"/>
    </row>
    <row r="291" ht="19.5" customHeight="1">
      <c r="A291" s="41"/>
      <c r="B291" s="249" t="s">
        <v>1316</v>
      </c>
      <c r="C291" s="250"/>
      <c r="D291" s="250"/>
      <c r="E291" s="251"/>
      <c r="F291" s="41"/>
      <c r="G291" s="41"/>
      <c r="H291" s="41"/>
      <c r="I291" s="41"/>
      <c r="J291" s="41"/>
      <c r="K291" s="41"/>
      <c r="L291" s="41"/>
      <c r="M291" s="41"/>
      <c r="N291" s="41"/>
      <c r="O291" s="41"/>
      <c r="P291" s="41"/>
      <c r="Q291" s="41"/>
      <c r="R291" s="41"/>
      <c r="S291" s="41"/>
      <c r="T291" s="41"/>
      <c r="U291" s="41"/>
      <c r="V291" s="41"/>
      <c r="W291" s="41"/>
      <c r="X291" s="41"/>
      <c r="Y291" s="41"/>
      <c r="Z291" s="41"/>
    </row>
    <row r="292" ht="19.5" customHeight="1">
      <c r="A292" s="41"/>
      <c r="B292" s="187" t="s">
        <v>441</v>
      </c>
      <c r="C292" s="110" t="str">
        <f>CONCATENATE(sample_wld_cl01_vds01_name,"-pg-vsan-client")</f>
        <v>lax-w01-cl01-vds01-pg-vsan-client</v>
      </c>
      <c r="D292" s="18"/>
      <c r="E292" s="18" t="str">
        <f>IF(OR((wld_domain_result="Excluded"),(wld_secondary_storage_result="Excluded")),"This input is masked out as vSAN Storage Client Network in not enabled",
IF(wld_cl01_vds_profile_chosen="vSAN Max Storage Traffic Separation","Portgroup will be created on Primary Distributed Switch",
IF(wld_cl01_vds_profile_chosen="vSAN Max Storage Traffic and NSX Traffic Separation","Portgroup will be created on Primary Distributed Switch",
IF(wld_cl01_vds_profile_chosen="Custom","","Portgroup will be created on Primary Distributed Switch"))))</f>
        <v>This input is masked out as vSAN Storage Client Network in not enabled</v>
      </c>
      <c r="F292" s="41"/>
      <c r="G292" s="41"/>
      <c r="H292" s="41"/>
      <c r="I292" s="41"/>
      <c r="J292" s="41"/>
      <c r="K292" s="41"/>
      <c r="L292" s="41"/>
      <c r="M292" s="41"/>
      <c r="N292" s="41"/>
      <c r="O292" s="41"/>
      <c r="P292" s="41"/>
      <c r="Q292" s="41"/>
      <c r="R292" s="41"/>
      <c r="S292" s="41"/>
      <c r="T292" s="41"/>
      <c r="U292" s="41"/>
      <c r="V292" s="41"/>
      <c r="W292" s="41"/>
      <c r="X292" s="41"/>
      <c r="Y292" s="41"/>
      <c r="Z292" s="41"/>
    </row>
    <row r="293" ht="19.5" customHeight="1">
      <c r="A293" s="41"/>
      <c r="B293" s="187" t="s">
        <v>442</v>
      </c>
      <c r="C293" s="255" t="s">
        <v>443</v>
      </c>
      <c r="D293" s="148" t="s">
        <v>443</v>
      </c>
      <c r="E293" s="258" t="str">
        <f>IF(wld_secondary_storage_result="Excluded","This input is masked out as vSAN Storage Client Network in not enabled ",IF(wld_cl01_vds01_link_type_chosen="VDS Lag","This input is masked out as you have chosen to configure VDS LAG",""))</f>
        <v>This input is masked out as vSAN Storage Client Network in not enabled </v>
      </c>
      <c r="F293" s="41"/>
      <c r="G293" s="41"/>
      <c r="H293" s="41"/>
      <c r="I293" s="41"/>
      <c r="J293" s="41"/>
      <c r="K293" s="41"/>
      <c r="L293" s="41"/>
      <c r="M293" s="41"/>
      <c r="N293" s="41"/>
      <c r="O293" s="41"/>
      <c r="P293" s="41"/>
      <c r="Q293" s="41"/>
      <c r="R293" s="41"/>
      <c r="S293" s="41"/>
      <c r="T293" s="41"/>
      <c r="U293" s="41"/>
      <c r="V293" s="41"/>
      <c r="W293" s="41"/>
      <c r="X293" s="41"/>
      <c r="Y293" s="41"/>
      <c r="Z293" s="41"/>
    </row>
    <row r="294" ht="19.5" customHeight="1">
      <c r="A294" s="41"/>
      <c r="B294" s="187" t="s">
        <v>445</v>
      </c>
      <c r="C294" s="255" t="s">
        <v>426</v>
      </c>
      <c r="D294" s="148" t="s">
        <v>426</v>
      </c>
      <c r="E294" s="258" t="str">
        <f>IF(wld_secondary_storage_result="Excluded","This input is masked out as vSAN Storage Client Network in not enabled ",IF(wld_cl01_vds01_link_type_chosen="VDS Lag","This input is masked out as you have chosen to configure VDS LAG",""))</f>
        <v>This input is masked out as vSAN Storage Client Network in not enabled </v>
      </c>
      <c r="F294" s="41"/>
      <c r="G294" s="41"/>
      <c r="H294" s="41"/>
      <c r="I294" s="41"/>
      <c r="J294" s="41"/>
      <c r="K294" s="41"/>
      <c r="L294" s="41"/>
      <c r="M294" s="41"/>
      <c r="N294" s="41"/>
      <c r="O294" s="41"/>
      <c r="P294" s="41"/>
      <c r="Q294" s="41"/>
      <c r="R294" s="41"/>
      <c r="S294" s="41"/>
      <c r="T294" s="41"/>
      <c r="U294" s="41"/>
      <c r="V294" s="41"/>
      <c r="W294" s="41"/>
      <c r="X294" s="41"/>
      <c r="Y294" s="41"/>
      <c r="Z294" s="41"/>
    </row>
    <row r="295" ht="19.5" customHeight="1">
      <c r="A295" s="41"/>
      <c r="B295" s="187" t="s">
        <v>446</v>
      </c>
      <c r="C295" s="255" t="s">
        <v>426</v>
      </c>
      <c r="D295" s="148" t="s">
        <v>426</v>
      </c>
      <c r="E295" s="258" t="str">
        <f>IF(wld_secondary_storage_result="Excluded","This input is masked out as vSAN Storage Client Network in not enabled ",IF(wld_cl01_vds01_link_type_chosen="VDS Lag","This input is masked out as you have chosen to configure VDS LAG",""))</f>
        <v>This input is masked out as vSAN Storage Client Network in not enabled </v>
      </c>
      <c r="F295" s="41"/>
      <c r="G295" s="41"/>
      <c r="H295" s="41"/>
      <c r="I295" s="41"/>
      <c r="J295" s="41"/>
      <c r="K295" s="41"/>
      <c r="L295" s="41"/>
      <c r="M295" s="41"/>
      <c r="N295" s="41"/>
      <c r="O295" s="41"/>
      <c r="P295" s="41"/>
      <c r="Q295" s="41"/>
      <c r="R295" s="41"/>
      <c r="S295" s="41"/>
      <c r="T295" s="41"/>
      <c r="U295" s="41"/>
      <c r="V295" s="41"/>
      <c r="W295" s="41"/>
      <c r="X295" s="41"/>
      <c r="Y295" s="41"/>
      <c r="Z295" s="41"/>
    </row>
    <row r="296" ht="19.5" customHeight="1">
      <c r="A296" s="41"/>
      <c r="B296" s="102" t="s">
        <v>451</v>
      </c>
      <c r="C296" s="13"/>
      <c r="D296" s="13"/>
      <c r="E296" s="14"/>
      <c r="F296" s="41"/>
      <c r="G296" s="41"/>
      <c r="H296" s="41"/>
      <c r="I296" s="41"/>
      <c r="J296" s="41"/>
      <c r="K296" s="41"/>
      <c r="L296" s="41"/>
      <c r="M296" s="41"/>
      <c r="N296" s="41"/>
      <c r="O296" s="41"/>
      <c r="P296" s="41"/>
      <c r="Q296" s="41"/>
      <c r="R296" s="41"/>
      <c r="S296" s="41"/>
      <c r="T296" s="41"/>
      <c r="U296" s="41"/>
      <c r="V296" s="41"/>
      <c r="W296" s="41"/>
      <c r="X296" s="41"/>
      <c r="Y296" s="41"/>
      <c r="Z296" s="41"/>
    </row>
    <row r="297" ht="19.5" customHeight="1">
      <c r="A297" s="41"/>
      <c r="B297" s="84" t="s">
        <v>452</v>
      </c>
      <c r="C297" s="110" t="s">
        <v>285</v>
      </c>
      <c r="D297" s="18" t="s">
        <v>285</v>
      </c>
      <c r="E297" s="191"/>
      <c r="F297" s="41"/>
      <c r="G297" s="41"/>
      <c r="H297" s="41"/>
      <c r="I297" s="41"/>
      <c r="J297" s="41"/>
      <c r="K297" s="41"/>
      <c r="L297" s="41"/>
      <c r="M297" s="41"/>
      <c r="N297" s="41"/>
      <c r="O297" s="41"/>
      <c r="P297" s="41"/>
      <c r="Q297" s="41"/>
      <c r="R297" s="41"/>
      <c r="S297" s="41"/>
      <c r="T297" s="41"/>
      <c r="U297" s="41"/>
      <c r="V297" s="41"/>
      <c r="W297" s="41"/>
      <c r="X297" s="41"/>
      <c r="Y297" s="41"/>
      <c r="Z297" s="41"/>
    </row>
    <row r="298" ht="19.5" customHeight="1">
      <c r="A298" s="41"/>
      <c r="B298" s="84" t="s">
        <v>264</v>
      </c>
      <c r="C298" s="110" t="s">
        <v>264</v>
      </c>
      <c r="D298" s="18" t="s">
        <v>264</v>
      </c>
      <c r="E298" s="191"/>
      <c r="F298" s="41"/>
      <c r="G298" s="41"/>
      <c r="H298" s="41"/>
      <c r="I298" s="41"/>
      <c r="J298" s="41"/>
      <c r="K298" s="41"/>
      <c r="L298" s="41"/>
      <c r="M298" s="41"/>
      <c r="N298" s="41"/>
      <c r="O298" s="41"/>
      <c r="P298" s="41"/>
      <c r="Q298" s="41"/>
      <c r="R298" s="41"/>
      <c r="S298" s="41"/>
      <c r="T298" s="41"/>
      <c r="U298" s="41"/>
      <c r="V298" s="41"/>
      <c r="W298" s="41"/>
      <c r="X298" s="41"/>
      <c r="Y298" s="41"/>
      <c r="Z298" s="41"/>
    </row>
    <row r="299" ht="19.5" customHeight="1">
      <c r="A299" s="41"/>
      <c r="B299" s="84" t="s">
        <v>1317</v>
      </c>
      <c r="C299" s="110" t="s">
        <v>285</v>
      </c>
      <c r="D299" s="18" t="s">
        <v>285</v>
      </c>
      <c r="E299" s="191"/>
      <c r="F299" s="41"/>
      <c r="G299" s="41"/>
      <c r="H299" s="41"/>
      <c r="I299" s="41"/>
      <c r="J299" s="41"/>
      <c r="K299" s="41"/>
      <c r="L299" s="41"/>
      <c r="M299" s="41"/>
      <c r="N299" s="41"/>
      <c r="O299" s="41"/>
      <c r="P299" s="41"/>
      <c r="Q299" s="41"/>
      <c r="R299" s="41"/>
      <c r="S299" s="41"/>
      <c r="T299" s="41"/>
      <c r="U299" s="41"/>
      <c r="V299" s="41"/>
      <c r="W299" s="41"/>
      <c r="X299" s="41"/>
      <c r="Y299" s="41"/>
      <c r="Z299" s="41"/>
    </row>
    <row r="300" ht="19.5" customHeight="1">
      <c r="A300" s="41"/>
      <c r="B300" s="84" t="s">
        <v>1318</v>
      </c>
      <c r="C300" s="110" t="s">
        <v>285</v>
      </c>
      <c r="D300" s="18" t="s">
        <v>285</v>
      </c>
      <c r="E300" s="191"/>
      <c r="F300" s="41"/>
      <c r="G300" s="41"/>
      <c r="H300" s="41"/>
      <c r="I300" s="41"/>
      <c r="J300" s="41"/>
      <c r="K300" s="41"/>
      <c r="L300" s="41"/>
      <c r="M300" s="41"/>
      <c r="N300" s="41"/>
      <c r="O300" s="41"/>
      <c r="P300" s="41"/>
      <c r="Q300" s="41"/>
      <c r="R300" s="41"/>
      <c r="S300" s="41"/>
      <c r="T300" s="41"/>
      <c r="U300" s="41"/>
      <c r="V300" s="41"/>
      <c r="W300" s="41"/>
      <c r="X300" s="41"/>
      <c r="Y300" s="41"/>
      <c r="Z300" s="41"/>
    </row>
    <row r="301" ht="19.5" customHeight="1">
      <c r="A301" s="41"/>
      <c r="B301" s="102" t="s">
        <v>457</v>
      </c>
      <c r="C301" s="13"/>
      <c r="D301" s="13"/>
      <c r="E301" s="14"/>
      <c r="F301" s="41"/>
      <c r="G301" s="41"/>
      <c r="H301" s="41"/>
      <c r="I301" s="41"/>
      <c r="J301" s="41"/>
      <c r="K301" s="41"/>
      <c r="L301" s="41"/>
      <c r="M301" s="41"/>
      <c r="N301" s="41"/>
      <c r="O301" s="41"/>
      <c r="P301" s="41"/>
      <c r="Q301" s="41"/>
      <c r="R301" s="41"/>
      <c r="S301" s="41"/>
      <c r="T301" s="41"/>
      <c r="U301" s="41"/>
      <c r="V301" s="41"/>
      <c r="W301" s="41"/>
      <c r="X301" s="41"/>
      <c r="Y301" s="41"/>
      <c r="Z301" s="41"/>
    </row>
    <row r="302" ht="19.5" customHeight="1">
      <c r="A302" s="41"/>
      <c r="B302" s="84" t="s">
        <v>458</v>
      </c>
      <c r="C302" s="110" t="str">
        <f>CONCATENATE("overlay-tz-",this_instance,"-w0",wld_domain_number_chosen,"-nsx01")</f>
        <v>overlay-tz-lax-w01-nsx01</v>
      </c>
      <c r="D302" s="18"/>
      <c r="E302" s="190" t="str">
        <f>IF(wld_cl01_vds_profile_chosen="Storage Traffic Separation","Overlay Traffic will be configured on Primary Distributed Switch",
IF(wld_cl01_vds_profile_chosen="NSX Traffic Separation","Overlay Traffic will be configured on Secondary Distributed Switch",
IF(wld_cl01_vds_profile_chosen="Storage Traffic and NSX Traffic Separation","Overlay Traffic will be configured on Tertiary Distributed Switch",
IF(wld_cl01_vds_profile_chosen="vSAN Max Storage Traffic and NSX Traffic Separation","Overlay Traffic will be configured on Tertiary Distributed Switch",
IF(wld_cl01_vds_profile_chosen="Custom","","Overlay Traffic will be configured on Primary Distributed Switch")))))</f>
        <v>Overlay Traffic will be configured on Primary Distributed Switch</v>
      </c>
      <c r="F302" s="41"/>
      <c r="G302" s="41"/>
      <c r="H302" s="41"/>
      <c r="I302" s="41"/>
      <c r="J302" s="41"/>
      <c r="K302" s="41"/>
      <c r="L302" s="41"/>
      <c r="M302" s="41"/>
      <c r="N302" s="41"/>
      <c r="O302" s="41"/>
      <c r="P302" s="41"/>
      <c r="Q302" s="41"/>
      <c r="R302" s="41"/>
      <c r="S302" s="41"/>
      <c r="T302" s="41"/>
      <c r="U302" s="41"/>
      <c r="V302" s="41"/>
      <c r="W302" s="41"/>
      <c r="X302" s="41"/>
      <c r="Y302" s="41"/>
      <c r="Z302" s="41"/>
    </row>
    <row r="303" ht="19.5" customHeight="1">
      <c r="A303" s="41"/>
      <c r="B303" s="84" t="s">
        <v>401</v>
      </c>
      <c r="C303" s="110" t="str">
        <f>CONCATENATE(prefix_wld_az1_vlan,"14")</f>
        <v>2314</v>
      </c>
      <c r="D303" s="18"/>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9.5" customHeight="1">
      <c r="A304" s="41"/>
      <c r="B304" s="84" t="s">
        <v>459</v>
      </c>
      <c r="C304" s="110" t="s">
        <v>1319</v>
      </c>
      <c r="D304" s="18" t="s">
        <v>1319</v>
      </c>
      <c r="E304" s="84" t="str">
        <f>IF(wld_host_overlay_addressing_chosen="Static IP Pool","If Static Pools for Host TEP assignment is required then use COPY FROM PRECONFIGURED PROFILE option","")</f>
        <v>If Static Pools for Host TEP assignment is required then use COPY FROM PRECONFIGURED PROFILE option</v>
      </c>
      <c r="F304" s="41"/>
      <c r="G304" s="41"/>
      <c r="H304" s="41"/>
      <c r="I304" s="41"/>
      <c r="J304" s="41"/>
      <c r="K304" s="41"/>
      <c r="L304" s="41"/>
      <c r="M304" s="41"/>
      <c r="N304" s="41"/>
      <c r="O304" s="41"/>
      <c r="P304" s="41"/>
      <c r="Q304" s="41"/>
      <c r="R304" s="41"/>
      <c r="S304" s="41"/>
      <c r="T304" s="41"/>
      <c r="U304" s="41"/>
      <c r="V304" s="41"/>
      <c r="W304" s="41"/>
      <c r="X304" s="41"/>
      <c r="Y304" s="41"/>
      <c r="Z304" s="41"/>
    </row>
    <row r="305" ht="19.5" customHeight="1">
      <c r="A305" s="41"/>
      <c r="B305" s="84" t="s">
        <v>1319</v>
      </c>
      <c r="C305" s="110" t="s">
        <v>797</v>
      </c>
      <c r="D305" s="18" t="s">
        <v>797</v>
      </c>
      <c r="E305" s="8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c r="F305" s="41"/>
      <c r="G305" s="41"/>
      <c r="H305" s="41"/>
      <c r="I305" s="41"/>
      <c r="J305" s="41"/>
      <c r="K305" s="41"/>
      <c r="L305" s="41"/>
      <c r="M305" s="41"/>
      <c r="N305" s="41"/>
      <c r="O305" s="41"/>
      <c r="P305" s="41"/>
      <c r="Q305" s="41"/>
      <c r="R305" s="41"/>
      <c r="S305" s="41"/>
      <c r="T305" s="41"/>
      <c r="U305" s="41"/>
      <c r="V305" s="41"/>
      <c r="W305" s="41"/>
      <c r="X305" s="41"/>
      <c r="Y305" s="41"/>
      <c r="Z305" s="41"/>
    </row>
    <row r="306" ht="19.5" customHeight="1">
      <c r="A306" s="41"/>
      <c r="B306" s="84" t="s">
        <v>461</v>
      </c>
      <c r="C306" s="203" t="str">
        <f>CONCATENATE(this_instance,"01-w0",wld_domain_number_chosen,"-r01-ip-pool01-host")</f>
        <v>lax01-w01-r01-ip-pool01-host</v>
      </c>
      <c r="D306" s="18"/>
      <c r="E306" s="191"/>
      <c r="F306" s="41"/>
      <c r="G306" s="41"/>
      <c r="H306" s="41"/>
      <c r="I306" s="41"/>
      <c r="J306" s="41"/>
      <c r="K306" s="41"/>
      <c r="L306" s="41"/>
      <c r="M306" s="41"/>
      <c r="N306" s="41"/>
      <c r="O306" s="41"/>
      <c r="P306" s="41"/>
      <c r="Q306" s="41"/>
      <c r="R306" s="41"/>
      <c r="S306" s="41"/>
      <c r="T306" s="41"/>
      <c r="U306" s="41"/>
      <c r="V306" s="41"/>
      <c r="W306" s="41"/>
      <c r="X306" s="41"/>
      <c r="Y306" s="41"/>
      <c r="Z306" s="41"/>
    </row>
    <row r="307" ht="19.5" customHeight="1">
      <c r="A307" s="41"/>
      <c r="B307" s="84" t="s">
        <v>462</v>
      </c>
      <c r="C307" s="203" t="s">
        <v>463</v>
      </c>
      <c r="D307" s="18"/>
      <c r="E307" s="191"/>
      <c r="F307" s="41"/>
      <c r="G307" s="41"/>
      <c r="H307" s="41"/>
      <c r="I307" s="41"/>
      <c r="J307" s="41"/>
      <c r="K307" s="41"/>
      <c r="L307" s="41"/>
      <c r="M307" s="41"/>
      <c r="N307" s="41"/>
      <c r="O307" s="41"/>
      <c r="P307" s="41"/>
      <c r="Q307" s="41"/>
      <c r="R307" s="41"/>
      <c r="S307" s="41"/>
      <c r="T307" s="41"/>
      <c r="U307" s="41"/>
      <c r="V307" s="41"/>
      <c r="W307" s="41"/>
      <c r="X307" s="41"/>
      <c r="Y307" s="41"/>
      <c r="Z307" s="41"/>
    </row>
    <row r="308" ht="19.5" customHeight="1">
      <c r="A308" s="41"/>
      <c r="B308" s="84" t="s">
        <v>464</v>
      </c>
      <c r="C308" s="110" t="str">
        <f>CONCATENATE(prefix_wld_az1_cidr,"14.0/24")</f>
        <v>10.23.14.0/24</v>
      </c>
      <c r="D308" s="18"/>
      <c r="E308" s="191"/>
      <c r="F308" s="41"/>
      <c r="G308" s="41"/>
      <c r="H308" s="41"/>
      <c r="I308" s="41"/>
      <c r="J308" s="41"/>
      <c r="K308" s="41"/>
      <c r="L308" s="41"/>
      <c r="M308" s="41"/>
      <c r="N308" s="41"/>
      <c r="O308" s="41"/>
      <c r="P308" s="41"/>
      <c r="Q308" s="41"/>
      <c r="R308" s="41"/>
      <c r="S308" s="41"/>
      <c r="T308" s="41"/>
      <c r="U308" s="41"/>
      <c r="V308" s="41"/>
      <c r="W308" s="41"/>
      <c r="X308" s="41"/>
      <c r="Y308" s="41"/>
      <c r="Z308" s="41"/>
    </row>
    <row r="309" ht="19.5" customHeight="1">
      <c r="A309" s="41"/>
      <c r="B309" s="84" t="s">
        <v>465</v>
      </c>
      <c r="C309" s="110" t="str">
        <f>CONCATENATE(prefix_wld_az1_cidr,"14.101")</f>
        <v>10.23.14.101</v>
      </c>
      <c r="D309" s="18"/>
      <c r="E309" s="191"/>
      <c r="F309" s="41"/>
      <c r="G309" s="41"/>
      <c r="H309" s="41"/>
      <c r="I309" s="41"/>
      <c r="J309" s="41"/>
      <c r="K309" s="41"/>
      <c r="L309" s="41"/>
      <c r="M309" s="41"/>
      <c r="N309" s="41"/>
      <c r="O309" s="41"/>
      <c r="P309" s="41"/>
      <c r="Q309" s="41"/>
      <c r="R309" s="41"/>
      <c r="S309" s="41"/>
      <c r="T309" s="41"/>
      <c r="U309" s="41"/>
      <c r="V309" s="41"/>
      <c r="W309" s="41"/>
      <c r="X309" s="41"/>
      <c r="Y309" s="41"/>
      <c r="Z309" s="41"/>
    </row>
    <row r="310" ht="19.5" customHeight="1">
      <c r="A310" s="41"/>
      <c r="B310" s="84" t="s">
        <v>466</v>
      </c>
      <c r="C310" s="110" t="str">
        <f>CONCATENATE(prefix_wld_az1_cidr,"14.132")</f>
        <v>10.23.14.132</v>
      </c>
      <c r="D310" s="18"/>
      <c r="E310" s="191"/>
      <c r="F310" s="41"/>
      <c r="G310" s="41"/>
      <c r="H310" s="41"/>
      <c r="I310" s="41"/>
      <c r="J310" s="41"/>
      <c r="K310" s="41"/>
      <c r="L310" s="41"/>
      <c r="M310" s="41"/>
      <c r="N310" s="41"/>
      <c r="O310" s="41"/>
      <c r="P310" s="41"/>
      <c r="Q310" s="41"/>
      <c r="R310" s="41"/>
      <c r="S310" s="41"/>
      <c r="T310" s="41"/>
      <c r="U310" s="41"/>
      <c r="V310" s="41"/>
      <c r="W310" s="41"/>
      <c r="X310" s="41"/>
      <c r="Y310" s="41"/>
      <c r="Z310" s="41"/>
    </row>
    <row r="311" ht="19.5" customHeight="1">
      <c r="A311" s="41"/>
      <c r="B311" s="84" t="s">
        <v>918</v>
      </c>
      <c r="C311" s="110" t="str">
        <f>CONCATENATE(prefix_wld_az1_cidr,"14.1")</f>
        <v>10.23.14.1</v>
      </c>
      <c r="D311" s="18"/>
      <c r="E311" s="191"/>
      <c r="F311" s="41"/>
      <c r="G311" s="41"/>
      <c r="H311" s="41"/>
      <c r="I311" s="41"/>
      <c r="J311" s="41"/>
      <c r="K311" s="41"/>
      <c r="L311" s="41"/>
      <c r="M311" s="41"/>
      <c r="N311" s="41"/>
      <c r="O311" s="41"/>
      <c r="P311" s="41"/>
      <c r="Q311" s="41"/>
      <c r="R311" s="41"/>
      <c r="S311" s="41"/>
      <c r="T311" s="41"/>
      <c r="U311" s="41"/>
      <c r="V311" s="41"/>
      <c r="W311" s="41"/>
      <c r="X311" s="41"/>
      <c r="Y311" s="41"/>
      <c r="Z311" s="41"/>
    </row>
    <row r="312" ht="19.5" customHeight="1">
      <c r="A312" s="41"/>
      <c r="B312" s="84" t="s">
        <v>1320</v>
      </c>
      <c r="C312" s="110" t="s">
        <v>1321</v>
      </c>
      <c r="D312" s="18"/>
      <c r="E312" s="191"/>
      <c r="F312" s="41"/>
      <c r="G312" s="41"/>
      <c r="H312" s="41"/>
      <c r="I312" s="41"/>
      <c r="J312" s="41"/>
      <c r="K312" s="41"/>
      <c r="L312" s="41"/>
      <c r="M312" s="41"/>
      <c r="N312" s="41"/>
      <c r="O312" s="41"/>
      <c r="P312" s="41"/>
      <c r="Q312" s="41"/>
      <c r="R312" s="41"/>
      <c r="S312" s="41"/>
      <c r="T312" s="41"/>
      <c r="U312" s="41"/>
      <c r="V312" s="41"/>
      <c r="W312" s="41"/>
      <c r="X312" s="41"/>
      <c r="Y312" s="41"/>
      <c r="Z312" s="41"/>
    </row>
    <row r="313" ht="19.5" customHeight="1">
      <c r="A313" s="41"/>
      <c r="B313" s="102" t="s">
        <v>1322</v>
      </c>
      <c r="C313" s="13"/>
      <c r="D313" s="13"/>
      <c r="E313" s="14"/>
      <c r="F313" s="41"/>
      <c r="G313" s="41"/>
      <c r="H313" s="41"/>
      <c r="I313" s="41"/>
      <c r="J313" s="41"/>
      <c r="K313" s="41"/>
      <c r="L313" s="41"/>
      <c r="M313" s="41"/>
      <c r="N313" s="41"/>
      <c r="O313" s="41"/>
      <c r="P313" s="41"/>
      <c r="Q313" s="41"/>
      <c r="R313" s="41"/>
      <c r="S313" s="41"/>
      <c r="T313" s="41"/>
      <c r="U313" s="41"/>
      <c r="V313" s="41"/>
      <c r="W313" s="41"/>
      <c r="X313" s="41"/>
      <c r="Y313" s="41"/>
      <c r="Z313" s="41"/>
    </row>
    <row r="314" ht="19.5" customHeight="1">
      <c r="A314" s="41"/>
      <c r="B314" s="84" t="s">
        <v>795</v>
      </c>
      <c r="C314" s="110" t="str">
        <f>CONCATENATE(this_instance,"01-",sample_wld_cl01_cluster,"-r01-network-profile")</f>
        <v>lax01-lax-w01-cl01-r01-network-profile</v>
      </c>
      <c r="D314" s="18"/>
      <c r="E314" s="191"/>
      <c r="F314" s="41"/>
      <c r="G314" s="41"/>
      <c r="H314" s="41"/>
      <c r="I314" s="41"/>
      <c r="J314" s="41"/>
      <c r="K314" s="41"/>
      <c r="L314" s="41"/>
      <c r="M314" s="41"/>
      <c r="N314" s="41"/>
      <c r="O314" s="41"/>
      <c r="P314" s="41"/>
      <c r="Q314" s="41"/>
      <c r="R314" s="41"/>
      <c r="S314" s="41"/>
      <c r="T314" s="41"/>
      <c r="U314" s="41"/>
      <c r="V314" s="41"/>
      <c r="W314" s="41"/>
      <c r="X314" s="41"/>
      <c r="Y314" s="41"/>
      <c r="Z314" s="41"/>
    </row>
    <row r="315" ht="19.5" customHeight="1">
      <c r="A315" s="41"/>
      <c r="B315" s="84" t="s">
        <v>1323</v>
      </c>
      <c r="C315" s="110">
        <v>2.0</v>
      </c>
      <c r="D315" s="18"/>
      <c r="E315" s="191"/>
      <c r="F315" s="41"/>
      <c r="G315" s="41"/>
      <c r="H315" s="41"/>
      <c r="I315" s="41"/>
      <c r="J315" s="41"/>
      <c r="K315" s="41"/>
      <c r="L315" s="41"/>
      <c r="M315" s="41"/>
      <c r="N315" s="41"/>
      <c r="O315" s="41"/>
      <c r="P315" s="41"/>
      <c r="Q315" s="41"/>
      <c r="R315" s="41"/>
      <c r="S315" s="41"/>
      <c r="T315" s="41"/>
      <c r="U315" s="41"/>
      <c r="V315" s="41"/>
      <c r="W315" s="41"/>
      <c r="X315" s="41"/>
      <c r="Y315" s="41"/>
      <c r="Z315" s="41"/>
    </row>
    <row r="316" ht="19.5" customHeight="1">
      <c r="A316" s="41"/>
      <c r="B316" s="84" t="s">
        <v>1324</v>
      </c>
      <c r="C316" s="110" t="s">
        <v>445</v>
      </c>
      <c r="D316" s="18" t="s">
        <v>445</v>
      </c>
      <c r="E316" s="191"/>
      <c r="F316" s="41"/>
      <c r="G316" s="41"/>
      <c r="H316" s="41"/>
      <c r="I316" s="41"/>
      <c r="J316" s="41"/>
      <c r="K316" s="41"/>
      <c r="L316" s="41"/>
      <c r="M316" s="41"/>
      <c r="N316" s="41"/>
      <c r="O316" s="41"/>
      <c r="P316" s="41"/>
      <c r="Q316" s="41"/>
      <c r="R316" s="41"/>
      <c r="S316" s="41"/>
      <c r="T316" s="41"/>
      <c r="U316" s="41"/>
      <c r="V316" s="41"/>
      <c r="W316" s="41"/>
      <c r="X316" s="41"/>
      <c r="Y316" s="41"/>
      <c r="Z316" s="41"/>
    </row>
    <row r="317" ht="19.5" customHeight="1">
      <c r="A317" s="41"/>
      <c r="B317" s="84" t="s">
        <v>1325</v>
      </c>
      <c r="C317" s="110" t="s">
        <v>446</v>
      </c>
      <c r="D317" s="18" t="s">
        <v>446</v>
      </c>
      <c r="E317" s="191"/>
      <c r="F317" s="41"/>
      <c r="G317" s="41"/>
      <c r="H317" s="41"/>
      <c r="I317" s="41"/>
      <c r="J317" s="41"/>
      <c r="K317" s="41"/>
      <c r="L317" s="41"/>
      <c r="M317" s="41"/>
      <c r="N317" s="41"/>
      <c r="O317" s="41"/>
      <c r="P317" s="41"/>
      <c r="Q317" s="41"/>
      <c r="R317" s="41"/>
      <c r="S317" s="41"/>
      <c r="T317" s="41"/>
      <c r="U317" s="41"/>
      <c r="V317" s="41"/>
      <c r="W317" s="41"/>
      <c r="X317" s="41"/>
      <c r="Y317" s="41"/>
      <c r="Z317" s="41"/>
    </row>
    <row r="318" ht="19.5" customHeight="1">
      <c r="A318" s="41"/>
      <c r="B318" s="173" t="s">
        <v>1326</v>
      </c>
      <c r="C318" s="203" t="str">
        <f>CONCATENATE(this_instance,"01-w0",wld_domain_number_chosen,"-r01-uplink-profile01")</f>
        <v>lax01-w01-r01-uplink-profile01</v>
      </c>
      <c r="D318" s="18"/>
      <c r="E318" s="191"/>
      <c r="F318" s="41"/>
      <c r="G318" s="41"/>
      <c r="H318" s="41"/>
      <c r="I318" s="41"/>
      <c r="J318" s="41"/>
      <c r="K318" s="41"/>
      <c r="L318" s="41"/>
      <c r="M318" s="41"/>
      <c r="N318" s="41"/>
      <c r="O318" s="41"/>
      <c r="P318" s="41"/>
      <c r="Q318" s="41"/>
      <c r="R318" s="41"/>
      <c r="S318" s="41"/>
      <c r="T318" s="41"/>
      <c r="U318" s="41"/>
      <c r="V318" s="41"/>
      <c r="W318" s="41"/>
      <c r="X318" s="41"/>
      <c r="Y318" s="41"/>
      <c r="Z318" s="41"/>
    </row>
    <row r="319" ht="19.5" customHeight="1">
      <c r="A319" s="41"/>
      <c r="B319" s="84" t="s">
        <v>1327</v>
      </c>
      <c r="C319" s="110" t="s">
        <v>1328</v>
      </c>
      <c r="D319" s="18" t="s">
        <v>1328</v>
      </c>
      <c r="E319" s="190"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c r="F319" s="41"/>
      <c r="G319" s="41"/>
      <c r="H319" s="41"/>
      <c r="I319" s="41"/>
      <c r="J319" s="41"/>
      <c r="K319" s="41"/>
      <c r="L319" s="41"/>
      <c r="M319" s="41"/>
      <c r="N319" s="41"/>
      <c r="O319" s="41"/>
      <c r="P319" s="41"/>
      <c r="Q319" s="41"/>
      <c r="R319" s="41"/>
      <c r="S319" s="41"/>
      <c r="T319" s="41"/>
      <c r="U319" s="41"/>
      <c r="V319" s="41"/>
      <c r="W319" s="41"/>
      <c r="X319" s="41"/>
      <c r="Y319" s="41"/>
      <c r="Z319" s="41"/>
    </row>
    <row r="320" ht="19.5" customHeight="1">
      <c r="A320" s="41"/>
      <c r="B320" s="84" t="s">
        <v>1329</v>
      </c>
      <c r="C320" s="110" t="s">
        <v>285</v>
      </c>
      <c r="D320" s="18" t="s">
        <v>285</v>
      </c>
      <c r="E320" s="190"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c r="F320" s="41"/>
      <c r="G320" s="41"/>
      <c r="H320" s="41"/>
      <c r="I320" s="41"/>
      <c r="J320" s="41"/>
      <c r="K320" s="41"/>
      <c r="L320" s="41"/>
      <c r="M320" s="41"/>
      <c r="N320" s="41"/>
      <c r="O320" s="41"/>
      <c r="P320" s="41"/>
      <c r="Q320" s="41"/>
      <c r="R320" s="41"/>
      <c r="S320" s="41"/>
      <c r="T320" s="41"/>
      <c r="U320" s="41"/>
      <c r="V320" s="41"/>
      <c r="W320" s="41"/>
      <c r="X320" s="41"/>
      <c r="Y320" s="41"/>
      <c r="Z320" s="41"/>
    </row>
    <row r="321" ht="19.5" customHeight="1">
      <c r="A321" s="41"/>
      <c r="B321" s="84" t="s">
        <v>1330</v>
      </c>
      <c r="C321" s="110" t="s">
        <v>285</v>
      </c>
      <c r="D321" s="18" t="s">
        <v>285</v>
      </c>
      <c r="E321" s="190"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33.75" customHeight="1">
      <c r="A323" s="41"/>
      <c r="B323" s="12" t="s">
        <v>1331</v>
      </c>
      <c r="C323" s="13"/>
      <c r="D323" s="13"/>
      <c r="E323" s="14"/>
      <c r="F323" s="41"/>
      <c r="G323" s="41"/>
      <c r="H323" s="41"/>
      <c r="I323" s="41"/>
      <c r="J323" s="41"/>
      <c r="K323" s="41"/>
      <c r="L323" s="41"/>
      <c r="M323" s="41"/>
      <c r="N323" s="41"/>
      <c r="O323" s="41"/>
      <c r="P323" s="41"/>
      <c r="Q323" s="41"/>
      <c r="R323" s="41"/>
      <c r="S323" s="41"/>
      <c r="T323" s="41"/>
      <c r="U323" s="41"/>
      <c r="V323" s="41"/>
      <c r="W323" s="41"/>
      <c r="X323" s="41"/>
      <c r="Y323" s="41"/>
      <c r="Z323" s="41"/>
    </row>
    <row r="324" ht="19.5" customHeight="1">
      <c r="A324" s="41"/>
      <c r="B324" s="49" t="s">
        <v>37</v>
      </c>
      <c r="C324" s="49" t="s">
        <v>273</v>
      </c>
      <c r="D324" s="49" t="s">
        <v>274</v>
      </c>
      <c r="E324" s="49" t="s">
        <v>5</v>
      </c>
      <c r="F324" s="41"/>
      <c r="G324" s="41"/>
      <c r="H324" s="41"/>
      <c r="I324" s="41"/>
      <c r="J324" s="41"/>
      <c r="K324" s="41"/>
      <c r="L324" s="41"/>
      <c r="M324" s="41"/>
      <c r="N324" s="41"/>
      <c r="O324" s="41"/>
      <c r="P324" s="41"/>
      <c r="Q324" s="41"/>
      <c r="R324" s="41"/>
      <c r="S324" s="41"/>
      <c r="T324" s="41"/>
      <c r="U324" s="41"/>
      <c r="V324" s="41"/>
      <c r="W324" s="41"/>
      <c r="X324" s="41"/>
      <c r="Y324" s="41"/>
      <c r="Z324" s="41"/>
    </row>
    <row r="325" ht="19.5" customHeight="1">
      <c r="A325" s="41"/>
      <c r="B325" s="102" t="s">
        <v>1332</v>
      </c>
      <c r="C325" s="13"/>
      <c r="D325" s="13"/>
      <c r="E325" s="14"/>
      <c r="F325" s="41"/>
      <c r="G325" s="41"/>
      <c r="H325" s="41"/>
      <c r="I325" s="41"/>
      <c r="J325" s="41"/>
      <c r="K325" s="41"/>
      <c r="L325" s="41"/>
      <c r="M325" s="41"/>
      <c r="N325" s="41"/>
      <c r="O325" s="41"/>
      <c r="P325" s="41"/>
      <c r="Q325" s="41"/>
      <c r="R325" s="41"/>
      <c r="S325" s="41"/>
      <c r="T325" s="41"/>
      <c r="U325" s="41"/>
      <c r="V325" s="41"/>
      <c r="W325" s="41"/>
      <c r="X325" s="41"/>
      <c r="Y325" s="41"/>
      <c r="Z325" s="41"/>
    </row>
    <row r="326" ht="19.5" customHeight="1">
      <c r="A326" s="41"/>
      <c r="B326" s="173" t="s">
        <v>1333</v>
      </c>
      <c r="C326" s="203" t="str">
        <f>CONCATENATE(sample_wld_sddc_domain,"-cl01-sn01")</f>
        <v>lax-w01-cl01-sn01</v>
      </c>
      <c r="D326" s="18"/>
      <c r="E326" s="190" t="s">
        <v>1334</v>
      </c>
      <c r="F326" s="41"/>
      <c r="G326" s="41"/>
      <c r="H326" s="41"/>
      <c r="I326" s="41"/>
      <c r="J326" s="41"/>
      <c r="K326" s="41"/>
      <c r="L326" s="41"/>
      <c r="M326" s="41"/>
      <c r="N326" s="41"/>
      <c r="O326" s="41"/>
      <c r="P326" s="41"/>
      <c r="Q326" s="41"/>
      <c r="R326" s="41"/>
      <c r="S326" s="41"/>
      <c r="T326" s="41"/>
      <c r="U326" s="41"/>
      <c r="V326" s="41"/>
      <c r="W326" s="41"/>
      <c r="X326" s="41"/>
      <c r="Y326" s="41"/>
      <c r="Z326" s="41"/>
    </row>
    <row r="327" ht="19.5" customHeight="1">
      <c r="A327" s="41"/>
      <c r="B327" s="173" t="s">
        <v>1335</v>
      </c>
      <c r="C327" s="203" t="s">
        <v>1336</v>
      </c>
      <c r="D327" s="18"/>
      <c r="E327" s="170"/>
      <c r="F327" s="41"/>
      <c r="G327" s="41"/>
      <c r="H327" s="41"/>
      <c r="I327" s="41"/>
      <c r="J327" s="41"/>
      <c r="K327" s="41"/>
      <c r="L327" s="41"/>
      <c r="M327" s="41"/>
      <c r="N327" s="41"/>
      <c r="O327" s="41"/>
      <c r="P327" s="41"/>
      <c r="Q327" s="41"/>
      <c r="R327" s="41"/>
      <c r="S327" s="41"/>
      <c r="T327" s="41"/>
      <c r="U327" s="41"/>
      <c r="V327" s="41"/>
      <c r="W327" s="41"/>
      <c r="X327" s="41"/>
      <c r="Y327" s="41"/>
      <c r="Z327" s="41"/>
    </row>
    <row r="328" ht="19.5" customHeight="1">
      <c r="A328" s="41"/>
      <c r="B328" s="173" t="s">
        <v>1337</v>
      </c>
      <c r="C328" s="203" t="s">
        <v>284</v>
      </c>
      <c r="D328" s="18" t="s">
        <v>284</v>
      </c>
      <c r="E328" s="191"/>
      <c r="F328" s="41"/>
      <c r="G328" s="41"/>
      <c r="H328" s="41"/>
      <c r="I328" s="41"/>
      <c r="J328" s="41"/>
      <c r="K328" s="41"/>
      <c r="L328" s="41"/>
      <c r="M328" s="41"/>
      <c r="N328" s="41"/>
      <c r="O328" s="41"/>
      <c r="P328" s="41"/>
      <c r="Q328" s="41"/>
      <c r="R328" s="41"/>
      <c r="S328" s="41"/>
      <c r="T328" s="41"/>
      <c r="U328" s="41"/>
      <c r="V328" s="41"/>
      <c r="W328" s="41"/>
      <c r="X328" s="41"/>
      <c r="Y328" s="41"/>
      <c r="Z328" s="41"/>
    </row>
    <row r="329" ht="19.5" customHeight="1">
      <c r="A329" s="41"/>
      <c r="B329" s="173" t="s">
        <v>1338</v>
      </c>
      <c r="C329" s="203" t="str">
        <f>IF(wld_cl01_supervisor_use_mgmt_vmk_chosen="Unselected",CONCATENATE(prefix_wld_az1_cidr,"10.50","-",prefix_wld_az1_cidr,"10.60"),CONCATENATE(prefix_wld_az1_cidr,"11.50","-",prefix_wld_az1_cidr,"11.60"))</f>
        <v>10.23.10.50-10.23.10.60</v>
      </c>
      <c r="D329" s="18"/>
      <c r="E329" s="191"/>
      <c r="F329" s="41"/>
      <c r="G329" s="41"/>
      <c r="H329" s="41"/>
      <c r="I329" s="41"/>
      <c r="J329" s="41"/>
      <c r="K329" s="41"/>
      <c r="L329" s="41"/>
      <c r="M329" s="41"/>
      <c r="N329" s="41"/>
      <c r="O329" s="41"/>
      <c r="P329" s="41"/>
      <c r="Q329" s="41"/>
      <c r="R329" s="41"/>
      <c r="S329" s="41"/>
      <c r="T329" s="41"/>
      <c r="U329" s="41"/>
      <c r="V329" s="41"/>
      <c r="W329" s="41"/>
      <c r="X329" s="41"/>
      <c r="Y329" s="41"/>
      <c r="Z329" s="41"/>
    </row>
    <row r="330" ht="19.5" customHeight="1">
      <c r="A330" s="41"/>
      <c r="B330" s="102" t="s">
        <v>1339</v>
      </c>
      <c r="C330" s="13"/>
      <c r="D330" s="13"/>
      <c r="E330" s="14"/>
      <c r="F330" s="41"/>
      <c r="G330" s="41"/>
      <c r="H330" s="41"/>
      <c r="I330" s="41"/>
      <c r="J330" s="41"/>
      <c r="K330" s="41"/>
      <c r="L330" s="41"/>
      <c r="M330" s="41"/>
      <c r="N330" s="41"/>
      <c r="O330" s="41"/>
      <c r="P330" s="41"/>
      <c r="Q330" s="41"/>
      <c r="R330" s="41"/>
      <c r="S330" s="41"/>
      <c r="T330" s="41"/>
      <c r="U330" s="41"/>
      <c r="V330" s="41"/>
      <c r="W330" s="41"/>
      <c r="X330" s="41"/>
      <c r="Y330" s="41"/>
      <c r="Z330" s="41"/>
    </row>
    <row r="331" ht="19.5" customHeight="1">
      <c r="A331" s="41"/>
      <c r="B331" s="173" t="s">
        <v>1340</v>
      </c>
      <c r="C331" s="203" t="s">
        <v>1341</v>
      </c>
      <c r="D331" s="18"/>
      <c r="E331" s="191"/>
      <c r="F331" s="41"/>
      <c r="G331" s="41"/>
      <c r="H331" s="41"/>
      <c r="I331" s="41"/>
      <c r="J331" s="41"/>
      <c r="K331" s="41"/>
      <c r="L331" s="41"/>
      <c r="M331" s="41"/>
      <c r="N331" s="41"/>
      <c r="O331" s="41"/>
      <c r="P331" s="41"/>
      <c r="Q331" s="41"/>
      <c r="R331" s="41"/>
      <c r="S331" s="41"/>
      <c r="T331" s="41"/>
      <c r="U331" s="41"/>
      <c r="V331" s="41"/>
      <c r="W331" s="41"/>
      <c r="X331" s="41"/>
      <c r="Y331" s="41"/>
      <c r="Z331" s="41"/>
    </row>
    <row r="332" ht="19.5" customHeight="1">
      <c r="A332" s="41"/>
      <c r="B332" s="173" t="s">
        <v>1342</v>
      </c>
      <c r="C332" s="203" t="s">
        <v>1343</v>
      </c>
      <c r="D332" s="18"/>
      <c r="E332" s="191"/>
      <c r="F332" s="41"/>
      <c r="G332" s="41"/>
      <c r="H332" s="41"/>
      <c r="I332" s="41"/>
      <c r="J332" s="41"/>
      <c r="K332" s="41"/>
      <c r="L332" s="41"/>
      <c r="M332" s="41"/>
      <c r="N332" s="41"/>
      <c r="O332" s="41"/>
      <c r="P332" s="41"/>
      <c r="Q332" s="41"/>
      <c r="R332" s="41"/>
      <c r="S332" s="41"/>
      <c r="T332" s="41"/>
      <c r="U332" s="41"/>
      <c r="V332" s="41"/>
      <c r="W332" s="41"/>
      <c r="X332" s="41"/>
      <c r="Y332" s="41"/>
      <c r="Z332" s="41"/>
    </row>
    <row r="333" ht="19.5" customHeight="1">
      <c r="A333" s="41"/>
      <c r="B333" s="173" t="s">
        <v>1344</v>
      </c>
      <c r="C333" s="203" t="s">
        <v>1345</v>
      </c>
      <c r="D333" s="18"/>
      <c r="E333" s="18" t="s">
        <v>1346</v>
      </c>
      <c r="F333" s="41"/>
      <c r="G333" s="41"/>
      <c r="H333" s="41"/>
      <c r="I333" s="41"/>
      <c r="J333" s="41"/>
      <c r="K333" s="41"/>
      <c r="L333" s="41"/>
      <c r="M333" s="41"/>
      <c r="N333" s="41"/>
      <c r="O333" s="41"/>
      <c r="P333" s="41"/>
      <c r="Q333" s="41"/>
      <c r="R333" s="41"/>
      <c r="S333" s="41"/>
      <c r="T333" s="41"/>
      <c r="U333" s="41"/>
      <c r="V333" s="41"/>
      <c r="W333" s="41"/>
      <c r="X333" s="41"/>
      <c r="Y333" s="41"/>
      <c r="Z333" s="41"/>
    </row>
    <row r="334" ht="19.5" customHeight="1">
      <c r="A334" s="41"/>
      <c r="B334" s="173" t="s">
        <v>1347</v>
      </c>
      <c r="C334" s="203" t="s">
        <v>1348</v>
      </c>
      <c r="D334" s="18"/>
      <c r="E334" s="191"/>
      <c r="F334" s="41"/>
      <c r="G334" s="41"/>
      <c r="H334" s="41"/>
      <c r="I334" s="41"/>
      <c r="J334" s="41"/>
      <c r="K334" s="41"/>
      <c r="L334" s="41"/>
      <c r="M334" s="41"/>
      <c r="N334" s="41"/>
      <c r="O334" s="41"/>
      <c r="P334" s="41"/>
      <c r="Q334" s="41"/>
      <c r="R334" s="41"/>
      <c r="S334" s="41"/>
      <c r="T334" s="41"/>
      <c r="U334" s="41"/>
      <c r="V334" s="41"/>
      <c r="W334" s="41"/>
      <c r="X334" s="41"/>
      <c r="Y334" s="41"/>
      <c r="Z334" s="41"/>
    </row>
    <row r="335" ht="19.5" customHeight="1">
      <c r="A335" s="41"/>
      <c r="B335" s="173" t="s">
        <v>1349</v>
      </c>
      <c r="C335" s="203" t="str">
        <f>CONCATENATE(sample_region_dns1_ip,",",sample_region_dns2_ip)</f>
        <v>10.21.10.4,10.21.10.5</v>
      </c>
      <c r="D335" s="18"/>
      <c r="E335" s="19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173" t="s">
        <v>1350</v>
      </c>
      <c r="C336" s="203" t="str">
        <f>CONCATENATE(sample_region_ntp1_server,",",sample_region_ntp2_server)</f>
        <v>ntp0.lax.rainpole.io,ntp1.lax.rainpole.io</v>
      </c>
      <c r="D336" s="18"/>
      <c r="E336" s="19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33.75" customHeight="1">
      <c r="A338" s="41"/>
      <c r="B338" s="259" t="s">
        <v>1351</v>
      </c>
      <c r="C338" s="248"/>
      <c r="D338" s="248"/>
      <c r="E338" s="248"/>
      <c r="F338" s="41"/>
      <c r="G338" s="41"/>
      <c r="H338" s="41"/>
      <c r="I338" s="41"/>
      <c r="J338" s="41"/>
      <c r="K338" s="41"/>
      <c r="L338" s="41"/>
      <c r="M338" s="41"/>
      <c r="N338" s="41"/>
      <c r="O338" s="41"/>
      <c r="P338" s="41"/>
      <c r="Q338" s="41"/>
      <c r="R338" s="41"/>
      <c r="S338" s="41"/>
      <c r="T338" s="41"/>
      <c r="U338" s="41"/>
      <c r="V338" s="41"/>
      <c r="W338" s="41"/>
      <c r="X338" s="41"/>
      <c r="Y338" s="41"/>
      <c r="Z338" s="41"/>
    </row>
    <row r="339" ht="19.5" customHeight="1">
      <c r="A339" s="41"/>
      <c r="B339" s="49" t="s">
        <v>37</v>
      </c>
      <c r="C339" s="49" t="s">
        <v>273</v>
      </c>
      <c r="D339" s="49" t="s">
        <v>274</v>
      </c>
      <c r="E339" s="49" t="s">
        <v>5</v>
      </c>
      <c r="F339" s="41"/>
      <c r="G339" s="41"/>
      <c r="H339" s="41"/>
      <c r="I339" s="41"/>
      <c r="J339" s="41"/>
      <c r="K339" s="41"/>
      <c r="L339" s="41"/>
      <c r="M339" s="41"/>
      <c r="N339" s="41"/>
      <c r="O339" s="41"/>
      <c r="P339" s="41"/>
      <c r="Q339" s="41"/>
      <c r="R339" s="41"/>
      <c r="S339" s="41"/>
      <c r="T339" s="41"/>
      <c r="U339" s="41"/>
      <c r="V339" s="41"/>
      <c r="W339" s="41"/>
      <c r="X339" s="41"/>
      <c r="Y339" s="41"/>
      <c r="Z339" s="41"/>
    </row>
    <row r="340" ht="19.5" customHeight="1">
      <c r="A340" s="41"/>
      <c r="B340" s="102" t="s">
        <v>400</v>
      </c>
      <c r="C340" s="13"/>
      <c r="D340" s="13"/>
      <c r="E340" s="14"/>
      <c r="F340" s="41"/>
      <c r="G340" s="41"/>
      <c r="H340" s="41"/>
      <c r="I340" s="41"/>
      <c r="J340" s="41"/>
      <c r="K340" s="41"/>
      <c r="L340" s="41"/>
      <c r="M340" s="41"/>
      <c r="N340" s="41"/>
      <c r="O340" s="41"/>
      <c r="P340" s="41"/>
      <c r="Q340" s="41"/>
      <c r="R340" s="41"/>
      <c r="S340" s="41"/>
      <c r="T340" s="41"/>
      <c r="U340" s="41"/>
      <c r="V340" s="41"/>
      <c r="W340" s="41"/>
      <c r="X340" s="41"/>
      <c r="Y340" s="41"/>
      <c r="Z340" s="41"/>
    </row>
    <row r="341" ht="19.5" customHeight="1">
      <c r="A341" s="41"/>
      <c r="B341" s="170" t="s">
        <v>401</v>
      </c>
      <c r="C341" s="110" t="str">
        <f>sample_wld_az1_mgmt_vlan</f>
        <v>2311</v>
      </c>
      <c r="D341" s="171" t="str">
        <f>wld_az1_mgmt_vlan</f>
        <v>Value Missing</v>
      </c>
      <c r="E341" s="190"/>
      <c r="F341" s="41"/>
      <c r="G341" s="41"/>
      <c r="H341" s="41"/>
      <c r="I341" s="41"/>
      <c r="J341" s="41"/>
      <c r="K341" s="41"/>
      <c r="L341" s="41"/>
      <c r="M341" s="41"/>
      <c r="N341" s="41"/>
      <c r="O341" s="41"/>
      <c r="P341" s="41"/>
      <c r="Q341" s="41"/>
      <c r="R341" s="41"/>
      <c r="S341" s="41"/>
      <c r="T341" s="41"/>
      <c r="U341" s="41"/>
      <c r="V341" s="41"/>
      <c r="W341" s="41"/>
      <c r="X341" s="41"/>
      <c r="Y341" s="41"/>
      <c r="Z341" s="41"/>
    </row>
    <row r="342" ht="19.5" customHeight="1">
      <c r="A342" s="41"/>
      <c r="B342" s="170" t="s">
        <v>402</v>
      </c>
      <c r="C342" s="110" t="str">
        <f>sample_wld_az1_mgmt_gateway_ip</f>
        <v>10.23.11.1</v>
      </c>
      <c r="D342" s="171" t="str">
        <f>wld_az1_mgmt_gateway_ip</f>
        <v>Value Missing</v>
      </c>
      <c r="E342" s="190"/>
      <c r="F342" s="41"/>
      <c r="G342" s="41"/>
      <c r="H342" s="41"/>
      <c r="I342" s="41"/>
      <c r="J342" s="41"/>
      <c r="K342" s="41"/>
      <c r="L342" s="41"/>
      <c r="M342" s="41"/>
      <c r="N342" s="41"/>
      <c r="O342" s="41"/>
      <c r="P342" s="41"/>
      <c r="Q342" s="41"/>
      <c r="R342" s="41"/>
      <c r="S342" s="41"/>
      <c r="T342" s="41"/>
      <c r="U342" s="41"/>
      <c r="V342" s="41"/>
      <c r="W342" s="41"/>
      <c r="X342" s="41"/>
      <c r="Y342" s="41"/>
      <c r="Z342" s="41"/>
    </row>
    <row r="343" ht="19.5" customHeight="1">
      <c r="A343" s="41"/>
      <c r="B343" s="170" t="s">
        <v>403</v>
      </c>
      <c r="C343" s="110" t="str">
        <f>sample_wld_az1_mgmt_cidr</f>
        <v>10.23.11.0/24</v>
      </c>
      <c r="D343" s="171" t="str">
        <f>wld_az1_mgmt_cidr</f>
        <v>Value Missing</v>
      </c>
      <c r="E343" s="190"/>
      <c r="F343" s="41"/>
      <c r="G343" s="41"/>
      <c r="H343" s="41"/>
      <c r="I343" s="41"/>
      <c r="J343" s="41"/>
      <c r="K343" s="41"/>
      <c r="L343" s="41"/>
      <c r="M343" s="41"/>
      <c r="N343" s="41"/>
      <c r="O343" s="41"/>
      <c r="P343" s="41"/>
      <c r="Q343" s="41"/>
      <c r="R343" s="41"/>
      <c r="S343" s="41"/>
      <c r="T343" s="41"/>
      <c r="U343" s="41"/>
      <c r="V343" s="41"/>
      <c r="W343" s="41"/>
      <c r="X343" s="41"/>
      <c r="Y343" s="41"/>
      <c r="Z343" s="41"/>
    </row>
    <row r="344" ht="19.5" customHeight="1">
      <c r="A344" s="41"/>
      <c r="B344" s="84" t="s">
        <v>404</v>
      </c>
      <c r="C344" s="110">
        <f>sample_wld_az1_mgmt_mtu</f>
        <v>1500</v>
      </c>
      <c r="D344" s="171" t="str">
        <f>wld_az1_mgmt_mtu</f>
        <v>Value Missing</v>
      </c>
      <c r="E344" s="190"/>
      <c r="F344" s="41"/>
      <c r="G344" s="41"/>
      <c r="H344" s="41"/>
      <c r="I344" s="41"/>
      <c r="J344" s="41"/>
      <c r="K344" s="41"/>
      <c r="L344" s="41"/>
      <c r="M344" s="41"/>
      <c r="N344" s="41"/>
      <c r="O344" s="41"/>
      <c r="P344" s="41"/>
      <c r="Q344" s="41"/>
      <c r="R344" s="41"/>
      <c r="S344" s="41"/>
      <c r="T344" s="41"/>
      <c r="U344" s="41"/>
      <c r="V344" s="41"/>
      <c r="W344" s="41"/>
      <c r="X344" s="41"/>
      <c r="Y344" s="41"/>
      <c r="Z344" s="41"/>
    </row>
    <row r="345" ht="19.5" customHeight="1">
      <c r="A345" s="41"/>
      <c r="B345" s="172" t="s">
        <v>405</v>
      </c>
      <c r="C345" s="13"/>
      <c r="D345" s="13"/>
      <c r="E345" s="14"/>
      <c r="F345" s="41"/>
      <c r="G345" s="41"/>
      <c r="H345" s="41"/>
      <c r="I345" s="41"/>
      <c r="J345" s="41"/>
      <c r="K345" s="41"/>
      <c r="L345" s="41"/>
      <c r="M345" s="41"/>
      <c r="N345" s="41"/>
      <c r="O345" s="41"/>
      <c r="P345" s="41"/>
      <c r="Q345" s="41"/>
      <c r="R345" s="41"/>
      <c r="S345" s="41"/>
      <c r="T345" s="41"/>
      <c r="U345" s="41"/>
      <c r="V345" s="41"/>
      <c r="W345" s="41"/>
      <c r="X345" s="41"/>
      <c r="Y345" s="41"/>
      <c r="Z345" s="41"/>
    </row>
    <row r="346" ht="19.5" customHeight="1">
      <c r="A346" s="41"/>
      <c r="B346" s="170" t="s">
        <v>401</v>
      </c>
      <c r="C346" s="156" t="str">
        <f>IF(wld_dpg_separation_result="Included",CONCATENATE(prefix_wld_az1_vlan,"10"),CONCATENATE(prefix_wld_az1_vlan,"11"))</f>
        <v>2310</v>
      </c>
      <c r="D346" s="18"/>
      <c r="E346" s="260" t="s">
        <v>1352</v>
      </c>
      <c r="F346" s="41"/>
      <c r="G346" s="41"/>
      <c r="H346" s="41"/>
      <c r="I346" s="41"/>
      <c r="J346" s="41"/>
      <c r="K346" s="41"/>
      <c r="L346" s="41"/>
      <c r="M346" s="41"/>
      <c r="N346" s="41"/>
      <c r="O346" s="41"/>
      <c r="P346" s="41"/>
      <c r="Q346" s="41"/>
      <c r="R346" s="41"/>
      <c r="S346" s="41"/>
      <c r="T346" s="41"/>
      <c r="U346" s="41"/>
      <c r="V346" s="41"/>
      <c r="W346" s="41"/>
      <c r="X346" s="41"/>
      <c r="Y346" s="41"/>
      <c r="Z346" s="41"/>
    </row>
    <row r="347" ht="19.5" customHeight="1">
      <c r="A347" s="41"/>
      <c r="B347" s="170" t="s">
        <v>402</v>
      </c>
      <c r="C347" s="156" t="str">
        <f>IF(wld_dpg_separation_result="Included",CONCATENATE(prefix_wld_az1_cidr,"10.1"),CONCATENATE(prefix_wld_az1_cidr,"11.1"))</f>
        <v>10.23.10.1</v>
      </c>
      <c r="D347" s="18"/>
      <c r="E347" s="260"/>
      <c r="F347" s="41"/>
      <c r="G347" s="41"/>
      <c r="H347" s="41"/>
      <c r="I347" s="41"/>
      <c r="J347" s="41"/>
      <c r="K347" s="41"/>
      <c r="L347" s="41"/>
      <c r="M347" s="41"/>
      <c r="N347" s="41"/>
      <c r="O347" s="41"/>
      <c r="P347" s="41"/>
      <c r="Q347" s="41"/>
      <c r="R347" s="41"/>
      <c r="S347" s="41"/>
      <c r="T347" s="41"/>
      <c r="U347" s="41"/>
      <c r="V347" s="41"/>
      <c r="W347" s="41"/>
      <c r="X347" s="41"/>
      <c r="Y347" s="41"/>
      <c r="Z347" s="41"/>
    </row>
    <row r="348" ht="19.5" customHeight="1">
      <c r="A348" s="41"/>
      <c r="B348" s="170" t="s">
        <v>403</v>
      </c>
      <c r="C348" s="156" t="str">
        <f>IF(wld_dpg_separation_result="Included",CONCATENATE(prefix_wld_az1_cidr,"10.0/24"),CONCATENATE(prefix_wld_az1_cidr,"11.0/24"))</f>
        <v>10.23.10.0/24</v>
      </c>
      <c r="D348" s="18"/>
      <c r="E348" s="260"/>
      <c r="F348" s="41"/>
      <c r="G348" s="41"/>
      <c r="H348" s="41"/>
      <c r="I348" s="41"/>
      <c r="J348" s="41"/>
      <c r="K348" s="41"/>
      <c r="L348" s="41"/>
      <c r="M348" s="41"/>
      <c r="N348" s="41"/>
      <c r="O348" s="41"/>
      <c r="P348" s="41"/>
      <c r="Q348" s="41"/>
      <c r="R348" s="41"/>
      <c r="S348" s="41"/>
      <c r="T348" s="41"/>
      <c r="U348" s="41"/>
      <c r="V348" s="41"/>
      <c r="W348" s="41"/>
      <c r="X348" s="41"/>
      <c r="Y348" s="41"/>
      <c r="Z348" s="41"/>
    </row>
    <row r="349" ht="19.5" customHeight="1">
      <c r="A349" s="41"/>
      <c r="B349" s="84" t="s">
        <v>404</v>
      </c>
      <c r="C349" s="156">
        <v>1500.0</v>
      </c>
      <c r="D349" s="18"/>
      <c r="E349" s="260"/>
      <c r="F349" s="41"/>
      <c r="G349" s="41"/>
      <c r="H349" s="41"/>
      <c r="I349" s="41"/>
      <c r="J349" s="41"/>
      <c r="K349" s="41"/>
      <c r="L349" s="41"/>
      <c r="M349" s="41"/>
      <c r="N349" s="41"/>
      <c r="O349" s="41"/>
      <c r="P349" s="41"/>
      <c r="Q349" s="41"/>
      <c r="R349" s="41"/>
      <c r="S349" s="41"/>
      <c r="T349" s="41"/>
      <c r="U349" s="41"/>
      <c r="V349" s="41"/>
      <c r="W349" s="41"/>
      <c r="X349" s="41"/>
      <c r="Y349" s="41"/>
      <c r="Z349" s="41"/>
    </row>
    <row r="350" ht="19.5" customHeight="1">
      <c r="A350" s="41"/>
      <c r="B350" s="102" t="s">
        <v>407</v>
      </c>
      <c r="C350" s="13"/>
      <c r="D350" s="13"/>
      <c r="E350" s="14"/>
      <c r="F350" s="41"/>
      <c r="G350" s="41"/>
      <c r="H350" s="41"/>
      <c r="I350" s="41"/>
      <c r="J350" s="41"/>
      <c r="K350" s="41"/>
      <c r="L350" s="41"/>
      <c r="M350" s="41"/>
      <c r="N350" s="41"/>
      <c r="O350" s="41"/>
      <c r="P350" s="41"/>
      <c r="Q350" s="41"/>
      <c r="R350" s="41"/>
      <c r="S350" s="41"/>
      <c r="T350" s="41"/>
      <c r="U350" s="41"/>
      <c r="V350" s="41"/>
      <c r="W350" s="41"/>
      <c r="X350" s="41"/>
      <c r="Y350" s="41"/>
      <c r="Z350" s="41"/>
    </row>
    <row r="351" ht="19.5" customHeight="1">
      <c r="A351" s="41"/>
      <c r="B351" s="84" t="s">
        <v>401</v>
      </c>
      <c r="C351" s="156" t="str">
        <f>sample_wld_az1_vmotion_vlan</f>
        <v>2312</v>
      </c>
      <c r="D351" s="171" t="str">
        <f>wld_az1_vmotion_vlan</f>
        <v>Value Missing</v>
      </c>
      <c r="E351" s="84"/>
      <c r="F351" s="41"/>
      <c r="G351" s="41"/>
      <c r="H351" s="41"/>
      <c r="I351" s="41"/>
      <c r="J351" s="41"/>
      <c r="K351" s="41"/>
      <c r="L351" s="41"/>
      <c r="M351" s="41"/>
      <c r="N351" s="41"/>
      <c r="O351" s="41"/>
      <c r="P351" s="41"/>
      <c r="Q351" s="41"/>
      <c r="R351" s="41"/>
      <c r="S351" s="41"/>
      <c r="T351" s="41"/>
      <c r="U351" s="41"/>
      <c r="V351" s="41"/>
      <c r="W351" s="41"/>
      <c r="X351" s="41"/>
      <c r="Y351" s="41"/>
      <c r="Z351" s="41"/>
    </row>
    <row r="352" ht="19.5" customHeight="1">
      <c r="A352" s="41"/>
      <c r="B352" s="84" t="s">
        <v>402</v>
      </c>
      <c r="C352" s="156" t="str">
        <f>sample_wld_az1_vmotion_gateway_ip</f>
        <v>10.23.12.1</v>
      </c>
      <c r="D352" s="171" t="str">
        <f>wld_az1_vmotion_gateway_ip</f>
        <v>Value Missing</v>
      </c>
      <c r="E352" s="191"/>
      <c r="F352" s="41"/>
      <c r="G352" s="41"/>
      <c r="H352" s="41"/>
      <c r="I352" s="41"/>
      <c r="J352" s="41"/>
      <c r="K352" s="41"/>
      <c r="L352" s="41"/>
      <c r="M352" s="41"/>
      <c r="N352" s="41"/>
      <c r="O352" s="41"/>
      <c r="P352" s="41"/>
      <c r="Q352" s="41"/>
      <c r="R352" s="41"/>
      <c r="S352" s="41"/>
      <c r="T352" s="41"/>
      <c r="U352" s="41"/>
      <c r="V352" s="41"/>
      <c r="W352" s="41"/>
      <c r="X352" s="41"/>
      <c r="Y352" s="41"/>
      <c r="Z352" s="41"/>
    </row>
    <row r="353" ht="19.5" customHeight="1">
      <c r="A353" s="41"/>
      <c r="B353" s="84" t="s">
        <v>403</v>
      </c>
      <c r="C353" s="156" t="str">
        <f>CONCATENATE(prefix_wld_az1_cidr,"12.0/24")</f>
        <v>10.23.12.0/24</v>
      </c>
      <c r="D353" s="171" t="str">
        <f>wld_az1_vmotion_cidr</f>
        <v>Value Missing</v>
      </c>
      <c r="E353" s="191"/>
      <c r="F353" s="41"/>
      <c r="G353" s="41"/>
      <c r="H353" s="41"/>
      <c r="I353" s="41"/>
      <c r="J353" s="41"/>
      <c r="K353" s="41"/>
      <c r="L353" s="41"/>
      <c r="M353" s="41"/>
      <c r="N353" s="41"/>
      <c r="O353" s="41"/>
      <c r="P353" s="41"/>
      <c r="Q353" s="41"/>
      <c r="R353" s="41"/>
      <c r="S353" s="41"/>
      <c r="T353" s="41"/>
      <c r="U353" s="41"/>
      <c r="V353" s="41"/>
      <c r="W353" s="41"/>
      <c r="X353" s="41"/>
      <c r="Y353" s="41"/>
      <c r="Z353" s="41"/>
    </row>
    <row r="354" ht="19.5" customHeight="1">
      <c r="A354" s="41"/>
      <c r="B354" s="84" t="s">
        <v>404</v>
      </c>
      <c r="C354" s="156">
        <f>sample_wld_az1_vmotion_mtu</f>
        <v>9000</v>
      </c>
      <c r="D354" s="171" t="str">
        <f>wld_az1_vmotion_mtu</f>
        <v>Value Missing</v>
      </c>
      <c r="E354" s="191"/>
      <c r="F354" s="41"/>
      <c r="G354" s="41"/>
      <c r="H354" s="41"/>
      <c r="I354" s="41"/>
      <c r="J354" s="41"/>
      <c r="K354" s="41"/>
      <c r="L354" s="41"/>
      <c r="M354" s="41"/>
      <c r="N354" s="41"/>
      <c r="O354" s="41"/>
      <c r="P354" s="41"/>
      <c r="Q354" s="41"/>
      <c r="R354" s="41"/>
      <c r="S354" s="41"/>
      <c r="T354" s="41"/>
      <c r="U354" s="41"/>
      <c r="V354" s="41"/>
      <c r="W354" s="41"/>
      <c r="X354" s="41"/>
      <c r="Y354" s="41"/>
      <c r="Z354" s="41"/>
    </row>
    <row r="355" ht="19.5" customHeight="1">
      <c r="A355" s="41"/>
      <c r="B355" s="173" t="s">
        <v>465</v>
      </c>
      <c r="C355" s="156" t="s">
        <v>1353</v>
      </c>
      <c r="D355" s="171" t="str">
        <f>wld_az1_vmotion_pool_start_ip</f>
        <v>Value Missing</v>
      </c>
      <c r="E355" s="191"/>
      <c r="F355" s="41"/>
      <c r="G355" s="41"/>
      <c r="H355" s="41"/>
      <c r="I355" s="41"/>
      <c r="J355" s="41"/>
      <c r="K355" s="41"/>
      <c r="L355" s="41"/>
      <c r="M355" s="41"/>
      <c r="N355" s="41"/>
      <c r="O355" s="41"/>
      <c r="P355" s="41"/>
      <c r="Q355" s="41"/>
      <c r="R355" s="41"/>
      <c r="S355" s="41"/>
      <c r="T355" s="41"/>
      <c r="U355" s="41"/>
      <c r="V355" s="41"/>
      <c r="W355" s="41"/>
      <c r="X355" s="41"/>
      <c r="Y355" s="41"/>
      <c r="Z355" s="41"/>
    </row>
    <row r="356" ht="19.5" customHeight="1">
      <c r="A356" s="41"/>
      <c r="B356" s="173" t="s">
        <v>466</v>
      </c>
      <c r="C356" s="156" t="s">
        <v>1354</v>
      </c>
      <c r="D356" s="171" t="str">
        <f>wld_az1_vmotion_pool_end_ip</f>
        <v>Value Missing</v>
      </c>
      <c r="E356" s="191"/>
      <c r="F356" s="41"/>
      <c r="G356" s="41"/>
      <c r="H356" s="41"/>
      <c r="I356" s="41"/>
      <c r="J356" s="41"/>
      <c r="K356" s="41"/>
      <c r="L356" s="41"/>
      <c r="M356" s="41"/>
      <c r="N356" s="41"/>
      <c r="O356" s="41"/>
      <c r="P356" s="41"/>
      <c r="Q356" s="41"/>
      <c r="R356" s="41"/>
      <c r="S356" s="41"/>
      <c r="T356" s="41"/>
      <c r="U356" s="41"/>
      <c r="V356" s="41"/>
      <c r="W356" s="41"/>
      <c r="X356" s="41"/>
      <c r="Y356" s="41"/>
      <c r="Z356" s="41"/>
    </row>
    <row r="357" ht="19.5" customHeight="1">
      <c r="A357" s="41"/>
      <c r="B357" s="102" t="str">
        <f>IF(wld_principal_storage_chosen="NFSv3","NFS Network","vSAN Network")</f>
        <v>vSAN Network</v>
      </c>
      <c r="C357" s="13"/>
      <c r="D357" s="13"/>
      <c r="E357" s="14"/>
      <c r="F357" s="41"/>
      <c r="G357" s="41"/>
      <c r="H357" s="41"/>
      <c r="I357" s="41"/>
      <c r="J357" s="41"/>
      <c r="K357" s="41"/>
      <c r="L357" s="41"/>
      <c r="M357" s="41"/>
      <c r="N357" s="41"/>
      <c r="O357" s="41"/>
      <c r="P357" s="41"/>
      <c r="Q357" s="41"/>
      <c r="R357" s="41"/>
      <c r="S357" s="41"/>
      <c r="T357" s="41"/>
      <c r="U357" s="41"/>
      <c r="V357" s="41"/>
      <c r="W357" s="41"/>
      <c r="X357" s="41"/>
      <c r="Y357" s="41"/>
      <c r="Z357" s="41"/>
    </row>
    <row r="358" ht="19.5" customHeight="1">
      <c r="A358" s="41"/>
      <c r="B358" s="84" t="s">
        <v>401</v>
      </c>
      <c r="C358" s="156" t="str">
        <f>sample_wld_az1_principal_storage_vlan</f>
        <v>2313</v>
      </c>
      <c r="D358" s="171" t="str">
        <f>wld_az1_principal_storage_vlan</f>
        <v>Value Missing</v>
      </c>
      <c r="E358" s="201"/>
      <c r="F358" s="41"/>
      <c r="G358" s="41"/>
      <c r="H358" s="41"/>
      <c r="I358" s="41"/>
      <c r="J358" s="41"/>
      <c r="K358" s="41"/>
      <c r="L358" s="41"/>
      <c r="M358" s="41"/>
      <c r="N358" s="41"/>
      <c r="O358" s="41"/>
      <c r="P358" s="41"/>
      <c r="Q358" s="41"/>
      <c r="R358" s="41"/>
      <c r="S358" s="41"/>
      <c r="T358" s="41"/>
      <c r="U358" s="41"/>
      <c r="V358" s="41"/>
      <c r="W358" s="41"/>
      <c r="X358" s="41"/>
      <c r="Y358" s="41"/>
      <c r="Z358" s="41"/>
    </row>
    <row r="359" ht="19.5" customHeight="1">
      <c r="A359" s="41"/>
      <c r="B359" s="84" t="s">
        <v>402</v>
      </c>
      <c r="C359" s="156" t="str">
        <f>sample_wld_az1_principal_storage_gateway_ip</f>
        <v>10.23.13.1</v>
      </c>
      <c r="D359" s="171" t="str">
        <f>wld_az1_principal_storage_gateway_ip</f>
        <v>Value Missing</v>
      </c>
      <c r="E359" s="201" t="str">
        <f>IF(AND(mgmt_stretched_cluster_result="Included",mgmt_dpg_reuse_result="Excluded"),"Stretched L2","")</f>
        <v/>
      </c>
      <c r="F359" s="41"/>
      <c r="G359" s="41"/>
      <c r="H359" s="41"/>
      <c r="I359" s="41"/>
      <c r="J359" s="41"/>
      <c r="K359" s="41"/>
      <c r="L359" s="41"/>
      <c r="M359" s="41"/>
      <c r="N359" s="41"/>
      <c r="O359" s="41"/>
      <c r="P359" s="41"/>
      <c r="Q359" s="41"/>
      <c r="R359" s="41"/>
      <c r="S359" s="41"/>
      <c r="T359" s="41"/>
      <c r="U359" s="41"/>
      <c r="V359" s="41"/>
      <c r="W359" s="41"/>
      <c r="X359" s="41"/>
      <c r="Y359" s="41"/>
      <c r="Z359" s="41"/>
    </row>
    <row r="360" ht="19.5" customHeight="1">
      <c r="A360" s="41"/>
      <c r="B360" s="84" t="s">
        <v>403</v>
      </c>
      <c r="C360" s="156" t="str">
        <f>CONCATENATE(prefix_wld_az1_cidr,"13.0/24")</f>
        <v>10.23.13.0/24</v>
      </c>
      <c r="D360" s="171" t="str">
        <f>wld_az1_principal_storage_cidr</f>
        <v>Value Missing</v>
      </c>
      <c r="E360" s="201"/>
      <c r="F360" s="41"/>
      <c r="G360" s="41"/>
      <c r="H360" s="41"/>
      <c r="I360" s="41"/>
      <c r="J360" s="41"/>
      <c r="K360" s="41"/>
      <c r="L360" s="41"/>
      <c r="M360" s="41"/>
      <c r="N360" s="41"/>
      <c r="O360" s="41"/>
      <c r="P360" s="41"/>
      <c r="Q360" s="41"/>
      <c r="R360" s="41"/>
      <c r="S360" s="41"/>
      <c r="T360" s="41"/>
      <c r="U360" s="41"/>
      <c r="V360" s="41"/>
      <c r="W360" s="41"/>
      <c r="X360" s="41"/>
      <c r="Y360" s="41"/>
      <c r="Z360" s="41"/>
    </row>
    <row r="361" ht="19.5" customHeight="1">
      <c r="A361" s="41"/>
      <c r="B361" s="84" t="s">
        <v>404</v>
      </c>
      <c r="C361" s="156">
        <f>sample_wld_az1_principal_storage_mtu</f>
        <v>9000</v>
      </c>
      <c r="D361" s="171" t="str">
        <f>wld_az1_principal_storage_mtu</f>
        <v>Value Missing</v>
      </c>
      <c r="E361" s="201"/>
      <c r="F361" s="41"/>
      <c r="G361" s="41"/>
      <c r="H361" s="41"/>
      <c r="I361" s="41"/>
      <c r="J361" s="41"/>
      <c r="K361" s="41"/>
      <c r="L361" s="41"/>
      <c r="M361" s="41"/>
      <c r="N361" s="41"/>
      <c r="O361" s="41"/>
      <c r="P361" s="41"/>
      <c r="Q361" s="41"/>
      <c r="R361" s="41"/>
      <c r="S361" s="41"/>
      <c r="T361" s="41"/>
      <c r="U361" s="41"/>
      <c r="V361" s="41"/>
      <c r="W361" s="41"/>
      <c r="X361" s="41"/>
      <c r="Y361" s="41"/>
      <c r="Z361" s="41"/>
    </row>
    <row r="362" ht="19.5" customHeight="1">
      <c r="A362" s="41"/>
      <c r="B362" s="173" t="s">
        <v>465</v>
      </c>
      <c r="C362" s="156" t="s">
        <v>1355</v>
      </c>
      <c r="D362" s="171" t="str">
        <f>wld_az1_principal_storage_pool_start_ip</f>
        <v>Value Missing</v>
      </c>
      <c r="E362" s="201"/>
      <c r="F362" s="41"/>
      <c r="G362" s="41"/>
      <c r="H362" s="41"/>
      <c r="I362" s="41"/>
      <c r="J362" s="41"/>
      <c r="K362" s="41"/>
      <c r="L362" s="41"/>
      <c r="M362" s="41"/>
      <c r="N362" s="41"/>
      <c r="O362" s="41"/>
      <c r="P362" s="41"/>
      <c r="Q362" s="41"/>
      <c r="R362" s="41"/>
      <c r="S362" s="41"/>
      <c r="T362" s="41"/>
      <c r="U362" s="41"/>
      <c r="V362" s="41"/>
      <c r="W362" s="41"/>
      <c r="X362" s="41"/>
      <c r="Y362" s="41"/>
      <c r="Z362" s="41"/>
    </row>
    <row r="363" ht="19.5" customHeight="1">
      <c r="A363" s="41"/>
      <c r="B363" s="173" t="s">
        <v>466</v>
      </c>
      <c r="C363" s="156" t="s">
        <v>1356</v>
      </c>
      <c r="D363" s="171" t="str">
        <f>wld_az1_principal_storage_pool_end_ip</f>
        <v>Value Missing</v>
      </c>
      <c r="E363" s="201"/>
      <c r="F363" s="41"/>
      <c r="G363" s="41"/>
      <c r="H363" s="41"/>
      <c r="I363" s="41"/>
      <c r="J363" s="41"/>
      <c r="K363" s="41"/>
      <c r="L363" s="41"/>
      <c r="M363" s="41"/>
      <c r="N363" s="41"/>
      <c r="O363" s="41"/>
      <c r="P363" s="41"/>
      <c r="Q363" s="41"/>
      <c r="R363" s="41"/>
      <c r="S363" s="41"/>
      <c r="T363" s="41"/>
      <c r="U363" s="41"/>
      <c r="V363" s="41"/>
      <c r="W363" s="41"/>
      <c r="X363" s="41"/>
      <c r="Y363" s="41"/>
      <c r="Z363" s="41"/>
    </row>
    <row r="364" ht="19.5" customHeight="1">
      <c r="A364" s="41"/>
      <c r="B364" s="102" t="s">
        <v>472</v>
      </c>
      <c r="C364" s="13"/>
      <c r="D364" s="13"/>
      <c r="E364" s="14"/>
      <c r="F364" s="41"/>
      <c r="G364" s="41"/>
      <c r="H364" s="41"/>
      <c r="I364" s="41"/>
      <c r="J364" s="41"/>
      <c r="K364" s="41"/>
      <c r="L364" s="41"/>
      <c r="M364" s="41"/>
      <c r="N364" s="41"/>
      <c r="O364" s="41"/>
      <c r="P364" s="41"/>
      <c r="Q364" s="41"/>
      <c r="R364" s="41"/>
      <c r="S364" s="41"/>
      <c r="T364" s="41"/>
      <c r="U364" s="41"/>
      <c r="V364" s="41"/>
      <c r="W364" s="41"/>
      <c r="X364" s="41"/>
      <c r="Y364" s="41"/>
      <c r="Z364" s="41"/>
    </row>
    <row r="365" ht="19.5" customHeight="1">
      <c r="A365" s="41"/>
      <c r="B365" s="84" t="s">
        <v>401</v>
      </c>
      <c r="C365" s="156" t="str">
        <f>sample_wld_az1_host_overlay_vlan</f>
        <v>2314</v>
      </c>
      <c r="D365" s="171" t="str">
        <f>wld_az1_host_overlay_vlan</f>
        <v>Value Missing</v>
      </c>
      <c r="E365" s="191"/>
      <c r="F365" s="41"/>
      <c r="G365" s="41"/>
      <c r="H365" s="41"/>
      <c r="I365" s="41"/>
      <c r="J365" s="41"/>
      <c r="K365" s="41"/>
      <c r="L365" s="41"/>
      <c r="M365" s="41"/>
      <c r="N365" s="41"/>
      <c r="O365" s="41"/>
      <c r="P365" s="41"/>
      <c r="Q365" s="41"/>
      <c r="R365" s="41"/>
      <c r="S365" s="41"/>
      <c r="T365" s="41"/>
      <c r="U365" s="41"/>
      <c r="V365" s="41"/>
      <c r="W365" s="41"/>
      <c r="X365" s="41"/>
      <c r="Y365" s="41"/>
      <c r="Z365" s="41"/>
    </row>
    <row r="366" ht="19.5" customHeight="1">
      <c r="A366" s="41"/>
      <c r="B366" s="84" t="s">
        <v>402</v>
      </c>
      <c r="C366" s="156" t="str">
        <f>sample_wld_az1_host_overlay_gateway_ip</f>
        <v>10.23.14.1</v>
      </c>
      <c r="D366" s="171" t="str">
        <f>wld_az1_host_overlay_gateway_ip</f>
        <v>Value Missing</v>
      </c>
      <c r="E366" s="191"/>
      <c r="F366" s="41"/>
      <c r="G366" s="41"/>
      <c r="H366" s="41"/>
      <c r="I366" s="41"/>
      <c r="J366" s="41"/>
      <c r="K366" s="41"/>
      <c r="L366" s="41"/>
      <c r="M366" s="41"/>
      <c r="N366" s="41"/>
      <c r="O366" s="41"/>
      <c r="P366" s="41"/>
      <c r="Q366" s="41"/>
      <c r="R366" s="41"/>
      <c r="S366" s="41"/>
      <c r="T366" s="41"/>
      <c r="U366" s="41"/>
      <c r="V366" s="41"/>
      <c r="W366" s="41"/>
      <c r="X366" s="41"/>
      <c r="Y366" s="41"/>
      <c r="Z366" s="41"/>
    </row>
    <row r="367" ht="19.5" customHeight="1">
      <c r="A367" s="41"/>
      <c r="B367" s="84" t="s">
        <v>403</v>
      </c>
      <c r="C367" s="156" t="str">
        <f>sample_wld_az1_host_overlay_cidr</f>
        <v>10.23.14.0/24</v>
      </c>
      <c r="D367" s="171" t="str">
        <f>wld_az1_host_overlay_cidr</f>
        <v>Value Missing</v>
      </c>
      <c r="E367" s="191"/>
      <c r="F367" s="41"/>
      <c r="G367" s="41"/>
      <c r="H367" s="41"/>
      <c r="I367" s="41"/>
      <c r="J367" s="41"/>
      <c r="K367" s="41"/>
      <c r="L367" s="41"/>
      <c r="M367" s="41"/>
      <c r="N367" s="41"/>
      <c r="O367" s="41"/>
      <c r="P367" s="41"/>
      <c r="Q367" s="41"/>
      <c r="R367" s="41"/>
      <c r="S367" s="41"/>
      <c r="T367" s="41"/>
      <c r="U367" s="41"/>
      <c r="V367" s="41"/>
      <c r="W367" s="41"/>
      <c r="X367" s="41"/>
      <c r="Y367" s="41"/>
      <c r="Z367" s="41"/>
    </row>
    <row r="368" ht="19.5" customHeight="1">
      <c r="A368" s="41"/>
      <c r="B368" s="84" t="s">
        <v>404</v>
      </c>
      <c r="C368" s="156">
        <v>9000.0</v>
      </c>
      <c r="D368" s="171"/>
      <c r="E368" s="191"/>
      <c r="F368" s="41"/>
      <c r="G368" s="41"/>
      <c r="H368" s="41"/>
      <c r="I368" s="41"/>
      <c r="J368" s="41"/>
      <c r="K368" s="41"/>
      <c r="L368" s="41"/>
      <c r="M368" s="41"/>
      <c r="N368" s="41"/>
      <c r="O368" s="41"/>
      <c r="P368" s="41"/>
      <c r="Q368" s="41"/>
      <c r="R368" s="41"/>
      <c r="S368" s="41"/>
      <c r="T368" s="41"/>
      <c r="U368" s="41"/>
      <c r="V368" s="41"/>
      <c r="W368" s="41"/>
      <c r="X368" s="41"/>
      <c r="Y368" s="41"/>
      <c r="Z368" s="41"/>
    </row>
    <row r="369" ht="19.5" customHeight="1">
      <c r="A369" s="41"/>
      <c r="B369" s="173" t="s">
        <v>465</v>
      </c>
      <c r="C369" s="156" t="str">
        <f>sample_wld_az1_host_overlay_pool_start_ip</f>
        <v>10.23.14.101</v>
      </c>
      <c r="D369" s="171" t="str">
        <f>wld_az1_host_overlay_pool_start_ip</f>
        <v>Value Missing</v>
      </c>
      <c r="E369" s="191"/>
      <c r="F369" s="41"/>
      <c r="G369" s="41"/>
      <c r="H369" s="41"/>
      <c r="I369" s="41"/>
      <c r="J369" s="41"/>
      <c r="K369" s="41"/>
      <c r="L369" s="41"/>
      <c r="M369" s="41"/>
      <c r="N369" s="41"/>
      <c r="O369" s="41"/>
      <c r="P369" s="41"/>
      <c r="Q369" s="41"/>
      <c r="R369" s="41"/>
      <c r="S369" s="41"/>
      <c r="T369" s="41"/>
      <c r="U369" s="41"/>
      <c r="V369" s="41"/>
      <c r="W369" s="41"/>
      <c r="X369" s="41"/>
      <c r="Y369" s="41"/>
      <c r="Z369" s="41"/>
    </row>
    <row r="370" ht="19.5" customHeight="1">
      <c r="A370" s="41"/>
      <c r="B370" s="173" t="s">
        <v>466</v>
      </c>
      <c r="C370" s="156" t="str">
        <f>sample_wld_az1_host_overlay_pool_end_ip</f>
        <v>10.23.14.132</v>
      </c>
      <c r="D370" s="171" t="str">
        <f>wld_az1_host_overlay_pool_end_ip</f>
        <v>Value Missing</v>
      </c>
      <c r="E370" s="191"/>
      <c r="F370" s="41"/>
      <c r="G370" s="41"/>
      <c r="H370" s="41"/>
      <c r="I370" s="41"/>
      <c r="J370" s="41"/>
      <c r="K370" s="41"/>
      <c r="L370" s="41"/>
      <c r="M370" s="41"/>
      <c r="N370" s="41"/>
      <c r="O370" s="41"/>
      <c r="P370" s="41"/>
      <c r="Q370" s="41"/>
      <c r="R370" s="41"/>
      <c r="S370" s="41"/>
      <c r="T370" s="41"/>
      <c r="U370" s="41"/>
      <c r="V370" s="41"/>
      <c r="W370" s="41"/>
      <c r="X370" s="41"/>
      <c r="Y370" s="41"/>
      <c r="Z370" s="41"/>
    </row>
    <row r="371" ht="19.5" customHeight="1">
      <c r="A371" s="41"/>
      <c r="B371" s="172" t="s">
        <v>1357</v>
      </c>
      <c r="C371" s="13"/>
      <c r="D371" s="13"/>
      <c r="E371" s="14"/>
      <c r="F371" s="41"/>
      <c r="G371" s="41"/>
      <c r="H371" s="41"/>
      <c r="I371" s="41"/>
      <c r="J371" s="41"/>
      <c r="K371" s="41"/>
      <c r="L371" s="41"/>
      <c r="M371" s="41"/>
      <c r="N371" s="41"/>
      <c r="O371" s="41"/>
      <c r="P371" s="41"/>
      <c r="Q371" s="41"/>
      <c r="R371" s="41"/>
      <c r="S371" s="41"/>
      <c r="T371" s="41"/>
      <c r="U371" s="41"/>
      <c r="V371" s="41"/>
      <c r="W371" s="41"/>
      <c r="X371" s="41"/>
      <c r="Y371" s="41"/>
      <c r="Z371" s="41"/>
    </row>
    <row r="372" ht="19.5" customHeight="1">
      <c r="A372" s="41"/>
      <c r="B372" s="252" t="s">
        <v>299</v>
      </c>
      <c r="C372" s="253" t="s">
        <v>475</v>
      </c>
      <c r="D372" s="253" t="s">
        <v>476</v>
      </c>
      <c r="E372" s="253" t="s">
        <v>5</v>
      </c>
      <c r="F372" s="41"/>
      <c r="G372" s="41"/>
      <c r="H372" s="41"/>
      <c r="I372" s="41"/>
      <c r="J372" s="41"/>
      <c r="K372" s="41"/>
      <c r="L372" s="41"/>
      <c r="M372" s="41"/>
      <c r="N372" s="41"/>
      <c r="O372" s="41"/>
      <c r="P372" s="41"/>
      <c r="Q372" s="41"/>
      <c r="R372" s="41"/>
      <c r="S372" s="41"/>
      <c r="T372" s="41"/>
      <c r="U372" s="41"/>
      <c r="V372" s="41"/>
      <c r="W372" s="41"/>
      <c r="X372" s="41"/>
      <c r="Y372" s="41"/>
      <c r="Z372" s="41"/>
    </row>
    <row r="373" ht="19.5" customHeight="1">
      <c r="A373" s="41"/>
      <c r="B373" s="261" t="str">
        <f>wld_vc_fqdn</f>
        <v>Value Missing</v>
      </c>
      <c r="C373" s="198" t="str">
        <f>IF(mgmt_dpg_reuse_result="Included",CONCATENATE(prefix_mgmt_az1_cidr,"10.",(130 + (30*(wld_domain_number_chosen - 1)))),CONCATENATE(prefix_mgmt_az1_cidr,"11.",(130 + (30*(wld_domain_number_chosen - 1)))))</f>
        <v>10.21.10.130</v>
      </c>
      <c r="D373" s="171"/>
      <c r="E373" s="199" t="s">
        <v>1261</v>
      </c>
      <c r="F373" s="41"/>
      <c r="G373" s="41"/>
      <c r="H373" s="41"/>
      <c r="I373" s="41"/>
      <c r="J373" s="41"/>
      <c r="K373" s="41"/>
      <c r="L373" s="41"/>
      <c r="M373" s="41"/>
      <c r="N373" s="41"/>
      <c r="O373" s="41"/>
      <c r="P373" s="41"/>
      <c r="Q373" s="41"/>
      <c r="R373" s="41"/>
      <c r="S373" s="41"/>
      <c r="T373" s="41"/>
      <c r="U373" s="41"/>
      <c r="V373" s="41"/>
      <c r="W373" s="41"/>
      <c r="X373" s="41"/>
      <c r="Y373" s="41"/>
      <c r="Z373" s="41"/>
    </row>
    <row r="374" ht="19.5" customHeight="1">
      <c r="A374" s="41"/>
      <c r="B374" s="252" t="s">
        <v>1358</v>
      </c>
      <c r="C374" s="253" t="s">
        <v>475</v>
      </c>
      <c r="D374" s="253" t="s">
        <v>476</v>
      </c>
      <c r="E374" s="253" t="s">
        <v>5</v>
      </c>
      <c r="F374" s="41"/>
      <c r="G374" s="41"/>
      <c r="H374" s="41"/>
      <c r="I374" s="41"/>
      <c r="J374" s="41"/>
      <c r="K374" s="41"/>
      <c r="L374" s="41"/>
      <c r="M374" s="41"/>
      <c r="N374" s="41"/>
      <c r="O374" s="41"/>
      <c r="P374" s="41"/>
      <c r="Q374" s="41"/>
      <c r="R374" s="41"/>
      <c r="S374" s="41"/>
      <c r="T374" s="41"/>
      <c r="U374" s="41"/>
      <c r="V374" s="41"/>
      <c r="W374" s="41"/>
      <c r="X374" s="41"/>
      <c r="Y374" s="41"/>
      <c r="Z374" s="41"/>
    </row>
    <row r="375" ht="19.5" customHeight="1">
      <c r="A375" s="41"/>
      <c r="B375" s="261" t="str">
        <f>wld_nsxt_vip_fqdn</f>
        <v>Value Missing</v>
      </c>
      <c r="C375" s="198" t="str">
        <f>sample_wld_nsxt_vip_ip</f>
        <v>10.21.10.131</v>
      </c>
      <c r="D375" s="171" t="str">
        <f>wld_nsxt_vip_ip</f>
        <v>Value Missing</v>
      </c>
      <c r="E375" s="199" t="s">
        <v>1232</v>
      </c>
      <c r="F375" s="41"/>
      <c r="G375" s="41"/>
      <c r="H375" s="41"/>
      <c r="I375" s="41"/>
      <c r="J375" s="41"/>
      <c r="K375" s="41"/>
      <c r="L375" s="41"/>
      <c r="M375" s="41"/>
      <c r="N375" s="41"/>
      <c r="O375" s="41"/>
      <c r="P375" s="41"/>
      <c r="Q375" s="41"/>
      <c r="R375" s="41"/>
      <c r="S375" s="41"/>
      <c r="T375" s="41"/>
      <c r="U375" s="41"/>
      <c r="V375" s="41"/>
      <c r="W375" s="41"/>
      <c r="X375" s="41"/>
      <c r="Y375" s="41"/>
      <c r="Z375" s="41"/>
    </row>
    <row r="376" ht="19.5" customHeight="1">
      <c r="A376" s="41"/>
      <c r="B376" s="261" t="str">
        <f>wld_nsxt_mgra_fqdn</f>
        <v>Value Missing</v>
      </c>
      <c r="C376" s="198" t="str">
        <f>sample_wld_nsxt_mgra_ip</f>
        <v>10.21.10.132</v>
      </c>
      <c r="D376" s="171" t="str">
        <f>wld_nsxt_mgra_ip</f>
        <v>Value Missing</v>
      </c>
      <c r="E376" s="199" t="s">
        <v>1226</v>
      </c>
      <c r="F376" s="41"/>
      <c r="G376" s="41"/>
      <c r="H376" s="41"/>
      <c r="I376" s="41"/>
      <c r="J376" s="41"/>
      <c r="K376" s="41"/>
      <c r="L376" s="41"/>
      <c r="M376" s="41"/>
      <c r="N376" s="41"/>
      <c r="O376" s="41"/>
      <c r="P376" s="41"/>
      <c r="Q376" s="41"/>
      <c r="R376" s="41"/>
      <c r="S376" s="41"/>
      <c r="T376" s="41"/>
      <c r="U376" s="41"/>
      <c r="V376" s="41"/>
      <c r="W376" s="41"/>
      <c r="X376" s="41"/>
      <c r="Y376" s="41"/>
      <c r="Z376" s="41"/>
    </row>
    <row r="377" ht="19.5" customHeight="1">
      <c r="A377" s="41"/>
      <c r="B377" s="261" t="str">
        <f>wld_nsxt_mgrb_fqdn</f>
        <v>Value Missing</v>
      </c>
      <c r="C377" s="198" t="str">
        <f>sample_wld_nsxt_mgrb_ip</f>
        <v>10.21.10.133</v>
      </c>
      <c r="D377" s="171" t="str">
        <f>wld_nsxt_mgrb_ip</f>
        <v>Value Missing</v>
      </c>
      <c r="E377" s="199" t="s">
        <v>1228</v>
      </c>
      <c r="F377" s="41"/>
      <c r="G377" s="41"/>
      <c r="H377" s="41"/>
      <c r="I377" s="41"/>
      <c r="J377" s="41"/>
      <c r="K377" s="41"/>
      <c r="L377" s="41"/>
      <c r="M377" s="41"/>
      <c r="N377" s="41"/>
      <c r="O377" s="41"/>
      <c r="P377" s="41"/>
      <c r="Q377" s="41"/>
      <c r="R377" s="41"/>
      <c r="S377" s="41"/>
      <c r="T377" s="41"/>
      <c r="U377" s="41"/>
      <c r="V377" s="41"/>
      <c r="W377" s="41"/>
      <c r="X377" s="41"/>
      <c r="Y377" s="41"/>
      <c r="Z377" s="41"/>
    </row>
    <row r="378" ht="19.5" customHeight="1">
      <c r="A378" s="41"/>
      <c r="B378" s="261" t="str">
        <f>wld_nsxt_mgrc_fqdn</f>
        <v>Value Missing</v>
      </c>
      <c r="C378" s="198" t="str">
        <f>sample_wld_nsxt_mgrc_ip</f>
        <v>10.21.10.134</v>
      </c>
      <c r="D378" s="171" t="str">
        <f>wld_nsxt_mgrc_ip</f>
        <v>Value Missing</v>
      </c>
      <c r="E378" s="199" t="s">
        <v>1230</v>
      </c>
      <c r="F378" s="41"/>
      <c r="G378" s="41"/>
      <c r="H378" s="41"/>
      <c r="I378" s="41"/>
      <c r="J378" s="41"/>
      <c r="K378" s="41"/>
      <c r="L378" s="41"/>
      <c r="M378" s="41"/>
      <c r="N378" s="41"/>
      <c r="O378" s="41"/>
      <c r="P378" s="41"/>
      <c r="Q378" s="41"/>
      <c r="R378" s="41"/>
      <c r="S378" s="41"/>
      <c r="T378" s="41"/>
      <c r="U378" s="41"/>
      <c r="V378" s="41"/>
      <c r="W378" s="41"/>
      <c r="X378" s="41"/>
      <c r="Y378" s="41"/>
      <c r="Z378" s="41"/>
    </row>
    <row r="379" ht="19.5" customHeight="1">
      <c r="A379" s="41"/>
      <c r="B379" s="252" t="s">
        <v>481</v>
      </c>
      <c r="C379" s="253" t="s">
        <v>475</v>
      </c>
      <c r="D379" s="253" t="s">
        <v>476</v>
      </c>
      <c r="E379" s="253" t="s">
        <v>5</v>
      </c>
      <c r="F379" s="41"/>
      <c r="G379" s="41"/>
      <c r="H379" s="41"/>
      <c r="I379" s="41"/>
      <c r="J379" s="41"/>
      <c r="K379" s="41"/>
      <c r="L379" s="41"/>
      <c r="M379" s="41"/>
      <c r="N379" s="41"/>
      <c r="O379" s="41"/>
      <c r="P379" s="41"/>
      <c r="Q379" s="41"/>
      <c r="R379" s="41"/>
      <c r="S379" s="41"/>
      <c r="T379" s="41"/>
      <c r="U379" s="41"/>
      <c r="V379" s="41"/>
      <c r="W379" s="41"/>
      <c r="X379" s="41"/>
      <c r="Y379" s="41"/>
      <c r="Z379" s="41"/>
    </row>
    <row r="380" ht="19.5" customHeight="1">
      <c r="A380" s="41"/>
      <c r="B380" s="261" t="str">
        <f>wld_az1_host1_fqdn</f>
        <v>Value Missing</v>
      </c>
      <c r="C380" s="163" t="str">
        <f>sample_wld_az1_host1_mgmt_ip</f>
        <v>10.23.11.101</v>
      </c>
      <c r="D380" s="171" t="str">
        <f>wld_az1_host1_mgmt_ip</f>
        <v>Value Missing</v>
      </c>
      <c r="E380" s="95" t="s">
        <v>1359</v>
      </c>
      <c r="F380" s="41"/>
      <c r="G380" s="41"/>
      <c r="H380" s="41"/>
      <c r="I380" s="41"/>
      <c r="J380" s="41"/>
      <c r="K380" s="41"/>
      <c r="L380" s="41"/>
      <c r="M380" s="41"/>
      <c r="N380" s="41"/>
      <c r="O380" s="41"/>
      <c r="P380" s="41"/>
      <c r="Q380" s="41"/>
      <c r="R380" s="41"/>
      <c r="S380" s="41"/>
      <c r="T380" s="41"/>
      <c r="U380" s="41"/>
      <c r="V380" s="41"/>
      <c r="W380" s="41"/>
      <c r="X380" s="41"/>
      <c r="Y380" s="41"/>
      <c r="Z380" s="41"/>
    </row>
    <row r="381" ht="19.5" customHeight="1">
      <c r="A381" s="41"/>
      <c r="B381" s="261" t="str">
        <f>wld_az1_host2_fqdn</f>
        <v>Value Missing</v>
      </c>
      <c r="C381" s="163" t="str">
        <f>sample_wld_az1_host1_mgmt_ip</f>
        <v>10.23.11.101</v>
      </c>
      <c r="D381" s="171" t="str">
        <f>wld_az1_host2_mgmt_ip</f>
        <v>Value Missing</v>
      </c>
      <c r="E381" s="95" t="s">
        <v>1360</v>
      </c>
      <c r="F381" s="41"/>
      <c r="G381" s="41"/>
      <c r="H381" s="41"/>
      <c r="I381" s="41"/>
      <c r="J381" s="41"/>
      <c r="K381" s="41"/>
      <c r="L381" s="41"/>
      <c r="M381" s="41"/>
      <c r="N381" s="41"/>
      <c r="O381" s="41"/>
      <c r="P381" s="41"/>
      <c r="Q381" s="41"/>
      <c r="R381" s="41"/>
      <c r="S381" s="41"/>
      <c r="T381" s="41"/>
      <c r="U381" s="41"/>
      <c r="V381" s="41"/>
      <c r="W381" s="41"/>
      <c r="X381" s="41"/>
      <c r="Y381" s="41"/>
      <c r="Z381" s="41"/>
    </row>
    <row r="382" ht="19.5" customHeight="1">
      <c r="A382" s="41"/>
      <c r="B382" s="261" t="str">
        <f>wld_az1_host3_fqdn</f>
        <v>Value Missing</v>
      </c>
      <c r="C382" s="163" t="str">
        <f>sample_wld_az1_host1_mgmt_ip</f>
        <v>10.23.11.101</v>
      </c>
      <c r="D382" s="171" t="str">
        <f>wld_az1_host3_mgmt_ip</f>
        <v>Value Missing</v>
      </c>
      <c r="E382" s="95" t="s">
        <v>1361</v>
      </c>
      <c r="F382" s="41"/>
      <c r="G382" s="41"/>
      <c r="H382" s="41"/>
      <c r="I382" s="41"/>
      <c r="J382" s="41"/>
      <c r="K382" s="41"/>
      <c r="L382" s="41"/>
      <c r="M382" s="41"/>
      <c r="N382" s="41"/>
      <c r="O382" s="41"/>
      <c r="P382" s="41"/>
      <c r="Q382" s="41"/>
      <c r="R382" s="41"/>
      <c r="S382" s="41"/>
      <c r="T382" s="41"/>
      <c r="U382" s="41"/>
      <c r="V382" s="41"/>
      <c r="W382" s="41"/>
      <c r="X382" s="41"/>
      <c r="Y382" s="41"/>
      <c r="Z382" s="41"/>
    </row>
    <row r="383" ht="19.5" customHeight="1">
      <c r="A383" s="41"/>
      <c r="B383" s="261" t="str">
        <f>wld_az1_host4_fqdn</f>
        <v>Value Missing</v>
      </c>
      <c r="C383" s="163" t="str">
        <f>sample_wld_az1_host1_mgmt_ip</f>
        <v>10.23.11.101</v>
      </c>
      <c r="D383" s="171" t="str">
        <f>wld_az1_host4_mgmt_ip</f>
        <v>Value Missing</v>
      </c>
      <c r="E383" s="95" t="s">
        <v>1362</v>
      </c>
      <c r="F383" s="41"/>
      <c r="G383" s="41"/>
      <c r="H383" s="41"/>
      <c r="I383" s="41"/>
      <c r="J383" s="41"/>
      <c r="K383" s="41"/>
      <c r="L383" s="41"/>
      <c r="M383" s="41"/>
      <c r="N383" s="41"/>
      <c r="O383" s="41"/>
      <c r="P383" s="41"/>
      <c r="Q383" s="41"/>
      <c r="R383" s="41"/>
      <c r="S383" s="41"/>
      <c r="T383" s="41"/>
      <c r="U383" s="41"/>
      <c r="V383" s="41"/>
      <c r="W383" s="41"/>
      <c r="X383" s="41"/>
      <c r="Y383" s="41"/>
      <c r="Z383" s="41"/>
    </row>
    <row r="384" ht="19.5" customHeight="1">
      <c r="A384" s="41"/>
      <c r="B384" s="261" t="str">
        <f>wld_az1_host5_fqdn</f>
        <v>Value Missing</v>
      </c>
      <c r="C384" s="163" t="str">
        <f>sample_wld_az1_host1_mgmt_ip</f>
        <v>10.23.11.101</v>
      </c>
      <c r="D384" s="171" t="str">
        <f>wld_az1_host5_mgmt_ip</f>
        <v>Value Missing</v>
      </c>
      <c r="E384" s="95" t="s">
        <v>1363</v>
      </c>
      <c r="F384" s="41"/>
      <c r="G384" s="41"/>
      <c r="H384" s="41"/>
      <c r="I384" s="41"/>
      <c r="J384" s="41"/>
      <c r="K384" s="41"/>
      <c r="L384" s="41"/>
      <c r="M384" s="41"/>
      <c r="N384" s="41"/>
      <c r="O384" s="41"/>
      <c r="P384" s="41"/>
      <c r="Q384" s="41"/>
      <c r="R384" s="41"/>
      <c r="S384" s="41"/>
      <c r="T384" s="41"/>
      <c r="U384" s="41"/>
      <c r="V384" s="41"/>
      <c r="W384" s="41"/>
      <c r="X384" s="41"/>
      <c r="Y384" s="41"/>
      <c r="Z384" s="41"/>
    </row>
    <row r="385" ht="19.5" customHeight="1">
      <c r="A385" s="41"/>
      <c r="B385" s="261" t="str">
        <f>wld_az1_host6_fqdn</f>
        <v>Value Missing</v>
      </c>
      <c r="C385" s="163" t="str">
        <f>sample_wld_az1_host1_mgmt_ip</f>
        <v>10.23.11.101</v>
      </c>
      <c r="D385" s="171" t="str">
        <f>wld_az1_host6_mgmt_ip</f>
        <v>Value Missing</v>
      </c>
      <c r="E385" s="95" t="s">
        <v>1364</v>
      </c>
      <c r="F385" s="41"/>
      <c r="G385" s="41"/>
      <c r="H385" s="41"/>
      <c r="I385" s="41"/>
      <c r="J385" s="41"/>
      <c r="K385" s="41"/>
      <c r="L385" s="41"/>
      <c r="M385" s="41"/>
      <c r="N385" s="41"/>
      <c r="O385" s="41"/>
      <c r="P385" s="41"/>
      <c r="Q385" s="41"/>
      <c r="R385" s="41"/>
      <c r="S385" s="41"/>
      <c r="T385" s="41"/>
      <c r="U385" s="41"/>
      <c r="V385" s="41"/>
      <c r="W385" s="41"/>
      <c r="X385" s="41"/>
      <c r="Y385" s="41"/>
      <c r="Z385" s="41"/>
    </row>
    <row r="386" ht="19.5" customHeight="1">
      <c r="A386" s="41"/>
      <c r="B386" s="261" t="str">
        <f>wld_az1_host7_fqdn</f>
        <v>Value Missing</v>
      </c>
      <c r="C386" s="163" t="str">
        <f>sample_wld_az1_host1_mgmt_ip</f>
        <v>10.23.11.101</v>
      </c>
      <c r="D386" s="171" t="str">
        <f>wld_az1_host7_mgmt_ip</f>
        <v>Value Missing</v>
      </c>
      <c r="E386" s="95" t="s">
        <v>1365</v>
      </c>
      <c r="F386" s="41"/>
      <c r="G386" s="41"/>
      <c r="H386" s="41"/>
      <c r="I386" s="41"/>
      <c r="J386" s="41"/>
      <c r="K386" s="41"/>
      <c r="L386" s="41"/>
      <c r="M386" s="41"/>
      <c r="N386" s="41"/>
      <c r="O386" s="41"/>
      <c r="P386" s="41"/>
      <c r="Q386" s="41"/>
      <c r="R386" s="41"/>
      <c r="S386" s="41"/>
      <c r="T386" s="41"/>
      <c r="U386" s="41"/>
      <c r="V386" s="41"/>
      <c r="W386" s="41"/>
      <c r="X386" s="41"/>
      <c r="Y386" s="41"/>
      <c r="Z386" s="41"/>
    </row>
    <row r="387" ht="19.5" customHeight="1">
      <c r="A387" s="41"/>
      <c r="B387" s="261" t="str">
        <f>wld_az1_host8_fqdn</f>
        <v>Value Missing</v>
      </c>
      <c r="C387" s="163" t="str">
        <f>sample_wld_az1_host1_mgmt_ip</f>
        <v>10.23.11.101</v>
      </c>
      <c r="D387" s="171" t="str">
        <f>wld_az1_host8_mgmt_ip</f>
        <v>Value Missing</v>
      </c>
      <c r="E387" s="95" t="s">
        <v>1366</v>
      </c>
      <c r="F387" s="41"/>
      <c r="G387" s="41"/>
      <c r="H387" s="41"/>
      <c r="I387" s="41"/>
      <c r="J387" s="41"/>
      <c r="K387" s="41"/>
      <c r="L387" s="41"/>
      <c r="M387" s="41"/>
      <c r="N387" s="41"/>
      <c r="O387" s="41"/>
      <c r="P387" s="41"/>
      <c r="Q387" s="41"/>
      <c r="R387" s="41"/>
      <c r="S387" s="41"/>
      <c r="T387" s="41"/>
      <c r="U387" s="41"/>
      <c r="V387" s="41"/>
      <c r="W387" s="41"/>
      <c r="X387" s="41"/>
      <c r="Y387" s="41"/>
      <c r="Z387" s="41"/>
    </row>
    <row r="388" ht="19.5" customHeight="1">
      <c r="A388" s="41"/>
      <c r="B388" s="261" t="str">
        <f>wld_az1_host9_fqdn</f>
        <v>Value Missing</v>
      </c>
      <c r="C388" s="163" t="str">
        <f>sample_wld_az1_host1_mgmt_ip</f>
        <v>10.23.11.101</v>
      </c>
      <c r="D388" s="171" t="str">
        <f>wld_az1_host9_mgmt_ip</f>
        <v>Value Missing</v>
      </c>
      <c r="E388" s="95" t="s">
        <v>1367</v>
      </c>
      <c r="F388" s="41"/>
      <c r="G388" s="41"/>
      <c r="H388" s="41"/>
      <c r="I388" s="41"/>
      <c r="J388" s="41"/>
      <c r="K388" s="41"/>
      <c r="L388" s="41"/>
      <c r="M388" s="41"/>
      <c r="N388" s="41"/>
      <c r="O388" s="41"/>
      <c r="P388" s="41"/>
      <c r="Q388" s="41"/>
      <c r="R388" s="41"/>
      <c r="S388" s="41"/>
      <c r="T388" s="41"/>
      <c r="U388" s="41"/>
      <c r="V388" s="41"/>
      <c r="W388" s="41"/>
      <c r="X388" s="41"/>
      <c r="Y388" s="41"/>
      <c r="Z388" s="41"/>
    </row>
    <row r="389" ht="19.5" customHeight="1">
      <c r="A389" s="41"/>
      <c r="B389" s="261" t="str">
        <f>wld_az1_host10_fqdn</f>
        <v>Value Missing</v>
      </c>
      <c r="C389" s="163" t="str">
        <f>sample_wld_az1_host1_mgmt_ip</f>
        <v>10.23.11.101</v>
      </c>
      <c r="D389" s="171" t="str">
        <f>wld_az1_host10_mgmt_ip</f>
        <v>Value Missing</v>
      </c>
      <c r="E389" s="95" t="s">
        <v>1368</v>
      </c>
      <c r="F389" s="41"/>
      <c r="G389" s="41"/>
      <c r="H389" s="41"/>
      <c r="I389" s="41"/>
      <c r="J389" s="41"/>
      <c r="K389" s="41"/>
      <c r="L389" s="41"/>
      <c r="M389" s="41"/>
      <c r="N389" s="41"/>
      <c r="O389" s="41"/>
      <c r="P389" s="41"/>
      <c r="Q389" s="41"/>
      <c r="R389" s="41"/>
      <c r="S389" s="41"/>
      <c r="T389" s="41"/>
      <c r="U389" s="41"/>
      <c r="V389" s="41"/>
      <c r="W389" s="41"/>
      <c r="X389" s="41"/>
      <c r="Y389" s="41"/>
      <c r="Z389" s="41"/>
    </row>
    <row r="390" ht="19.5" customHeight="1">
      <c r="A390" s="41"/>
      <c r="B390" s="261" t="str">
        <f>wld_az1_host11_fqdn</f>
        <v>Value Missing</v>
      </c>
      <c r="C390" s="163" t="str">
        <f>sample_wld_az1_host1_mgmt_ip</f>
        <v>10.23.11.101</v>
      </c>
      <c r="D390" s="171" t="str">
        <f>wld_az1_host11_mgmt_ip</f>
        <v>Value Missing</v>
      </c>
      <c r="E390" s="95" t="s">
        <v>1369</v>
      </c>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261" t="str">
        <f>wld_az1_host12_fqdn</f>
        <v>Value Missing</v>
      </c>
      <c r="C391" s="163" t="str">
        <f>sample_wld_az1_host1_mgmt_ip</f>
        <v>10.23.11.101</v>
      </c>
      <c r="D391" s="171" t="str">
        <f>wld_az1_host12_mgmt_ip</f>
        <v>Value Missing</v>
      </c>
      <c r="E391" s="95" t="s">
        <v>1370</v>
      </c>
      <c r="F391" s="41"/>
      <c r="G391" s="41"/>
      <c r="H391" s="41"/>
      <c r="I391" s="41"/>
      <c r="J391" s="41"/>
      <c r="K391" s="41"/>
      <c r="L391" s="41"/>
      <c r="M391" s="41"/>
      <c r="N391" s="41"/>
      <c r="O391" s="41"/>
      <c r="P391" s="41"/>
      <c r="Q391" s="41"/>
      <c r="R391" s="41"/>
      <c r="S391" s="41"/>
      <c r="T391" s="41"/>
      <c r="U391" s="41"/>
      <c r="V391" s="41"/>
      <c r="W391" s="41"/>
      <c r="X391" s="41"/>
      <c r="Y391" s="41"/>
      <c r="Z391" s="41"/>
    </row>
    <row r="392" ht="19.5" customHeight="1">
      <c r="A392" s="41"/>
      <c r="B392" s="261" t="str">
        <f>wld_az1_host13_fqdn</f>
        <v>Value Missing</v>
      </c>
      <c r="C392" s="163" t="str">
        <f>sample_wld_az1_host1_mgmt_ip</f>
        <v>10.23.11.101</v>
      </c>
      <c r="D392" s="171" t="str">
        <f>wld_az1_host13_mgmt_ip</f>
        <v>Value Missing</v>
      </c>
      <c r="E392" s="95" t="s">
        <v>1371</v>
      </c>
      <c r="F392" s="41"/>
      <c r="G392" s="41"/>
      <c r="H392" s="41"/>
      <c r="I392" s="41"/>
      <c r="J392" s="41"/>
      <c r="K392" s="41"/>
      <c r="L392" s="41"/>
      <c r="M392" s="41"/>
      <c r="N392" s="41"/>
      <c r="O392" s="41"/>
      <c r="P392" s="41"/>
      <c r="Q392" s="41"/>
      <c r="R392" s="41"/>
      <c r="S392" s="41"/>
      <c r="T392" s="41"/>
      <c r="U392" s="41"/>
      <c r="V392" s="41"/>
      <c r="W392" s="41"/>
      <c r="X392" s="41"/>
      <c r="Y392" s="41"/>
      <c r="Z392" s="41"/>
    </row>
    <row r="393" ht="19.5" customHeight="1">
      <c r="A393" s="41"/>
      <c r="B393" s="261" t="str">
        <f>wld_az1_host14_fqdn</f>
        <v>Value Missing</v>
      </c>
      <c r="C393" s="163" t="str">
        <f>sample_wld_az1_host1_mgmt_ip</f>
        <v>10.23.11.101</v>
      </c>
      <c r="D393" s="171" t="str">
        <f>wld_az1_host14_mgmt_ip</f>
        <v>Value Missing</v>
      </c>
      <c r="E393" s="95" t="s">
        <v>1372</v>
      </c>
      <c r="F393" s="41"/>
      <c r="G393" s="41"/>
      <c r="H393" s="41"/>
      <c r="I393" s="41"/>
      <c r="J393" s="41"/>
      <c r="K393" s="41"/>
      <c r="L393" s="41"/>
      <c r="M393" s="41"/>
      <c r="N393" s="41"/>
      <c r="O393" s="41"/>
      <c r="P393" s="41"/>
      <c r="Q393" s="41"/>
      <c r="R393" s="41"/>
      <c r="S393" s="41"/>
      <c r="T393" s="41"/>
      <c r="U393" s="41"/>
      <c r="V393" s="41"/>
      <c r="W393" s="41"/>
      <c r="X393" s="41"/>
      <c r="Y393" s="41"/>
      <c r="Z393" s="41"/>
    </row>
    <row r="394" ht="19.5" customHeight="1">
      <c r="A394" s="41"/>
      <c r="B394" s="261" t="str">
        <f>wld_az1_host15_fqdn</f>
        <v>Value Missing</v>
      </c>
      <c r="C394" s="163" t="str">
        <f>sample_wld_az1_host1_mgmt_ip</f>
        <v>10.23.11.101</v>
      </c>
      <c r="D394" s="171" t="str">
        <f>wld_az1_host15_mgmt_ip</f>
        <v>Value Missing</v>
      </c>
      <c r="E394" s="95" t="s">
        <v>1373</v>
      </c>
      <c r="F394" s="41"/>
      <c r="G394" s="41"/>
      <c r="H394" s="41"/>
      <c r="I394" s="41"/>
      <c r="J394" s="41"/>
      <c r="K394" s="41"/>
      <c r="L394" s="41"/>
      <c r="M394" s="41"/>
      <c r="N394" s="41"/>
      <c r="O394" s="41"/>
      <c r="P394" s="41"/>
      <c r="Q394" s="41"/>
      <c r="R394" s="41"/>
      <c r="S394" s="41"/>
      <c r="T394" s="41"/>
      <c r="U394" s="41"/>
      <c r="V394" s="41"/>
      <c r="W394" s="41"/>
      <c r="X394" s="41"/>
      <c r="Y394" s="41"/>
      <c r="Z394" s="41"/>
    </row>
    <row r="395" ht="19.5" customHeight="1">
      <c r="A395" s="41"/>
      <c r="B395" s="261" t="str">
        <f>wld_az1_host16_fqdn</f>
        <v>Value Missing</v>
      </c>
      <c r="C395" s="163" t="str">
        <f>sample_wld_az1_host1_mgmt_ip</f>
        <v>10.23.11.101</v>
      </c>
      <c r="D395" s="171" t="str">
        <f>wld_az1_host16_mgmt_ip</f>
        <v>Value Missing</v>
      </c>
      <c r="E395" s="95" t="s">
        <v>1374</v>
      </c>
      <c r="F395" s="41"/>
      <c r="G395" s="41"/>
      <c r="H395" s="41"/>
      <c r="I395" s="41"/>
      <c r="J395" s="41"/>
      <c r="K395" s="41"/>
      <c r="L395" s="41"/>
      <c r="M395" s="41"/>
      <c r="N395" s="41"/>
      <c r="O395" s="41"/>
      <c r="P395" s="41"/>
      <c r="Q395" s="41"/>
      <c r="R395" s="41"/>
      <c r="S395" s="41"/>
      <c r="T395" s="41"/>
      <c r="U395" s="41"/>
      <c r="V395" s="41"/>
      <c r="W395" s="41"/>
      <c r="X395" s="41"/>
      <c r="Y395" s="41"/>
      <c r="Z395" s="41"/>
    </row>
    <row r="396" ht="19.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9.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9.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9.5" customHeight="1">
      <c r="A399" s="41"/>
      <c r="B399" s="262"/>
      <c r="C399" s="262"/>
      <c r="D399" s="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9.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9.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9.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9.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9.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9.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9.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9.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9.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9.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9.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9.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9.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9.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9.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9.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9.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9.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9.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9.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9.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9.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9.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9.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9.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9.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9.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9.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9.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9.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9.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9.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9.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9.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33.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9.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9.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9.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9.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9.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9.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9.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9.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9.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9.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9.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9.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9.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9.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9.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9.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9.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9.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9.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9.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9.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9.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9.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9.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9.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9.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9.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9.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9.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9.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9.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9.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9.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9.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9.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9.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9.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9.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9.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9.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9.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9.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9.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9.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9.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9.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9.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9.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9.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9.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9.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9.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9.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9.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9.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33.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9.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9.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9.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9.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9.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9.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9.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9.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9.5" customHeight="1">
      <c r="A504" s="41"/>
      <c r="B504" s="41"/>
      <c r="C504" s="41"/>
      <c r="D504" s="41"/>
      <c r="E504" s="41"/>
      <c r="F504" s="41"/>
      <c r="G504" s="195"/>
      <c r="H504" s="41"/>
      <c r="I504" s="41"/>
      <c r="J504" s="41"/>
      <c r="K504" s="41"/>
      <c r="L504" s="41"/>
      <c r="M504" s="41"/>
      <c r="N504" s="41"/>
      <c r="O504" s="41"/>
      <c r="P504" s="41"/>
      <c r="Q504" s="41"/>
      <c r="R504" s="41"/>
      <c r="S504" s="41"/>
      <c r="T504" s="41"/>
      <c r="U504" s="41"/>
      <c r="V504" s="41"/>
      <c r="W504" s="41"/>
      <c r="X504" s="41"/>
      <c r="Y504" s="41"/>
      <c r="Z504" s="41"/>
    </row>
    <row r="505" ht="19.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9.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9.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9.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9.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9.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9.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9.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9.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9.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9.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9.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9.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9.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9.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9.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9.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9.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9.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9.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9.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9.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9.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9.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9.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9.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9.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9.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9.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9.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9.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9.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9.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9.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9.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9.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9.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9.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9.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9.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9.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9.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9.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9.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9.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9.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9.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33.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9.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33.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9.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9.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9.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9.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9.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9.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9.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33.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33.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9.5" customHeight="1">
      <c r="A568" s="41"/>
      <c r="B568" s="41"/>
      <c r="C568" s="41"/>
      <c r="D568" s="41"/>
      <c r="E568" s="41"/>
      <c r="F568" s="41"/>
      <c r="G568" s="195"/>
      <c r="H568" s="41"/>
      <c r="I568" s="41"/>
      <c r="J568" s="41"/>
      <c r="K568" s="41"/>
      <c r="L568" s="41"/>
      <c r="M568" s="41"/>
      <c r="N568" s="41"/>
      <c r="O568" s="41"/>
      <c r="P568" s="41"/>
      <c r="Q568" s="41"/>
      <c r="R568" s="41"/>
      <c r="S568" s="41"/>
      <c r="T568" s="41"/>
      <c r="U568" s="41"/>
      <c r="V568" s="41"/>
      <c r="W568" s="41"/>
      <c r="X568" s="41"/>
      <c r="Y568" s="41"/>
      <c r="Z568" s="41"/>
    </row>
    <row r="569" ht="33.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9.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9.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9.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9.5" customHeight="1">
      <c r="A573" s="41"/>
      <c r="B573" s="41"/>
      <c r="C573" s="41"/>
      <c r="D573" s="41"/>
      <c r="E573" s="41"/>
      <c r="F573" s="41"/>
      <c r="G573" s="195"/>
      <c r="H573" s="41"/>
      <c r="I573" s="41"/>
      <c r="J573" s="41"/>
      <c r="K573" s="41"/>
      <c r="L573" s="41"/>
      <c r="M573" s="41"/>
      <c r="N573" s="41"/>
      <c r="O573" s="41"/>
      <c r="P573" s="41"/>
      <c r="Q573" s="41"/>
      <c r="R573" s="41"/>
      <c r="S573" s="41"/>
      <c r="T573" s="41"/>
      <c r="U573" s="41"/>
      <c r="V573" s="41"/>
      <c r="W573" s="41"/>
      <c r="X573" s="41"/>
      <c r="Y573" s="41"/>
      <c r="Z573" s="41"/>
    </row>
    <row r="574" ht="19.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9.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9.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9.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9.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9.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9.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9.5" customHeight="1">
      <c r="A581" s="41"/>
      <c r="B581" s="41"/>
      <c r="C581" s="41"/>
      <c r="D581" s="41"/>
      <c r="E581" s="41"/>
      <c r="F581" s="41"/>
      <c r="G581" s="195"/>
      <c r="H581" s="41"/>
      <c r="I581" s="41"/>
      <c r="J581" s="41"/>
      <c r="K581" s="41"/>
      <c r="L581" s="41"/>
      <c r="M581" s="41"/>
      <c r="N581" s="41"/>
      <c r="O581" s="41"/>
      <c r="P581" s="41"/>
      <c r="Q581" s="41"/>
      <c r="R581" s="41"/>
      <c r="S581" s="41"/>
      <c r="T581" s="41"/>
      <c r="U581" s="41"/>
      <c r="V581" s="41"/>
      <c r="W581" s="41"/>
      <c r="X581" s="41"/>
      <c r="Y581" s="41"/>
      <c r="Z581" s="41"/>
    </row>
    <row r="582" ht="19.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9.5" customHeight="1">
      <c r="A583" s="41"/>
      <c r="B583" s="41"/>
      <c r="C583" s="41"/>
      <c r="D583" s="41"/>
      <c r="E583" s="41"/>
      <c r="F583" s="41"/>
      <c r="G583" s="195"/>
      <c r="H583" s="41"/>
      <c r="I583" s="41"/>
      <c r="J583" s="41"/>
      <c r="K583" s="41"/>
      <c r="L583" s="41"/>
      <c r="M583" s="41"/>
      <c r="N583" s="41"/>
      <c r="O583" s="41"/>
      <c r="P583" s="41"/>
      <c r="Q583" s="41"/>
      <c r="R583" s="41"/>
      <c r="S583" s="41"/>
      <c r="T583" s="41"/>
      <c r="U583" s="41"/>
      <c r="V583" s="41"/>
      <c r="W583" s="41"/>
      <c r="X583" s="41"/>
      <c r="Y583" s="41"/>
      <c r="Z583" s="41"/>
    </row>
    <row r="584" ht="19.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9.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9.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9.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9.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9.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9.5" customHeight="1">
      <c r="A590" s="41"/>
      <c r="B590" s="41"/>
      <c r="C590" s="41"/>
      <c r="D590" s="41"/>
      <c r="E590" s="41"/>
      <c r="F590" s="41"/>
      <c r="G590" s="195"/>
      <c r="H590" s="41"/>
      <c r="I590" s="41"/>
      <c r="J590" s="41"/>
      <c r="K590" s="41"/>
      <c r="L590" s="41"/>
      <c r="M590" s="41"/>
      <c r="N590" s="41"/>
      <c r="O590" s="41"/>
      <c r="P590" s="41"/>
      <c r="Q590" s="41"/>
      <c r="R590" s="41"/>
      <c r="S590" s="41"/>
      <c r="T590" s="41"/>
      <c r="U590" s="41"/>
      <c r="V590" s="41"/>
      <c r="W590" s="41"/>
      <c r="X590" s="41"/>
      <c r="Y590" s="41"/>
      <c r="Z590" s="41"/>
    </row>
    <row r="591" ht="19.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9.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9.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9.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9.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55">
    <mergeCell ref="B2:E2"/>
    <mergeCell ref="B3:E3"/>
    <mergeCell ref="B6:E6"/>
    <mergeCell ref="B20:E20"/>
    <mergeCell ref="B21:E21"/>
    <mergeCell ref="B25:E25"/>
    <mergeCell ref="B26:E26"/>
    <mergeCell ref="B35:E35"/>
    <mergeCell ref="B36:E36"/>
    <mergeCell ref="B52:E52"/>
    <mergeCell ref="B54:E54"/>
    <mergeCell ref="B55:E55"/>
    <mergeCell ref="B57:E57"/>
    <mergeCell ref="B62:E62"/>
    <mergeCell ref="B80:E80"/>
    <mergeCell ref="B81:E81"/>
    <mergeCell ref="B84:E84"/>
    <mergeCell ref="B92:E92"/>
    <mergeCell ref="B100:E100"/>
    <mergeCell ref="B108:E108"/>
    <mergeCell ref="B117:E117"/>
    <mergeCell ref="B118:E118"/>
    <mergeCell ref="B143:E143"/>
    <mergeCell ref="B145:E145"/>
    <mergeCell ref="B146:E146"/>
    <mergeCell ref="B154:E154"/>
    <mergeCell ref="B155:E155"/>
    <mergeCell ref="B160:E160"/>
    <mergeCell ref="B161:E161"/>
    <mergeCell ref="B166:E166"/>
    <mergeCell ref="B167:E167"/>
    <mergeCell ref="B170:E170"/>
    <mergeCell ref="B171:E171"/>
    <mergeCell ref="B191:E191"/>
    <mergeCell ref="B192:E192"/>
    <mergeCell ref="B197:E197"/>
    <mergeCell ref="B198:E198"/>
    <mergeCell ref="B210:E210"/>
    <mergeCell ref="B211:E211"/>
    <mergeCell ref="B230:E230"/>
    <mergeCell ref="B231:E231"/>
    <mergeCell ref="B249:E249"/>
    <mergeCell ref="B340:E340"/>
    <mergeCell ref="B345:E345"/>
    <mergeCell ref="B350:E350"/>
    <mergeCell ref="B357:E357"/>
    <mergeCell ref="B364:E364"/>
    <mergeCell ref="B371:E371"/>
    <mergeCell ref="B260:E260"/>
    <mergeCell ref="B296:E296"/>
    <mergeCell ref="B301:E301"/>
    <mergeCell ref="B313:E313"/>
    <mergeCell ref="B323:E323"/>
    <mergeCell ref="B325:E325"/>
    <mergeCell ref="B330:E330"/>
  </mergeCells>
  <conditionalFormatting sqref="B11">
    <cfRule type="expression" dxfId="7" priority="1">
      <formula>$E$11="Required: Minimum Number of hosts must be selected"</formula>
    </cfRule>
  </conditionalFormatting>
  <conditionalFormatting sqref="B14 D14:E14">
    <cfRule type="expression" dxfId="9" priority="2">
      <formula>$E$14="Cause: Multi Rack Configuration is only supported with vSAN as Principal Storage or with vSAN Compute Clusters"</formula>
    </cfRule>
  </conditionalFormatting>
  <conditionalFormatting sqref="B18 D18:E18">
    <cfRule type="expression" dxfId="11" priority="3">
      <formula>$E$18="Cause: vSphere Supervisor should be enabled after the you completed the stretched cluster configuration"</formula>
    </cfRule>
  </conditionalFormatting>
  <conditionalFormatting sqref="D23 D28:D33 D38:D50 D58:D61 D63:D78 D83 D85:D91 D93:D99 D101:D107 D120:D141 D148:D152 D157:D158 D163:D164 D168 D173:D189 D194:D195 D200:D208 D213:D228 D233:D234 D239:D270 D278:D280 D297:D300 D302:D312 D314:D321 D326:D329 D331:D336 D341:D344 D349 D351:D356 D358:D363 D365:D370 D373 D375:D378">
    <cfRule type="notContainsBlanks" dxfId="5" priority="4">
      <formula>LEN(TRIM(D23))&gt;0</formula>
    </cfRule>
  </conditionalFormatting>
  <conditionalFormatting sqref="D92">
    <cfRule type="expression" dxfId="3" priority="5">
      <formula>input_mgmt_principal_storage_chosen="VMFS on Fibre Channel (FC)"</formula>
    </cfRule>
  </conditionalFormatting>
  <conditionalFormatting sqref="D92">
    <cfRule type="containsBlanks" dxfId="7" priority="6">
      <formula>LEN(TRIM(D92))=0</formula>
    </cfRule>
  </conditionalFormatting>
  <conditionalFormatting sqref="D92">
    <cfRule type="notContainsBlanks" dxfId="0" priority="7">
      <formula>LEN(TRIM(D92))&gt;0</formula>
    </cfRule>
  </conditionalFormatting>
  <conditionalFormatting sqref="D109:D115">
    <cfRule type="containsBlanks" dxfId="10" priority="8">
      <formula>LEN(TRIM(D109))=0</formula>
    </cfRule>
  </conditionalFormatting>
  <conditionalFormatting sqref="D109:D115">
    <cfRule type="notContainsBlanks" dxfId="2" priority="9">
      <formula>LEN(TRIM(D109))&gt;0</formula>
    </cfRule>
  </conditionalFormatting>
  <conditionalFormatting sqref="D23 D28:D33 D38:D50 D58:D61 D63:D78 D83 D85:D91 D93:D99 D101:D107 D120:D141 D148:D152 D157:D158 D163:D164 D168 D173:D189 D194:D195 D200:D208 D213:D228 D233:D234 D239:D270 D278:D280 D297:D300 D302:D312 D314:D321 D326:D329 D331:D336 D341:D344 D349 D351:D356 D358:D363 D365:D370 D373 D375:D378">
    <cfRule type="containsBlanks" dxfId="10" priority="10">
      <formula>LEN(TRIM(D23))=0</formula>
    </cfRule>
  </conditionalFormatting>
  <conditionalFormatting sqref="D202">
    <cfRule type="expression" dxfId="6" priority="11">
      <formula>$B$16&lt;&gt;"vSAN Storage Client Network"</formula>
    </cfRule>
  </conditionalFormatting>
  <conditionalFormatting sqref="D249">
    <cfRule type="notContainsBlanks" dxfId="0" priority="12" stopIfTrue="1">
      <formula>LEN(TRIM(D249))&gt;0</formula>
    </cfRule>
  </conditionalFormatting>
  <conditionalFormatting sqref="D249">
    <cfRule type="containsBlanks" dxfId="10" priority="13">
      <formula>LEN(TRIM(D249))=0</formula>
    </cfRule>
  </conditionalFormatting>
  <conditionalFormatting sqref="D272:D275">
    <cfRule type="containsBlanks" dxfId="10" priority="14">
      <formula>LEN(TRIM(D272))=0</formula>
    </cfRule>
  </conditionalFormatting>
  <conditionalFormatting sqref="D272:D275">
    <cfRule type="notContainsBlanks" dxfId="5" priority="15">
      <formula>LEN(TRIM(D272))&gt;0</formula>
    </cfRule>
  </conditionalFormatting>
  <conditionalFormatting sqref="D277">
    <cfRule type="containsBlanks" dxfId="1" priority="16">
      <formula>LEN(TRIM(D277))=0</formula>
    </cfRule>
  </conditionalFormatting>
  <conditionalFormatting sqref="D277">
    <cfRule type="notContainsBlanks" dxfId="0" priority="17">
      <formula>LEN(TRIM(D277))&gt;0</formula>
    </cfRule>
  </conditionalFormatting>
  <conditionalFormatting sqref="D282:D285">
    <cfRule type="containsBlanks" dxfId="10" priority="18">
      <formula>LEN(TRIM(D282))=0</formula>
    </cfRule>
  </conditionalFormatting>
  <conditionalFormatting sqref="D282:D285">
    <cfRule type="notContainsBlanks" dxfId="5" priority="19">
      <formula>LEN(TRIM(D282))&gt;0</formula>
    </cfRule>
  </conditionalFormatting>
  <conditionalFormatting sqref="D287:D290 D292:D295">
    <cfRule type="containsBlanks" dxfId="10" priority="20">
      <formula>LEN(TRIM(D287))=0</formula>
    </cfRule>
  </conditionalFormatting>
  <conditionalFormatting sqref="D287:D290 D292:D295">
    <cfRule type="notContainsBlanks" dxfId="5" priority="21">
      <formula>LEN(TRIM(D287))&gt;0</formula>
    </cfRule>
  </conditionalFormatting>
  <conditionalFormatting sqref="D307:D312 D314:D321">
    <cfRule type="expression" dxfId="6" priority="22">
      <formula>input_wld_az1_host_overlay_new_pool_chosen="Re-use an existing Pool"</formula>
    </cfRule>
  </conditionalFormatting>
  <conditionalFormatting sqref="D346">
    <cfRule type="containsBlanks" dxfId="7" priority="23">
      <formula>LEN(TRIM(D346))=0</formula>
    </cfRule>
  </conditionalFormatting>
  <conditionalFormatting sqref="D346">
    <cfRule type="notContainsBlanks" dxfId="0" priority="24">
      <formula>LEN(TRIM(D346))&gt;0</formula>
    </cfRule>
  </conditionalFormatting>
  <conditionalFormatting sqref="D347">
    <cfRule type="containsBlanks" dxfId="1" priority="25">
      <formula>LEN(TRIM(D347))=0</formula>
    </cfRule>
  </conditionalFormatting>
  <conditionalFormatting sqref="D347">
    <cfRule type="notContainsBlanks" dxfId="0" priority="26">
      <formula>LEN(TRIM(D347))&gt;0</formula>
    </cfRule>
  </conditionalFormatting>
  <conditionalFormatting sqref="D348:D349">
    <cfRule type="containsBlanks" dxfId="7" priority="27">
      <formula>LEN(TRIM(D348))=0</formula>
    </cfRule>
  </conditionalFormatting>
  <conditionalFormatting sqref="D348:D349">
    <cfRule type="notContainsBlanks" dxfId="0" priority="28">
      <formula>LEN(TRIM(D348))&gt;0</formula>
    </cfRule>
  </conditionalFormatting>
  <conditionalFormatting sqref="D357">
    <cfRule type="expression" dxfId="3" priority="29">
      <formula>input_mgmt_principal_storage_chosen="VMFS on Fibre Channel (FC)"</formula>
    </cfRule>
  </conditionalFormatting>
  <conditionalFormatting sqref="D357">
    <cfRule type="containsBlanks" dxfId="7" priority="30">
      <formula>LEN(TRIM(D357))=0</formula>
    </cfRule>
  </conditionalFormatting>
  <conditionalFormatting sqref="D357 D364">
    <cfRule type="notContainsBlanks" dxfId="0" priority="31">
      <formula>LEN(TRIM(D357))&gt;0</formula>
    </cfRule>
  </conditionalFormatting>
  <conditionalFormatting sqref="D364">
    <cfRule type="expression" dxfId="3" priority="32">
      <formula>input_mgmt_principal_storage_chosen="VMFS on Fibre Channel (FC)"</formula>
    </cfRule>
  </conditionalFormatting>
  <conditionalFormatting sqref="D364">
    <cfRule type="containsBlanks" dxfId="7" priority="33">
      <formula>LEN(TRIM(D364))=0</formula>
    </cfRule>
  </conditionalFormatting>
  <conditionalFormatting sqref="D380:D395">
    <cfRule type="containsBlanks" dxfId="10" priority="34">
      <formula>LEN(TRIM(D380))=0</formula>
    </cfRule>
  </conditionalFormatting>
  <conditionalFormatting sqref="D380:D395">
    <cfRule type="notContainsBlanks" dxfId="5" priority="35">
      <formula>LEN(TRIM(D380))&gt;0</formula>
    </cfRule>
  </conditionalFormatting>
  <conditionalFormatting sqref="B11 D11:E11">
    <cfRule type="expression" dxfId="20" priority="36">
      <formula>$E$11="Cause: Minimum number of hosts for storage type not selected"</formula>
    </cfRule>
  </conditionalFormatting>
  <conditionalFormatting sqref="D11:E11">
    <cfRule type="expression" dxfId="21" priority="37">
      <formula>$E$11="Cause Number of Racks not selected"</formula>
    </cfRule>
  </conditionalFormatting>
  <conditionalFormatting sqref="E120:E135">
    <cfRule type="expression" dxfId="19" priority="38">
      <formula>OR((wld_vlcm_model_result="Excluded"),(wld_vlcm_model_chosen="Baselines"))</formula>
    </cfRule>
  </conditionalFormatting>
  <dataValidations>
    <dataValidation type="list" allowBlank="1" showErrorMessage="1" sqref="D38">
      <formula1>"Create new NSX Manager Instance,Join existing NSX Manager Instance"</formula1>
    </dataValidation>
    <dataValidation type="list" allowBlank="1" showErrorMessage="1" sqref="D88 D96 D104 D112">
      <formula1>table_masks</formula1>
    </dataValidation>
    <dataValidation type="list" allowBlank="1" showErrorMessage="1" sqref="D28">
      <formula1>"Select an existing standalone vCenter from the inventory,Specify an external vCenter"</formula1>
    </dataValidation>
    <dataValidation type="list" allowBlank="1" showErrorMessage="1" sqref="B14">
      <formula1>table_vcf_version5x_wld_storage_type</formula1>
    </dataValidation>
    <dataValidation type="list" allowBlank="1" showErrorMessage="1" sqref="D33 D45:D47 D151 D204 D234 D297 D299:D300 D320:D321 D328">
      <formula1>"Selected,Unselected"</formula1>
    </dataValidation>
    <dataValidation type="list" allowBlank="1" showErrorMessage="1" sqref="B11">
      <formula1>"Exclude,1,2,3,4,5,6,7,8,9,10,11,12,13,14,15,16"</formula1>
    </dataValidation>
    <dataValidation type="list" allowBlank="1" showErrorMessage="1" sqref="B13 B17:B18">
      <formula1>"Include,Exclude"</formula1>
    </dataValidation>
    <dataValidation type="list" allowBlank="1" showErrorMessage="1" sqref="D304">
      <formula1>"DHCP,Static IP Pool"</formula1>
    </dataValidation>
    <dataValidation type="list" allowBlank="1" showErrorMessage="1" sqref="D203">
      <formula1>storage_ftt</formula1>
    </dataValidation>
    <dataValidation type="list" allowBlank="1" showErrorMessage="1" sqref="D39">
      <formula1>"Single NSX Manager Appliance,NSX Management Cluster"</formula1>
    </dataValidation>
    <dataValidation type="list" allowBlank="1" showErrorMessage="1" sqref="D305">
      <formula1>"Re-use an existing Pool,Create New Static IP Pool"</formula1>
    </dataValidation>
    <dataValidation type="list" allowBlank="1" showErrorMessage="1" sqref="D243 D254 D265">
      <formula1>"Active,Passive"</formula1>
    </dataValidation>
    <dataValidation type="list" allowBlank="1" showErrorMessage="1" sqref="D298">
      <formula1>"Standard,Enhanced Datapath Standard,Enhanced Datapath Dedicated"</formula1>
    </dataValidation>
    <dataValidation type="list" allowBlank="1" showErrorMessage="1" sqref="D244 D255 D266">
      <formula1>lag_load_balancing</formula1>
    </dataValidation>
    <dataValidation type="list" allowBlank="1" showErrorMessage="1" sqref="D245 D256 D267">
      <formula1>"Slow,Fast"</formula1>
    </dataValidation>
    <dataValidation type="list" allowBlank="1" showErrorMessage="1" sqref="D233">
      <formula1>IF(wld_secondary_storage_chosen="vSAN Storage Client Network",wld_cl01_vds_vsanmax_preconfigured_profiles,wld_cl01_vds_standard_preconfigured_profiles)</formula1>
    </dataValidation>
    <dataValidation type="list" allowBlank="1" showErrorMessage="1" sqref="B12">
      <formula1>"Exclude,3,4,5,6,7"</formula1>
    </dataValidation>
    <dataValidation type="list" allowBlank="1" showErrorMessage="1" sqref="D273 D278 D283 D288 D293">
      <formula1>"Route based on IP hash,Route based on source MAC hash,Route based on the source of the port ID,Use explicit failover order,Route Based on Physical NIC Load"</formula1>
    </dataValidation>
    <dataValidation type="list" allowBlank="1" showErrorMessage="1" sqref="B10">
      <formula1>"Deploy Workload Domain with a Single-Rack / Multi-Rack Layer 2 Cluster,Deploy Workload Domain with a Multi-Rack Layer 3 Cluster,Import Workload Domain,Exclude"</formula1>
    </dataValidation>
    <dataValidation type="list" allowBlank="1" showErrorMessage="1" sqref="B15">
      <formula1>"Re-use an existing VCF Network Pool,Create a new VCF Network Pool"</formula1>
    </dataValidation>
    <dataValidation type="list" allowBlank="1" showErrorMessage="1" sqref="D173">
      <formula1>"Standard,High-Availability"</formula1>
    </dataValidation>
    <dataValidation type="list" allowBlank="1" showErrorMessage="1" sqref="D40 D174">
      <formula1>"Medium,Large,Extra Large"</formula1>
    </dataValidation>
    <dataValidation type="list" allowBlank="1" showErrorMessage="1" sqref="D274:D275 D279:D280 D284:D285 D289:D290 D294:D295">
      <formula1>"Active,Standby,Unused"</formula1>
    </dataValidation>
    <dataValidation type="list" allowBlank="1" showErrorMessage="1" sqref="D241 D252 D263">
      <formula1>"VDS Uplinks,VDS LAG"</formula1>
    </dataValidation>
    <dataValidation type="list" allowBlank="1" showErrorMessage="1" sqref="C278">
      <formula1>"sample_mgmt_az1_cl01_mgmt_vm_lbt"</formula1>
    </dataValidation>
    <dataValidation type="list" allowBlank="1" showErrorMessage="1" sqref="D185">
      <formula1>"Centralized Connectivity,Distributed Connectivity"</formula1>
    </dataValidation>
    <dataValidation type="list" allowBlank="1" showErrorMessage="1" sqref="B16">
      <formula1>"Exclude,Secondary NFS Storage Network,vSAN Storage Client Network"</formula1>
    </dataValidation>
    <dataValidation type="list" allowBlank="1" showErrorMessage="1" sqref="D319">
      <formula1>"Load Balance Source,Failover Order,Load Balance Source MAC Address"</formula1>
    </dataValidation>
  </dataValidations>
  <hyperlinks>
    <hyperlink r:id="rId1" ref="C214"/>
    <hyperlink r:id="rId2" ref="C215"/>
    <hyperlink r:id="rId3" ref="C216"/>
    <hyperlink r:id="rId4" ref="C217"/>
    <hyperlink r:id="rId5" ref="C218"/>
    <hyperlink r:id="rId6" ref="C219"/>
    <hyperlink r:id="rId7" ref="C220"/>
    <hyperlink r:id="rId8" ref="C221"/>
    <hyperlink r:id="rId9" ref="C222"/>
    <hyperlink r:id="rId10" ref="C223"/>
    <hyperlink r:id="rId11" ref="C224"/>
    <hyperlink r:id="rId12" ref="C225"/>
    <hyperlink r:id="rId13" ref="C226"/>
    <hyperlink r:id="rId14" ref="C227"/>
    <hyperlink r:id="rId15" ref="C228"/>
  </hyperlinks>
  <printOptions/>
  <pageMargins bottom="0.75" footer="0.0" header="0.0" left="0.7" right="0.7" top="0.75"/>
  <pageSetup paperSize="9" orientation="portrait"/>
  <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5.78"/>
    <col customWidth="1" min="2" max="2" width="25.11"/>
    <col customWidth="1" min="3" max="3" width="15.44"/>
    <col customWidth="1" min="4" max="4" width="11.78"/>
    <col customWidth="1" min="5" max="15" width="10.78"/>
    <col customWidth="1" min="16" max="16" width="26.11"/>
    <col customWidth="1" min="17" max="17" width="14.33"/>
    <col customWidth="1" min="18" max="18" width="15.44"/>
    <col customWidth="1" min="19" max="19" width="21.11"/>
    <col customWidth="1" min="20" max="26" width="10.78"/>
  </cols>
  <sheetData>
    <row r="1" ht="15.75" customHeight="1">
      <c r="A1" s="263" t="s">
        <v>1375</v>
      </c>
      <c r="B1" s="41"/>
      <c r="C1" s="41"/>
      <c r="D1" s="41"/>
      <c r="E1" s="41"/>
      <c r="F1" s="41"/>
      <c r="G1" s="41"/>
      <c r="H1" s="41"/>
      <c r="I1" s="41"/>
      <c r="J1" s="41"/>
      <c r="K1" s="41"/>
      <c r="L1" s="41"/>
      <c r="M1" s="41"/>
      <c r="N1" s="41"/>
      <c r="O1" s="41"/>
      <c r="P1" s="41"/>
      <c r="Q1" s="41"/>
      <c r="R1" s="41"/>
      <c r="S1" s="41"/>
      <c r="T1" s="41"/>
      <c r="U1" s="41"/>
      <c r="V1" s="41"/>
      <c r="W1" s="41"/>
      <c r="X1" s="41"/>
      <c r="Y1" s="41"/>
      <c r="Z1" s="41"/>
    </row>
    <row r="2" ht="15.75" customHeight="1">
      <c r="A2" s="41" t="s">
        <v>1376</v>
      </c>
      <c r="B2" s="162">
        <v>1822.0</v>
      </c>
      <c r="C2" s="41"/>
      <c r="D2" s="41"/>
      <c r="E2" s="41"/>
      <c r="F2" s="41"/>
      <c r="G2" s="41"/>
      <c r="H2" s="41"/>
      <c r="I2" s="41"/>
      <c r="J2" s="41"/>
      <c r="K2" s="41"/>
      <c r="L2" s="41"/>
      <c r="M2" s="41"/>
      <c r="N2" s="41"/>
      <c r="O2" s="41"/>
      <c r="P2" s="41"/>
      <c r="Q2" s="41"/>
      <c r="R2" s="41"/>
      <c r="S2" s="41"/>
      <c r="T2" s="41"/>
      <c r="U2" s="41"/>
      <c r="V2" s="41"/>
      <c r="W2" s="41"/>
      <c r="X2" s="41"/>
      <c r="Y2" s="41"/>
      <c r="Z2" s="41"/>
    </row>
    <row r="3" ht="15.75" customHeight="1">
      <c r="A3" s="41" t="s">
        <v>1377</v>
      </c>
      <c r="B3" s="41" t="str">
        <f>IF(flt_custom_network_chosen="Shared Management Network",IF(mgmt_dpg_reuse_result="Included",CONCATENATE(prefix_mgmt_az1_cidr,"10.0/24"),CONCATENATE(prefix_mgmt_az1_cidr,"11.0/24")),IF(flt_custom_network_chosen="Overlay",CONCATENATE(prefix_xreg_cidr,".0/24"),CONCATENATE(prefix_flt_shared_cidr,".0/24")))</f>
        <v>10.21.10.0/24</v>
      </c>
      <c r="C3" s="41"/>
      <c r="D3" s="41"/>
      <c r="E3" s="41"/>
      <c r="F3" s="41"/>
      <c r="G3" s="41"/>
      <c r="H3" s="41"/>
      <c r="I3" s="41"/>
      <c r="J3" s="41"/>
      <c r="K3" s="41"/>
      <c r="L3" s="41"/>
      <c r="M3" s="41"/>
      <c r="N3" s="41"/>
      <c r="O3" s="41"/>
      <c r="P3" s="41"/>
      <c r="Q3" s="41"/>
      <c r="R3" s="41"/>
      <c r="S3" s="41"/>
      <c r="T3" s="41"/>
      <c r="U3" s="41"/>
      <c r="V3" s="41"/>
      <c r="W3" s="41"/>
      <c r="X3" s="41"/>
      <c r="Y3" s="41"/>
      <c r="Z3" s="41"/>
    </row>
    <row r="4" ht="15.75" customHeight="1">
      <c r="A4" s="41" t="s">
        <v>1378</v>
      </c>
      <c r="B4" s="41" t="str">
        <f>IF(flt_custom_network_chosen="Shared Management Network",IF(mgmt_dpg_reuse_result="Included",CONCATENATE(prefix_mgmt_az1_cidr,"10.0"),CONCATENATE(prefix_mgmt_az1_cidr,"11.0")),IF(flt_custom_network_chosen="Overlay",CONCATENATE(prefix_xreg_cidr,".0"),CONCATENATE(prefix_flt_shared_cidr,".0")))</f>
        <v>10.21.10.0</v>
      </c>
      <c r="C4" s="41"/>
      <c r="D4" s="41"/>
      <c r="E4" s="41"/>
      <c r="F4" s="41"/>
      <c r="G4" s="41"/>
      <c r="H4" s="41"/>
      <c r="I4" s="41"/>
      <c r="J4" s="41"/>
      <c r="K4" s="41"/>
      <c r="L4" s="41"/>
      <c r="M4" s="41"/>
      <c r="N4" s="41"/>
      <c r="O4" s="41"/>
      <c r="P4" s="41"/>
      <c r="Q4" s="41"/>
      <c r="R4" s="41"/>
      <c r="S4" s="41"/>
      <c r="T4" s="41"/>
      <c r="U4" s="41"/>
      <c r="V4" s="41"/>
      <c r="W4" s="41"/>
      <c r="X4" s="41"/>
      <c r="Y4" s="41"/>
      <c r="Z4" s="41"/>
    </row>
    <row r="5" ht="15.75" customHeight="1">
      <c r="A5" s="41" t="s">
        <v>1379</v>
      </c>
      <c r="B5" s="41" t="str">
        <f>IF(flt_custom_network_chosen="Shared Management Network",IF(mgmt_dpg_reuse_result="Included",CONCATENATE(prefix_mgmt_az1_cidr,"10.1"),CONCATENATE(prefix_mgmt_az1_cidr,"11.1")),IF(flt_custom_network_chosen="Overlay",CONCATENATE(prefix_xreg_cidr,".1"),CONCATENATE(prefix_flt_shared_cidr,".1")))</f>
        <v>10.21.10.1</v>
      </c>
      <c r="C5" s="41"/>
      <c r="D5" s="41"/>
      <c r="E5" s="41"/>
      <c r="F5" s="41"/>
      <c r="G5" s="41"/>
      <c r="H5" s="41"/>
      <c r="I5" s="41"/>
      <c r="J5" s="41"/>
      <c r="K5" s="41"/>
      <c r="L5" s="41"/>
      <c r="M5" s="41"/>
      <c r="N5" s="41"/>
      <c r="O5" s="41"/>
      <c r="P5" s="41" t="s">
        <v>1380</v>
      </c>
      <c r="Q5" s="41"/>
      <c r="R5" s="41"/>
      <c r="S5" s="41"/>
      <c r="T5" s="41"/>
      <c r="U5" s="41"/>
      <c r="V5" s="41"/>
      <c r="W5" s="41"/>
      <c r="X5" s="41"/>
      <c r="Y5" s="41"/>
      <c r="Z5" s="41"/>
    </row>
    <row r="6" ht="15.75" customHeight="1">
      <c r="A6" s="41" t="s">
        <v>1381</v>
      </c>
      <c r="B6" s="41" t="s">
        <v>622</v>
      </c>
      <c r="C6" s="41"/>
      <c r="D6" s="41"/>
      <c r="E6" s="41"/>
      <c r="F6" s="41"/>
      <c r="G6" s="41"/>
      <c r="H6" s="41"/>
      <c r="I6" s="41"/>
      <c r="J6" s="41"/>
      <c r="K6" s="41"/>
      <c r="L6" s="41"/>
      <c r="M6" s="41"/>
      <c r="N6" s="41"/>
      <c r="O6" s="41"/>
      <c r="P6" s="41" t="s">
        <v>1382</v>
      </c>
      <c r="Q6" s="41" t="s">
        <v>1383</v>
      </c>
      <c r="R6" s="41" t="s">
        <v>1384</v>
      </c>
      <c r="S6" s="41"/>
      <c r="T6" s="41"/>
      <c r="U6" s="41"/>
      <c r="V6" s="41"/>
      <c r="W6" s="41"/>
      <c r="X6" s="41"/>
      <c r="Y6" s="41"/>
      <c r="Z6" s="41"/>
    </row>
    <row r="7" ht="15.75" customHeight="1">
      <c r="A7" s="41" t="s">
        <v>1385</v>
      </c>
      <c r="B7" s="41">
        <v>1500.0</v>
      </c>
      <c r="C7" s="41"/>
      <c r="D7" s="41"/>
      <c r="E7" s="41"/>
      <c r="F7" s="41"/>
      <c r="G7" s="41"/>
      <c r="H7" s="41"/>
      <c r="I7" s="41"/>
      <c r="J7" s="41"/>
      <c r="K7" s="41"/>
      <c r="L7" s="41"/>
      <c r="M7" s="41"/>
      <c r="N7" s="41"/>
      <c r="O7" s="41"/>
      <c r="P7" s="12" t="s">
        <v>1386</v>
      </c>
      <c r="Q7" s="13"/>
      <c r="R7" s="13"/>
      <c r="S7" s="14"/>
      <c r="T7" s="41"/>
      <c r="U7" s="41"/>
      <c r="V7" s="41"/>
      <c r="W7" s="41"/>
      <c r="X7" s="41"/>
      <c r="Y7" s="41"/>
      <c r="Z7" s="41"/>
    </row>
    <row r="8" ht="15.75" customHeight="1">
      <c r="A8" s="41" t="s">
        <v>1387</v>
      </c>
      <c r="B8" s="41" t="str">
        <f>CONCATENATE(MID(B5, FIND(".",B5)+1, FIND(".",B5,FIND(".",B5)+1) - FIND(".",B5) - 1),MID(B5, FIND(".", B5, FIND(".", B5)+1)+1, FIND(".", B5, FIND(".", B5, FIND(".", B5)+1)+1) - (FIND(".", B5, FIND(".", B5)+1)+1) ))</f>
        <v>2110</v>
      </c>
      <c r="C8" s="41"/>
      <c r="D8" s="41"/>
      <c r="E8" s="41"/>
      <c r="F8" s="41"/>
      <c r="G8" s="41"/>
      <c r="H8" s="41"/>
      <c r="I8" s="41"/>
      <c r="J8" s="41"/>
      <c r="K8" s="41"/>
      <c r="L8" s="41"/>
      <c r="M8" s="41"/>
      <c r="N8" s="41"/>
      <c r="O8" s="41"/>
      <c r="P8" s="156" t="str">
        <f>IF(mgmt_vcf_management_network_chosen="Use VM management network",IF(mgmt_dpg_reuse_result="Included",CONCATENATE(prefix_mgmt_az1_cidr,"10.50"),CONCATENATE(prefix_mgmt_az1_cidr,"11.50")),CONCATENATE(prefix_flt_shared_cidr,".50"))</f>
        <v>10.21.10.50</v>
      </c>
      <c r="Q8" s="18"/>
      <c r="R8" s="82" t="str">
        <f>IF(ISBLANK(input_xreg_vra_nodee_ip),"Value Missing",input_xreg_vra_nodee_ip)</f>
        <v>Value Missing</v>
      </c>
      <c r="S8" s="41"/>
      <c r="T8" s="41"/>
      <c r="U8" s="41"/>
      <c r="V8" s="41"/>
      <c r="W8" s="41"/>
      <c r="X8" s="41"/>
      <c r="Y8" s="41"/>
      <c r="Z8" s="41"/>
    </row>
    <row r="9" ht="15.75" customHeight="1">
      <c r="A9" s="41" t="str">
        <f>CONCATENATE(this_instance,"-m01-cl01-vds01-pg-vcf-mgmt")</f>
        <v>lax-m01-cl01-vds01-pg-vcf-mgmt</v>
      </c>
      <c r="B9" s="18"/>
      <c r="C9" s="82" t="str">
        <f>IF(ISBLANK(input_mgmt_cl01_az1_vcf_mgmt_pg),"Value Missing",input_mgmt_cl01_az1_vcf_mgmt_pg)</f>
        <v>Value Missing</v>
      </c>
      <c r="D9" s="41"/>
      <c r="E9" s="41"/>
      <c r="F9" s="41"/>
      <c r="G9" s="41"/>
      <c r="H9" s="41"/>
      <c r="I9" s="41"/>
      <c r="J9" s="41"/>
      <c r="K9" s="41"/>
      <c r="L9" s="41"/>
      <c r="M9" s="41"/>
      <c r="N9" s="41"/>
      <c r="O9" s="41"/>
      <c r="P9" s="156" t="str">
        <f>IF(mgmt_vcf_management_network_chosen="Use VM management network",IF(mgmt_dpg_reuse_result="Included",CONCATENATE(prefix_mgmt_az1_cidr,"10.51"),CONCATENATE(prefix_mgmt_az1_cidr,"11.51")),CONCATENATE(prefix_flt_shared_cidr,".51"))</f>
        <v>10.21.10.51</v>
      </c>
      <c r="Q9" s="18"/>
      <c r="R9" s="82" t="str">
        <f>IF(ISBLANK(input_xreg_vra_nodef_ip),"Value Missing",input_xreg_vra_nodef_ip)</f>
        <v>Value Missing</v>
      </c>
      <c r="S9" s="41"/>
      <c r="T9" s="41"/>
      <c r="U9" s="41"/>
      <c r="V9" s="41"/>
      <c r="W9" s="41"/>
      <c r="X9" s="41"/>
      <c r="Y9" s="41"/>
      <c r="Z9" s="41"/>
    </row>
    <row r="10" ht="15.75" customHeight="1">
      <c r="A10" s="263" t="s">
        <v>1388</v>
      </c>
      <c r="B10" s="41"/>
      <c r="C10" s="41"/>
      <c r="D10" s="41"/>
      <c r="E10" s="41"/>
      <c r="F10" s="41"/>
      <c r="G10" s="41"/>
      <c r="H10" s="41"/>
      <c r="I10" s="41"/>
      <c r="J10" s="41"/>
      <c r="K10" s="41"/>
      <c r="L10" s="41"/>
      <c r="M10" s="41"/>
      <c r="N10" s="41"/>
      <c r="O10" s="41"/>
      <c r="P10" s="12" t="s">
        <v>1389</v>
      </c>
      <c r="Q10" s="13"/>
      <c r="R10" s="13"/>
      <c r="S10" s="14"/>
      <c r="T10" s="41"/>
      <c r="U10" s="41"/>
      <c r="V10" s="41"/>
      <c r="W10" s="41"/>
      <c r="X10" s="41"/>
      <c r="Y10" s="41"/>
      <c r="Z10" s="41"/>
    </row>
    <row r="11" ht="15.75" customHeight="1">
      <c r="A11" s="84" t="s">
        <v>1390</v>
      </c>
      <c r="B11" s="150" t="str">
        <f>CONCATENATE(this_instance,".rainpole.io")</f>
        <v>lax.rainpole.io</v>
      </c>
      <c r="C11" s="18"/>
      <c r="D11" s="41"/>
      <c r="E11" s="41"/>
      <c r="F11" s="41"/>
      <c r="G11" s="41"/>
      <c r="H11" s="41"/>
      <c r="I11" s="41"/>
      <c r="J11" s="41"/>
      <c r="K11" s="41"/>
      <c r="L11" s="41"/>
      <c r="M11" s="41"/>
      <c r="N11" s="41"/>
      <c r="O11" s="41"/>
      <c r="P11" s="156" t="str">
        <f>IF(flt_custom_network_chosen="Shared Management Network",IF(mgmt_dpg_reuse_result="Included",CONCATENATE(prefix_mgmt_az1_cidr,"10.50"),CONCATENATE(prefix_mgmt_az1_cidr,"11.50")),IF(flt_custom_network_chosen="NSX Overlay Segment",CONCATENATE(prefix_xreg_cidr,".50"),CONCATENATE(prefix_flt_shared_cidr,".50")))</f>
        <v>10.21.10.50</v>
      </c>
      <c r="Q11" s="18"/>
      <c r="R11" s="82" t="str">
        <f>IF(ISBLANK(input_flt_custom_network_auto_nodee_ip),"Value Missing",input_flt_custom_network_auto_nodee_ip)</f>
        <v>Value Missing</v>
      </c>
      <c r="S11" s="41"/>
      <c r="T11" s="41"/>
      <c r="U11" s="41"/>
      <c r="V11" s="41"/>
      <c r="W11" s="41"/>
      <c r="X11" s="41"/>
      <c r="Y11" s="41"/>
      <c r="Z11" s="41"/>
    </row>
    <row r="12" ht="15.75" customHeight="1">
      <c r="A12" s="84" t="s">
        <v>1391</v>
      </c>
      <c r="B12" s="150" t="str">
        <f>CONCATENATE(other_instance,".rainpole.io")</f>
        <v>sfo.rainpole.io</v>
      </c>
      <c r="C12" s="18"/>
      <c r="D12" s="41"/>
      <c r="E12" s="41"/>
      <c r="F12" s="41"/>
      <c r="G12" s="41"/>
      <c r="H12" s="41"/>
      <c r="I12" s="41"/>
      <c r="J12" s="41"/>
      <c r="K12" s="41"/>
      <c r="L12" s="41"/>
      <c r="M12" s="41"/>
      <c r="N12" s="41"/>
      <c r="O12" s="41"/>
      <c r="P12" s="156" t="str">
        <f>IF(flt_custom_network_chosen="Shared Management Network",IF(mgmt_dpg_reuse_result="Included",CONCATENATE(prefix_mgmt_az1_cidr,"10.51"),CONCATENATE(prefix_mgmt_az1_cidr,"11.51")),IF(flt_custom_network_chosen="NSX Overlay Segment",CONCATENATE(prefix_xreg_cidr,".51"),CONCATENATE(prefix_flt_shared_cidr,".51")))</f>
        <v>10.21.10.51</v>
      </c>
      <c r="Q12" s="18"/>
      <c r="R12" s="82" t="str">
        <f>IF(ISBLANK(input_flt_custom_network_auto_nodef_ip),"Value Missing",input_flt_custom_network_auto_nodef_ip)</f>
        <v>Value Missing</v>
      </c>
      <c r="S12" s="41"/>
      <c r="T12" s="41"/>
      <c r="U12" s="41"/>
      <c r="V12" s="41"/>
      <c r="W12" s="41"/>
      <c r="X12" s="41"/>
      <c r="Y12" s="41"/>
      <c r="Z12" s="41"/>
    </row>
    <row r="13" ht="15.75" customHeight="1">
      <c r="A13" s="84" t="s">
        <v>1392</v>
      </c>
      <c r="B13" s="156" t="str">
        <f>IF(mgmt_dpg_reuse_result="Included",CONCATENATE(prefix_mgmt_az1_cidr,"10.4"),CONCATENATE(prefix_mgmt_az1_cidr,"11.4"))</f>
        <v>10.21.10.4</v>
      </c>
      <c r="C13" s="18"/>
      <c r="D13" s="41"/>
      <c r="E13" s="41"/>
      <c r="F13" s="41"/>
      <c r="G13" s="41"/>
      <c r="H13" s="41"/>
      <c r="I13" s="41"/>
      <c r="J13" s="41"/>
      <c r="K13" s="41"/>
      <c r="L13" s="41"/>
      <c r="M13" s="41"/>
      <c r="N13" s="41"/>
      <c r="O13" s="41"/>
      <c r="P13" s="12" t="s">
        <v>1026</v>
      </c>
      <c r="Q13" s="13"/>
      <c r="R13" s="13"/>
      <c r="S13" s="14"/>
      <c r="T13" s="41"/>
      <c r="U13" s="41"/>
      <c r="V13" s="41"/>
      <c r="W13" s="41"/>
      <c r="X13" s="41"/>
      <c r="Y13" s="41"/>
      <c r="Z13" s="41"/>
    </row>
    <row r="14" ht="15.75" customHeight="1">
      <c r="A14" s="84" t="s">
        <v>1393</v>
      </c>
      <c r="B14" s="156" t="str">
        <f>IF(mgmt_dpg_reuse_result="Included",CONCATENATE(prefix_mgmt_az1_cidr,"10.5"),CONCATENATE(prefix_mgmt_az1_cidr,"11.5"))</f>
        <v>10.21.10.5</v>
      </c>
      <c r="C14" s="18"/>
      <c r="D14" s="41"/>
      <c r="E14" s="41"/>
      <c r="F14" s="41"/>
      <c r="G14" s="41"/>
      <c r="H14" s="41"/>
      <c r="I14" s="41"/>
      <c r="J14" s="41"/>
      <c r="K14" s="41"/>
      <c r="L14" s="41"/>
      <c r="M14" s="41"/>
      <c r="N14" s="41"/>
      <c r="O14" s="41"/>
      <c r="P14" s="156" t="str">
        <f>IF(flt_custom_network_chosen="Shared Management Network",IF(mgmt_dpg_reuse_result="Included",CONCATENATE(prefix_mgmt_az1_cidr,"10.50"),CONCATENATE(prefix_mgmt_az1_cidr,"11.50")),IF(flt_custom_network_chosen="NSX Overlay Segment",CONCATENATE(prefix_xreg_cidr,".50"),CONCATENATE(prefix_flt_shared_cidr,".50")))</f>
        <v>10.21.10.50</v>
      </c>
      <c r="Q14" s="18"/>
      <c r="R14" s="82" t="str">
        <f>IF(ISBLANK(input_vcf_automation_nodee_ip),"Value Missing",input_vcf_automation_nodee_ip)</f>
        <v>Value Missing</v>
      </c>
      <c r="S14" s="41"/>
      <c r="T14" s="41"/>
      <c r="U14" s="41"/>
      <c r="V14" s="41"/>
      <c r="W14" s="41"/>
      <c r="X14" s="41"/>
      <c r="Y14" s="41"/>
      <c r="Z14" s="41"/>
    </row>
    <row r="15" ht="15.75" customHeight="1">
      <c r="A15" s="84" t="s">
        <v>1394</v>
      </c>
      <c r="B15" s="156" t="str">
        <f>CONCATENATE(this_instance,"-ad01")</f>
        <v>lax-ad01</v>
      </c>
      <c r="C15" s="18"/>
      <c r="D15" s="41"/>
      <c r="E15" s="41"/>
      <c r="F15" s="41"/>
      <c r="G15" s="41"/>
      <c r="H15" s="41"/>
      <c r="I15" s="41"/>
      <c r="J15" s="41"/>
      <c r="K15" s="41"/>
      <c r="L15" s="41"/>
      <c r="M15" s="41"/>
      <c r="N15" s="41"/>
      <c r="O15" s="41"/>
      <c r="P15" s="156" t="str">
        <f>IF(flt_custom_network_chosen="Shared Management Network",IF(mgmt_dpg_reuse_result="Included",CONCATENATE(prefix_mgmt_az1_cidr,"10.51"),CONCATENATE(prefix_mgmt_az1_cidr,"11.51")),IF(flt_custom_network_chosen="NSX Overlay Segment",CONCATENATE(prefix_xreg_cidr,".51"),CONCATENATE(prefix_flt_shared_cidr,".51")))</f>
        <v>10.21.10.51</v>
      </c>
      <c r="Q15" s="18"/>
      <c r="R15" s="82" t="str">
        <f>IF(ISBLANK(input_vcf_automation_nodef_ip),"Value Missing",input_vcf_automation_nodef_ip)</f>
        <v>Value Missing</v>
      </c>
      <c r="S15" s="41"/>
      <c r="T15" s="41"/>
      <c r="U15" s="41"/>
      <c r="V15" s="41"/>
      <c r="W15" s="41"/>
      <c r="X15" s="41"/>
      <c r="Y15" s="41"/>
      <c r="Z15" s="41"/>
    </row>
    <row r="16" ht="15.75" customHeight="1">
      <c r="A16" s="84" t="s">
        <v>1395</v>
      </c>
      <c r="B16" s="156" t="s">
        <v>1396</v>
      </c>
      <c r="C16" s="18"/>
      <c r="D16" s="41"/>
      <c r="E16" s="41"/>
      <c r="F16" s="41"/>
      <c r="G16" s="41"/>
      <c r="H16" s="41"/>
      <c r="I16" s="41"/>
      <c r="J16" s="41"/>
      <c r="K16" s="41"/>
      <c r="L16" s="41"/>
      <c r="M16" s="41"/>
      <c r="N16" s="41"/>
      <c r="O16" s="41"/>
      <c r="P16" s="12" t="s">
        <v>1397</v>
      </c>
      <c r="Q16" s="13"/>
      <c r="R16" s="13"/>
      <c r="S16" s="14"/>
      <c r="T16" s="41"/>
      <c r="U16" s="41"/>
      <c r="V16" s="41"/>
      <c r="W16" s="41"/>
      <c r="X16" s="41"/>
      <c r="Y16" s="41"/>
      <c r="Z16" s="41"/>
    </row>
    <row r="17" ht="15.75" customHeight="1">
      <c r="A17" s="84" t="s">
        <v>1398</v>
      </c>
      <c r="B17" s="156">
        <v>25.0</v>
      </c>
      <c r="C17" s="18"/>
      <c r="D17" s="41"/>
      <c r="E17" s="41"/>
      <c r="F17" s="41"/>
      <c r="G17" s="41"/>
      <c r="H17" s="41"/>
      <c r="I17" s="41"/>
      <c r="J17" s="41"/>
      <c r="K17" s="41"/>
      <c r="L17" s="41"/>
      <c r="M17" s="41"/>
      <c r="N17" s="41"/>
      <c r="O17" s="41"/>
      <c r="P17" s="156" t="str">
        <f>IF(mgmt_dpg_reuse_result="Included",CONCATENATE(prefix_mgmt_az1_cidr,"10.75"),CONCATENATE(prefix_mgmt_az1_cidr,"11.75"))</f>
        <v>10.21.10.75</v>
      </c>
      <c r="Q17" s="18"/>
      <c r="R17" s="82" t="str">
        <f>IF(ISBLANK(input_mgmt_az1_en1_mgmt_ip),"Value Missing",input_mgmt_az1_en1_mgmt_ip)</f>
        <v>Value Missing</v>
      </c>
      <c r="S17" s="41"/>
      <c r="T17" s="41"/>
      <c r="U17" s="41"/>
      <c r="V17" s="41"/>
      <c r="W17" s="41"/>
      <c r="X17" s="41"/>
      <c r="Y17" s="41"/>
      <c r="Z17" s="41"/>
    </row>
    <row r="18" ht="15.75" customHeight="1">
      <c r="A18" s="84" t="s">
        <v>1399</v>
      </c>
      <c r="B18" s="150" t="str">
        <f>CONCATENATE("ntp.",this_instance,".rainpole.io")</f>
        <v>ntp.lax.rainpole.io</v>
      </c>
      <c r="C18" s="18"/>
      <c r="D18" s="41"/>
      <c r="E18" s="41"/>
      <c r="F18" s="41"/>
      <c r="G18" s="41"/>
      <c r="H18" s="41"/>
      <c r="I18" s="41"/>
      <c r="J18" s="41"/>
      <c r="K18" s="41"/>
      <c r="L18" s="41"/>
      <c r="M18" s="41"/>
      <c r="N18" s="41"/>
      <c r="O18" s="41"/>
      <c r="P18" s="156" t="str">
        <f>IF(mgmt_dpg_reuse_result="Included",CONCATENATE(prefix_mgmt_az1_cidr,"10.76"),CONCATENATE(prefix_mgmt_az1_cidr,"11.76"))</f>
        <v>10.21.10.76</v>
      </c>
      <c r="Q18" s="18"/>
      <c r="R18" s="82" t="str">
        <f>IF(ISBLANK(input_mgmt_az1_en2_mgmt_ip),"Value Missing",input_mgmt_az1_en2_mgmt_ip)</f>
        <v>Value Missing</v>
      </c>
      <c r="S18" s="41"/>
      <c r="T18" s="41"/>
      <c r="U18" s="41"/>
      <c r="V18" s="41"/>
      <c r="W18" s="41"/>
      <c r="X18" s="41"/>
      <c r="Y18" s="41"/>
      <c r="Z18" s="41"/>
    </row>
    <row r="19" ht="15.75" customHeight="1">
      <c r="A19" s="84" t="s">
        <v>1400</v>
      </c>
      <c r="B19" s="150" t="str">
        <f>CONCATENATE("ntp.",other_instance,".rainpole.io")</f>
        <v>ntp.sfo.rainpole.io</v>
      </c>
      <c r="C19" s="82"/>
      <c r="D19" s="41"/>
      <c r="E19" s="41"/>
      <c r="F19" s="41"/>
      <c r="G19" s="41"/>
      <c r="H19" s="41"/>
      <c r="I19" s="41"/>
      <c r="J19" s="41"/>
      <c r="K19" s="41"/>
      <c r="L19" s="41"/>
      <c r="M19" s="41"/>
      <c r="N19" s="41"/>
      <c r="O19" s="41"/>
      <c r="P19" s="156" t="str">
        <f>IF(wld_dpg_separation_result="Included",CONCATENATE(prefix_wld_az1_cidr,"10.135"),CONCATENATE(prefix_wld_az1_cidr,"11.135"))</f>
        <v>10.23.10.135</v>
      </c>
      <c r="Q19" s="18"/>
      <c r="R19" s="82" t="str">
        <f>IF(ISBLANK(input_wld_az1_en1_mgmt_ip),"Value Missing",input_wld_az1_en1_mgmt_ip)</f>
        <v>Value Missing</v>
      </c>
      <c r="S19" s="41"/>
      <c r="T19" s="41"/>
      <c r="U19" s="41"/>
      <c r="V19" s="41"/>
      <c r="W19" s="41"/>
      <c r="X19" s="41"/>
      <c r="Y19" s="41"/>
      <c r="Z19" s="41"/>
    </row>
    <row r="20" ht="15.75" customHeight="1">
      <c r="A20" s="1"/>
      <c r="B20" s="196" t="str">
        <f>CONCATENATE(prefix_wld_az1_rack_cidr,"23.0/24")</f>
        <v>10.23.23.0/24</v>
      </c>
      <c r="C20" s="18"/>
      <c r="D20" s="41"/>
      <c r="E20" s="41"/>
      <c r="F20" s="41"/>
      <c r="G20" s="41"/>
      <c r="H20" s="41"/>
      <c r="I20" s="41"/>
      <c r="J20" s="41"/>
      <c r="K20" s="41"/>
      <c r="L20" s="41"/>
      <c r="M20" s="41"/>
      <c r="N20" s="41"/>
      <c r="O20" s="41"/>
      <c r="P20" s="156" t="str">
        <f>IF(wld_dpg_separation_result="Included",CONCATENATE(prefix_wld_az1_cidr,"10.136"),CONCATENATE(prefix_wld_az1_cidr,"11.136"))</f>
        <v>10.23.10.136</v>
      </c>
      <c r="Q20" s="18"/>
      <c r="R20" s="82" t="str">
        <f>IF(ISBLANK(input_wld_az1_en2_mgmt_ip),"Value Missing",input_wld_az1_en2_mgmt_ip)</f>
        <v>Value Missing</v>
      </c>
      <c r="S20" s="41"/>
      <c r="T20" s="41"/>
      <c r="U20" s="41"/>
      <c r="V20" s="41"/>
      <c r="W20" s="41"/>
      <c r="X20" s="41"/>
      <c r="Y20" s="41"/>
      <c r="Z20" s="41"/>
    </row>
    <row r="21" ht="15.75" customHeight="1">
      <c r="A21" s="1"/>
      <c r="B21" s="196" t="str">
        <f>CONCATENATE(prefix_wld_az1_rack_cidr,"24.0/24")</f>
        <v>10.23.24.0/24</v>
      </c>
      <c r="C21" s="18"/>
      <c r="D21" s="41"/>
      <c r="E21" s="41"/>
      <c r="F21" s="41"/>
      <c r="G21" s="41"/>
      <c r="H21" s="41"/>
      <c r="I21" s="41"/>
      <c r="J21" s="41"/>
      <c r="K21" s="41"/>
      <c r="L21" s="41"/>
      <c r="M21" s="41"/>
      <c r="N21" s="41"/>
      <c r="O21" s="41"/>
      <c r="P21" s="12" t="s">
        <v>1401</v>
      </c>
      <c r="Q21" s="13"/>
      <c r="R21" s="13"/>
      <c r="S21" s="14"/>
      <c r="T21" s="41"/>
      <c r="U21" s="41"/>
      <c r="V21" s="41"/>
      <c r="W21" s="41"/>
      <c r="X21" s="41"/>
      <c r="Y21" s="41"/>
      <c r="Z21" s="41"/>
    </row>
    <row r="22" ht="15.75" customHeight="1">
      <c r="A22" s="1"/>
      <c r="B22" s="196" t="str">
        <f>CONCATENATE(prefix_wld_az1_rack_cidr,"26.0/24")</f>
        <v>10.23.26.0/24</v>
      </c>
      <c r="C22" s="18"/>
      <c r="D22" s="41"/>
      <c r="E22" s="41"/>
      <c r="F22" s="41"/>
      <c r="G22" s="41"/>
      <c r="H22" s="41"/>
      <c r="I22" s="41"/>
      <c r="J22" s="41"/>
      <c r="K22" s="41"/>
      <c r="L22" s="41"/>
      <c r="M22" s="41"/>
      <c r="N22" s="41"/>
      <c r="O22" s="41"/>
      <c r="P22" s="190" t="str">
        <f>IF(mgmt_vcf_management_network_chosen="Use VM management network",IF(mgmt_dpg_reuse_result="Included",CONCATENATE(prefix_mgmt_az1_cidr,"10.22"),CONCATENATE(prefix_mgmt_az1_cidr,"11.22")),CONCATENATE(prefix_flt_shared_cidr,".22"))</f>
        <v>10.21.10.22</v>
      </c>
      <c r="Q22" s="18"/>
      <c r="R22" s="82" t="str">
        <f>IF(ISBLANK(input_flt_lc_ip),"Value Missing",input_flt_lc_ip)</f>
        <v>Value Missing</v>
      </c>
      <c r="S22" s="41" t="s">
        <v>1402</v>
      </c>
      <c r="T22" s="41"/>
      <c r="U22" s="41"/>
      <c r="V22" s="41"/>
      <c r="W22" s="41"/>
      <c r="X22" s="41"/>
      <c r="Y22" s="41"/>
      <c r="Z22" s="41"/>
    </row>
    <row r="23" ht="15.75" customHeight="1">
      <c r="A23" s="1"/>
      <c r="B23" s="196" t="str">
        <f>CONCATENATE(prefix_wld_az1_rack_cidr,"25.0/24")</f>
        <v>10.23.25.0/24</v>
      </c>
      <c r="C23" s="18"/>
      <c r="D23" s="41"/>
      <c r="E23" s="41"/>
      <c r="F23" s="41"/>
      <c r="G23" s="41"/>
      <c r="H23" s="41"/>
      <c r="I23" s="41"/>
      <c r="J23" s="41"/>
      <c r="K23" s="41"/>
      <c r="L23" s="41"/>
      <c r="M23" s="41"/>
      <c r="N23" s="41"/>
      <c r="O23" s="41"/>
      <c r="P23" s="190" t="str">
        <f>IF(mgmt_vcf_management_network_chosen="Use VM management network",IF(mgmt_dpg_reuse_result="Included",CONCATENATE(prefix_mgmt_az1_cidr,"10.10"),CONCATENATE(prefix_mgmt_az1_cidr,"11.10")),CONCATENATE(prefix_flt_shared_cidr,".10"))</f>
        <v>10.21.10.10</v>
      </c>
      <c r="Q23" s="18"/>
      <c r="R23" s="82" t="str">
        <f>IF(ISBLANK(input_flt_sr_ip),"Value Missing",input_flt_sr_ip)</f>
        <v>Value Missing</v>
      </c>
      <c r="S23" s="41" t="s">
        <v>1403</v>
      </c>
      <c r="T23" s="41"/>
      <c r="U23" s="41"/>
      <c r="V23" s="41"/>
      <c r="W23" s="41"/>
      <c r="X23" s="41"/>
      <c r="Y23" s="41"/>
      <c r="Z23" s="41"/>
    </row>
    <row r="24" ht="15.75" customHeight="1">
      <c r="A24" s="1"/>
      <c r="B24" s="196" t="str">
        <f>CONCATENATE(prefix_wld_az1_rack_cidr,"34.0/24")</f>
        <v>10.23.34.0/24</v>
      </c>
      <c r="C24" s="18"/>
      <c r="D24" s="41"/>
      <c r="E24" s="41"/>
      <c r="F24" s="41"/>
      <c r="G24" s="41"/>
      <c r="H24" s="41"/>
      <c r="I24" s="41"/>
      <c r="J24" s="41"/>
      <c r="K24" s="41"/>
      <c r="L24" s="41"/>
      <c r="M24" s="41"/>
      <c r="N24" s="41"/>
      <c r="O24" s="41"/>
      <c r="P24" s="190" t="str">
        <f>IF(mgmt_vcf_management_network_chosen="Use VM management network",IF(mgmt_dpg_reuse_result="Included",CONCATENATE(prefix_mgmt_az1_cidr,"10.11"),CONCATENATE(prefix_mgmt_az1_cidr,"11.11")),CONCATENATE(prefix_flt_shared_cidr,".11"))</f>
        <v>10.21.10.11</v>
      </c>
      <c r="Q24" s="18"/>
      <c r="R24" s="82" t="str">
        <f>IF(ISBLANK(input_flt_ic_ip),"Value Missing",input_flt_ic_ip)</f>
        <v>Value Missing</v>
      </c>
      <c r="S24" s="41" t="s">
        <v>1404</v>
      </c>
      <c r="T24" s="41"/>
      <c r="U24" s="41"/>
      <c r="V24" s="41"/>
      <c r="W24" s="41"/>
      <c r="X24" s="41"/>
      <c r="Y24" s="41"/>
      <c r="Z24" s="41"/>
    </row>
    <row r="25" ht="15.75" customHeight="1">
      <c r="A25" s="1"/>
      <c r="B25" s="196" t="str">
        <f>CONCATENATE(prefix_wld_az1_rack_cidr,"35.0/24")</f>
        <v>10.23.35.0/24</v>
      </c>
      <c r="C25" s="18"/>
      <c r="D25" s="41"/>
      <c r="E25" s="41"/>
      <c r="F25" s="41"/>
      <c r="G25" s="41"/>
      <c r="H25" s="41"/>
      <c r="I25" s="41"/>
      <c r="J25" s="41"/>
      <c r="K25" s="41"/>
      <c r="L25" s="41"/>
      <c r="M25" s="41"/>
      <c r="N25" s="41"/>
      <c r="O25" s="41"/>
      <c r="P25" s="190" t="str">
        <f>IF(mgmt_vcf_management_network_chosen="Use VM management network",IF(mgmt_dpg_reuse_result="Included",CONCATENATE(prefix_mgmt_az1_cidr,"10.20"),CONCATENATE(prefix_mgmt_az1_cidr,"11.20")),CONCATENATE(prefix_flt_shared_cidr,".20"))</f>
        <v>10.21.10.20</v>
      </c>
      <c r="Q25" s="18"/>
      <c r="R25" s="82" t="str">
        <f>IF(ISBLANK(input_flt_auto_sr_ip),"Value Missing",input_flt_auto_sr_ip)</f>
        <v>Value Missing</v>
      </c>
      <c r="S25" s="41" t="s">
        <v>1405</v>
      </c>
      <c r="T25" s="41"/>
      <c r="U25" s="41"/>
      <c r="V25" s="41"/>
      <c r="W25" s="41"/>
      <c r="X25" s="41"/>
      <c r="Y25" s="41"/>
      <c r="Z25" s="41"/>
    </row>
    <row r="26" ht="15.75" customHeight="1">
      <c r="A26" s="1"/>
      <c r="B26" s="196" t="str">
        <f>CONCATENATE(prefix_wld_az1_rack_cidr,"37.0/24")</f>
        <v>10.23.37.0/24</v>
      </c>
      <c r="C26" s="18"/>
      <c r="D26" s="41"/>
      <c r="E26" s="41"/>
      <c r="F26" s="41"/>
      <c r="G26" s="41"/>
      <c r="H26" s="41"/>
      <c r="I26" s="41"/>
      <c r="J26" s="41"/>
      <c r="K26" s="41"/>
      <c r="L26" s="41"/>
      <c r="M26" s="41"/>
      <c r="N26" s="41"/>
      <c r="O26" s="41"/>
      <c r="P26" s="190" t="str">
        <f>IF(AND(mgmt_domain_ops_automation_later_chosen="Unselected",mgmt_vcf_management_network_chosen="Use VM management network"),IF(mgmt_dpg_reuse_result="Included",CONCATENATE(prefix_mgmt_az1_cidr,"10.24"),CONCATENATE(prefix_mgmt_az1_cidr,"11.24")),IF(flt_custom_network_chosen="Shared Management Network",IF(mgmt_dpg_reuse_result="Included",CONCATENATE(prefix_mgmt_az1_cidr,"10.24"),CONCATENATE(prefix_mgmt_az1_cidr,"11.24")),IF(flt_custom_network_chosen="NSX Overlay Segment",CONCATENATE(prefix_xreg_cidr,".24"),CONCATENATE(prefix_flt_shared_cidr,".24"))))</f>
        <v>10.21.10.24</v>
      </c>
      <c r="Q26" s="18"/>
      <c r="R26" s="82" t="str">
        <f>IF(ISBLANK(input_flt_auto_sr_ip),"Value Missing",input_flt_auto_sr_ip)</f>
        <v>Value Missing</v>
      </c>
      <c r="S26" s="41" t="s">
        <v>1406</v>
      </c>
      <c r="T26" s="41" t="s">
        <v>1407</v>
      </c>
      <c r="U26" s="41"/>
      <c r="V26" s="41"/>
      <c r="W26" s="41"/>
      <c r="X26" s="41"/>
      <c r="Y26" s="41"/>
      <c r="Z26" s="41"/>
    </row>
    <row r="27" ht="15.75" customHeight="1">
      <c r="A27" s="1"/>
      <c r="B27" s="196" t="str">
        <f>CONCATENATE(prefix_wld_az1_rack_cidr,"36.0/24")</f>
        <v>10.23.36.0/24</v>
      </c>
      <c r="C27" s="18"/>
      <c r="D27" s="41"/>
      <c r="E27" s="41"/>
      <c r="F27" s="41"/>
      <c r="G27" s="41"/>
      <c r="H27" s="41"/>
      <c r="I27" s="41"/>
      <c r="J27" s="41"/>
      <c r="K27" s="41"/>
      <c r="L27" s="41"/>
      <c r="M27" s="41"/>
      <c r="N27" s="41"/>
      <c r="O27" s="41"/>
      <c r="P27" s="86" t="s">
        <v>1408</v>
      </c>
      <c r="Q27" s="87"/>
      <c r="R27" s="87"/>
      <c r="S27" s="164"/>
      <c r="T27" s="41"/>
      <c r="U27" s="41"/>
      <c r="V27" s="41"/>
      <c r="W27" s="41"/>
      <c r="X27" s="41"/>
      <c r="Y27" s="41"/>
      <c r="Z27" s="41"/>
    </row>
    <row r="28" ht="15.75" customHeight="1">
      <c r="A28" s="1"/>
      <c r="B28" s="196" t="str">
        <f>CONCATENATE(prefix_wld_az1_rack_cidr,"45.0/24")</f>
        <v>10.23.45.0/24</v>
      </c>
      <c r="C28" s="18"/>
      <c r="D28" s="41"/>
      <c r="E28" s="41"/>
      <c r="F28" s="41"/>
      <c r="G28" s="41"/>
      <c r="H28" s="41"/>
      <c r="I28" s="41"/>
      <c r="J28" s="41"/>
      <c r="K28" s="41"/>
      <c r="L28" s="41"/>
      <c r="M28" s="41"/>
      <c r="N28" s="41"/>
      <c r="O28" s="41"/>
      <c r="P28" s="264" t="str">
        <f>CONCATENATE(prefix_portable_component,"-lc01.",sample_parent_dns_zone)</f>
        <v>flt-lc01.rainpole.io</v>
      </c>
      <c r="Q28" s="18"/>
      <c r="R28" s="82" t="str">
        <f>IF(ISBLANK(input_flt_lc_fqdn),"Value Missing",input_flt_lc_fqdn)</f>
        <v>Value Missing</v>
      </c>
      <c r="S28" s="41" t="s">
        <v>1402</v>
      </c>
      <c r="T28" s="41"/>
      <c r="U28" s="41"/>
      <c r="V28" s="41"/>
      <c r="W28" s="41"/>
      <c r="X28" s="41"/>
      <c r="Y28" s="41"/>
      <c r="Z28" s="41"/>
    </row>
    <row r="29" ht="15.75" customHeight="1">
      <c r="A29" s="1"/>
      <c r="B29" s="196" t="str">
        <f>CONCATENATE(prefix_wld_az1_rack_cidr,"46.0/24")</f>
        <v>10.23.46.0/24</v>
      </c>
      <c r="C29" s="18"/>
      <c r="D29" s="41"/>
      <c r="E29" s="41"/>
      <c r="F29" s="41"/>
      <c r="G29" s="41"/>
      <c r="H29" s="41"/>
      <c r="I29" s="41"/>
      <c r="J29" s="41"/>
      <c r="K29" s="41"/>
      <c r="L29" s="41"/>
      <c r="M29" s="41"/>
      <c r="N29" s="41"/>
      <c r="O29" s="41"/>
      <c r="P29" s="264" t="str">
        <f>CONCATENATE(this_instance,"-sr01.",sample_child_dns_zone)</f>
        <v>lax-sr01.lax.rainpole.io</v>
      </c>
      <c r="Q29" s="18"/>
      <c r="R29" s="82" t="str">
        <f>IF(ISBLANK(input_flt_sr_fqdn),"Value Missing",input_flt_sr_fqdn)</f>
        <v>Value Missing</v>
      </c>
      <c r="S29" s="41" t="s">
        <v>1403</v>
      </c>
      <c r="T29" s="41"/>
      <c r="U29" s="41"/>
      <c r="V29" s="41"/>
      <c r="W29" s="41"/>
      <c r="X29" s="41"/>
      <c r="Y29" s="41"/>
      <c r="Z29" s="41"/>
    </row>
    <row r="30" ht="15.75" customHeight="1">
      <c r="A30" s="1"/>
      <c r="B30" s="196" t="str">
        <f>CONCATENATE(prefix_wld_az1_rack_cidr,"48.0/24")</f>
        <v>10.23.48.0/24</v>
      </c>
      <c r="C30" s="18"/>
      <c r="D30" s="41"/>
      <c r="E30" s="41"/>
      <c r="F30" s="41"/>
      <c r="G30" s="41"/>
      <c r="H30" s="41"/>
      <c r="I30" s="41"/>
      <c r="J30" s="41"/>
      <c r="K30" s="41"/>
      <c r="L30" s="41"/>
      <c r="M30" s="41"/>
      <c r="N30" s="41"/>
      <c r="O30" s="41"/>
      <c r="P30" s="264" t="str">
        <f>CONCATENATE(this_instance,"-ic01.",sample_child_dns_zone)</f>
        <v>lax-ic01.lax.rainpole.io</v>
      </c>
      <c r="Q30" s="18"/>
      <c r="R30" s="82" t="str">
        <f>IF(ISBLANK(input_flt_ic_fqdn),"Value Missing",input_flt_ic_fqdn)</f>
        <v>Value Missing</v>
      </c>
      <c r="S30" s="41" t="s">
        <v>1404</v>
      </c>
      <c r="T30" s="41"/>
      <c r="U30" s="41"/>
      <c r="V30" s="41"/>
      <c r="W30" s="41"/>
      <c r="X30" s="41"/>
      <c r="Y30" s="41"/>
      <c r="Z30" s="41"/>
    </row>
    <row r="31" ht="15.75" customHeight="1">
      <c r="A31" s="1"/>
      <c r="B31" s="196" t="str">
        <f>CONCATENATE(prefix_wld_az1_rack_cidr,"47.0/24")</f>
        <v>10.23.47.0/24</v>
      </c>
      <c r="C31" s="18"/>
      <c r="D31" s="41"/>
      <c r="E31" s="41"/>
      <c r="F31" s="41"/>
      <c r="G31" s="41"/>
      <c r="H31" s="41"/>
      <c r="I31" s="41"/>
      <c r="J31" s="41"/>
      <c r="K31" s="41"/>
      <c r="L31" s="41"/>
      <c r="M31" s="41"/>
      <c r="N31" s="41"/>
      <c r="O31" s="41"/>
      <c r="P31" s="264" t="str">
        <f>CONCATENATE(prefix_portable_component,"-fc01.",sample_parent_dns_zone)</f>
        <v>flt-fc01.rainpole.io</v>
      </c>
      <c r="Q31" s="18"/>
      <c r="R31" s="82" t="str">
        <f>IF(ISBLANK(input_flt_fc_fqdn),"Value Missing",input_flt_fc_fqdn)</f>
        <v>Value Missing</v>
      </c>
      <c r="S31" s="41" t="s">
        <v>1405</v>
      </c>
      <c r="T31" s="41"/>
      <c r="U31" s="41"/>
      <c r="V31" s="41"/>
      <c r="W31" s="41"/>
      <c r="X31" s="41"/>
      <c r="Y31" s="41"/>
      <c r="Z31" s="41"/>
    </row>
    <row r="32" ht="15.75" customHeight="1">
      <c r="A32" s="1"/>
      <c r="B32" s="196" t="str">
        <f>CONCATENATE(prefix_wld_az1_rack_cidr,"56.0/24")</f>
        <v>10.23.56.0/24</v>
      </c>
      <c r="C32" s="18"/>
      <c r="D32" s="41"/>
      <c r="E32" s="41"/>
      <c r="F32" s="41"/>
      <c r="G32" s="41"/>
      <c r="H32" s="41"/>
      <c r="I32" s="41"/>
      <c r="J32" s="41"/>
      <c r="K32" s="41"/>
      <c r="L32" s="41"/>
      <c r="M32" s="41"/>
      <c r="N32" s="41"/>
      <c r="O32" s="41"/>
      <c r="P32" s="190" t="s">
        <v>1409</v>
      </c>
      <c r="Q32" s="18"/>
      <c r="R32" s="82" t="str">
        <f>IF(ISBLANK(input_flt_auto_sr_fqdn),"Value Missing",input_flt_auto_sr_fqdn)</f>
        <v>Value Missing</v>
      </c>
      <c r="S32" s="41" t="s">
        <v>1406</v>
      </c>
      <c r="T32" s="41"/>
      <c r="U32" s="41"/>
      <c r="V32" s="41"/>
      <c r="W32" s="41"/>
      <c r="X32" s="41"/>
      <c r="Y32" s="41"/>
      <c r="Z32" s="41"/>
    </row>
    <row r="33" ht="15.75" customHeight="1">
      <c r="A33" s="1"/>
      <c r="B33" s="196" t="str">
        <f>CONCATENATE(prefix_wld_az1_rack_cidr,"57.0/24")</f>
        <v>10.23.57.0/24</v>
      </c>
      <c r="C33" s="18"/>
      <c r="D33" s="41"/>
      <c r="E33" s="41"/>
      <c r="F33" s="41"/>
      <c r="G33" s="41"/>
      <c r="H33" s="41"/>
      <c r="I33" s="41"/>
      <c r="J33" s="41"/>
      <c r="K33" s="41"/>
      <c r="L33" s="41"/>
      <c r="M33" s="41"/>
      <c r="N33" s="41"/>
      <c r="O33" s="41"/>
      <c r="P33" s="61" t="s">
        <v>1410</v>
      </c>
      <c r="Q33" s="61"/>
      <c r="R33" s="61"/>
      <c r="S33" s="61"/>
      <c r="T33" s="41"/>
      <c r="U33" s="41"/>
      <c r="V33" s="41"/>
      <c r="W33" s="41"/>
      <c r="X33" s="41"/>
      <c r="Y33" s="41"/>
      <c r="Z33" s="41"/>
    </row>
    <row r="34" ht="15.75" customHeight="1">
      <c r="A34" s="1"/>
      <c r="B34" s="196" t="str">
        <f>CONCATENATE(prefix_wld_az1_rack_cidr,"59.0/24")</f>
        <v>10.23.59.0/24</v>
      </c>
      <c r="C34" s="18"/>
      <c r="D34" s="41"/>
      <c r="E34" s="41"/>
      <c r="F34" s="41"/>
      <c r="G34" s="41"/>
      <c r="H34" s="41"/>
      <c r="I34" s="41"/>
      <c r="J34" s="41"/>
      <c r="K34" s="41"/>
      <c r="L34" s="41"/>
      <c r="M34" s="41"/>
      <c r="N34" s="41"/>
      <c r="O34" s="41"/>
      <c r="P34" s="190" t="str">
        <f>IF(flt_custom_network_chosen="Shared Management Network",IF(mgmt_dpg_reuse_result="Included",CONCATENATE(prefix_mgmt_az1_cidr,"10.46"),CONCATENATE(prefix_mgmt_az1_cidr,"11.46")),IF(flt_custom_network_chosen="NSX Overlay Segment",CONCATENATE(prefix_xreg_cidr,".46"),CONCATENATE(prefix_flt_shared_cidr,".46")))</f>
        <v>10.21.10.46</v>
      </c>
      <c r="Q34" s="18"/>
      <c r="R34" s="82" t="str">
        <f>IF(ISBLANK(input_flt_auto_node_pool_start_ip),"Value Missing",input_flt_auto_node_pool_start_ip)</f>
        <v>Value Missing</v>
      </c>
      <c r="S34" s="84" t="s">
        <v>1411</v>
      </c>
      <c r="T34" s="41"/>
      <c r="U34" s="41"/>
      <c r="V34" s="41"/>
      <c r="W34" s="41"/>
      <c r="X34" s="41"/>
      <c r="Y34" s="41"/>
      <c r="Z34" s="41"/>
    </row>
    <row r="35" ht="15.75" customHeight="1">
      <c r="A35" s="1"/>
      <c r="B35" s="196" t="str">
        <f>CONCATENATE(prefix_wld_az1_rack_cidr,"58.0/24")</f>
        <v>10.23.58.0/24</v>
      </c>
      <c r="C35" s="18"/>
      <c r="D35" s="41"/>
      <c r="E35" s="41"/>
      <c r="F35" s="41"/>
      <c r="G35" s="41"/>
      <c r="H35" s="41"/>
      <c r="I35" s="41"/>
      <c r="J35" s="41"/>
      <c r="K35" s="41"/>
      <c r="L35" s="41"/>
      <c r="M35" s="41"/>
      <c r="N35" s="41"/>
      <c r="O35" s="41"/>
      <c r="P35" s="190" t="str">
        <f>IF(flt_custom_network_chosen="Shared Management Network",IF(mgmt_dpg_reuse_result="Included",CONCATENATE(prefix_mgmt_az1_cidr,"10.51"),CONCATENATE(prefix_mgmt_az1_cidr,"11.51")),IF(flt_custom_network_chosen="NSX Overlay Segment",CONCATENATE(prefix_xreg_cidr,".51"),CONCATENATE(prefix_flt_shared_cidr,".51")))</f>
        <v>10.21.10.51</v>
      </c>
      <c r="Q35" s="18"/>
      <c r="R35" s="82" t="str">
        <f>IF(ISBLANK(input_flt_auto_node_pool_end_ip),"Value Missing",input_flt_auto_node_pool_end_ip)</f>
        <v>Value Missing</v>
      </c>
      <c r="S35" s="84" t="s">
        <v>1412</v>
      </c>
      <c r="T35" s="41"/>
      <c r="U35" s="41"/>
      <c r="V35" s="41"/>
      <c r="W35" s="41"/>
      <c r="X35" s="41"/>
      <c r="Y35" s="41"/>
      <c r="Z35" s="41"/>
    </row>
    <row r="36" ht="15.75" customHeight="1">
      <c r="A36" s="1"/>
      <c r="B36" s="196" t="str">
        <f>CONCATENATE(prefix_wld_az1_rack_cidr,"67.0/24")</f>
        <v>10.23.67.0/24</v>
      </c>
      <c r="C36" s="18"/>
      <c r="D36" s="41"/>
      <c r="E36" s="41"/>
      <c r="F36" s="41"/>
      <c r="G36" s="41"/>
      <c r="H36" s="41"/>
      <c r="I36" s="41"/>
      <c r="J36" s="41"/>
      <c r="K36" s="41"/>
      <c r="L36" s="41"/>
      <c r="M36" s="41"/>
      <c r="N36" s="41"/>
      <c r="O36" s="41"/>
      <c r="P36" s="61" t="s">
        <v>1410</v>
      </c>
      <c r="Q36" s="61"/>
      <c r="R36" s="61"/>
      <c r="S36" s="61"/>
      <c r="T36" s="41"/>
      <c r="U36" s="41"/>
      <c r="V36" s="41"/>
      <c r="W36" s="41"/>
      <c r="X36" s="41"/>
      <c r="Y36" s="41"/>
      <c r="Z36" s="41"/>
    </row>
    <row r="37" ht="15.75" customHeight="1">
      <c r="A37" s="1"/>
      <c r="B37" s="196" t="str">
        <f>CONCATENATE(prefix_wld_az1_rack_cidr,"68.0/24")</f>
        <v>10.23.68.0/24</v>
      </c>
      <c r="C37" s="18"/>
      <c r="D37" s="41"/>
      <c r="E37" s="41"/>
      <c r="F37" s="41"/>
      <c r="G37" s="41"/>
      <c r="H37" s="41"/>
      <c r="I37" s="41"/>
      <c r="J37" s="41"/>
      <c r="K37" s="41"/>
      <c r="L37" s="41"/>
      <c r="M37" s="41"/>
      <c r="N37" s="41"/>
      <c r="O37" s="41"/>
      <c r="P37" s="190" t="str">
        <f>IF(flt_custom_network_chosen="Shared Management Network",IF(mgmt_dpg_reuse_result="Included",CONCATENATE(prefix_mgmt_az1_cidr,"10.46"),CONCATENATE(prefix_mgmt_az1_cidr,"11.46")),IF(flt_custom_network_chosen="NSX Overlay Segment",CONCATENATE(prefix_xreg_cidr,".46"),CONCATENATE(prefix_flt_shared_cidr,".46")))</f>
        <v>10.21.10.46</v>
      </c>
      <c r="Q37" s="18"/>
      <c r="R37" s="82" t="str">
        <f>IF(ISBLANK(input_xreg_vra_node_pool_start_ip),"Value Missing",input_xreg_vra_node_pool_start_ip)</f>
        <v>Value Missing</v>
      </c>
      <c r="S37" s="84" t="s">
        <v>1411</v>
      </c>
      <c r="T37" s="41"/>
      <c r="U37" s="41"/>
      <c r="V37" s="41"/>
      <c r="W37" s="41"/>
      <c r="X37" s="41"/>
      <c r="Y37" s="41"/>
      <c r="Z37" s="41"/>
    </row>
    <row r="38" ht="15.75" customHeight="1">
      <c r="A38" s="1"/>
      <c r="B38" s="196" t="str">
        <f>CONCATENATE(prefix_wld_az1_rack_cidr,"70.0/24")</f>
        <v>10.23.70.0/24</v>
      </c>
      <c r="C38" s="18"/>
      <c r="D38" s="41"/>
      <c r="E38" s="41"/>
      <c r="F38" s="41"/>
      <c r="G38" s="41"/>
      <c r="H38" s="41"/>
      <c r="I38" s="41"/>
      <c r="J38" s="41"/>
      <c r="K38" s="41"/>
      <c r="L38" s="41"/>
      <c r="M38" s="41"/>
      <c r="N38" s="41"/>
      <c r="O38" s="41"/>
      <c r="P38" s="190" t="str">
        <f>IF(flt_custom_network_chosen="Shared Management Network",IF(mgmt_dpg_reuse_result="Included",CONCATENATE(prefix_mgmt_az1_cidr,"10.51"),CONCATENATE(prefix_mgmt_az1_cidr,"11.51")),IF(flt_custom_network_chosen="NSX Overlay Segment",CONCATENATE(prefix_xreg_cidr,".51"),CONCATENATE(prefix_flt_shared_cidr,".51")))</f>
        <v>10.21.10.51</v>
      </c>
      <c r="Q38" s="18"/>
      <c r="R38" s="82" t="str">
        <f>IF(ISBLANK(input_xreg_vra_node_pool_end_ip),"Value Missing",input_xreg_vra_node_pool_end_ip)</f>
        <v>Value Missing</v>
      </c>
      <c r="S38" s="84" t="s">
        <v>1412</v>
      </c>
      <c r="T38" s="41"/>
      <c r="U38" s="41"/>
      <c r="V38" s="41"/>
      <c r="W38" s="41"/>
      <c r="X38" s="41"/>
      <c r="Y38" s="41"/>
      <c r="Z38" s="41"/>
    </row>
    <row r="39" ht="15.75" customHeight="1">
      <c r="A39" s="1"/>
      <c r="B39" s="196" t="str">
        <f>CONCATENATE(prefix_wld_az1_rack_cidr,"69.0/24")</f>
        <v>10.23.69.0/24</v>
      </c>
      <c r="C39" s="18"/>
      <c r="D39" s="41"/>
      <c r="E39" s="41"/>
      <c r="F39" s="41"/>
      <c r="G39" s="41"/>
      <c r="H39" s="41"/>
      <c r="I39" s="41"/>
      <c r="J39" s="41"/>
      <c r="K39" s="41"/>
      <c r="L39" s="41"/>
      <c r="M39" s="41"/>
      <c r="N39" s="41"/>
      <c r="O39" s="41"/>
      <c r="P39" s="61" t="s">
        <v>1413</v>
      </c>
      <c r="Q39" s="61"/>
      <c r="R39" s="61"/>
      <c r="S39" s="61"/>
      <c r="T39" s="41"/>
      <c r="U39" s="41"/>
      <c r="V39" s="41"/>
      <c r="W39" s="41"/>
      <c r="X39" s="41"/>
      <c r="Y39" s="41"/>
      <c r="Z39" s="41"/>
    </row>
    <row r="40" ht="15.75" customHeight="1">
      <c r="A40" s="1"/>
      <c r="B40" s="196" t="str">
        <f>CONCATENATE(prefix_wld_az1_rack_cidr,"78.0/24")</f>
        <v>10.23.78.0/24</v>
      </c>
      <c r="C40" s="18"/>
      <c r="D40" s="41"/>
      <c r="E40" s="41"/>
      <c r="F40" s="41"/>
      <c r="G40" s="41"/>
      <c r="H40" s="41"/>
      <c r="I40" s="41"/>
      <c r="J40" s="41"/>
      <c r="K40" s="41"/>
      <c r="L40" s="41"/>
      <c r="M40" s="41"/>
      <c r="N40" s="41"/>
      <c r="O40" s="41"/>
      <c r="P40" s="190" t="str">
        <f>IF(mgmt_vcf_management_network_chosen="Use VM management network",IF(mgmt_dpg_reuse_result="Included",CONCATENATE(prefix_mgmt_az1_cidr,"10.31"),CONCATENATE(prefix_mgmt_az1_cidr,"11.31")),CONCATENATE(prefix_flt_shared_cidr,".31"))</f>
        <v>10.21.10.31</v>
      </c>
      <c r="Q40" s="18"/>
      <c r="R40" s="82" t="str">
        <f>IF(ISBLANK(input_flt_vcfms_node_pool_start_ip),"Value Missing",input_flt_vcfms_node_pool_start_ip)</f>
        <v>Value Missing</v>
      </c>
      <c r="S40" s="84" t="s">
        <v>1411</v>
      </c>
      <c r="T40" s="41"/>
      <c r="U40" s="41"/>
      <c r="V40" s="41"/>
      <c r="W40" s="41"/>
      <c r="X40" s="41"/>
      <c r="Y40" s="41"/>
      <c r="Z40" s="41"/>
    </row>
    <row r="41" ht="15.75" customHeight="1">
      <c r="A41" s="1"/>
      <c r="B41" s="196" t="str">
        <f>CONCATENATE(prefix_wld_az1_rack_cidr,"79.0/24")</f>
        <v>10.23.79.0/24</v>
      </c>
      <c r="C41" s="18"/>
      <c r="D41" s="41"/>
      <c r="E41" s="41"/>
      <c r="F41" s="41"/>
      <c r="G41" s="41"/>
      <c r="H41" s="41"/>
      <c r="I41" s="41"/>
      <c r="J41" s="41"/>
      <c r="K41" s="41"/>
      <c r="L41" s="41"/>
      <c r="M41" s="41"/>
      <c r="N41" s="41"/>
      <c r="O41" s="41"/>
      <c r="P41" s="190" t="str">
        <f>IF(mgmt_vcf_management_network_chosen="Use VM management network",IF(mgmt_dpg_reuse_result="Included",CONCATENATE(prefix_mgmt_az1_cidr,"10.45"),CONCATENATE(prefix_mgmt_az1_cidr,"11.45")),CONCATENATE(prefix_flt_shared_cidr,".45"))</f>
        <v>10.21.10.45</v>
      </c>
      <c r="Q41" s="18"/>
      <c r="R41" s="82" t="str">
        <f>IF(ISBLANK(input_flt_vcfms_node_pool_end_ip),"Value Missing",input_flt_vcfms_node_pool_end_ip)</f>
        <v>Value Missing</v>
      </c>
      <c r="S41" s="84" t="s">
        <v>1412</v>
      </c>
      <c r="T41" s="41"/>
      <c r="U41" s="41"/>
      <c r="V41" s="41"/>
      <c r="W41" s="41"/>
      <c r="X41" s="41"/>
      <c r="Y41" s="41"/>
      <c r="Z41" s="41"/>
    </row>
    <row r="42" ht="15.75" customHeight="1">
      <c r="A42" s="1"/>
      <c r="B42" s="196" t="str">
        <f>CONCATENATE(prefix_wld_az1_rack_cidr,"81.0/24")</f>
        <v>10.23.81.0/24</v>
      </c>
      <c r="C42" s="18"/>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1"/>
      <c r="B43" s="196" t="str">
        <f>CONCATENATE(prefix_wld_az1_rack_cidr,"80.0/24")</f>
        <v>10.23.80.0/24</v>
      </c>
      <c r="C43" s="18"/>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1"/>
      <c r="B44" s="196" t="str">
        <f>CONCATENATE(prefix_wld_az1_rack_cidr,"89.0/24")</f>
        <v>10.23.89.0/24</v>
      </c>
      <c r="C44" s="18"/>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1"/>
      <c r="B45" s="196" t="str">
        <f>CONCATENATE(prefix_wld_az1_rack_cidr,"90.0/24")</f>
        <v>10.23.90.0/24</v>
      </c>
      <c r="C45" s="18"/>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1"/>
      <c r="B46" s="196" t="str">
        <f>CONCATENATE(prefix_wld_az1_rack_cidr,"92.0/24")</f>
        <v>10.23.92.0/24</v>
      </c>
      <c r="C46" s="18"/>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1"/>
      <c r="B47" s="196" t="str">
        <f>CONCATENATE(prefix_wld_az1_rack_cidr,"91.0/24")</f>
        <v>10.23.91.0/24</v>
      </c>
      <c r="C47" s="18"/>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1"/>
      <c r="B48" s="1"/>
      <c r="C48" s="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1"/>
      <c r="B49" s="1" t="s">
        <v>1414</v>
      </c>
      <c r="C49" s="1" t="str">
        <f>IF(ISBLANK(input_mgmt_existing_active_nsx_gm),"Value Missing",input_mgmt_existing_active_nsx_gm)</f>
        <v>Value Missing</v>
      </c>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1"/>
      <c r="B50" s="1" t="s">
        <v>1415</v>
      </c>
      <c r="C50" s="1" t="str">
        <f>IF(ISBLANK(input_mgmt_existing_cross_instance_t0_name),"Value Missing",input_mgmt_existing_cross_instance_t0_name)</f>
        <v>Value Missing</v>
      </c>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t="s">
        <v>1416</v>
      </c>
      <c r="C55" s="41" t="s">
        <v>1417</v>
      </c>
      <c r="D55" s="41"/>
      <c r="E55" s="41" t="s">
        <v>1418</v>
      </c>
      <c r="F55" s="41" t="s">
        <v>1417</v>
      </c>
      <c r="G55" s="41"/>
      <c r="H55" s="265" t="s">
        <v>1419</v>
      </c>
      <c r="I55" s="41" t="s">
        <v>1417</v>
      </c>
      <c r="J55" s="41"/>
      <c r="K55" s="265" t="s">
        <v>1420</v>
      </c>
      <c r="L55" s="41" t="s">
        <v>1417</v>
      </c>
      <c r="M55" s="41"/>
      <c r="N55" s="265" t="s">
        <v>1421</v>
      </c>
      <c r="O55" s="41" t="s">
        <v>1417</v>
      </c>
      <c r="P55" s="41"/>
      <c r="Q55" s="41"/>
      <c r="R55" s="41"/>
      <c r="S55" s="41"/>
      <c r="T55" s="265" t="s">
        <v>1422</v>
      </c>
      <c r="U55" s="41" t="s">
        <v>1417</v>
      </c>
      <c r="V55" s="41"/>
      <c r="W55" s="41"/>
      <c r="X55" s="41"/>
      <c r="Y55" s="41"/>
      <c r="Z55" s="41"/>
    </row>
    <row r="56" ht="15.75" customHeight="1">
      <c r="A56" s="41" t="s">
        <v>1423</v>
      </c>
      <c r="B56" s="41" t="str">
        <f>IF(cluster_wld_domain_chosen="VI Workload Domain",(CONCATENATE(prefix_wld_az1_vlan,"28")),(CONCATENATE(prefix_mgmt_az1_vlan,"28")))</f>
        <v>2328</v>
      </c>
      <c r="C56" s="41"/>
      <c r="D56" s="41"/>
      <c r="E56" s="41" t="str">
        <f>IF(cluster_wld_domain_chosen="VI Workload Domain",(CONCATENATE(prefix_wld_az1_vlan,"39")),(CONCATENATE(prefix_mgmt_az1_vlan,"39")))</f>
        <v>2339</v>
      </c>
      <c r="F56" s="41"/>
      <c r="G56" s="41"/>
      <c r="H56" s="41" t="str">
        <f>IF(cluster_wld_domain_chosen="VI Workload Domain",(CONCATENATE(prefix_wld_az1_vlan,"50")),(CONCATENATE(prefix_mgmt_az1_vlan,"50")))</f>
        <v>2350</v>
      </c>
      <c r="I56" s="41"/>
      <c r="J56" s="41"/>
      <c r="K56" s="41" t="str">
        <f>IF(cluster_wld_domain_chosen="VI Workload Domain",(CONCATENATE(prefix_wld_az1_vlan,"61")),(CONCATENATE(prefix_mgmt_az1_vlan,"61")))</f>
        <v>2361</v>
      </c>
      <c r="L56" s="41"/>
      <c r="M56" s="41"/>
      <c r="N56" s="41" t="str">
        <f>IF(cluster_wld_domain_chosen="VI Workload Domain",(CONCATENATE(prefix_wld_az1_vlan,"72")),(CONCATENATE(prefix_mgmt_az1_vlan,"72")))</f>
        <v>2372</v>
      </c>
      <c r="O56" s="41"/>
      <c r="P56" s="41"/>
      <c r="Q56" s="41"/>
      <c r="R56" s="41"/>
      <c r="S56" s="41"/>
      <c r="T56" s="41" t="str">
        <f>IF(cluster_wld_domain_chosen="VI Workload Domain",(CONCATENATE(prefix_wld_az1_vlan,"94")),(CONCATENATE(prefix_mgmt_az1_vlan,"94")))</f>
        <v>2394</v>
      </c>
      <c r="U56" s="41"/>
      <c r="V56" s="41"/>
      <c r="W56" s="41"/>
      <c r="X56" s="41"/>
      <c r="Y56" s="41"/>
      <c r="Z56" s="41"/>
    </row>
    <row r="57" ht="15.75" customHeight="1">
      <c r="A57" s="41" t="s">
        <v>1424</v>
      </c>
      <c r="B57" s="41" t="str">
        <f>IF(cluster_wld_domain_chosen="VI Workload Domain",(CONCATENATE(prefix_wld_az1_vlan,"29")),(CONCATENATE(prefix_mgmt_az1_vlan,"29")))</f>
        <v>2329</v>
      </c>
      <c r="C57" s="41"/>
      <c r="D57" s="41"/>
      <c r="E57" s="41" t="str">
        <f>IF(cluster_wld_domain_chosen="VI Workload Domain",(CONCATENATE(prefix_wld_az1_vlan,"40")),(CONCATENATE(prefix_mgmt_az1_vlan,"40")))</f>
        <v>2340</v>
      </c>
      <c r="F57" s="41"/>
      <c r="G57" s="41"/>
      <c r="H57" s="41" t="str">
        <f>IF(cluster_wld_domain_chosen="VI Workload Domain",(CONCATENATE(prefix_wld_az1_vlan,"51")),(CONCATENATE(prefix_mgmt_az1_vlan,"51")))</f>
        <v>2351</v>
      </c>
      <c r="I57" s="41"/>
      <c r="J57" s="41"/>
      <c r="K57" s="41" t="str">
        <f>IF(cluster_wld_domain_chosen="VI Workload Domain",(CONCATENATE(prefix_wld_az1_vlan,"62")),(CONCATENATE(prefix_mgmt_az1_vlan,"62")))</f>
        <v>2362</v>
      </c>
      <c r="L57" s="41"/>
      <c r="M57" s="41"/>
      <c r="N57" s="41" t="str">
        <f>IF(cluster_wld_domain_chosen="VI Workload Domain",(CONCATENATE(prefix_wld_az1_vlan,"73")),(CONCATENATE(prefix_mgmt_az1_vlan,"73")))</f>
        <v>2373</v>
      </c>
      <c r="O57" s="41"/>
      <c r="P57" s="41"/>
      <c r="Q57" s="41"/>
      <c r="R57" s="41"/>
      <c r="S57" s="41"/>
      <c r="T57" s="41" t="str">
        <f>IF(cluster_wld_domain_chosen="VI Workload Domain",(CONCATENATE(prefix_wld_az1_vlan,"95")),(CONCATENATE(prefix_mgmt_az1_vlan,"95")))</f>
        <v>2395</v>
      </c>
      <c r="U57" s="41"/>
      <c r="V57" s="41"/>
      <c r="W57" s="41"/>
      <c r="X57" s="41"/>
      <c r="Y57" s="41"/>
      <c r="Z57" s="41"/>
    </row>
    <row r="58" ht="15.75" customHeight="1">
      <c r="A58" s="41" t="s">
        <v>1425</v>
      </c>
      <c r="B58" s="41" t="str">
        <f>IF(cluster_wld_domain_chosen="VI Workload Domain",(CONCATENATE(prefix_wld_az1_vlan,"30")),(CONCATENATE(prefix_mgmt_az1_vlan,"30")))</f>
        <v>2330</v>
      </c>
      <c r="C58" s="41"/>
      <c r="D58" s="41"/>
      <c r="E58" s="41" t="str">
        <f>IF(cluster_wld_domain_chosen="VI Workload Domain",(CONCATENATE(prefix_wld_az1_vlan,"41")),(CONCATENATE(prefix_mgmt_az1_vlan,"41")))</f>
        <v>2341</v>
      </c>
      <c r="F58" s="41"/>
      <c r="G58" s="41"/>
      <c r="H58" s="41" t="str">
        <f>IF(cluster_wld_domain_chosen="VI Workload Domain",(CONCATENATE(prefix_wld_az1_vlan,"52")),(CONCATENATE(prefix_mgmt_az1_vlan,"52")))</f>
        <v>2352</v>
      </c>
      <c r="I58" s="41"/>
      <c r="J58" s="41"/>
      <c r="K58" s="41" t="str">
        <f>IF(cluster_wld_domain_chosen="VI Workload Domain",(CONCATENATE(prefix_wld_az1_vlan,"63")),(CONCATENATE(prefix_mgmt_az1_vlan,"63")))</f>
        <v>2363</v>
      </c>
      <c r="L58" s="41"/>
      <c r="M58" s="41"/>
      <c r="N58" s="41" t="str">
        <f>IF(cluster_wld_domain_chosen="VI Workload Domain",(CONCATENATE(prefix_wld_az1_vlan,"74")),(CONCATENATE(prefix_mgmt_az1_vlan,"74")))</f>
        <v>2374</v>
      </c>
      <c r="O58" s="41"/>
      <c r="P58" s="41"/>
      <c r="Q58" s="265" t="s">
        <v>1426</v>
      </c>
      <c r="R58" s="41" t="s">
        <v>1417</v>
      </c>
      <c r="S58" s="41"/>
      <c r="T58" s="41" t="str">
        <f>IF(cluster_wld_domain_chosen="VI Workload Domain",(CONCATENATE(prefix_wld_az1_vlan,"96")),(CONCATENATE(prefix_mgmt_az1_vlan,"96")))</f>
        <v>2396</v>
      </c>
      <c r="U58" s="41"/>
      <c r="V58" s="41"/>
      <c r="W58" s="41"/>
      <c r="X58" s="41"/>
      <c r="Y58" s="41"/>
      <c r="Z58" s="41"/>
    </row>
    <row r="59" ht="15.75" customHeight="1">
      <c r="A59" s="41" t="s">
        <v>1427</v>
      </c>
      <c r="B59" s="41" t="str">
        <f>IF(cluster_wld_domain_chosen="VI Workload Domain",CONCATENATE(prefix_wld_az1_cidr,"28.0"),CONCATENATE(prefix_mgmt_az1_cidr,"28.0"))</f>
        <v>10.23.28.0</v>
      </c>
      <c r="C59" s="41"/>
      <c r="D59" s="41"/>
      <c r="E59" s="41" t="str">
        <f>IF(cluster_wld_domain_chosen="VI Workload Domain",CONCATENATE(prefix_wld_az1_cidr,"39.0"),CONCATENATE(prefix_mgmt_az1_cidr,"39.0"))</f>
        <v>10.23.39.0</v>
      </c>
      <c r="F59" s="41"/>
      <c r="G59" s="41"/>
      <c r="H59" s="41" t="str">
        <f>IF(cluster_wld_domain_chosen="VI Workload Domain",CONCATENATE(prefix_wld_az1_cidr,"50.0"),CONCATENATE(prefix_mgmt_az1_cidr,"50.0"))</f>
        <v>10.23.50.0</v>
      </c>
      <c r="I59" s="41"/>
      <c r="J59" s="41"/>
      <c r="K59" s="41" t="str">
        <f>IF(cluster_wld_domain_chosen="VI Workload Domain",CONCATENATE(prefix_wld_az1_cidr,"61.0"),CONCATENATE(prefix_mgmt_az1_cidr,"61.0"))</f>
        <v>10.23.61.0</v>
      </c>
      <c r="L59" s="41"/>
      <c r="M59" s="41"/>
      <c r="N59" s="41" t="str">
        <f>IF(cluster_wld_domain_chosen="VI Workload Domain",CONCATENATE(prefix_wld_az1_cidr,"72.0"),CONCATENATE(prefix_mgmt_az1_cidr,"72.0"))</f>
        <v>10.23.72.0</v>
      </c>
      <c r="O59" s="41"/>
      <c r="P59" s="41"/>
      <c r="Q59" s="41" t="str">
        <f>IF(cluster_wld_domain_chosen="VI Workload Domain",(CONCATENATE(prefix_wld_az1_vlan,"83")),(CONCATENATE(prefix_mgmt_az1_vlan,"83")))</f>
        <v>2383</v>
      </c>
      <c r="R59" s="41"/>
      <c r="S59" s="41"/>
      <c r="T59" s="41" t="str">
        <f>IF(cluster_wld_domain_chosen="VI Workload Domain",CONCATENATE(prefix_wld_az1_cidr,"94.0"),CONCATENATE(prefix_mgmt_az1_cidr,"94.0"))</f>
        <v>10.23.94.0</v>
      </c>
      <c r="U59" s="41"/>
      <c r="V59" s="41"/>
      <c r="W59" s="41"/>
      <c r="X59" s="41"/>
      <c r="Y59" s="41"/>
      <c r="Z59" s="41"/>
    </row>
    <row r="60" ht="15.75" customHeight="1">
      <c r="A60" s="41" t="s">
        <v>1428</v>
      </c>
      <c r="B60" s="41" t="str">
        <f>IF(cluster_wld_domain_chosen="VI Workload Domain",CONCATENATE(prefix_wld_az1_cidr,"29.0"),CONCATENATE(prefix_mgmt_az1_cidr,"29.0"))</f>
        <v>10.23.29.0</v>
      </c>
      <c r="C60" s="41"/>
      <c r="D60" s="41"/>
      <c r="E60" s="41" t="str">
        <f>IF(cluster_wld_domain_chosen="VI Workload Domain",CONCATENATE(prefix_wld_az1_cidr,"40.0"),CONCATENATE(prefix_mgmt_az1_cidr,"40.0"))</f>
        <v>10.23.40.0</v>
      </c>
      <c r="F60" s="41"/>
      <c r="G60" s="41"/>
      <c r="H60" s="41" t="str">
        <f>IF(cluster_wld_domain_chosen="VI Workload Domain",CONCATENATE(prefix_wld_az1_cidr,"51.0"),CONCATENATE(prefix_mgmt_az1_cidr,"51.0"))</f>
        <v>10.23.51.0</v>
      </c>
      <c r="I60" s="41"/>
      <c r="J60" s="41"/>
      <c r="K60" s="41" t="str">
        <f>IF(cluster_wld_domain_chosen="VI Workload Domain",CONCATENATE(prefix_wld_az1_cidr,"62.0"),CONCATENATE(prefix_mgmt_az1_cidr,"62.0"))</f>
        <v>10.23.62.0</v>
      </c>
      <c r="L60" s="41"/>
      <c r="M60" s="41"/>
      <c r="N60" s="41" t="str">
        <f>IF(cluster_wld_domain_chosen="VI Workload Domain",CONCATENATE(prefix_wld_az1_cidr,"73.0"),CONCATENATE(prefix_mgmt_az1_cidr,"73.0"))</f>
        <v>10.23.73.0</v>
      </c>
      <c r="O60" s="41"/>
      <c r="P60" s="41"/>
      <c r="Q60" s="41" t="str">
        <f>IF(cluster_wld_domain_chosen="VI Workload Domain",(CONCATENATE(prefix_wld_az1_vlan,"84")),(CONCATENATE(prefix_mgmt_az1_vlan,"84")))</f>
        <v>2384</v>
      </c>
      <c r="R60" s="41"/>
      <c r="S60" s="41"/>
      <c r="T60" s="41" t="str">
        <f>IF(cluster_wld_domain_chosen="VI Workload Domain",CONCATENATE(prefix_wld_az1_cidr,"95.0"),CONCATENATE(prefix_mgmt_az1_cidr,"95.0"))</f>
        <v>10.23.95.0</v>
      </c>
      <c r="U60" s="41"/>
      <c r="V60" s="41"/>
      <c r="W60" s="41"/>
      <c r="X60" s="41"/>
      <c r="Y60" s="41"/>
      <c r="Z60" s="41"/>
    </row>
    <row r="61" ht="15.75" customHeight="1">
      <c r="A61" s="41" t="s">
        <v>1429</v>
      </c>
      <c r="B61" s="41" t="str">
        <f>IF(cluster_wld_domain_chosen="VI Workload Domain",CONCATENATE(prefix_wld_az1_cidr,"30.0"),CONCATENATE(prefix_mgmt_az1_cidr,"30.0"))</f>
        <v>10.23.30.0</v>
      </c>
      <c r="C61" s="41"/>
      <c r="D61" s="41"/>
      <c r="E61" s="41" t="str">
        <f>IF(cluster_wld_domain_chosen="VI Workload Domain",CONCATENATE(prefix_wld_az1_cidr,"41.0"),CONCATENATE(prefix_mgmt_az1_cidr,"41.0"))</f>
        <v>10.23.41.0</v>
      </c>
      <c r="F61" s="41"/>
      <c r="G61" s="41"/>
      <c r="H61" s="41" t="str">
        <f>IF(cluster_wld_domain_chosen="VI Workload Domain",CONCATENATE(prefix_wld_az1_cidr,"52.0"),CONCATENATE(prefix_mgmt_az1_cidr,"52.0"))</f>
        <v>10.23.52.0</v>
      </c>
      <c r="I61" s="41"/>
      <c r="J61" s="41"/>
      <c r="K61" s="41" t="str">
        <f>IF(cluster_wld_domain_chosen="VI Workload Domain",CONCATENATE(prefix_wld_az1_cidr,"63.0"),CONCATENATE(prefix_mgmt_az1_cidr,"63.0"))</f>
        <v>10.23.63.0</v>
      </c>
      <c r="L61" s="41"/>
      <c r="M61" s="41"/>
      <c r="N61" s="41" t="str">
        <f>IF(cluster_wld_domain_chosen="VI Workload Domain",CONCATENATE(prefix_wld_az1_cidr,"74.0"),CONCATENATE(prefix_mgmt_az1_cidr,"74.0"))</f>
        <v>10.23.74.0</v>
      </c>
      <c r="O61" s="41"/>
      <c r="P61" s="41"/>
      <c r="Q61" s="41" t="str">
        <f>IF(cluster_wld_domain_chosen="VI Workload Domain",(CONCATENATE(prefix_wld_az1_vlan,"85")),(CONCATENATE(prefix_mgmt_az1_vlan,"85")))</f>
        <v>2385</v>
      </c>
      <c r="R61" s="41"/>
      <c r="S61" s="41"/>
      <c r="T61" s="41" t="str">
        <f>IF(cluster_wld_domain_chosen="VI Workload Domain",CONCATENATE(prefix_wld_az1_cidr,"96.0"),CONCATENATE(prefix_mgmt_az1_cidr,"96.0"))</f>
        <v>10.23.96.0</v>
      </c>
      <c r="U61" s="41"/>
      <c r="V61" s="41"/>
      <c r="W61" s="41"/>
      <c r="X61" s="41"/>
      <c r="Y61" s="41"/>
      <c r="Z61" s="41"/>
    </row>
    <row r="62" ht="15.75" customHeight="1">
      <c r="A62" s="41" t="s">
        <v>1430</v>
      </c>
      <c r="B62" s="41" t="str">
        <f>IF(cluster_wld_domain_chosen="VI Workload Domain",CONCATENATE(prefix_wld_az1_cidr,"28.1"),CONCATENATE(prefix_mgmt_az1_cidr,"28.1"))</f>
        <v>10.23.28.1</v>
      </c>
      <c r="C62" s="41"/>
      <c r="D62" s="41"/>
      <c r="E62" s="41" t="str">
        <f>IF(cluster_wld_domain_chosen="VI Workload Domain",CONCATENATE(prefix_wld_az1_cidr,"39.1"),CONCATENATE(prefix_mgmt_az1_cidr,"39.1"))</f>
        <v>10.23.39.1</v>
      </c>
      <c r="F62" s="41"/>
      <c r="G62" s="41"/>
      <c r="H62" s="41" t="str">
        <f>IF(cluster_wld_domain_chosen="VI Workload Domain",CONCATENATE(prefix_wld_az1_cidr,"50.1"),CONCATENATE(prefix_mgmt_az1_cidr,"50.1"))</f>
        <v>10.23.50.1</v>
      </c>
      <c r="I62" s="41"/>
      <c r="J62" s="41"/>
      <c r="K62" s="41" t="str">
        <f>IF(cluster_wld_domain_chosen="VI Workload Domain",CONCATENATE(prefix_wld_az1_cidr,"61.1"),CONCATENATE(prefix_mgmt_az1_cidr,"61.1"))</f>
        <v>10.23.61.1</v>
      </c>
      <c r="L62" s="41"/>
      <c r="M62" s="41"/>
      <c r="N62" s="41" t="str">
        <f>IF(cluster_wld_domain_chosen="VI Workload Domain",CONCATENATE(prefix_wld_az1_cidr,"72.1"),CONCATENATE(prefix_mgmt_az1_cidr,"72.1"))</f>
        <v>10.23.72.1</v>
      </c>
      <c r="O62" s="41"/>
      <c r="P62" s="41"/>
      <c r="Q62" s="41" t="str">
        <f>IF(cluster_wld_domain_chosen="VI Workload Domain",CONCATENATE(prefix_wld_az1_cidr,"83.0"),CONCATENATE(prefix_mgmt_az1_cidr,"83.0"))</f>
        <v>10.23.83.0</v>
      </c>
      <c r="R62" s="41"/>
      <c r="S62" s="41"/>
      <c r="T62" s="41" t="str">
        <f>IF(cluster_wld_domain_chosen="VI Workload Domain",CONCATENATE(prefix_wld_az1_cidr,"94.1"),CONCATENATE(prefix_mgmt_az1_cidr,"94.1"))</f>
        <v>10.23.94.1</v>
      </c>
      <c r="U62" s="41"/>
      <c r="V62" s="41"/>
      <c r="W62" s="41"/>
      <c r="X62" s="41"/>
      <c r="Y62" s="41"/>
      <c r="Z62" s="41"/>
    </row>
    <row r="63" ht="15.75" customHeight="1">
      <c r="A63" s="41" t="s">
        <v>1431</v>
      </c>
      <c r="B63" s="41" t="str">
        <f>IF(cluster_wld_domain_chosen="VI Workload Domain",CONCATENATE(prefix_wld_az1_cidr,"29.1"),CONCATENATE(prefix_mgmt_az1_cidr,"29.1"))</f>
        <v>10.23.29.1</v>
      </c>
      <c r="C63" s="41"/>
      <c r="D63" s="41"/>
      <c r="E63" s="41" t="str">
        <f>IF(cluster_wld_domain_chosen="VI Workload Domain",CONCATENATE(prefix_wld_az1_cidr,"40.1"),CONCATENATE(prefix_mgmt_az1_cidr,"40.1"))</f>
        <v>10.23.40.1</v>
      </c>
      <c r="F63" s="41"/>
      <c r="G63" s="41"/>
      <c r="H63" s="41" t="str">
        <f>IF(cluster_wld_domain_chosen="VI Workload Domain",CONCATENATE(prefix_wld_az1_cidr,"51.1"),CONCATENATE(prefix_mgmt_az1_cidr,"51.1"))</f>
        <v>10.23.51.1</v>
      </c>
      <c r="I63" s="41"/>
      <c r="J63" s="41"/>
      <c r="K63" s="41" t="str">
        <f>IF(cluster_wld_domain_chosen="VI Workload Domain",CONCATENATE(prefix_wld_az1_cidr,"62.1"),CONCATENATE(prefix_mgmt_az1_cidr,"62.1"))</f>
        <v>10.23.62.1</v>
      </c>
      <c r="L63" s="41"/>
      <c r="M63" s="41"/>
      <c r="N63" s="41" t="str">
        <f>IF(cluster_wld_domain_chosen="VI Workload Domain",CONCATENATE(prefix_wld_az1_cidr,"73.1"),CONCATENATE(prefix_mgmt_az1_cidr,"73.1"))</f>
        <v>10.23.73.1</v>
      </c>
      <c r="O63" s="41"/>
      <c r="P63" s="41"/>
      <c r="Q63" s="41" t="str">
        <f>IF(cluster_wld_domain_chosen="VI Workload Domain",CONCATENATE(prefix_wld_az1_cidr,"84.0"),CONCATENATE(prefix_mgmt_az1_cidr,"84.0"))</f>
        <v>10.23.84.0</v>
      </c>
      <c r="R63" s="41"/>
      <c r="S63" s="41"/>
      <c r="T63" s="41" t="str">
        <f>IF(cluster_wld_domain_chosen="VI Workload Domain",CONCATENATE(prefix_wld_az1_cidr,"95.1"),CONCATENATE(prefix_mgmt_az1_cidr,"95.1"))</f>
        <v>10.23.95.1</v>
      </c>
      <c r="U63" s="41"/>
      <c r="V63" s="41"/>
      <c r="W63" s="41"/>
      <c r="X63" s="41"/>
      <c r="Y63" s="41"/>
      <c r="Z63" s="41"/>
    </row>
    <row r="64" ht="15.75" customHeight="1">
      <c r="A64" s="41" t="s">
        <v>1432</v>
      </c>
      <c r="B64" s="41" t="str">
        <f>IF(cluster_wld_domain_chosen="VI Workload Domain",CONCATENATE(prefix_wld_az1_cidr,"30.1"),CONCATENATE(prefix_mgmt_az1_cidr,"30.1"))</f>
        <v>10.23.30.1</v>
      </c>
      <c r="C64" s="41"/>
      <c r="D64" s="41"/>
      <c r="E64" s="41" t="str">
        <f>IF(cluster_wld_domain_chosen="VI Workload Domain",CONCATENATE(prefix_wld_az1_cidr,"41.1"),CONCATENATE(prefix_mgmt_az1_cidr,"41.1"))</f>
        <v>10.23.41.1</v>
      </c>
      <c r="F64" s="41"/>
      <c r="G64" s="41"/>
      <c r="H64" s="41" t="str">
        <f>IF(cluster_wld_domain_chosen="VI Workload Domain",CONCATENATE(prefix_wld_az1_cidr,"52.1"),CONCATENATE(prefix_mgmt_az1_cidr,"52.1"))</f>
        <v>10.23.52.1</v>
      </c>
      <c r="I64" s="41"/>
      <c r="J64" s="41"/>
      <c r="K64" s="41" t="str">
        <f>IF(cluster_wld_domain_chosen="VI Workload Domain",CONCATENATE(prefix_wld_az1_cidr,"63.1"),CONCATENATE(prefix_mgmt_az1_cidr,"63.1"))</f>
        <v>10.23.63.1</v>
      </c>
      <c r="L64" s="41"/>
      <c r="M64" s="41"/>
      <c r="N64" s="41" t="str">
        <f>IF(cluster_wld_domain_chosen="VI Workload Domain",CONCATENATE(prefix_wld_az1_cidr,"74.1"),CONCATENATE(prefix_mgmt_az1_cidr,"74.1"))</f>
        <v>10.23.74.1</v>
      </c>
      <c r="O64" s="41"/>
      <c r="P64" s="41"/>
      <c r="Q64" s="41" t="str">
        <f>IF(cluster_wld_domain_chosen="VI Workload Domain",CONCATENATE(prefix_wld_az1_cidr,"85.0"),CONCATENATE(prefix_mgmt_az1_cidr,"85.0"))</f>
        <v>10.23.85.0</v>
      </c>
      <c r="R64" s="41"/>
      <c r="S64" s="41"/>
      <c r="T64" s="41" t="str">
        <f>IF(cluster_wld_domain_chosen="VI Workload Domain",CONCATENATE(prefix_wld_az1_cidr,"96.1"),CONCATENATE(prefix_mgmt_az1_cidr,"96.1"))</f>
        <v>10.23.96.1</v>
      </c>
      <c r="U64" s="41"/>
      <c r="V64" s="41"/>
      <c r="W64" s="41"/>
      <c r="X64" s="41"/>
      <c r="Y64" s="41"/>
      <c r="Z64" s="41"/>
    </row>
    <row r="65" ht="15.75" customHeight="1">
      <c r="A65" s="41" t="s">
        <v>1433</v>
      </c>
      <c r="B65" s="41" t="s">
        <v>622</v>
      </c>
      <c r="C65" s="41"/>
      <c r="D65" s="41"/>
      <c r="E65" s="41" t="s">
        <v>622</v>
      </c>
      <c r="F65" s="41"/>
      <c r="G65" s="41"/>
      <c r="H65" s="41" t="s">
        <v>622</v>
      </c>
      <c r="I65" s="41"/>
      <c r="J65" s="41"/>
      <c r="K65" s="41" t="s">
        <v>622</v>
      </c>
      <c r="L65" s="41"/>
      <c r="M65" s="41"/>
      <c r="N65" s="41" t="s">
        <v>622</v>
      </c>
      <c r="O65" s="41"/>
      <c r="P65" s="41"/>
      <c r="Q65" s="41" t="str">
        <f>IF(cluster_wld_domain_chosen="VI Workload Domain",CONCATENATE(prefix_wld_az1_cidr,"83.1"),CONCATENATE(prefix_mgmt_az1_cidr,"83.1"))</f>
        <v>10.23.83.1</v>
      </c>
      <c r="R65" s="41"/>
      <c r="S65" s="41"/>
      <c r="T65" s="41" t="s">
        <v>622</v>
      </c>
      <c r="U65" s="41"/>
      <c r="V65" s="41"/>
      <c r="W65" s="41"/>
      <c r="X65" s="41"/>
      <c r="Y65" s="41"/>
      <c r="Z65" s="41"/>
    </row>
    <row r="66" ht="15.75" customHeight="1">
      <c r="A66" s="41" t="s">
        <v>1434</v>
      </c>
      <c r="B66" s="41" t="s">
        <v>622</v>
      </c>
      <c r="C66" s="41"/>
      <c r="D66" s="41"/>
      <c r="E66" s="41" t="s">
        <v>622</v>
      </c>
      <c r="F66" s="41"/>
      <c r="G66" s="41"/>
      <c r="H66" s="41" t="s">
        <v>622</v>
      </c>
      <c r="I66" s="41"/>
      <c r="J66" s="41"/>
      <c r="K66" s="41" t="s">
        <v>622</v>
      </c>
      <c r="L66" s="41"/>
      <c r="M66" s="41"/>
      <c r="N66" s="41" t="s">
        <v>622</v>
      </c>
      <c r="O66" s="41"/>
      <c r="P66" s="41"/>
      <c r="Q66" s="41" t="str">
        <f>IF(cluster_wld_domain_chosen="VI Workload Domain",CONCATENATE(prefix_wld_az1_cidr,"84.1"),CONCATENATE(prefix_mgmt_az1_cidr,"84.1"))</f>
        <v>10.23.84.1</v>
      </c>
      <c r="R66" s="41"/>
      <c r="S66" s="41"/>
      <c r="T66" s="41" t="s">
        <v>622</v>
      </c>
      <c r="U66" s="41"/>
      <c r="V66" s="41"/>
      <c r="W66" s="41"/>
      <c r="X66" s="41"/>
      <c r="Y66" s="41"/>
      <c r="Z66" s="41"/>
    </row>
    <row r="67" ht="15.75" customHeight="1">
      <c r="A67" s="41" t="s">
        <v>1435</v>
      </c>
      <c r="B67" s="41" t="s">
        <v>622</v>
      </c>
      <c r="C67" s="41"/>
      <c r="D67" s="41"/>
      <c r="E67" s="41" t="s">
        <v>622</v>
      </c>
      <c r="F67" s="41"/>
      <c r="G67" s="41"/>
      <c r="H67" s="41" t="s">
        <v>622</v>
      </c>
      <c r="I67" s="41"/>
      <c r="J67" s="41"/>
      <c r="K67" s="41" t="s">
        <v>622</v>
      </c>
      <c r="L67" s="41"/>
      <c r="M67" s="41"/>
      <c r="N67" s="41" t="s">
        <v>622</v>
      </c>
      <c r="O67" s="41"/>
      <c r="P67" s="41"/>
      <c r="Q67" s="41" t="str">
        <f>IF(cluster_wld_domain_chosen="VI Workload Domain",CONCATENATE(prefix_wld_az1_cidr,"85.1"),CONCATENATE(prefix_mgmt_az1_cidr,"85.1"))</f>
        <v>10.23.85.1</v>
      </c>
      <c r="R67" s="41"/>
      <c r="S67" s="41"/>
      <c r="T67" s="41" t="s">
        <v>622</v>
      </c>
      <c r="U67" s="41"/>
      <c r="V67" s="41"/>
      <c r="W67" s="41"/>
      <c r="X67" s="41"/>
      <c r="Y67" s="41"/>
      <c r="Z67" s="41"/>
    </row>
    <row r="68" ht="15.75" customHeight="1">
      <c r="A68" s="41" t="s">
        <v>1436</v>
      </c>
      <c r="B68" s="266">
        <v>9000.0</v>
      </c>
      <c r="C68" s="266"/>
      <c r="D68" s="266"/>
      <c r="E68" s="266">
        <v>9000.0</v>
      </c>
      <c r="F68" s="266"/>
      <c r="G68" s="266"/>
      <c r="H68" s="266">
        <v>9000.0</v>
      </c>
      <c r="I68" s="266"/>
      <c r="J68" s="266"/>
      <c r="K68" s="266">
        <v>9000.0</v>
      </c>
      <c r="L68" s="266"/>
      <c r="M68" s="266"/>
      <c r="N68" s="266">
        <v>9000.0</v>
      </c>
      <c r="O68" s="266"/>
      <c r="P68" s="41"/>
      <c r="Q68" s="41" t="s">
        <v>622</v>
      </c>
      <c r="R68" s="41"/>
      <c r="S68" s="41"/>
      <c r="T68" s="266">
        <v>9000.0</v>
      </c>
      <c r="U68" s="41"/>
      <c r="V68" s="41"/>
      <c r="W68" s="41"/>
      <c r="X68" s="41"/>
      <c r="Y68" s="41"/>
      <c r="Z68" s="41"/>
    </row>
    <row r="69" ht="15.75" customHeight="1">
      <c r="A69" s="41" t="s">
        <v>1437</v>
      </c>
      <c r="B69" s="266">
        <v>9000.0</v>
      </c>
      <c r="C69" s="266"/>
      <c r="D69" s="266"/>
      <c r="E69" s="266">
        <v>9000.0</v>
      </c>
      <c r="F69" s="266"/>
      <c r="G69" s="266"/>
      <c r="H69" s="266">
        <v>9000.0</v>
      </c>
      <c r="I69" s="266"/>
      <c r="J69" s="266"/>
      <c r="K69" s="266">
        <v>9000.0</v>
      </c>
      <c r="L69" s="266"/>
      <c r="M69" s="266"/>
      <c r="N69" s="266">
        <v>9000.0</v>
      </c>
      <c r="O69" s="266"/>
      <c r="P69" s="41"/>
      <c r="Q69" s="41" t="s">
        <v>622</v>
      </c>
      <c r="R69" s="41"/>
      <c r="S69" s="41"/>
      <c r="T69" s="266">
        <v>9000.0</v>
      </c>
      <c r="U69" s="41"/>
      <c r="V69" s="41"/>
      <c r="W69" s="41"/>
      <c r="X69" s="41"/>
      <c r="Y69" s="41"/>
      <c r="Z69" s="41"/>
    </row>
    <row r="70" ht="15.75" customHeight="1">
      <c r="A70" s="41" t="s">
        <v>1438</v>
      </c>
      <c r="B70" s="266">
        <v>9000.0</v>
      </c>
      <c r="C70" s="266"/>
      <c r="D70" s="266"/>
      <c r="E70" s="266">
        <v>9000.0</v>
      </c>
      <c r="F70" s="266"/>
      <c r="G70" s="266"/>
      <c r="H70" s="266">
        <v>9000.0</v>
      </c>
      <c r="I70" s="266"/>
      <c r="J70" s="266"/>
      <c r="K70" s="266">
        <v>9000.0</v>
      </c>
      <c r="L70" s="266"/>
      <c r="M70" s="266"/>
      <c r="N70" s="266">
        <v>9000.0</v>
      </c>
      <c r="O70" s="266"/>
      <c r="P70" s="41"/>
      <c r="Q70" s="41" t="s">
        <v>622</v>
      </c>
      <c r="R70" s="41"/>
      <c r="S70" s="41"/>
      <c r="T70" s="266">
        <v>9000.0</v>
      </c>
      <c r="U70" s="41"/>
      <c r="V70" s="41"/>
      <c r="W70" s="41"/>
      <c r="X70" s="41"/>
      <c r="Y70" s="41"/>
      <c r="Z70" s="41"/>
    </row>
    <row r="71" ht="15.75" customHeight="1">
      <c r="A71" s="267" t="s">
        <v>616</v>
      </c>
      <c r="B71" s="41" t="str">
        <f>IF(cluster_wld_domain_chosen="VI Workload Domain",CONCATENATE(prefix_wld_az1_cidr,"30.2"),CONCATENATE(prefix_mgmt_az1_cidr,"30.2"))</f>
        <v>10.23.30.2</v>
      </c>
      <c r="C71" s="41"/>
      <c r="D71" s="41"/>
      <c r="E71" s="41" t="str">
        <f>IF(cluster_wld_domain_chosen="VI Workload Domain",CONCATENATE(prefix_wld_az1_cidr,"41.2"),CONCATENATE(prefix_mgmt_az1_cidr,"41.2"))</f>
        <v>10.23.41.2</v>
      </c>
      <c r="F71" s="41"/>
      <c r="G71" s="41"/>
      <c r="H71" s="41" t="str">
        <f>IF(cluster_wld_domain_chosen="VI Workload Domain",CONCATENATE(prefix_wld_az1_cidr,"52.2"),CONCATENATE(prefix_mgmt_az1_cidr,"52.2"))</f>
        <v>10.23.52.2</v>
      </c>
      <c r="I71" s="41"/>
      <c r="J71" s="41"/>
      <c r="K71" s="41" t="str">
        <f>IF(cluster_wld_domain_chosen="VI Workload Domain",CONCATENATE(prefix_wld_az1_cidr,"63.2"),CONCATENATE(prefix_mgmt_az1_cidr,"63.2"))</f>
        <v>10.23.63.2</v>
      </c>
      <c r="L71" s="41"/>
      <c r="M71" s="41"/>
      <c r="N71" s="41" t="str">
        <f>IF(cluster_wld_domain_chosen="VI Workload Domain",CONCATENATE(prefix_wld_az1_cidr,"74.2"),CONCATENATE(prefix_mgmt_az1_cidr,"74.2"))</f>
        <v>10.23.74.2</v>
      </c>
      <c r="O71" s="41"/>
      <c r="P71" s="266"/>
      <c r="Q71" s="266">
        <v>9000.0</v>
      </c>
      <c r="R71" s="266"/>
      <c r="S71" s="266"/>
      <c r="T71" s="41" t="str">
        <f>IF(cluster_wld_domain_chosen="VI Workload Domain",CONCATENATE(prefix_wld_az1_cidr,"96.2"),CONCATENATE(prefix_mgmt_az1_cidr,"96.2"))</f>
        <v>10.23.96.2</v>
      </c>
      <c r="U71" s="41"/>
      <c r="V71" s="41"/>
      <c r="W71" s="41"/>
      <c r="X71" s="41"/>
      <c r="Y71" s="41"/>
      <c r="Z71" s="41"/>
    </row>
    <row r="72" ht="33.75" customHeight="1">
      <c r="A72" s="268" t="s">
        <v>617</v>
      </c>
      <c r="B72" s="41" t="str">
        <f>IF(cluster_wld_domain_chosen="VI Workload Domain",CONCATENATE(prefix_wld_az1_cidr,"30.5"),CONCATENATE(prefix_mgmt_az1_cidr,"30.5"))</f>
        <v>10.23.30.5</v>
      </c>
      <c r="C72" s="41"/>
      <c r="D72" s="41"/>
      <c r="E72" s="41" t="str">
        <f>IF(cluster_wld_domain_chosen="VI Workload Domain",CONCATENATE(prefix_wld_az1_cidr,"41.5"),CONCATENATE(prefix_mgmt_az1_cidr,"41.5"))</f>
        <v>10.23.41.5</v>
      </c>
      <c r="F72" s="41"/>
      <c r="G72" s="41"/>
      <c r="H72" s="41" t="str">
        <f>IF(cluster_wld_domain_chosen="VI Workload Domain",CONCATENATE(prefix_wld_az1_cidr,"52.5"),CONCATENATE(prefix_mgmt_az1_cidr,"52.5"))</f>
        <v>10.23.52.5</v>
      </c>
      <c r="I72" s="41"/>
      <c r="J72" s="41"/>
      <c r="K72" s="41" t="str">
        <f>IF(cluster_wld_domain_chosen="VI Workload Domain",CONCATENATE(prefix_wld_az1_cidr,"63.5"),CONCATENATE(prefix_mgmt_az1_cidr,"63.5"))</f>
        <v>10.23.63.5</v>
      </c>
      <c r="L72" s="41"/>
      <c r="M72" s="41"/>
      <c r="N72" s="41" t="str">
        <f>IF(cluster_wld_domain_chosen="VI Workload Domain",CONCATENATE(prefix_wld_az1_cidr,"74.5"),CONCATENATE(prefix_mgmt_az1_cidr,"74.5"))</f>
        <v>10.23.74.5</v>
      </c>
      <c r="O72" s="41"/>
      <c r="P72" s="266"/>
      <c r="Q72" s="266">
        <v>9000.0</v>
      </c>
      <c r="R72" s="266"/>
      <c r="S72" s="266"/>
      <c r="T72" s="41" t="str">
        <f>IF(cluster_wld_domain_chosen="VI Workload Domain",CONCATENATE(prefix_wld_az1_cidr,"96.5"),CONCATENATE(prefix_mgmt_az1_cidr,"96.5"))</f>
        <v>10.23.96.5</v>
      </c>
      <c r="U72" s="41"/>
      <c r="V72" s="41"/>
      <c r="W72" s="41"/>
      <c r="X72" s="41"/>
      <c r="Y72" s="41"/>
      <c r="Z72" s="41"/>
    </row>
    <row r="73" ht="15.75" customHeight="1">
      <c r="A73" s="84" t="s">
        <v>1439</v>
      </c>
      <c r="B73" s="41" t="str">
        <f>IF(cluster_wld_domain_chosen="VI Workload Domain",IF(mgmt_domain_chosen="First Instance","65102",IF(wld_nsxt_federation_result="Included","65202","65102")),IF(mgmt_domain_chosen="First Instance","65101",IF(mgmt_nsxt_federation_result="Included","65201","65101")))</f>
        <v>65102</v>
      </c>
      <c r="C73" s="41"/>
      <c r="D73" s="41"/>
      <c r="E73" s="41" t="str">
        <f>IF(cluster_wld_domain_chosen="VI Workload Domain",IF(mgmt_domain_chosen="First Instance","65102",IF(wld_nsxt_federation_result="Included","65202","65102")),IF(mgmt_domain_chosen="First Instance","65101",IF(mgmt_nsxt_federation_result="Included","65201","65101")))</f>
        <v>65102</v>
      </c>
      <c r="F73" s="41"/>
      <c r="G73" s="41"/>
      <c r="H73" s="41" t="str">
        <f>IF(cluster_wld_domain_chosen="VI Workload Domain",IF(mgmt_domain_chosen="First Instance","65102",IF(wld_nsxt_federation_result="Included","65202","65102")),IF(mgmt_domain_chosen="First Instance","65101",IF(mgmt_nsxt_federation_result="Included","65201","65101")))</f>
        <v>65102</v>
      </c>
      <c r="I73" s="41"/>
      <c r="J73" s="41"/>
      <c r="K73" s="41" t="str">
        <f>IF(cluster_wld_domain_chosen="VI Workload Domain",IF(mgmt_domain_chosen="First Instance","65102",IF(wld_nsxt_federation_result="Included","65202","65102")),IF(mgmt_domain_chosen="First Instance","65101",IF(mgmt_nsxt_federation_result="Included","65201","65101")))</f>
        <v>65102</v>
      </c>
      <c r="L73" s="41"/>
      <c r="M73" s="41"/>
      <c r="N73" s="41" t="str">
        <f>IF(cluster_wld_domain_chosen="VI Workload Domain",IF(mgmt_domain_chosen="First Instance","65102",IF(wld_nsxt_federation_result="Included","65202","65102")),IF(mgmt_domain_chosen="First Instance","65101",IF(mgmt_nsxt_federation_result="Included","65201","65101")))</f>
        <v>65102</v>
      </c>
      <c r="O73" s="41"/>
      <c r="P73" s="266"/>
      <c r="Q73" s="266">
        <v>9000.0</v>
      </c>
      <c r="R73" s="266"/>
      <c r="S73" s="266"/>
      <c r="T73" s="41" t="str">
        <f>IF(cluster_wld_domain_chosen="VI Workload Domain",IF(mgmt_domain_chosen="First Instance","65102",IF(wld_nsxt_federation_result="Included","65202","65102")),IF(mgmt_domain_chosen="First Instance","65101",IF(mgmt_nsxt_federation_result="Included","65201","65101")))</f>
        <v>65102</v>
      </c>
      <c r="U73" s="41"/>
      <c r="V73" s="41"/>
      <c r="W73" s="41"/>
      <c r="X73" s="41"/>
      <c r="Y73" s="41"/>
      <c r="Z73" s="41"/>
    </row>
    <row r="74" ht="15.75" customHeight="1">
      <c r="A74" s="84" t="s">
        <v>658</v>
      </c>
      <c r="B74" s="41" t="str">
        <f>IF(cluster_wld_domain_chosen="VI Workload Domain",CONCATENATE(prefix_wld_az1_cidr,"28.10"),CONCATENATE(prefix_mgmt_az1_cidr,"28.10"))</f>
        <v>10.23.28.10</v>
      </c>
      <c r="C74" s="41"/>
      <c r="D74" s="41"/>
      <c r="E74" s="41" t="str">
        <f>IF(cluster_wld_domain_chosen="VI Workload Domain",CONCATENATE(prefix_wld_az1_cidr,"39.10"),CONCATENATE(prefix_mgmt_az1_cidr,"39.10"))</f>
        <v>10.23.39.10</v>
      </c>
      <c r="F74" s="41"/>
      <c r="G74" s="41"/>
      <c r="H74" s="41" t="str">
        <f>IF(cluster_wld_domain_chosen="VI Workload Domain",CONCATENATE(prefix_wld_az1_cidr,"50.10"),CONCATENATE(prefix_mgmt_az1_cidr,"50.10"))</f>
        <v>10.23.50.10</v>
      </c>
      <c r="I74" s="41"/>
      <c r="J74" s="41"/>
      <c r="K74" s="41" t="str">
        <f>IF(cluster_wld_domain_chosen="VI Workload Domain",CONCATENATE(prefix_wld_az1_cidr,"61.10"),CONCATENATE(prefix_mgmt_az1_cidr,"61.10"))</f>
        <v>10.23.61.10</v>
      </c>
      <c r="L74" s="41"/>
      <c r="M74" s="41"/>
      <c r="N74" s="41" t="str">
        <f>IF(cluster_wld_domain_chosen="VI Workload Domain",CONCATENATE(prefix_wld_az1_cidr,"72.10"),CONCATENATE(prefix_mgmt_az1_cidr,"72.10"))</f>
        <v>10.23.72.10</v>
      </c>
      <c r="O74" s="41"/>
      <c r="P74" s="41"/>
      <c r="Q74" s="41" t="str">
        <f>IF(cluster_wld_domain_chosen="VI Workload Domain",CONCATENATE(prefix_wld_az1_cidr,"85.2"),CONCATENATE(prefix_mgmt_az1_cidr,"85.2"))</f>
        <v>10.23.85.2</v>
      </c>
      <c r="R74" s="41"/>
      <c r="S74" s="41"/>
      <c r="T74" s="41" t="str">
        <f>IF(cluster_wld_domain_chosen="VI Workload Domain",CONCATENATE(prefix_wld_az1_cidr,"94.10"),CONCATENATE(prefix_mgmt_az1_cidr,"94.10"))</f>
        <v>10.23.94.10</v>
      </c>
      <c r="U74" s="41"/>
      <c r="V74" s="41"/>
      <c r="W74" s="41"/>
      <c r="X74" s="41"/>
      <c r="Y74" s="41"/>
      <c r="Z74" s="41"/>
    </row>
    <row r="75" ht="15.75" customHeight="1">
      <c r="A75" s="84" t="s">
        <v>659</v>
      </c>
      <c r="B75" s="41"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212</v>
      </c>
      <c r="C75" s="41"/>
      <c r="D75" s="41"/>
      <c r="E75" s="41"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213</v>
      </c>
      <c r="F75" s="41"/>
      <c r="G75" s="41"/>
      <c r="H75" s="41"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214</v>
      </c>
      <c r="I75" s="41"/>
      <c r="J75" s="41"/>
      <c r="K75" s="41"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215</v>
      </c>
      <c r="L75" s="41"/>
      <c r="M75" s="41"/>
      <c r="N75" s="41"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216</v>
      </c>
      <c r="O75" s="41"/>
      <c r="P75" s="41"/>
      <c r="Q75" s="41" t="str">
        <f>IF(cluster_wld_domain_chosen="VI Workload Domain",CONCATENATE(prefix_wld_az1_cidr,"85.5"),CONCATENATE(prefix_mgmt_az1_cidr,"85.5"))</f>
        <v>10.23.85.5</v>
      </c>
      <c r="R75" s="41"/>
      <c r="S75" s="41"/>
      <c r="T75" s="41"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218</v>
      </c>
      <c r="U75" s="41"/>
      <c r="V75" s="41"/>
      <c r="W75" s="41"/>
      <c r="X75" s="41"/>
      <c r="Y75" s="41"/>
      <c r="Z75" s="41"/>
    </row>
    <row r="76" ht="15.75" customHeight="1">
      <c r="A76" s="84" t="s">
        <v>660</v>
      </c>
      <c r="B76" s="41" t="s">
        <v>382</v>
      </c>
      <c r="C76" s="41"/>
      <c r="D76" s="41"/>
      <c r="E76" s="41" t="s">
        <v>382</v>
      </c>
      <c r="F76" s="41"/>
      <c r="G76" s="41"/>
      <c r="H76" s="41" t="s">
        <v>382</v>
      </c>
      <c r="I76" s="41"/>
      <c r="J76" s="41"/>
      <c r="K76" s="41" t="s">
        <v>382</v>
      </c>
      <c r="L76" s="41"/>
      <c r="M76" s="41"/>
      <c r="N76" s="41" t="s">
        <v>382</v>
      </c>
      <c r="O76" s="41"/>
      <c r="P76" s="41"/>
      <c r="Q76" s="41" t="str">
        <f>IF(cluster_wld_domain_chosen="VI Workload Domain",IF(mgmt_domain_chosen="First Instance","65102",IF(wld_nsxt_federation_result="Included","65202","65102")),IF(mgmt_domain_chosen="First Instance","65101",IF(mgmt_nsxt_federation_result="Included","65201","65101")))</f>
        <v>65102</v>
      </c>
      <c r="R76" s="41"/>
      <c r="S76" s="41"/>
      <c r="T76" s="41" t="s">
        <v>382</v>
      </c>
      <c r="U76" s="41"/>
      <c r="V76" s="41"/>
      <c r="W76" s="41"/>
      <c r="X76" s="41"/>
      <c r="Y76" s="41"/>
      <c r="Z76" s="41"/>
    </row>
    <row r="77" ht="15.75" customHeight="1">
      <c r="A77" s="84" t="s">
        <v>661</v>
      </c>
      <c r="B77" s="41" t="str">
        <f>IF(cluster_wld_domain_chosen="VI Workload Domain",CONCATENATE(prefix_wld_az1_cidr,"29.10"),CONCATENATE(prefix_mgmt_az1_cidr,"29.10"))</f>
        <v>10.23.29.10</v>
      </c>
      <c r="C77" s="41"/>
      <c r="D77" s="41"/>
      <c r="E77" s="41" t="str">
        <f>IF(cluster_wld_domain_chosen="VI Workload Domain",CONCATENATE(prefix_wld_az1_cidr,"40.10"),CONCATENATE(prefix_mgmt_az1_cidr,"40.10"))</f>
        <v>10.23.40.10</v>
      </c>
      <c r="F77" s="41"/>
      <c r="G77" s="41"/>
      <c r="H77" s="41" t="str">
        <f>IF(cluster_wld_domain_chosen="VI Workload Domain",CONCATENATE(prefix_wld_az1_cidr,"51.10"),CONCATENATE(prefix_mgmt_az1_cidr,"51.10"))</f>
        <v>10.23.51.10</v>
      </c>
      <c r="I77" s="41"/>
      <c r="J77" s="41"/>
      <c r="K77" s="41" t="str">
        <f>IF(cluster_wld_domain_chosen="VI Workload Domain",CONCATENATE(prefix_wld_az1_cidr,"62.10"),CONCATENATE(prefix_mgmt_az1_cidr,"62.10"))</f>
        <v>10.23.62.10</v>
      </c>
      <c r="L77" s="41"/>
      <c r="M77" s="41"/>
      <c r="N77" s="41" t="str">
        <f>IF(cluster_wld_domain_chosen="VI Workload Domain",CONCATENATE(prefix_wld_az1_cidr,"73.10"),CONCATENATE(prefix_mgmt_az1_cidr,"73.10"))</f>
        <v>10.23.73.10</v>
      </c>
      <c r="O77" s="41"/>
      <c r="P77" s="41"/>
      <c r="Q77" s="41" t="str">
        <f>IF(cluster_wld_domain_chosen="VI Workload Domain",CONCATENATE(prefix_wld_az1_cidr,"83.10"),CONCATENATE(prefix_mgmt_az1_cidr,"83.10"))</f>
        <v>10.23.83.10</v>
      </c>
      <c r="R77" s="41"/>
      <c r="S77" s="41"/>
      <c r="T77" s="41" t="str">
        <f>IF(cluster_wld_domain_chosen="VI Workload Domain",CONCATENATE(prefix_wld_az1_cidr,"95.10"),CONCATENATE(prefix_mgmt_az1_cidr,"95.10"))</f>
        <v>10.23.95.10</v>
      </c>
      <c r="U77" s="41"/>
      <c r="V77" s="41"/>
      <c r="W77" s="41"/>
      <c r="X77" s="41"/>
      <c r="Y77" s="41"/>
      <c r="Z77" s="41"/>
    </row>
    <row r="78" ht="15.75" customHeight="1">
      <c r="A78" s="84" t="s">
        <v>662</v>
      </c>
      <c r="B78" s="41"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212</v>
      </c>
      <c r="C78" s="41"/>
      <c r="D78" s="41"/>
      <c r="E78" s="41"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213</v>
      </c>
      <c r="F78" s="41"/>
      <c r="G78" s="41"/>
      <c r="H78" s="41"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214</v>
      </c>
      <c r="I78" s="41"/>
      <c r="J78" s="41"/>
      <c r="K78" s="41"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215</v>
      </c>
      <c r="L78" s="41"/>
      <c r="M78" s="41"/>
      <c r="N78" s="41"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216</v>
      </c>
      <c r="O78" s="41"/>
      <c r="P78" s="41"/>
      <c r="Q78" s="41"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217</v>
      </c>
      <c r="R78" s="41"/>
      <c r="S78" s="41"/>
      <c r="T78" s="41"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218</v>
      </c>
      <c r="U78" s="41"/>
      <c r="V78" s="41"/>
      <c r="W78" s="41"/>
      <c r="X78" s="41"/>
      <c r="Y78" s="41"/>
      <c r="Z78" s="41"/>
    </row>
    <row r="79" ht="15.75" customHeight="1">
      <c r="A79" s="84" t="s">
        <v>663</v>
      </c>
      <c r="B79" s="41" t="s">
        <v>382</v>
      </c>
      <c r="C79" s="41"/>
      <c r="D79" s="41"/>
      <c r="E79" s="41" t="s">
        <v>382</v>
      </c>
      <c r="F79" s="41"/>
      <c r="G79" s="41"/>
      <c r="H79" s="41" t="s">
        <v>382</v>
      </c>
      <c r="I79" s="41"/>
      <c r="J79" s="41"/>
      <c r="K79" s="41" t="s">
        <v>382</v>
      </c>
      <c r="L79" s="41"/>
      <c r="M79" s="41"/>
      <c r="N79" s="41" t="s">
        <v>382</v>
      </c>
      <c r="O79" s="41"/>
      <c r="P79" s="41"/>
      <c r="Q79" s="41" t="s">
        <v>382</v>
      </c>
      <c r="R79" s="41"/>
      <c r="S79" s="41"/>
      <c r="T79" s="41" t="s">
        <v>382</v>
      </c>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t="str">
        <f>IF(cluster_wld_domain_chosen="VI Workload Domain",CONCATENATE(prefix_wld_az1_cidr,"84.10"),CONCATENATE(prefix_mgmt_az1_cidr,"84.10"))</f>
        <v>10.23.84.10</v>
      </c>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217</v>
      </c>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t="s">
        <v>382</v>
      </c>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5">
    <mergeCell ref="P7:S7"/>
    <mergeCell ref="P10:S10"/>
    <mergeCell ref="P13:S13"/>
    <mergeCell ref="P16:S16"/>
    <mergeCell ref="P21:S21"/>
  </mergeCells>
  <conditionalFormatting sqref="A20">
    <cfRule type="expression" dxfId="22" priority="1">
      <formula>AND((VRLI_Result="Excluded"),(VROPS_Result="Excluded"),(VRA_Result="Excluded"))</formula>
    </cfRule>
  </conditionalFormatting>
  <conditionalFormatting sqref="A15:C15">
    <cfRule type="expression" dxfId="19" priority="2" stopIfTrue="1">
      <formula>iam_result="Excluded"</formula>
    </cfRule>
  </conditionalFormatting>
  <conditionalFormatting sqref="A16:C17">
    <cfRule type="expression" dxfId="19" priority="3">
      <formula>AND((iam_result="Excluded"),(intelligent_operations_result="Excluded"),(intelligent_logging_result="Excluded"),(private_cloud_result="Excluded"))</formula>
    </cfRule>
  </conditionalFormatting>
  <conditionalFormatting sqref="B9">
    <cfRule type="containsBlanks" dxfId="1" priority="4">
      <formula>LEN(TRIM(B9))=0</formula>
    </cfRule>
  </conditionalFormatting>
  <conditionalFormatting sqref="B9">
    <cfRule type="notContainsBlanks" dxfId="0" priority="5">
      <formula>LEN(TRIM(B9))&gt;0</formula>
    </cfRule>
  </conditionalFormatting>
  <conditionalFormatting sqref="B9:C9">
    <cfRule type="expression" dxfId="19" priority="6">
      <formula>vrslcm_result="Excluded"</formula>
    </cfRule>
  </conditionalFormatting>
  <conditionalFormatting sqref="C11:C14">
    <cfRule type="notContainsBlanks" dxfId="0" priority="7">
      <formula>LEN(TRIM(C11))&gt;0</formula>
    </cfRule>
  </conditionalFormatting>
  <conditionalFormatting sqref="C11:C17">
    <cfRule type="containsBlanks" dxfId="1" priority="8">
      <formula>LEN(TRIM(C11))=0</formula>
    </cfRule>
  </conditionalFormatting>
  <conditionalFormatting sqref="C18">
    <cfRule type="containsBlanks" dxfId="1" priority="9">
      <formula>LEN(TRIM(C18))=0</formula>
    </cfRule>
  </conditionalFormatting>
  <conditionalFormatting sqref="Q8:Q9 Q22:Q26 Q37:Q38">
    <cfRule type="containsBlanks" dxfId="1" priority="10">
      <formula>LEN(TRIM(Q8))=0</formula>
    </cfRule>
  </conditionalFormatting>
  <conditionalFormatting sqref="Q8:Q9 Q22:Q26 Q37:Q38">
    <cfRule type="notContainsBlanks" dxfId="0" priority="11">
      <formula>LEN(TRIM(Q8))&gt;0</formula>
    </cfRule>
  </conditionalFormatting>
  <conditionalFormatting sqref="Q11:Q12">
    <cfRule type="containsBlanks" dxfId="1" priority="12">
      <formula>LEN(TRIM(Q11))=0</formula>
    </cfRule>
  </conditionalFormatting>
  <conditionalFormatting sqref="Q11:Q12">
    <cfRule type="notContainsBlanks" dxfId="0" priority="13">
      <formula>LEN(TRIM(Q11))&gt;0</formula>
    </cfRule>
  </conditionalFormatting>
  <conditionalFormatting sqref="Q14:Q15">
    <cfRule type="containsBlanks" dxfId="1" priority="14">
      <formula>LEN(TRIM(Q14))=0</formula>
    </cfRule>
  </conditionalFormatting>
  <conditionalFormatting sqref="Q14:Q15">
    <cfRule type="notContainsBlanks" dxfId="0" priority="15">
      <formula>LEN(TRIM(Q14))&gt;0</formula>
    </cfRule>
  </conditionalFormatting>
  <conditionalFormatting sqref="Q17:Q20">
    <cfRule type="containsBlanks" dxfId="1" priority="16">
      <formula>LEN(TRIM(Q17))=0</formula>
    </cfRule>
  </conditionalFormatting>
  <conditionalFormatting sqref="Q17:Q20">
    <cfRule type="notContainsBlanks" dxfId="0" priority="17">
      <formula>LEN(TRIM(Q17))&gt;0</formula>
    </cfRule>
  </conditionalFormatting>
  <conditionalFormatting sqref="Q28:Q32">
    <cfRule type="containsBlanks" dxfId="1" priority="18">
      <formula>LEN(TRIM(Q28))=0</formula>
    </cfRule>
  </conditionalFormatting>
  <conditionalFormatting sqref="Q28:Q32">
    <cfRule type="notContainsBlanks" dxfId="0" priority="19">
      <formula>LEN(TRIM(Q28))&gt;0</formula>
    </cfRule>
  </conditionalFormatting>
  <conditionalFormatting sqref="Q34:Q35">
    <cfRule type="containsBlanks" dxfId="1" priority="20">
      <formula>LEN(TRIM(Q34))=0</formula>
    </cfRule>
  </conditionalFormatting>
  <conditionalFormatting sqref="Q34:Q35">
    <cfRule type="notContainsBlanks" dxfId="0" priority="21">
      <formula>LEN(TRIM(Q34))&gt;0</formula>
    </cfRule>
  </conditionalFormatting>
  <conditionalFormatting sqref="Q40:Q41">
    <cfRule type="containsBlanks" dxfId="1" priority="22">
      <formula>LEN(TRIM(Q40))=0</formula>
    </cfRule>
  </conditionalFormatting>
  <conditionalFormatting sqref="Q40:Q41">
    <cfRule type="notContainsBlanks" dxfId="0" priority="23">
      <formula>LEN(TRIM(Q40))&gt;0</formula>
    </cfRule>
  </conditionalFormatting>
  <conditionalFormatting sqref="Q11:R12">
    <cfRule type="expression" dxfId="19" priority="24">
      <formula>vrslcm_result="Excluded"</formula>
    </cfRule>
  </conditionalFormatting>
  <conditionalFormatting sqref="Q14:R15">
    <cfRule type="expression" dxfId="19" priority="25">
      <formula>vrslcm_result="Excluded"</formula>
    </cfRule>
  </conditionalFormatting>
  <conditionalFormatting sqref="Q17:R20">
    <cfRule type="expression" dxfId="19" priority="26">
      <formula>vrslcm_result="Excluded"</formula>
    </cfRule>
  </conditionalFormatting>
  <conditionalFormatting sqref="A13:C14 A18:C19 Q22:R24 Q26:R26 Q37:Q38">
    <cfRule type="expression" dxfId="19" priority="27">
      <formula>vrslcm_result="Excluded"</formula>
    </cfRule>
  </conditionalFormatting>
  <conditionalFormatting sqref="Q25:R25">
    <cfRule type="expression" dxfId="19" priority="28">
      <formula>vrslcm_result="Excluded"</formula>
    </cfRule>
  </conditionalFormatting>
  <conditionalFormatting sqref="Q28:R32">
    <cfRule type="expression" dxfId="19" priority="29">
      <formula>vrslcm_result="Excluded"</formula>
    </cfRule>
  </conditionalFormatting>
  <conditionalFormatting sqref="Q34:R35">
    <cfRule type="expression" dxfId="19" priority="30">
      <formula>vrslcm_result="Excluded"</formula>
    </cfRule>
  </conditionalFormatting>
  <conditionalFormatting sqref="Q8:R9 Q40:R41">
    <cfRule type="expression" dxfId="19" priority="31">
      <formula>vrslcm_result="Excluded"</formula>
    </cfRule>
  </conditionalFormatting>
  <conditionalFormatting sqref="R37:R38">
    <cfRule type="expression" dxfId="19" priority="32">
      <formula>vrslcm_result="Excluded"</formula>
    </cfRule>
  </conditionalFormatting>
  <dataValidations>
    <dataValidation type="list" allowBlank="1" showErrorMessage="1" sqref="C65:C67 F65:F67 I65:I67 L65:L67 O65:O67 U65:U67 R68:R70">
      <formula1>table_masks</formula1>
    </dataValidation>
    <dataValidation type="list" allowBlank="1" showErrorMessage="1" sqref="P5">
      <formula1>"Use a separate dedicated network,Use VM management network"</formula1>
    </dataValidation>
  </dataValidation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showGridLines="0" workbookViewId="0">
      <pane ySplit="8.0" topLeftCell="A9" activePane="bottomLeft" state="frozen"/>
      <selection activeCell="B10" sqref="B10" pane="bottomLeft"/>
    </sheetView>
  </sheetViews>
  <sheetFormatPr customHeight="1" defaultColWidth="11.22" defaultRowHeight="15.0"/>
  <cols>
    <col customWidth="1" min="1" max="1" width="2.78"/>
    <col customWidth="1" min="2" max="4" width="75.78"/>
    <col customWidth="1" min="5" max="5" width="125.78"/>
    <col customWidth="1" min="6" max="26" width="10.78"/>
  </cols>
  <sheetData>
    <row r="1" ht="15.75" customHeight="1">
      <c r="A1" s="1"/>
      <c r="B1" s="1"/>
      <c r="C1" s="1"/>
      <c r="D1" s="1"/>
      <c r="E1" s="1"/>
      <c r="F1" s="41"/>
      <c r="G1" s="41"/>
      <c r="H1" s="41"/>
      <c r="I1" s="41"/>
      <c r="J1" s="41"/>
      <c r="K1" s="1"/>
      <c r="L1" s="1"/>
      <c r="M1" s="1"/>
      <c r="N1" s="1"/>
      <c r="O1" s="1"/>
      <c r="P1" s="1"/>
      <c r="Q1" s="1"/>
      <c r="R1" s="1"/>
      <c r="S1" s="1"/>
      <c r="T1" s="1"/>
      <c r="U1" s="1"/>
      <c r="V1" s="1"/>
      <c r="W1" s="1"/>
      <c r="X1" s="1"/>
      <c r="Y1" s="1"/>
      <c r="Z1" s="1"/>
    </row>
    <row r="2" ht="54.0" customHeight="1">
      <c r="A2" s="1"/>
      <c r="B2" s="179" t="s">
        <v>1440</v>
      </c>
      <c r="C2" s="13"/>
      <c r="D2" s="13"/>
      <c r="E2" s="14"/>
      <c r="F2" s="41"/>
      <c r="G2" s="41"/>
      <c r="H2" s="41"/>
      <c r="I2" s="41"/>
      <c r="J2" s="41"/>
      <c r="K2" s="1"/>
      <c r="L2" s="1"/>
      <c r="M2" s="1"/>
      <c r="N2" s="1"/>
      <c r="O2" s="1"/>
      <c r="P2" s="1"/>
      <c r="Q2" s="1"/>
      <c r="R2" s="1"/>
      <c r="S2" s="1"/>
      <c r="T2" s="1"/>
      <c r="U2" s="1"/>
      <c r="V2" s="1"/>
      <c r="W2" s="1"/>
      <c r="X2" s="1"/>
      <c r="Y2" s="1"/>
      <c r="Z2" s="1"/>
    </row>
    <row r="3" ht="19.5" customHeight="1">
      <c r="A3" s="1"/>
      <c r="B3" s="234" t="s">
        <v>1201</v>
      </c>
      <c r="C3" s="13"/>
      <c r="D3" s="13"/>
      <c r="E3" s="14"/>
      <c r="F3" s="41"/>
      <c r="G3" s="41"/>
      <c r="H3" s="41"/>
      <c r="I3" s="41"/>
      <c r="J3" s="41"/>
      <c r="K3" s="1"/>
      <c r="L3" s="1"/>
      <c r="M3" s="1"/>
      <c r="N3" s="1"/>
      <c r="O3" s="1"/>
      <c r="P3" s="1"/>
      <c r="Q3" s="1"/>
      <c r="R3" s="1"/>
      <c r="S3" s="1"/>
      <c r="T3" s="1"/>
      <c r="U3" s="1"/>
      <c r="V3" s="1"/>
      <c r="W3" s="1"/>
      <c r="X3" s="1"/>
      <c r="Y3" s="1"/>
      <c r="Z3" s="1"/>
    </row>
    <row r="4" ht="15.75" customHeight="1">
      <c r="A4" s="1"/>
      <c r="B4" s="1" t="s">
        <v>1441</v>
      </c>
      <c r="C4" s="1"/>
      <c r="D4" s="9"/>
      <c r="E4" s="10"/>
      <c r="F4" s="10"/>
      <c r="G4" s="1"/>
      <c r="H4" s="1"/>
      <c r="I4" s="1"/>
      <c r="J4" s="1"/>
      <c r="K4" s="1"/>
      <c r="L4" s="1"/>
      <c r="M4" s="1"/>
      <c r="N4" s="1"/>
      <c r="O4" s="1"/>
      <c r="P4" s="1"/>
      <c r="Q4" s="1"/>
      <c r="R4" s="1"/>
      <c r="S4" s="1"/>
      <c r="T4" s="1"/>
      <c r="U4" s="1"/>
      <c r="V4" s="1"/>
      <c r="W4" s="1"/>
      <c r="X4" s="1"/>
      <c r="Y4" s="1"/>
      <c r="Z4" s="1"/>
    </row>
    <row r="5" ht="19.5" customHeight="1">
      <c r="A5" s="41"/>
      <c r="B5" s="269" t="s">
        <v>510</v>
      </c>
      <c r="C5" s="269" t="s">
        <v>1442</v>
      </c>
      <c r="D5" s="269" t="s">
        <v>512</v>
      </c>
      <c r="E5" s="269" t="s">
        <v>513</v>
      </c>
      <c r="F5" s="41"/>
      <c r="G5" s="41"/>
      <c r="H5" s="41"/>
      <c r="I5" s="41"/>
      <c r="J5" s="41"/>
      <c r="K5" s="41"/>
      <c r="L5" s="41"/>
      <c r="M5" s="41"/>
      <c r="N5" s="41"/>
      <c r="O5" s="41"/>
      <c r="P5" s="41"/>
      <c r="Q5" s="41"/>
      <c r="R5" s="41"/>
      <c r="S5" s="41"/>
      <c r="T5" s="41"/>
      <c r="U5" s="41"/>
      <c r="V5" s="41"/>
      <c r="W5" s="41"/>
      <c r="X5" s="41"/>
      <c r="Y5" s="41"/>
      <c r="Z5" s="41"/>
    </row>
    <row r="6" ht="9.75" customHeight="1">
      <c r="A6" s="114"/>
      <c r="B6" s="181"/>
      <c r="C6" s="181"/>
      <c r="D6" s="181"/>
      <c r="E6" s="181"/>
      <c r="F6" s="114"/>
      <c r="G6" s="114"/>
      <c r="H6" s="114"/>
      <c r="I6" s="114"/>
      <c r="J6" s="114"/>
      <c r="K6" s="114"/>
      <c r="L6" s="114"/>
      <c r="M6" s="114"/>
      <c r="N6" s="114"/>
      <c r="O6" s="114"/>
      <c r="P6" s="114"/>
      <c r="Q6" s="114"/>
      <c r="R6" s="114"/>
      <c r="S6" s="114"/>
      <c r="T6" s="114"/>
      <c r="U6" s="114"/>
      <c r="V6" s="114"/>
      <c r="W6" s="114"/>
      <c r="X6" s="114"/>
      <c r="Y6" s="114"/>
      <c r="Z6" s="114"/>
    </row>
    <row r="7" ht="19.5" customHeight="1">
      <c r="A7" s="41"/>
      <c r="B7" s="269" t="s">
        <v>1443</v>
      </c>
      <c r="C7" s="180"/>
      <c r="D7" s="180"/>
      <c r="E7" s="180"/>
      <c r="F7" s="41"/>
      <c r="G7" s="41"/>
      <c r="H7" s="41"/>
      <c r="I7" s="41"/>
      <c r="J7" s="41"/>
      <c r="K7" s="41"/>
      <c r="L7" s="41"/>
      <c r="M7" s="41"/>
      <c r="N7" s="41"/>
      <c r="O7" s="41"/>
      <c r="P7" s="41"/>
      <c r="Q7" s="41"/>
      <c r="R7" s="41"/>
      <c r="S7" s="41"/>
      <c r="T7" s="41"/>
      <c r="U7" s="41"/>
      <c r="V7" s="41"/>
      <c r="W7" s="41"/>
      <c r="X7" s="41"/>
      <c r="Y7" s="41"/>
      <c r="Z7" s="41"/>
    </row>
    <row r="8" ht="15.75" customHeight="1">
      <c r="A8" s="41"/>
      <c r="B8" s="1"/>
      <c r="C8" s="1"/>
      <c r="D8" s="1"/>
      <c r="E8" s="41"/>
      <c r="F8" s="41"/>
      <c r="G8" s="41"/>
      <c r="H8" s="41"/>
      <c r="I8" s="41"/>
      <c r="J8" s="41"/>
      <c r="K8" s="41"/>
      <c r="L8" s="41"/>
      <c r="M8" s="41"/>
      <c r="N8" s="41"/>
      <c r="O8" s="41"/>
      <c r="P8" s="41"/>
      <c r="Q8" s="41"/>
      <c r="R8" s="41"/>
      <c r="S8" s="41"/>
      <c r="T8" s="41"/>
      <c r="U8" s="41"/>
      <c r="V8" s="41"/>
      <c r="W8" s="41"/>
      <c r="X8" s="41"/>
      <c r="Y8" s="41"/>
      <c r="Z8" s="41"/>
    </row>
    <row r="9" ht="33.75" customHeight="1">
      <c r="A9" s="41"/>
      <c r="B9" s="197" t="s">
        <v>1444</v>
      </c>
      <c r="C9" s="13"/>
      <c r="D9" s="13"/>
      <c r="E9" s="14"/>
      <c r="F9" s="41"/>
      <c r="G9" s="41"/>
      <c r="H9" s="41"/>
      <c r="I9" s="41"/>
      <c r="J9" s="41"/>
      <c r="K9" s="41"/>
      <c r="L9" s="41"/>
      <c r="M9" s="41"/>
      <c r="N9" s="41"/>
      <c r="O9" s="41"/>
      <c r="P9" s="41"/>
      <c r="Q9" s="41"/>
      <c r="R9" s="41"/>
      <c r="S9" s="41"/>
      <c r="T9" s="41"/>
      <c r="U9" s="41"/>
      <c r="V9" s="41"/>
      <c r="W9" s="41"/>
      <c r="X9" s="41"/>
      <c r="Y9" s="41"/>
      <c r="Z9" s="41"/>
    </row>
    <row r="10" ht="19.5" customHeight="1">
      <c r="A10" s="41"/>
      <c r="B10" s="49" t="s">
        <v>123</v>
      </c>
      <c r="C10" s="49" t="s">
        <v>38</v>
      </c>
      <c r="D10" s="49" t="s">
        <v>124</v>
      </c>
      <c r="E10" s="49" t="s">
        <v>125</v>
      </c>
      <c r="F10" s="41"/>
      <c r="G10" s="41"/>
      <c r="H10" s="41"/>
      <c r="I10" s="41"/>
      <c r="J10" s="41"/>
      <c r="K10" s="41"/>
      <c r="L10" s="41"/>
      <c r="M10" s="41"/>
      <c r="N10" s="41"/>
      <c r="O10" s="41"/>
      <c r="P10" s="41"/>
      <c r="Q10" s="41"/>
      <c r="R10" s="41"/>
      <c r="S10" s="41"/>
      <c r="T10" s="41"/>
      <c r="U10" s="41"/>
      <c r="V10" s="41"/>
      <c r="W10" s="41"/>
      <c r="X10" s="41"/>
      <c r="Y10" s="41"/>
      <c r="Z10" s="41"/>
    </row>
    <row r="11" ht="19.5" customHeight="1">
      <c r="A11" s="41"/>
      <c r="B11" s="18" t="s">
        <v>184</v>
      </c>
      <c r="C11" s="18" t="s">
        <v>510</v>
      </c>
      <c r="D11" s="18" t="str">
        <f>IF(mgmt_domain_deployment_type_chosen="VMware vSphere Foundation","Excluded",
IF(mgmt_signed_certs_result="Excluded","Excluded",
IF(wld_signed_certs_chosen="Exclude","Excluded",IF(wld_domain_result="Included","Included","Excluded"))))</f>
        <v>Excluded</v>
      </c>
      <c r="E11" s="18" t="str">
        <f>IF(mgmt_domain_deployment_type_chosen="VMware vSphere Foundation","Cannot be performed on a VMware vSphere Foundation deployment",
IF(vcf_granular_option_chosen="Create Cluster","Create VI Workload Domain or Deploy a new VCF fleet not selected on VCF &amp; VVF Planning Tab",
IF(wld_domain_result="Excluded","Cause: Standard VI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VI Workload Domain Required</v>
      </c>
      <c r="F11" s="41"/>
      <c r="G11" s="41"/>
      <c r="H11" s="41"/>
      <c r="I11" s="41"/>
      <c r="J11" s="41"/>
      <c r="K11" s="41"/>
      <c r="L11" s="41"/>
      <c r="M11" s="41"/>
      <c r="N11" s="41"/>
      <c r="O11" s="41"/>
      <c r="P11" s="41"/>
      <c r="Q11" s="41"/>
      <c r="R11" s="41"/>
      <c r="S11" s="41"/>
      <c r="T11" s="41"/>
      <c r="U11" s="41"/>
      <c r="V11" s="41"/>
      <c r="W11" s="41"/>
      <c r="X11" s="41"/>
      <c r="Y11" s="41"/>
      <c r="Z11" s="41"/>
    </row>
    <row r="12" ht="19.5" customHeight="1">
      <c r="A12" s="41"/>
      <c r="B12" s="18" t="s">
        <v>184</v>
      </c>
      <c r="C12" s="18" t="s">
        <v>1445</v>
      </c>
      <c r="D12" s="18" t="str">
        <f>IF(mgmt_domain_deployment_type_chosen="VMware vSphere Foundation","Excluded",
IF(wld_bgp_chosen="Exclude","Excluded",IF(wld_domain_result="Included","Included","Excluded")))</f>
        <v>Excluded</v>
      </c>
      <c r="E12" s="18" t="str">
        <f>IF(mgmt_domain_deployment_type_chosen="VMware vSphere Foundation","Cannot be performed on a VMware vSphere Foundation deployment",
IF(vcf_granular_option_chosen="None Chosen","No Deployment Type Chosen",
IF(wld_domain_result="Excluded","Cause: Standard VI Workload Domain Required",
IF(wld_bgp_chosen="Exclude","Cause: Not Selected. NSX Routing for VI Workload Domain will not be deployed",
IF(wld_domain_result="Excluded","Cause: Standard VI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VI Workload Domain Required</v>
      </c>
      <c r="F12" s="41"/>
      <c r="G12" s="41"/>
      <c r="H12" s="41"/>
      <c r="I12" s="41"/>
      <c r="J12" s="41"/>
      <c r="K12" s="41"/>
      <c r="L12" s="41"/>
      <c r="M12" s="41"/>
      <c r="N12" s="41"/>
      <c r="O12" s="41"/>
      <c r="P12" s="41"/>
      <c r="Q12" s="41"/>
      <c r="R12" s="41"/>
      <c r="S12" s="41"/>
      <c r="T12" s="41"/>
      <c r="U12" s="41"/>
      <c r="V12" s="41"/>
      <c r="W12" s="41"/>
      <c r="X12" s="41"/>
      <c r="Y12" s="41"/>
      <c r="Z12" s="41"/>
    </row>
    <row r="13" ht="19.5" customHeight="1">
      <c r="A13" s="41"/>
      <c r="B13" s="183" t="s">
        <v>184</v>
      </c>
      <c r="C13" s="18" t="s">
        <v>512</v>
      </c>
      <c r="D13" s="18"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Domain",vcf_granular_option_chosen&lt;&gt;"One or More VVDs"),"Excluded",
IF(wld_avi_loadbalancer_chosen="Exclude","Excluded",IF(wld_domain_result="Excluded","Excluded","Included"))))</f>
        <v>Excluded</v>
      </c>
      <c r="E13" s="18" t="str">
        <f>IF(mgmt_domain_deployment_type_chosen="VMware vSphere Foundation","Cannot be performed on a VMware vSphere Foundation deployment",
IF(vcf_granular_option_chosen="Create Cluster","Cause: Standard VI Workload Domain Required",
IF(wld_domain_result="Excluded","Cause: Standard VI Workload Domain Required",
IF(vcf_granular_option_chosen="None Chosen","No Deployment Type Chosen",
IF(wld_avi_loadbalancer_chosen="Exclude","Cause: Not Selected. AVI Load Balancer will not be deployed","AVI Load Balancer will be deployed")))))</f>
        <v>Cause: Standard VI Workload Domain Required</v>
      </c>
      <c r="F13" s="41"/>
      <c r="G13" s="41"/>
      <c r="H13" s="41"/>
      <c r="I13" s="41"/>
      <c r="J13" s="41"/>
      <c r="K13" s="41"/>
      <c r="L13" s="41"/>
      <c r="M13" s="41"/>
      <c r="N13" s="41"/>
      <c r="O13" s="41"/>
      <c r="P13" s="41"/>
      <c r="Q13" s="41"/>
      <c r="R13" s="41"/>
      <c r="S13" s="41"/>
      <c r="T13" s="41"/>
      <c r="U13" s="41"/>
      <c r="V13" s="41"/>
      <c r="W13" s="41"/>
      <c r="X13" s="41"/>
      <c r="Y13" s="41"/>
      <c r="Z13" s="41"/>
    </row>
    <row r="14" ht="19.5" customHeight="1">
      <c r="A14" s="41"/>
      <c r="B14" s="18" t="s">
        <v>184</v>
      </c>
      <c r="C14" s="18" t="s">
        <v>519</v>
      </c>
      <c r="D14" s="31"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4" s="18" t="str">
        <f>IF(mgmt_domain_deployment_type_chosen="VMware vSphere Foundation","Cannot be performed on a VMware vSphere Foundation deployment",
IF(vcf_granular_option_chosen="None Chosen","No Deployment Type Chosen",
IF(wld_domain_result="Excluded","Cause: Standard VI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VI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VI Workload Domain Required</v>
      </c>
      <c r="F14" s="41"/>
      <c r="G14" s="41"/>
      <c r="H14" s="41"/>
      <c r="I14" s="41"/>
      <c r="J14" s="41"/>
      <c r="K14" s="41"/>
      <c r="L14" s="41"/>
      <c r="M14" s="41"/>
      <c r="N14" s="41"/>
      <c r="O14" s="41"/>
      <c r="P14" s="41"/>
      <c r="Q14" s="41"/>
      <c r="R14" s="41"/>
      <c r="S14" s="41"/>
      <c r="T14" s="41"/>
      <c r="U14" s="41"/>
      <c r="V14" s="41"/>
      <c r="W14" s="41"/>
      <c r="X14" s="41"/>
      <c r="Y14" s="41"/>
      <c r="Z14" s="41"/>
    </row>
    <row r="15" ht="19.5" customHeight="1">
      <c r="A15" s="41"/>
      <c r="B15" s="18" t="s">
        <v>184</v>
      </c>
      <c r="C15" s="18" t="s">
        <v>1446</v>
      </c>
      <c r="D15" s="18" t="str">
        <f>IF(mgmt_domain_deployment_type_chosen="VMware vSphere Foundation","Excluded",
IF(wld_nsxt_federation_chosen="Exclude","Excluded",
IF(AND((wld_nsxt_federation_chosen&lt;&gt;"Exclude"),(wld_multirack_calc="Include")),"Excluded",(IF(AND((wld_bgp_chosen="Centralized Connectivity"),(wld_bgp_result="Included")),"Included","Excluded")))))</f>
        <v>Excluded</v>
      </c>
      <c r="E15" s="18" t="str">
        <f>IF(mgmt_domain_deployment_type_chosen="VMware vSphere Foundation","Cannot be performed on a VMware vSphere Foundation deployment",
IF(vcf_granular_option_chosen="None Chosen","No Deployment Type Chosen",
IF(wld_domain_result="Excluded","Cause: Standard VI Workload Domain Required",
IF(wld_nsxt_federation_chosen="Exclude","Cause: Not Selected. NSX Federation for VI Workload Domain will not be deployed.",IF(wld_domain_result="Excluded","Cause: Standard VI Workload Domain Required",
IF(wld_bgp_chosen&lt;&gt;"Centralized Connectivity","Cause: NSX Centralized Connectivity for Wokrload Domain Required",
IF(AND((wld_nsxt_federation_chosen&lt;&gt;"Exclude"),(wld_multirack_calc="Include")),"Casue: NSX Federation is not supported with Multirack","NSX Federation is will be deployed")))))))</f>
        <v>Cause: Standard VI Workload Domain Required</v>
      </c>
      <c r="F15" s="41"/>
      <c r="G15" s="41"/>
      <c r="H15" s="41"/>
      <c r="I15" s="41"/>
      <c r="J15" s="41"/>
      <c r="K15" s="41"/>
      <c r="L15" s="41"/>
      <c r="M15" s="41"/>
      <c r="N15" s="41"/>
      <c r="O15" s="41"/>
      <c r="P15" s="41"/>
      <c r="Q15" s="41"/>
      <c r="R15" s="41"/>
      <c r="S15" s="41"/>
      <c r="T15" s="41"/>
      <c r="U15" s="41"/>
      <c r="V15" s="41"/>
      <c r="W15" s="41"/>
      <c r="X15" s="41"/>
      <c r="Y15" s="41"/>
      <c r="Z15" s="41"/>
    </row>
    <row r="16" ht="15.75" customHeight="1">
      <c r="A16" s="41"/>
      <c r="B16" s="1"/>
      <c r="C16" s="1"/>
      <c r="D16" s="1"/>
      <c r="E16" s="41"/>
      <c r="F16" s="41"/>
      <c r="G16" s="41"/>
      <c r="H16" s="41"/>
      <c r="I16" s="41"/>
      <c r="J16" s="41"/>
      <c r="K16" s="41"/>
      <c r="L16" s="41"/>
      <c r="M16" s="41"/>
      <c r="N16" s="41"/>
      <c r="O16" s="41"/>
      <c r="P16" s="41"/>
      <c r="Q16" s="41"/>
      <c r="R16" s="41"/>
      <c r="S16" s="41"/>
      <c r="T16" s="41"/>
      <c r="U16" s="41"/>
      <c r="V16" s="41"/>
      <c r="W16" s="41"/>
      <c r="X16" s="41"/>
      <c r="Y16" s="41"/>
      <c r="Z16" s="41"/>
    </row>
    <row r="17" ht="33.75" customHeight="1">
      <c r="A17" s="41"/>
      <c r="B17" s="184" t="s">
        <v>510</v>
      </c>
      <c r="C17" s="13"/>
      <c r="D17" s="13"/>
      <c r="E17" s="14"/>
      <c r="F17" s="41"/>
      <c r="G17" s="41"/>
      <c r="H17" s="41"/>
      <c r="I17" s="41"/>
      <c r="J17" s="41"/>
      <c r="K17" s="41"/>
      <c r="L17" s="41"/>
      <c r="M17" s="41"/>
      <c r="N17" s="41"/>
      <c r="O17" s="41"/>
      <c r="P17" s="41"/>
      <c r="Q17" s="41"/>
      <c r="R17" s="41"/>
      <c r="S17" s="41"/>
      <c r="T17" s="41"/>
      <c r="U17" s="41"/>
      <c r="V17" s="41"/>
      <c r="W17" s="41"/>
      <c r="X17" s="41"/>
      <c r="Y17" s="41"/>
      <c r="Z17" s="41"/>
    </row>
    <row r="18" ht="19.5" customHeight="1">
      <c r="A18" s="41"/>
      <c r="B18" s="102" t="s">
        <v>1447</v>
      </c>
      <c r="C18" s="13"/>
      <c r="D18" s="13"/>
      <c r="E18" s="14"/>
      <c r="F18" s="41"/>
      <c r="G18" s="41"/>
      <c r="H18" s="41"/>
      <c r="I18" s="41"/>
      <c r="J18" s="41"/>
      <c r="K18" s="41"/>
      <c r="L18" s="41"/>
      <c r="M18" s="41"/>
      <c r="N18" s="41"/>
      <c r="O18" s="41"/>
      <c r="P18" s="41"/>
      <c r="Q18" s="41"/>
      <c r="R18" s="41"/>
      <c r="S18" s="41"/>
      <c r="T18" s="41"/>
      <c r="U18" s="41"/>
      <c r="V18" s="41"/>
      <c r="W18" s="41"/>
      <c r="X18" s="41"/>
      <c r="Y18" s="41"/>
      <c r="Z18" s="41"/>
    </row>
    <row r="19" ht="19.5" customHeight="1">
      <c r="A19" s="41"/>
      <c r="B19" s="49" t="s">
        <v>37</v>
      </c>
      <c r="C19" s="49" t="s">
        <v>273</v>
      </c>
      <c r="D19" s="49" t="s">
        <v>274</v>
      </c>
      <c r="E19" s="49" t="s">
        <v>5</v>
      </c>
      <c r="F19" s="41"/>
      <c r="G19" s="41"/>
      <c r="H19" s="41"/>
      <c r="I19" s="41"/>
      <c r="J19" s="41"/>
      <c r="K19" s="41"/>
      <c r="L19" s="41"/>
      <c r="M19" s="41"/>
      <c r="N19" s="41"/>
      <c r="O19" s="41"/>
      <c r="P19" s="41"/>
      <c r="Q19" s="41"/>
      <c r="R19" s="41"/>
      <c r="S19" s="41"/>
      <c r="T19" s="41"/>
      <c r="U19" s="41"/>
      <c r="V19" s="41"/>
      <c r="W19" s="41"/>
      <c r="X19" s="41"/>
      <c r="Y19" s="41"/>
      <c r="Z19" s="41"/>
    </row>
    <row r="20" ht="19.5" customHeight="1">
      <c r="A20" s="41"/>
      <c r="B20" s="84" t="s">
        <v>554</v>
      </c>
      <c r="C20" s="110" t="str">
        <f>sample_ca_algorithm</f>
        <v>RSA</v>
      </c>
      <c r="D20" s="18" t="str">
        <f>ca_algorithm</f>
        <v>Value Missing</v>
      </c>
      <c r="E20" s="270" t="s">
        <v>1448</v>
      </c>
      <c r="F20" s="41"/>
      <c r="G20" s="41"/>
      <c r="H20" s="41"/>
      <c r="I20" s="41"/>
      <c r="J20" s="41"/>
      <c r="K20" s="41"/>
      <c r="L20" s="41"/>
      <c r="M20" s="41"/>
      <c r="N20" s="41"/>
      <c r="O20" s="41"/>
      <c r="P20" s="41"/>
      <c r="Q20" s="41"/>
      <c r="R20" s="41"/>
      <c r="S20" s="41"/>
      <c r="T20" s="41"/>
      <c r="U20" s="41"/>
      <c r="V20" s="41"/>
      <c r="W20" s="41"/>
      <c r="X20" s="41"/>
      <c r="Y20" s="41"/>
      <c r="Z20" s="41"/>
    </row>
    <row r="21" ht="19.5" customHeight="1">
      <c r="A21" s="41"/>
      <c r="B21" s="84" t="s">
        <v>567</v>
      </c>
      <c r="C21" s="110">
        <f>sample_ca_key_size</f>
        <v>4096</v>
      </c>
      <c r="D21" s="18" t="str">
        <f>ca_key_size</f>
        <v>Value Missing</v>
      </c>
      <c r="E21" s="84"/>
      <c r="F21" s="41"/>
      <c r="G21" s="41"/>
      <c r="H21" s="41"/>
      <c r="I21" s="41"/>
      <c r="J21" s="41"/>
      <c r="K21" s="41"/>
      <c r="L21" s="41"/>
      <c r="M21" s="41"/>
      <c r="N21" s="41"/>
      <c r="O21" s="41"/>
      <c r="P21" s="41"/>
      <c r="Q21" s="41"/>
      <c r="R21" s="41"/>
      <c r="S21" s="41"/>
      <c r="T21" s="41"/>
      <c r="U21" s="41"/>
      <c r="V21" s="41"/>
      <c r="W21" s="41"/>
      <c r="X21" s="41"/>
      <c r="Y21" s="41"/>
      <c r="Z21" s="41"/>
    </row>
    <row r="22" ht="19.5" customHeight="1">
      <c r="A22" s="41"/>
      <c r="B22" s="84" t="s">
        <v>565</v>
      </c>
      <c r="C22" s="110" t="str">
        <f>sample_ca_email_address</f>
        <v>administrator@rainpole.io</v>
      </c>
      <c r="D22" s="18" t="str">
        <f>ca_email_address</f>
        <v>Value Missing</v>
      </c>
      <c r="E22" s="84"/>
      <c r="F22" s="41"/>
      <c r="G22" s="41"/>
      <c r="H22" s="41"/>
      <c r="I22" s="41"/>
      <c r="J22" s="41"/>
      <c r="K22" s="41"/>
      <c r="L22" s="41"/>
      <c r="M22" s="41"/>
      <c r="N22" s="41"/>
      <c r="O22" s="41"/>
      <c r="P22" s="41"/>
      <c r="Q22" s="41"/>
      <c r="R22" s="41"/>
      <c r="S22" s="41"/>
      <c r="T22" s="41"/>
      <c r="U22" s="41"/>
      <c r="V22" s="41"/>
      <c r="W22" s="41"/>
      <c r="X22" s="41"/>
      <c r="Y22" s="41"/>
      <c r="Z22" s="41"/>
    </row>
    <row r="23" ht="19.5" customHeight="1">
      <c r="A23" s="41"/>
      <c r="B23" s="84" t="s">
        <v>557</v>
      </c>
      <c r="C23" s="110" t="str">
        <f>sample_ca_organization_unit</f>
        <v>Rainpole</v>
      </c>
      <c r="D23" s="18" t="str">
        <f>ca_organization_unit</f>
        <v>Value Missing</v>
      </c>
      <c r="E23" s="84"/>
      <c r="F23" s="41"/>
      <c r="G23" s="41"/>
      <c r="H23" s="41"/>
      <c r="I23" s="41"/>
      <c r="J23" s="41"/>
      <c r="K23" s="41"/>
      <c r="L23" s="41"/>
      <c r="M23" s="41"/>
      <c r="N23" s="41"/>
      <c r="O23" s="41"/>
      <c r="P23" s="41"/>
      <c r="Q23" s="41"/>
      <c r="R23" s="41"/>
      <c r="S23" s="41"/>
      <c r="T23" s="41"/>
      <c r="U23" s="41"/>
      <c r="V23" s="41"/>
      <c r="W23" s="41"/>
      <c r="X23" s="41"/>
      <c r="Y23" s="41"/>
      <c r="Z23" s="41"/>
    </row>
    <row r="24" ht="19.5" customHeight="1">
      <c r="A24" s="41"/>
      <c r="B24" s="84" t="s">
        <v>572</v>
      </c>
      <c r="C24" s="110" t="str">
        <f>sample_ca_organization</f>
        <v>IT</v>
      </c>
      <c r="D24" s="18" t="str">
        <f>ca_organization</f>
        <v>Value Missing</v>
      </c>
      <c r="E24" s="84"/>
      <c r="F24" s="41"/>
      <c r="G24" s="41"/>
      <c r="H24" s="41"/>
      <c r="I24" s="41"/>
      <c r="J24" s="41"/>
      <c r="K24" s="41"/>
      <c r="L24" s="41"/>
      <c r="M24" s="41"/>
      <c r="N24" s="41"/>
      <c r="O24" s="41"/>
      <c r="P24" s="41"/>
      <c r="Q24" s="41"/>
      <c r="R24" s="41"/>
      <c r="S24" s="41"/>
      <c r="T24" s="41"/>
      <c r="U24" s="41"/>
      <c r="V24" s="41"/>
      <c r="W24" s="41"/>
      <c r="X24" s="41"/>
      <c r="Y24" s="41"/>
      <c r="Z24" s="41"/>
    </row>
    <row r="25" ht="19.5" customHeight="1">
      <c r="A25" s="41"/>
      <c r="B25" s="84" t="s">
        <v>563</v>
      </c>
      <c r="C25" s="110" t="str">
        <f>sample_ca_locality</f>
        <v>San Francisco</v>
      </c>
      <c r="D25" s="18" t="str">
        <f>ca_locality</f>
        <v>Value Missing</v>
      </c>
      <c r="E25" s="84"/>
      <c r="F25" s="41"/>
      <c r="G25" s="41"/>
      <c r="H25" s="41"/>
      <c r="I25" s="41"/>
      <c r="J25" s="41"/>
      <c r="K25" s="41"/>
      <c r="L25" s="41"/>
      <c r="M25" s="41"/>
      <c r="N25" s="41"/>
      <c r="O25" s="41"/>
      <c r="P25" s="41"/>
      <c r="Q25" s="41"/>
      <c r="R25" s="41"/>
      <c r="S25" s="41"/>
      <c r="T25" s="41"/>
      <c r="U25" s="41"/>
      <c r="V25" s="41"/>
      <c r="W25" s="41"/>
      <c r="X25" s="41"/>
      <c r="Y25" s="41"/>
      <c r="Z25" s="41"/>
    </row>
    <row r="26" ht="19.5" customHeight="1">
      <c r="A26" s="41"/>
      <c r="B26" s="84" t="s">
        <v>561</v>
      </c>
      <c r="C26" s="110" t="str">
        <f>sample_ca_state</f>
        <v>CA</v>
      </c>
      <c r="D26" s="18" t="str">
        <f>ca_state</f>
        <v>Value Missing</v>
      </c>
      <c r="E26" s="84"/>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84" t="s">
        <v>559</v>
      </c>
      <c r="C27" s="110" t="str">
        <f>sample_ca_country</f>
        <v>US</v>
      </c>
      <c r="D27" s="18" t="str">
        <f>ca_country</f>
        <v>Value Missing</v>
      </c>
      <c r="E27" s="84"/>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1"/>
      <c r="C28" s="1"/>
      <c r="D28" s="1"/>
      <c r="E28" s="41"/>
      <c r="F28" s="41"/>
      <c r="G28" s="41"/>
      <c r="H28" s="41"/>
      <c r="I28" s="41"/>
      <c r="J28" s="41"/>
      <c r="K28" s="41"/>
      <c r="L28" s="41"/>
      <c r="M28" s="41"/>
      <c r="N28" s="41"/>
      <c r="O28" s="41"/>
      <c r="P28" s="41"/>
      <c r="Q28" s="41"/>
      <c r="R28" s="41"/>
      <c r="S28" s="41"/>
      <c r="T28" s="41"/>
      <c r="U28" s="41"/>
      <c r="V28" s="41"/>
      <c r="W28" s="41"/>
      <c r="X28" s="41"/>
      <c r="Y28" s="41"/>
      <c r="Z28" s="41"/>
    </row>
    <row r="29" ht="33.75" customHeight="1">
      <c r="A29" s="41"/>
      <c r="B29" s="184" t="s">
        <v>1449</v>
      </c>
      <c r="C29" s="13"/>
      <c r="D29" s="13"/>
      <c r="E29" s="14"/>
      <c r="F29" s="41"/>
      <c r="G29" s="41"/>
      <c r="H29" s="41"/>
      <c r="I29" s="41"/>
      <c r="J29" s="41"/>
      <c r="K29" s="41"/>
      <c r="L29" s="41"/>
      <c r="M29" s="41"/>
      <c r="N29" s="41"/>
      <c r="O29" s="41"/>
      <c r="P29" s="41"/>
      <c r="Q29" s="41"/>
      <c r="R29" s="41"/>
      <c r="S29" s="41"/>
      <c r="T29" s="41"/>
      <c r="U29" s="41"/>
      <c r="V29" s="41"/>
      <c r="W29" s="41"/>
      <c r="X29" s="41"/>
      <c r="Y29" s="41"/>
      <c r="Z29" s="41"/>
    </row>
    <row r="30" ht="19.5" customHeight="1">
      <c r="A30" s="41"/>
      <c r="B30" s="102" t="s">
        <v>1450</v>
      </c>
      <c r="C30" s="13"/>
      <c r="D30" s="13"/>
      <c r="E30" s="14"/>
      <c r="F30" s="41"/>
      <c r="G30" s="41"/>
      <c r="H30" s="41"/>
      <c r="I30" s="41"/>
      <c r="J30" s="41"/>
      <c r="K30" s="41"/>
      <c r="L30" s="41"/>
      <c r="M30" s="41"/>
      <c r="N30" s="41"/>
      <c r="O30" s="41"/>
      <c r="P30" s="41"/>
      <c r="Q30" s="41"/>
      <c r="R30" s="41"/>
      <c r="S30" s="41"/>
      <c r="T30" s="41"/>
      <c r="U30" s="41"/>
      <c r="V30" s="41"/>
      <c r="W30" s="41"/>
      <c r="X30" s="41"/>
      <c r="Y30" s="41"/>
      <c r="Z30" s="41"/>
    </row>
    <row r="31" ht="19.5" customHeight="1">
      <c r="A31" s="41"/>
      <c r="B31" s="49" t="s">
        <v>37</v>
      </c>
      <c r="C31" s="49" t="s">
        <v>273</v>
      </c>
      <c r="D31" s="49" t="s">
        <v>274</v>
      </c>
      <c r="E31" s="49" t="s">
        <v>5</v>
      </c>
      <c r="F31" s="41"/>
      <c r="G31" s="41"/>
      <c r="H31" s="41"/>
      <c r="I31" s="41"/>
      <c r="J31" s="41"/>
      <c r="K31" s="41"/>
      <c r="L31" s="41"/>
      <c r="M31" s="41"/>
      <c r="N31" s="41"/>
      <c r="O31" s="41"/>
      <c r="P31" s="41"/>
      <c r="Q31" s="41"/>
      <c r="R31" s="41"/>
      <c r="S31" s="41"/>
      <c r="T31" s="41"/>
      <c r="U31" s="41"/>
      <c r="V31" s="41"/>
      <c r="W31" s="41"/>
      <c r="X31" s="41"/>
      <c r="Y31" s="41"/>
      <c r="Z31" s="41"/>
    </row>
    <row r="32" ht="19.5" customHeight="1">
      <c r="A32" s="41"/>
      <c r="B32" s="17" t="s">
        <v>579</v>
      </c>
      <c r="C32" s="13"/>
      <c r="D32" s="13"/>
      <c r="E32" s="14"/>
      <c r="F32" s="41"/>
      <c r="G32" s="41"/>
      <c r="H32" s="41"/>
      <c r="I32" s="41"/>
      <c r="J32" s="41"/>
      <c r="K32" s="41"/>
      <c r="L32" s="41"/>
      <c r="M32" s="41"/>
      <c r="N32" s="41"/>
      <c r="O32" s="41"/>
      <c r="P32" s="41"/>
      <c r="Q32" s="41"/>
      <c r="R32" s="41"/>
      <c r="S32" s="41"/>
      <c r="T32" s="41"/>
      <c r="U32" s="41"/>
      <c r="V32" s="41"/>
      <c r="W32" s="41"/>
      <c r="X32" s="41"/>
      <c r="Y32" s="41"/>
      <c r="Z32" s="41"/>
    </row>
    <row r="33" ht="19.5" customHeight="1">
      <c r="A33" s="41"/>
      <c r="B33" s="84" t="s">
        <v>579</v>
      </c>
      <c r="C33" s="110" t="s">
        <v>517</v>
      </c>
      <c r="D33" s="18" t="str">
        <f>wld_bgp_chosen</f>
        <v>Exclude</v>
      </c>
      <c r="E33" s="84"/>
      <c r="F33" s="41"/>
      <c r="G33" s="41"/>
      <c r="H33" s="41"/>
      <c r="I33" s="41"/>
      <c r="J33" s="41"/>
      <c r="K33" s="41"/>
      <c r="L33" s="41"/>
      <c r="M33" s="41"/>
      <c r="N33" s="41"/>
      <c r="O33" s="41"/>
      <c r="P33" s="41"/>
      <c r="Q33" s="41"/>
      <c r="R33" s="41"/>
      <c r="S33" s="41"/>
      <c r="T33" s="41"/>
      <c r="U33" s="41"/>
      <c r="V33" s="41"/>
      <c r="W33" s="41"/>
      <c r="X33" s="41"/>
      <c r="Y33" s="41"/>
      <c r="Z33" s="41"/>
    </row>
    <row r="34" ht="19.5" customHeight="1">
      <c r="A34" s="41"/>
      <c r="B34" s="17" t="s">
        <v>580</v>
      </c>
      <c r="C34" s="13"/>
      <c r="D34" s="13"/>
      <c r="E34" s="14"/>
      <c r="F34" s="41"/>
      <c r="G34" s="41"/>
      <c r="H34" s="41"/>
      <c r="I34" s="41"/>
      <c r="J34" s="41"/>
      <c r="K34" s="41"/>
      <c r="L34" s="41"/>
      <c r="M34" s="41"/>
      <c r="N34" s="41"/>
      <c r="O34" s="41"/>
      <c r="P34" s="41"/>
      <c r="Q34" s="41"/>
      <c r="R34" s="41"/>
      <c r="S34" s="41"/>
      <c r="T34" s="41"/>
      <c r="U34" s="41"/>
      <c r="V34" s="41"/>
      <c r="W34" s="41"/>
      <c r="X34" s="41"/>
      <c r="Y34" s="41"/>
      <c r="Z34" s="41"/>
    </row>
    <row r="35" ht="19.5" customHeight="1">
      <c r="A35" s="41"/>
      <c r="B35" s="71" t="s">
        <v>401</v>
      </c>
      <c r="C35" s="110" t="str">
        <f>CONCAT(prefix_wld_az1_vlan,98)</f>
        <v>2398</v>
      </c>
      <c r="D35" s="18"/>
      <c r="E35" s="84"/>
      <c r="F35" s="41"/>
      <c r="G35" s="41"/>
      <c r="H35" s="41"/>
      <c r="I35" s="41"/>
      <c r="J35" s="41"/>
      <c r="K35" s="41"/>
      <c r="L35" s="41"/>
      <c r="M35" s="41"/>
      <c r="N35" s="41"/>
      <c r="O35" s="41"/>
      <c r="P35" s="41"/>
      <c r="Q35" s="41"/>
      <c r="R35" s="41"/>
      <c r="S35" s="41"/>
      <c r="T35" s="41"/>
      <c r="U35" s="41"/>
      <c r="V35" s="41"/>
      <c r="W35" s="41"/>
      <c r="X35" s="41"/>
      <c r="Y35" s="41"/>
      <c r="Z35" s="41"/>
    </row>
    <row r="36" ht="19.5" customHeight="1">
      <c r="A36" s="41"/>
      <c r="B36" s="71" t="s">
        <v>581</v>
      </c>
      <c r="C36" s="110" t="str">
        <f>CONCATENATE(prefix_wld_az1_cidr,"98.1/24")</f>
        <v>10.23.98.1/24</v>
      </c>
      <c r="D36" s="18"/>
      <c r="E36" s="84"/>
      <c r="F36" s="41"/>
      <c r="G36" s="41"/>
      <c r="H36" s="41"/>
      <c r="I36" s="41"/>
      <c r="J36" s="41"/>
      <c r="K36" s="41"/>
      <c r="L36" s="41"/>
      <c r="M36" s="41"/>
      <c r="N36" s="41"/>
      <c r="O36" s="41"/>
      <c r="P36" s="41"/>
      <c r="Q36" s="41"/>
      <c r="R36" s="41"/>
      <c r="S36" s="41"/>
      <c r="T36" s="41"/>
      <c r="U36" s="41"/>
      <c r="V36" s="41"/>
      <c r="W36" s="41"/>
      <c r="X36" s="41"/>
      <c r="Y36" s="41"/>
      <c r="Z36" s="41"/>
    </row>
    <row r="37" ht="19.5" customHeight="1">
      <c r="A37" s="41"/>
      <c r="B37" s="17" t="s">
        <v>583</v>
      </c>
      <c r="C37" s="13"/>
      <c r="D37" s="13"/>
      <c r="E37" s="14"/>
      <c r="F37" s="41"/>
      <c r="G37" s="41"/>
      <c r="H37" s="41"/>
      <c r="I37" s="41"/>
      <c r="J37" s="41"/>
      <c r="K37" s="41"/>
      <c r="L37" s="41"/>
      <c r="M37" s="41"/>
      <c r="N37" s="41"/>
      <c r="O37" s="41"/>
      <c r="P37" s="41"/>
      <c r="Q37" s="41"/>
      <c r="R37" s="41"/>
      <c r="S37" s="41"/>
      <c r="T37" s="41"/>
      <c r="U37" s="41"/>
      <c r="V37" s="41"/>
      <c r="W37" s="41"/>
      <c r="X37" s="41"/>
      <c r="Y37" s="41"/>
      <c r="Z37" s="41"/>
    </row>
    <row r="38" ht="19.5" customHeight="1">
      <c r="A38" s="41"/>
      <c r="B38" s="84" t="s">
        <v>584</v>
      </c>
      <c r="C38" s="110" t="str">
        <f>CONCATENATE(this_instance,"-w0",wld_domain_number_chosen,"-ec01")</f>
        <v>lax-w01-ec01</v>
      </c>
      <c r="D38" s="18"/>
      <c r="E38" s="84"/>
      <c r="F38" s="41"/>
      <c r="G38" s="41"/>
      <c r="H38" s="41"/>
      <c r="I38" s="41"/>
      <c r="J38" s="41"/>
      <c r="K38" s="41"/>
      <c r="L38" s="41"/>
      <c r="M38" s="41"/>
      <c r="N38" s="41"/>
      <c r="O38" s="41"/>
      <c r="P38" s="41"/>
      <c r="Q38" s="41"/>
      <c r="R38" s="41"/>
      <c r="S38" s="41"/>
      <c r="T38" s="41"/>
      <c r="U38" s="41"/>
      <c r="V38" s="41"/>
      <c r="W38" s="41"/>
      <c r="X38" s="41"/>
      <c r="Y38" s="41"/>
      <c r="Z38" s="41"/>
    </row>
    <row r="39" ht="19.5" customHeight="1">
      <c r="A39" s="41"/>
      <c r="B39" s="84" t="s">
        <v>585</v>
      </c>
      <c r="C39" s="110">
        <v>1700.0</v>
      </c>
      <c r="D39" s="32"/>
      <c r="E39" s="18" t="s">
        <v>1451</v>
      </c>
      <c r="F39" s="41"/>
      <c r="G39" s="41"/>
      <c r="H39" s="41"/>
      <c r="I39" s="41"/>
      <c r="J39" s="41"/>
      <c r="K39" s="41"/>
      <c r="L39" s="41"/>
      <c r="M39" s="41"/>
      <c r="N39" s="41"/>
      <c r="O39" s="41"/>
      <c r="P39" s="41"/>
      <c r="Q39" s="41"/>
      <c r="R39" s="41"/>
      <c r="S39" s="41"/>
      <c r="T39" s="41"/>
      <c r="U39" s="41"/>
      <c r="V39" s="41"/>
      <c r="W39" s="41"/>
      <c r="X39" s="41"/>
      <c r="Y39" s="41"/>
      <c r="Z39" s="41"/>
    </row>
    <row r="40" ht="19.5" customHeight="1">
      <c r="A40" s="41"/>
      <c r="B40" s="84" t="s">
        <v>587</v>
      </c>
      <c r="C40" s="110" t="s">
        <v>225</v>
      </c>
      <c r="D40" s="18" t="s">
        <v>225</v>
      </c>
      <c r="E40" s="84"/>
      <c r="F40" s="41"/>
      <c r="G40" s="41"/>
      <c r="H40" s="41"/>
      <c r="I40" s="41"/>
      <c r="J40" s="41"/>
      <c r="K40" s="41"/>
      <c r="L40" s="41"/>
      <c r="M40" s="41"/>
      <c r="N40" s="41"/>
      <c r="O40" s="41"/>
      <c r="P40" s="41"/>
      <c r="Q40" s="41"/>
      <c r="R40" s="41"/>
      <c r="S40" s="41"/>
      <c r="T40" s="41"/>
      <c r="U40" s="41"/>
      <c r="V40" s="41"/>
      <c r="W40" s="41"/>
      <c r="X40" s="41"/>
      <c r="Y40" s="41"/>
      <c r="Z40" s="41"/>
    </row>
    <row r="41" ht="19.5" customHeight="1">
      <c r="A41" s="41"/>
      <c r="B41" s="17" t="s">
        <v>588</v>
      </c>
      <c r="C41" s="13"/>
      <c r="D41" s="13"/>
      <c r="E41" s="14"/>
      <c r="F41" s="41"/>
      <c r="G41" s="41"/>
      <c r="H41" s="41"/>
      <c r="I41" s="41"/>
      <c r="J41" s="41"/>
      <c r="K41" s="41"/>
      <c r="L41" s="41"/>
      <c r="M41" s="41"/>
      <c r="N41" s="41"/>
      <c r="O41" s="41"/>
      <c r="P41" s="41"/>
      <c r="Q41" s="41"/>
      <c r="R41" s="41"/>
      <c r="S41" s="41"/>
      <c r="T41" s="41"/>
      <c r="U41" s="41"/>
      <c r="V41" s="41"/>
      <c r="W41" s="41"/>
      <c r="X41" s="41"/>
      <c r="Y41" s="41"/>
      <c r="Z41" s="41"/>
    </row>
    <row r="42" ht="19.5" customHeight="1">
      <c r="A42" s="41"/>
      <c r="B42" s="84" t="s">
        <v>589</v>
      </c>
      <c r="C42" s="271" t="str">
        <f>CONCATENATE(this_instance,"-w0",wld_domain_number_chosen,"-r01-en01",".",sample_child_dns_zone)</f>
        <v>lax-w01-r01-en01.lax.rainpole.io</v>
      </c>
      <c r="D42" s="272"/>
      <c r="E42" s="18"/>
      <c r="F42" s="41"/>
      <c r="G42" s="41"/>
      <c r="H42" s="41"/>
      <c r="I42" s="41"/>
      <c r="J42" s="41"/>
      <c r="K42" s="41"/>
      <c r="L42" s="41"/>
      <c r="M42" s="41"/>
      <c r="N42" s="41"/>
      <c r="O42" s="41"/>
      <c r="P42" s="41"/>
      <c r="Q42" s="41"/>
      <c r="R42" s="41"/>
      <c r="S42" s="41"/>
      <c r="T42" s="41"/>
      <c r="U42" s="41"/>
      <c r="V42" s="41"/>
      <c r="W42" s="41"/>
      <c r="X42" s="41"/>
      <c r="Y42" s="41"/>
      <c r="Z42" s="41"/>
    </row>
    <row r="43" ht="19.5" customHeight="1">
      <c r="A43" s="41"/>
      <c r="B43" s="84" t="s">
        <v>302</v>
      </c>
      <c r="C43" s="110" t="str">
        <f>sample_wld_cl01_cluster</f>
        <v>lax-w01-cl01</v>
      </c>
      <c r="D43" s="32" t="str">
        <f>wld_cl01_cluster</f>
        <v>Value Missing</v>
      </c>
      <c r="E43" s="186" t="s">
        <v>1452</v>
      </c>
      <c r="F43" s="41"/>
      <c r="G43" s="41"/>
      <c r="H43" s="41"/>
      <c r="I43" s="41"/>
      <c r="J43" s="41"/>
      <c r="K43" s="41"/>
      <c r="L43" s="41"/>
      <c r="M43" s="41"/>
      <c r="N43" s="41"/>
      <c r="O43" s="41"/>
      <c r="P43" s="41"/>
      <c r="Q43" s="41"/>
      <c r="R43" s="41"/>
      <c r="S43" s="41"/>
      <c r="T43" s="41"/>
      <c r="U43" s="41"/>
      <c r="V43" s="41"/>
      <c r="W43" s="41"/>
      <c r="X43" s="41"/>
      <c r="Y43" s="41"/>
      <c r="Z43" s="41"/>
    </row>
    <row r="44" ht="19.5" customHeight="1">
      <c r="A44" s="41"/>
      <c r="B44" s="84" t="s">
        <v>591</v>
      </c>
      <c r="C44" s="110" t="str">
        <f>CONCATENATE(this_instance,"-w0",wld_domain_number_chosen,"-cl01-rp-ec01")</f>
        <v>lax-w01-cl01-rp-ec01</v>
      </c>
      <c r="D44" s="32"/>
      <c r="E44" s="18" t="s">
        <v>592</v>
      </c>
      <c r="F44" s="41"/>
      <c r="G44" s="41"/>
      <c r="H44" s="41"/>
      <c r="I44" s="41"/>
      <c r="J44" s="41"/>
      <c r="K44" s="41"/>
      <c r="L44" s="41"/>
      <c r="M44" s="41"/>
      <c r="N44" s="41"/>
      <c r="O44" s="41"/>
      <c r="P44" s="41"/>
      <c r="Q44" s="41"/>
      <c r="R44" s="41"/>
      <c r="S44" s="41"/>
      <c r="T44" s="41"/>
      <c r="U44" s="41"/>
      <c r="V44" s="41"/>
      <c r="W44" s="41"/>
      <c r="X44" s="41"/>
      <c r="Y44" s="41"/>
      <c r="Z44" s="41"/>
    </row>
    <row r="45" ht="19.5" customHeight="1">
      <c r="A45" s="41"/>
      <c r="B45" s="84" t="s">
        <v>593</v>
      </c>
      <c r="C45" s="110" t="s">
        <v>594</v>
      </c>
      <c r="D45" s="32" t="s">
        <v>594</v>
      </c>
      <c r="E45" s="18"/>
      <c r="F45" s="41"/>
      <c r="G45" s="41"/>
      <c r="H45" s="41"/>
      <c r="I45" s="41"/>
      <c r="J45" s="41"/>
      <c r="K45" s="41"/>
      <c r="L45" s="41"/>
      <c r="M45" s="41"/>
      <c r="N45" s="41"/>
      <c r="O45" s="41"/>
      <c r="P45" s="41"/>
      <c r="Q45" s="41"/>
      <c r="R45" s="41"/>
      <c r="S45" s="41"/>
      <c r="T45" s="41"/>
      <c r="U45" s="41"/>
      <c r="V45" s="41"/>
      <c r="W45" s="41"/>
      <c r="X45" s="41"/>
      <c r="Y45" s="41"/>
      <c r="Z45" s="41"/>
    </row>
    <row r="46" ht="19.5" customHeight="1">
      <c r="A46" s="41"/>
      <c r="B46" s="84" t="s">
        <v>595</v>
      </c>
      <c r="C46" s="110" t="str">
        <f>CONCATENATE(sample_wld_sddc_domain,"-host-group-affinity-rule-ec01-en01")</f>
        <v>lax-w01-host-group-affinity-rule-ec01-en01</v>
      </c>
      <c r="D46" s="32"/>
      <c r="E46" s="18" t="s">
        <v>1453</v>
      </c>
      <c r="F46" s="41"/>
      <c r="G46" s="41"/>
      <c r="H46" s="41"/>
      <c r="I46" s="41"/>
      <c r="J46" s="41"/>
      <c r="K46" s="41"/>
      <c r="L46" s="41"/>
      <c r="M46" s="41"/>
      <c r="N46" s="41"/>
      <c r="O46" s="41"/>
      <c r="P46" s="41"/>
      <c r="Q46" s="41"/>
      <c r="R46" s="41"/>
      <c r="S46" s="41"/>
      <c r="T46" s="41"/>
      <c r="U46" s="41"/>
      <c r="V46" s="41"/>
      <c r="W46" s="41"/>
      <c r="X46" s="41"/>
      <c r="Y46" s="41"/>
      <c r="Z46" s="41"/>
    </row>
    <row r="47" ht="19.5" customHeight="1">
      <c r="A47" s="41"/>
      <c r="B47" s="84" t="s">
        <v>1454</v>
      </c>
      <c r="C47" s="110" t="str">
        <f>sample_wld_cl01_vsan_datastore</f>
        <v>lax-w01-lax-w01-cl01-vsan01</v>
      </c>
      <c r="D47" s="32" t="str">
        <f>wld_cl01_vsan_datastore</f>
        <v>Value Missing</v>
      </c>
      <c r="E47" s="186" t="s">
        <v>1455</v>
      </c>
      <c r="F47" s="41"/>
      <c r="G47" s="41"/>
      <c r="H47" s="41"/>
      <c r="I47" s="41"/>
      <c r="J47" s="41"/>
      <c r="K47" s="41"/>
      <c r="L47" s="41"/>
      <c r="M47" s="41"/>
      <c r="N47" s="41"/>
      <c r="O47" s="41"/>
      <c r="P47" s="41"/>
      <c r="Q47" s="41"/>
      <c r="R47" s="41"/>
      <c r="S47" s="41"/>
      <c r="T47" s="41"/>
      <c r="U47" s="41"/>
      <c r="V47" s="41"/>
      <c r="W47" s="41"/>
      <c r="X47" s="41"/>
      <c r="Y47" s="41"/>
      <c r="Z47" s="41"/>
    </row>
    <row r="48" ht="19.5" customHeight="1">
      <c r="A48" s="41"/>
      <c r="B48" s="84" t="s">
        <v>598</v>
      </c>
      <c r="C48" s="163" t="s">
        <v>599</v>
      </c>
      <c r="D48" s="18" t="s">
        <v>599</v>
      </c>
      <c r="E48" s="18"/>
      <c r="F48" s="41"/>
      <c r="G48" s="41"/>
      <c r="H48" s="41"/>
      <c r="I48" s="41"/>
      <c r="J48" s="41"/>
      <c r="K48" s="41"/>
      <c r="L48" s="41"/>
      <c r="M48" s="41"/>
      <c r="N48" s="41"/>
      <c r="O48" s="41"/>
      <c r="P48" s="41"/>
      <c r="Q48" s="41"/>
      <c r="R48" s="41"/>
      <c r="S48" s="41"/>
      <c r="T48" s="41"/>
      <c r="U48" s="41"/>
      <c r="V48" s="41"/>
      <c r="W48" s="41"/>
      <c r="X48" s="41"/>
      <c r="Y48" s="41"/>
      <c r="Z48" s="41"/>
    </row>
    <row r="49" ht="19.5" customHeight="1">
      <c r="A49" s="41"/>
      <c r="B49" s="84" t="s">
        <v>600</v>
      </c>
      <c r="C49" s="273" t="str">
        <f>sample_wld_cl01_az1_mgmt_vm_pg</f>
        <v>lax-w01-cl01-vds01-pg-vm-mgmt</v>
      </c>
      <c r="D49" s="32" t="str">
        <f>wld_cl01_az1_mgmt_vm_pg</f>
        <v>Value Missing</v>
      </c>
      <c r="E49" s="186" t="s">
        <v>1456</v>
      </c>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84" t="s">
        <v>602</v>
      </c>
      <c r="C50" s="273" t="str">
        <f>IF(wld_dpg_separation_result="Included",CONCATENATE(prefix_wld_az1_cidr,"10.135","/",INT(RIGHT(sample_wld_az1_mgmt_vm_cidr,LEN(sample_wld_az1_mgmt_vm_cidr)-FIND("/",sample_wld_az1_mgmt_vm_cidr)))),CONCATENATE(prefix_wld_az1_cidr,"11.135","/",INT(RIGHT(sample_wld_az1_mgmt_cidr,LEN(sample_wld_az1_mgmt_cidr)-FIND("/",sample_wld_az1_mgmt_cidr)))))</f>
        <v>10.23.10.135/24</v>
      </c>
      <c r="D50" s="18"/>
      <c r="E50" s="18"/>
      <c r="F50" s="41"/>
      <c r="G50" s="41"/>
      <c r="H50" s="41"/>
      <c r="I50" s="41"/>
      <c r="J50" s="41"/>
      <c r="K50" s="41"/>
      <c r="L50" s="41"/>
      <c r="M50" s="41"/>
      <c r="N50" s="41"/>
      <c r="O50" s="41"/>
      <c r="P50" s="41"/>
      <c r="Q50" s="41"/>
      <c r="R50" s="41"/>
      <c r="S50" s="41"/>
      <c r="T50" s="41"/>
      <c r="U50" s="41"/>
      <c r="V50" s="41"/>
      <c r="W50" s="41"/>
      <c r="X50" s="41"/>
      <c r="Y50" s="41"/>
      <c r="Z50" s="41"/>
    </row>
    <row r="51" ht="19.5" customHeight="1">
      <c r="A51" s="41"/>
      <c r="B51" s="84" t="s">
        <v>603</v>
      </c>
      <c r="C51" s="273" t="str">
        <f>sample_wld_az1_mgmt_vm_gateway_ip</f>
        <v>10.23.10.1</v>
      </c>
      <c r="D51" s="18" t="str">
        <f>wld_az1_mgmt_vm_gateway_ip</f>
        <v>Value Missing</v>
      </c>
      <c r="E51" s="186" t="s">
        <v>1457</v>
      </c>
      <c r="F51" s="41"/>
      <c r="G51" s="41"/>
      <c r="H51" s="41"/>
      <c r="I51" s="41"/>
      <c r="J51" s="41"/>
      <c r="K51" s="41"/>
      <c r="L51" s="41"/>
      <c r="M51" s="41"/>
      <c r="N51" s="41"/>
      <c r="O51" s="41"/>
      <c r="P51" s="41"/>
      <c r="Q51" s="41"/>
      <c r="R51" s="41"/>
      <c r="S51" s="41"/>
      <c r="T51" s="41"/>
      <c r="U51" s="41"/>
      <c r="V51" s="41"/>
      <c r="W51" s="41"/>
      <c r="X51" s="41"/>
      <c r="Y51" s="41"/>
      <c r="Z51" s="41"/>
    </row>
    <row r="52" ht="19.5" customHeight="1">
      <c r="A52" s="41"/>
      <c r="B52" s="84" t="s">
        <v>605</v>
      </c>
      <c r="C52" s="110" t="s">
        <v>606</v>
      </c>
      <c r="D52" s="32" t="s">
        <v>606</v>
      </c>
      <c r="E52" s="18"/>
      <c r="F52" s="41"/>
      <c r="G52" s="41"/>
      <c r="H52" s="41"/>
      <c r="I52" s="41"/>
      <c r="J52" s="41"/>
      <c r="K52" s="41"/>
      <c r="L52" s="41"/>
      <c r="M52" s="41"/>
      <c r="N52" s="41"/>
      <c r="O52" s="41"/>
      <c r="P52" s="41"/>
      <c r="Q52" s="41"/>
      <c r="R52" s="41"/>
      <c r="S52" s="41"/>
      <c r="T52" s="41"/>
      <c r="U52" s="41"/>
      <c r="V52" s="41"/>
      <c r="W52" s="41"/>
      <c r="X52" s="41"/>
      <c r="Y52" s="41"/>
      <c r="Z52" s="41"/>
    </row>
    <row r="53" ht="19.5" customHeight="1">
      <c r="A53" s="41"/>
      <c r="B53" s="102" t="s">
        <v>1458</v>
      </c>
      <c r="C53" s="13"/>
      <c r="D53" s="13"/>
      <c r="E53" s="14"/>
      <c r="F53" s="41"/>
      <c r="G53" s="41"/>
      <c r="H53" s="41"/>
      <c r="I53" s="41"/>
      <c r="J53" s="41"/>
      <c r="K53" s="41"/>
      <c r="L53" s="41"/>
      <c r="M53" s="41"/>
      <c r="N53" s="41"/>
      <c r="O53" s="41"/>
      <c r="P53" s="41"/>
      <c r="Q53" s="41"/>
      <c r="R53" s="41"/>
      <c r="S53" s="41"/>
      <c r="T53" s="41"/>
      <c r="U53" s="41"/>
      <c r="V53" s="41"/>
      <c r="W53" s="41"/>
      <c r="X53" s="41"/>
      <c r="Y53" s="41"/>
      <c r="Z53" s="41"/>
    </row>
    <row r="54" ht="19.5" customHeight="1">
      <c r="A54" s="41"/>
      <c r="B54" s="84" t="s">
        <v>608</v>
      </c>
      <c r="C54" s="110" t="s">
        <v>432</v>
      </c>
      <c r="D54" s="32"/>
      <c r="E54" s="18"/>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173" t="s">
        <v>608</v>
      </c>
      <c r="C55" s="110" t="s">
        <v>433</v>
      </c>
      <c r="D55" s="32"/>
      <c r="E55" s="18"/>
      <c r="F55" s="41"/>
      <c r="G55" s="41"/>
      <c r="H55" s="41"/>
      <c r="I55" s="41"/>
      <c r="J55" s="41"/>
      <c r="K55" s="41"/>
      <c r="L55" s="41"/>
      <c r="M55" s="41"/>
      <c r="N55" s="41"/>
      <c r="O55" s="41"/>
      <c r="P55" s="41"/>
      <c r="Q55" s="41"/>
      <c r="R55" s="41"/>
      <c r="S55" s="41"/>
      <c r="T55" s="41"/>
      <c r="U55" s="41"/>
      <c r="V55" s="41"/>
      <c r="W55" s="41"/>
      <c r="X55" s="41"/>
      <c r="Y55" s="41"/>
      <c r="Z55" s="41"/>
    </row>
    <row r="56" ht="19.5" customHeight="1">
      <c r="A56" s="41"/>
      <c r="B56" s="173" t="s">
        <v>611</v>
      </c>
      <c r="C56" s="110" t="s">
        <v>433</v>
      </c>
      <c r="D56" s="32"/>
      <c r="E56" s="18"/>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187" t="s">
        <v>611</v>
      </c>
      <c r="C57" s="110" t="s">
        <v>432</v>
      </c>
      <c r="D57" s="32"/>
      <c r="E57" s="18"/>
      <c r="F57" s="41"/>
      <c r="G57" s="41"/>
      <c r="H57" s="41"/>
      <c r="I57" s="41"/>
      <c r="J57" s="41"/>
      <c r="K57" s="41"/>
      <c r="L57" s="41"/>
      <c r="M57" s="41"/>
      <c r="N57" s="41"/>
      <c r="O57" s="41"/>
      <c r="P57" s="41"/>
      <c r="Q57" s="41"/>
      <c r="R57" s="41"/>
      <c r="S57" s="41"/>
      <c r="T57" s="41"/>
      <c r="U57" s="41"/>
      <c r="V57" s="41"/>
      <c r="W57" s="41"/>
      <c r="X57" s="41"/>
      <c r="Y57" s="41"/>
      <c r="Z57" s="41"/>
    </row>
    <row r="58" ht="19.5" customHeight="1">
      <c r="A58" s="41"/>
      <c r="B58" s="84" t="s">
        <v>612</v>
      </c>
      <c r="C58" s="156" t="str">
        <f>CONCATENATE(prefix_wld_az1_vlan,"19")</f>
        <v>2319</v>
      </c>
      <c r="D58" s="18"/>
      <c r="E58" s="18"/>
      <c r="F58" s="41"/>
      <c r="G58" s="41"/>
      <c r="H58" s="41"/>
      <c r="I58" s="41"/>
      <c r="J58" s="41"/>
      <c r="K58" s="41"/>
      <c r="L58" s="41"/>
      <c r="M58" s="41"/>
      <c r="N58" s="41"/>
      <c r="O58" s="41"/>
      <c r="P58" s="41"/>
      <c r="Q58" s="41"/>
      <c r="R58" s="41"/>
      <c r="S58" s="41"/>
      <c r="T58" s="41"/>
      <c r="U58" s="41"/>
      <c r="V58" s="41"/>
      <c r="W58" s="41"/>
      <c r="X58" s="41"/>
      <c r="Y58" s="41"/>
      <c r="Z58" s="41"/>
    </row>
    <row r="59" ht="19.5" customHeight="1">
      <c r="A59" s="41"/>
      <c r="B59" s="84" t="s">
        <v>613</v>
      </c>
      <c r="C59" s="110" t="s">
        <v>614</v>
      </c>
      <c r="D59" s="32" t="s">
        <v>614</v>
      </c>
      <c r="E59" s="18"/>
      <c r="F59" s="41"/>
      <c r="G59" s="41"/>
      <c r="H59" s="41"/>
      <c r="I59" s="41"/>
      <c r="J59" s="41"/>
      <c r="K59" s="41"/>
      <c r="L59" s="41"/>
      <c r="M59" s="41"/>
      <c r="N59" s="41"/>
      <c r="O59" s="41"/>
      <c r="P59" s="41"/>
      <c r="Q59" s="41"/>
      <c r="R59" s="41"/>
      <c r="S59" s="41"/>
      <c r="T59" s="41"/>
      <c r="U59" s="41"/>
      <c r="V59" s="41"/>
      <c r="W59" s="41"/>
      <c r="X59" s="41"/>
      <c r="Y59" s="41"/>
      <c r="Z59" s="41"/>
    </row>
    <row r="60" ht="19.5" customHeight="1">
      <c r="A60" s="41"/>
      <c r="B60" s="84" t="s">
        <v>615</v>
      </c>
      <c r="C60" s="163" t="str">
        <f>CONCATENATE(sample_wld_sddc_domain,"-r01-ip-pool02-edge")</f>
        <v>lax-w01-r01-ip-pool02-edge</v>
      </c>
      <c r="D60" s="18"/>
      <c r="E60" s="18"/>
      <c r="F60" s="41"/>
      <c r="G60" s="41"/>
      <c r="H60" s="41"/>
      <c r="I60" s="41"/>
      <c r="J60" s="41"/>
      <c r="K60" s="41"/>
      <c r="L60" s="41"/>
      <c r="M60" s="41"/>
      <c r="N60" s="41"/>
      <c r="O60" s="41"/>
      <c r="P60" s="41"/>
      <c r="Q60" s="41"/>
      <c r="R60" s="41"/>
      <c r="S60" s="41"/>
      <c r="T60" s="41"/>
      <c r="U60" s="41"/>
      <c r="V60" s="41"/>
      <c r="W60" s="41"/>
      <c r="X60" s="41"/>
      <c r="Y60" s="41"/>
      <c r="Z60" s="41"/>
    </row>
    <row r="61" ht="19.5" customHeight="1">
      <c r="A61" s="41"/>
      <c r="B61" s="84" t="s">
        <v>616</v>
      </c>
      <c r="C61" s="156" t="str">
        <f>CONCATENATE(prefix_wld_az1_cidr,"19.2")</f>
        <v>10.23.19.2</v>
      </c>
      <c r="D61" s="18"/>
      <c r="E61" s="18"/>
      <c r="F61" s="41"/>
      <c r="G61" s="41"/>
      <c r="H61" s="41"/>
      <c r="I61" s="41"/>
      <c r="J61" s="41"/>
      <c r="K61" s="41"/>
      <c r="L61" s="41"/>
      <c r="M61" s="41"/>
      <c r="N61" s="41"/>
      <c r="O61" s="41"/>
      <c r="P61" s="41"/>
      <c r="Q61" s="41"/>
      <c r="R61" s="41"/>
      <c r="S61" s="41"/>
      <c r="T61" s="41"/>
      <c r="U61" s="41"/>
      <c r="V61" s="41"/>
      <c r="W61" s="41"/>
      <c r="X61" s="41"/>
      <c r="Y61" s="41"/>
      <c r="Z61" s="41"/>
    </row>
    <row r="62" ht="19.5" customHeight="1">
      <c r="A62" s="41"/>
      <c r="B62" s="84" t="s">
        <v>617</v>
      </c>
      <c r="C62" s="156" t="str">
        <f>CONCATENATE(prefix_wld_az1_cidr,"19.5")</f>
        <v>10.23.19.5</v>
      </c>
      <c r="D62" s="18"/>
      <c r="E62" s="18"/>
      <c r="F62" s="41"/>
      <c r="G62" s="41"/>
      <c r="H62" s="41"/>
      <c r="I62" s="41"/>
      <c r="J62" s="41"/>
      <c r="K62" s="41"/>
      <c r="L62" s="41"/>
      <c r="M62" s="41"/>
      <c r="N62" s="41"/>
      <c r="O62" s="41"/>
      <c r="P62" s="41"/>
      <c r="Q62" s="41"/>
      <c r="R62" s="41"/>
      <c r="S62" s="41"/>
      <c r="T62" s="41"/>
      <c r="U62" s="41"/>
      <c r="V62" s="41"/>
      <c r="W62" s="41"/>
      <c r="X62" s="41"/>
      <c r="Y62" s="41"/>
      <c r="Z62" s="41"/>
    </row>
    <row r="63" ht="19.5" customHeight="1">
      <c r="A63" s="41"/>
      <c r="B63" s="84" t="s">
        <v>618</v>
      </c>
      <c r="C63" s="163" t="str">
        <f>CONCATENATE(prefix_wld_az1_cidr,"19.2")</f>
        <v>10.23.19.2</v>
      </c>
      <c r="D63" s="18"/>
      <c r="E63" s="18" t="s">
        <v>1459</v>
      </c>
      <c r="F63" s="41"/>
      <c r="G63" s="41"/>
      <c r="H63" s="41"/>
      <c r="I63" s="41"/>
      <c r="J63" s="41"/>
      <c r="K63" s="41"/>
      <c r="L63" s="41"/>
      <c r="M63" s="41"/>
      <c r="N63" s="41"/>
      <c r="O63" s="41"/>
      <c r="P63" s="41"/>
      <c r="Q63" s="41"/>
      <c r="R63" s="41"/>
      <c r="S63" s="41"/>
      <c r="T63" s="41"/>
      <c r="U63" s="41"/>
      <c r="V63" s="41"/>
      <c r="W63" s="41"/>
      <c r="X63" s="41"/>
      <c r="Y63" s="41"/>
      <c r="Z63" s="41"/>
    </row>
    <row r="64" ht="19.5" customHeight="1">
      <c r="A64" s="41"/>
      <c r="B64" s="84" t="s">
        <v>619</v>
      </c>
      <c r="C64" s="163" t="str">
        <f>CONCATENATE(prefix_wld_az1_cidr,"19.3")</f>
        <v>10.23.19.3</v>
      </c>
      <c r="D64" s="18"/>
      <c r="E64" s="18" t="s">
        <v>1460</v>
      </c>
      <c r="F64" s="41"/>
      <c r="G64" s="41"/>
      <c r="H64" s="41"/>
      <c r="I64" s="41"/>
      <c r="J64" s="41"/>
      <c r="K64" s="41"/>
      <c r="L64" s="41"/>
      <c r="M64" s="41"/>
      <c r="N64" s="41"/>
      <c r="O64" s="41"/>
      <c r="P64" s="41"/>
      <c r="Q64" s="41"/>
      <c r="R64" s="41"/>
      <c r="S64" s="41"/>
      <c r="T64" s="41"/>
      <c r="U64" s="41"/>
      <c r="V64" s="41"/>
      <c r="W64" s="41"/>
      <c r="X64" s="41"/>
      <c r="Y64" s="41"/>
      <c r="Z64" s="41"/>
    </row>
    <row r="65" ht="19.5" customHeight="1">
      <c r="A65" s="41"/>
      <c r="B65" s="84" t="s">
        <v>620</v>
      </c>
      <c r="C65" s="156" t="str">
        <f>CONCATENATE(prefix_wld_az1_cidr,"19.1")</f>
        <v>10.23.19.1</v>
      </c>
      <c r="D65" s="18"/>
      <c r="E65" s="18"/>
      <c r="F65" s="41"/>
      <c r="G65" s="41"/>
      <c r="H65" s="41"/>
      <c r="I65" s="41"/>
      <c r="J65" s="41"/>
      <c r="K65" s="41"/>
      <c r="L65" s="41"/>
      <c r="M65" s="41"/>
      <c r="N65" s="41"/>
      <c r="O65" s="41"/>
      <c r="P65" s="41"/>
      <c r="Q65" s="41"/>
      <c r="R65" s="41"/>
      <c r="S65" s="41"/>
      <c r="T65" s="41"/>
      <c r="U65" s="41"/>
      <c r="V65" s="41"/>
      <c r="W65" s="41"/>
      <c r="X65" s="41"/>
      <c r="Y65" s="41"/>
      <c r="Z65" s="41"/>
    </row>
    <row r="66" ht="19.5" customHeight="1">
      <c r="A66" s="41"/>
      <c r="B66" s="84" t="s">
        <v>621</v>
      </c>
      <c r="C66" s="110" t="s">
        <v>622</v>
      </c>
      <c r="D66" s="32"/>
      <c r="E66" s="18"/>
      <c r="F66" s="41"/>
      <c r="G66" s="41"/>
      <c r="H66" s="41"/>
      <c r="I66" s="41"/>
      <c r="J66" s="41"/>
      <c r="K66" s="41"/>
      <c r="L66" s="41"/>
      <c r="M66" s="41"/>
      <c r="N66" s="41"/>
      <c r="O66" s="41"/>
      <c r="P66" s="41"/>
      <c r="Q66" s="41"/>
      <c r="R66" s="41"/>
      <c r="S66" s="41"/>
      <c r="T66" s="41"/>
      <c r="U66" s="41"/>
      <c r="V66" s="41"/>
      <c r="W66" s="41"/>
      <c r="X66" s="41"/>
      <c r="Y66" s="41"/>
      <c r="Z66" s="41"/>
    </row>
    <row r="67" ht="19.5" customHeight="1">
      <c r="A67" s="41"/>
      <c r="B67" s="17" t="s">
        <v>623</v>
      </c>
      <c r="C67" s="13"/>
      <c r="D67" s="13"/>
      <c r="E67" s="14"/>
      <c r="F67" s="41"/>
      <c r="G67" s="41"/>
      <c r="H67" s="41"/>
      <c r="I67" s="41"/>
      <c r="J67" s="41"/>
      <c r="K67" s="41"/>
      <c r="L67" s="41"/>
      <c r="M67" s="41"/>
      <c r="N67" s="41"/>
      <c r="O67" s="41"/>
      <c r="P67" s="41"/>
      <c r="Q67" s="41"/>
      <c r="R67" s="41"/>
      <c r="S67" s="41"/>
      <c r="T67" s="41"/>
      <c r="U67" s="41"/>
      <c r="V67" s="41"/>
      <c r="W67" s="41"/>
      <c r="X67" s="41"/>
      <c r="Y67" s="41"/>
      <c r="Z67" s="41"/>
    </row>
    <row r="68" ht="19.5" customHeight="1">
      <c r="A68" s="41"/>
      <c r="B68" s="84" t="s">
        <v>624</v>
      </c>
      <c r="C68" s="160" t="str">
        <f>CONCATENATE(this_instance,"-w0",wld_domain_number_chosen,"-r01-en02",".",sample_child_dns_zone)</f>
        <v>lax-w01-r01-en02.lax.rainpole.io</v>
      </c>
      <c r="D68" s="18"/>
      <c r="E68" s="18"/>
      <c r="F68" s="41"/>
      <c r="G68" s="41"/>
      <c r="H68" s="41"/>
      <c r="I68" s="41"/>
      <c r="J68" s="41"/>
      <c r="K68" s="41"/>
      <c r="L68" s="41"/>
      <c r="M68" s="41"/>
      <c r="N68" s="41"/>
      <c r="O68" s="41"/>
      <c r="P68" s="41"/>
      <c r="Q68" s="41"/>
      <c r="R68" s="41"/>
      <c r="S68" s="41"/>
      <c r="T68" s="41"/>
      <c r="U68" s="41"/>
      <c r="V68" s="41"/>
      <c r="W68" s="41"/>
      <c r="X68" s="41"/>
      <c r="Y68" s="41"/>
      <c r="Z68" s="41"/>
    </row>
    <row r="69" ht="19.5" customHeight="1">
      <c r="A69" s="41"/>
      <c r="B69" s="84" t="s">
        <v>302</v>
      </c>
      <c r="C69" s="110" t="str">
        <f>sample_wld_cl01_cluster</f>
        <v>lax-w01-cl01</v>
      </c>
      <c r="D69" s="32" t="str">
        <f>wld_cl01_cluster</f>
        <v>Value Missing</v>
      </c>
      <c r="E69" s="186" t="s">
        <v>1452</v>
      </c>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84" t="s">
        <v>591</v>
      </c>
      <c r="C70" s="110" t="str">
        <f>sample_wld_ec_rp_name</f>
        <v>lax-w01-cl01-rp-ec01</v>
      </c>
      <c r="D70" s="32" t="str">
        <f>wld_ec_rp_name</f>
        <v>Value Missing</v>
      </c>
      <c r="E70" s="186" t="s">
        <v>1461</v>
      </c>
      <c r="F70" s="41"/>
      <c r="G70" s="41"/>
      <c r="H70" s="41"/>
      <c r="I70" s="41"/>
      <c r="J70" s="41"/>
      <c r="K70" s="41"/>
      <c r="L70" s="41"/>
      <c r="M70" s="41"/>
      <c r="N70" s="41"/>
      <c r="O70" s="41"/>
      <c r="P70" s="41"/>
      <c r="Q70" s="41"/>
      <c r="R70" s="41"/>
      <c r="S70" s="41"/>
      <c r="T70" s="41"/>
      <c r="U70" s="41"/>
      <c r="V70" s="41"/>
      <c r="W70" s="41"/>
      <c r="X70" s="41"/>
      <c r="Y70" s="41"/>
      <c r="Z70" s="41"/>
    </row>
    <row r="71" ht="19.5" customHeight="1">
      <c r="A71" s="41"/>
      <c r="B71" s="84" t="s">
        <v>593</v>
      </c>
      <c r="C71" s="110" t="s">
        <v>594</v>
      </c>
      <c r="D71" s="32" t="str">
        <f>wld_ec01_host_group_affinity_rule_chosen</f>
        <v>No</v>
      </c>
      <c r="E71" s="18" t="s">
        <v>1462</v>
      </c>
      <c r="F71" s="41"/>
      <c r="G71" s="41"/>
      <c r="H71" s="41"/>
      <c r="I71" s="41"/>
      <c r="J71" s="41"/>
      <c r="K71" s="41"/>
      <c r="L71" s="41"/>
      <c r="M71" s="41"/>
      <c r="N71" s="41"/>
      <c r="O71" s="41"/>
      <c r="P71" s="41"/>
      <c r="Q71" s="41"/>
      <c r="R71" s="41"/>
      <c r="S71" s="41"/>
      <c r="T71" s="41"/>
      <c r="U71" s="41"/>
      <c r="V71" s="41"/>
      <c r="W71" s="41"/>
      <c r="X71" s="41"/>
      <c r="Y71" s="41"/>
      <c r="Z71" s="41"/>
    </row>
    <row r="72" ht="19.5" customHeight="1">
      <c r="A72" s="41"/>
      <c r="B72" s="84" t="s">
        <v>595</v>
      </c>
      <c r="C72" s="110" t="str">
        <f>CONCATENATE(sample_wld_sddc_domain,"-host-group-affinity-rule-ec01-en02")</f>
        <v>lax-w01-host-group-affinity-rule-ec01-en02</v>
      </c>
      <c r="D72" s="32"/>
      <c r="E72" s="18" t="s">
        <v>1463</v>
      </c>
      <c r="F72" s="41"/>
      <c r="G72" s="41"/>
      <c r="H72" s="41"/>
      <c r="I72" s="41"/>
      <c r="J72" s="41"/>
      <c r="K72" s="41"/>
      <c r="L72" s="41"/>
      <c r="M72" s="41"/>
      <c r="N72" s="41"/>
      <c r="O72" s="41"/>
      <c r="P72" s="41"/>
      <c r="Q72" s="41"/>
      <c r="R72" s="41"/>
      <c r="S72" s="41"/>
      <c r="T72" s="41"/>
      <c r="U72" s="41"/>
      <c r="V72" s="41"/>
      <c r="W72" s="41"/>
      <c r="X72" s="41"/>
      <c r="Y72" s="41"/>
      <c r="Z72" s="41"/>
    </row>
    <row r="73" ht="19.5" customHeight="1">
      <c r="A73" s="41"/>
      <c r="B73" s="84" t="s">
        <v>1454</v>
      </c>
      <c r="C73" s="110" t="str">
        <f>sample_wld_cl01_vsan_datastore</f>
        <v>lax-w01-lax-w01-cl01-vsan01</v>
      </c>
      <c r="D73" s="32" t="str">
        <f>wld_cl01_vsan_datastore</f>
        <v>Value Missing</v>
      </c>
      <c r="E73" s="186" t="s">
        <v>1455</v>
      </c>
      <c r="F73" s="41"/>
      <c r="G73" s="41"/>
      <c r="H73" s="41"/>
      <c r="I73" s="41"/>
      <c r="J73" s="41"/>
      <c r="K73" s="41"/>
      <c r="L73" s="41"/>
      <c r="M73" s="41"/>
      <c r="N73" s="41"/>
      <c r="O73" s="41"/>
      <c r="P73" s="41"/>
      <c r="Q73" s="41"/>
      <c r="R73" s="41"/>
      <c r="S73" s="41"/>
      <c r="T73" s="41"/>
      <c r="U73" s="41"/>
      <c r="V73" s="41"/>
      <c r="W73" s="41"/>
      <c r="X73" s="41"/>
      <c r="Y73" s="41"/>
      <c r="Z73" s="41"/>
    </row>
    <row r="74" ht="19.5" customHeight="1">
      <c r="A74" s="41"/>
      <c r="B74" s="84" t="s">
        <v>598</v>
      </c>
      <c r="C74" s="163" t="s">
        <v>599</v>
      </c>
      <c r="D74" s="18" t="s">
        <v>599</v>
      </c>
      <c r="E74" s="135"/>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84" t="s">
        <v>600</v>
      </c>
      <c r="C75" s="163" t="str">
        <f>sample_wld_cl01_az1_mgmt_vm_pg</f>
        <v>lax-w01-cl01-vds01-pg-vm-mgmt</v>
      </c>
      <c r="D75" s="18" t="str">
        <f>wld_cl01_az1_mgmt_vm_pg</f>
        <v>Value Missing</v>
      </c>
      <c r="E75" s="186" t="s">
        <v>1456</v>
      </c>
      <c r="F75" s="41"/>
      <c r="G75" s="41"/>
      <c r="H75" s="41"/>
      <c r="I75" s="41"/>
      <c r="J75" s="41"/>
      <c r="K75" s="41"/>
      <c r="L75" s="41"/>
      <c r="M75" s="41"/>
      <c r="N75" s="41"/>
      <c r="O75" s="41"/>
      <c r="P75" s="41"/>
      <c r="Q75" s="41"/>
      <c r="R75" s="41"/>
      <c r="S75" s="41"/>
      <c r="T75" s="41"/>
      <c r="U75" s="41"/>
      <c r="V75" s="41"/>
      <c r="W75" s="41"/>
      <c r="X75" s="41"/>
      <c r="Y75" s="41"/>
      <c r="Z75" s="41"/>
    </row>
    <row r="76" ht="19.5" customHeight="1">
      <c r="A76" s="41"/>
      <c r="B76" s="84" t="s">
        <v>627</v>
      </c>
      <c r="C76" s="163" t="str">
        <f>IF(wld_dpg_separation_result="Included",CONCATENATE(prefix_wld_az1_cidr,"10.136","/",INT(RIGHT(sample_wld_az1_mgmt_vm_cidr,LEN(sample_wld_az1_mgmt_vm_cidr)-FIND("/",sample_wld_az1_mgmt_vm_cidr)))),CONCATENATE(prefix_wld_az1_cidr,"11.136","/",INT(RIGHT(sample_wld_az1_mgmt_cidr,LEN(sample_wld_az1_mgmt_cidr)-FIND("/",sample_wld_az1_mgmt_cidr)))))</f>
        <v>10.23.10.136/24</v>
      </c>
      <c r="D76" s="32"/>
      <c r="E76" s="18"/>
      <c r="F76" s="41"/>
      <c r="G76" s="41"/>
      <c r="H76" s="41"/>
      <c r="I76" s="41"/>
      <c r="J76" s="41"/>
      <c r="K76" s="41"/>
      <c r="L76" s="41"/>
      <c r="M76" s="41"/>
      <c r="N76" s="41"/>
      <c r="O76" s="41"/>
      <c r="P76" s="41"/>
      <c r="Q76" s="41"/>
      <c r="R76" s="41"/>
      <c r="S76" s="41"/>
      <c r="T76" s="41"/>
      <c r="U76" s="41"/>
      <c r="V76" s="41"/>
      <c r="W76" s="41"/>
      <c r="X76" s="41"/>
      <c r="Y76" s="41"/>
      <c r="Z76" s="41"/>
    </row>
    <row r="77" ht="19.5" customHeight="1">
      <c r="A77" s="41"/>
      <c r="B77" s="84" t="s">
        <v>628</v>
      </c>
      <c r="C77" s="110" t="str">
        <f>sample_wld_az1_mgmt_vm_gateway_ip</f>
        <v>10.23.10.1</v>
      </c>
      <c r="D77" s="32" t="str">
        <f>wld_az1_mgmt_vm_gateway_ip</f>
        <v>Value Missing</v>
      </c>
      <c r="E77" s="186" t="s">
        <v>1457</v>
      </c>
      <c r="F77" s="41"/>
      <c r="G77" s="41"/>
      <c r="H77" s="41"/>
      <c r="I77" s="41"/>
      <c r="J77" s="41"/>
      <c r="K77" s="41"/>
      <c r="L77" s="41"/>
      <c r="M77" s="41"/>
      <c r="N77" s="41"/>
      <c r="O77" s="41"/>
      <c r="P77" s="41"/>
      <c r="Q77" s="41"/>
      <c r="R77" s="41"/>
      <c r="S77" s="41"/>
      <c r="T77" s="41"/>
      <c r="U77" s="41"/>
      <c r="V77" s="41"/>
      <c r="W77" s="41"/>
      <c r="X77" s="41"/>
      <c r="Y77" s="41"/>
      <c r="Z77" s="41"/>
    </row>
    <row r="78" ht="19.5" customHeight="1">
      <c r="A78" s="41"/>
      <c r="B78" s="84" t="s">
        <v>605</v>
      </c>
      <c r="C78" s="110" t="s">
        <v>284</v>
      </c>
      <c r="D78" s="32" t="str">
        <f>wld_ec01_use_host_overlay_chosen</f>
        <v>Unselected </v>
      </c>
      <c r="E78" s="154" t="s">
        <v>1464</v>
      </c>
      <c r="F78" s="41"/>
      <c r="G78" s="41"/>
      <c r="H78" s="41"/>
      <c r="I78" s="41"/>
      <c r="J78" s="41"/>
      <c r="K78" s="41"/>
      <c r="L78" s="41"/>
      <c r="M78" s="41"/>
      <c r="N78" s="41"/>
      <c r="O78" s="41"/>
      <c r="P78" s="41"/>
      <c r="Q78" s="41"/>
      <c r="R78" s="41"/>
      <c r="S78" s="41"/>
      <c r="T78" s="41"/>
      <c r="U78" s="41"/>
      <c r="V78" s="41"/>
      <c r="W78" s="41"/>
      <c r="X78" s="41"/>
      <c r="Y78" s="41"/>
      <c r="Z78" s="41"/>
    </row>
    <row r="79" ht="19.5" customHeight="1">
      <c r="A79" s="41"/>
      <c r="B79" s="102" t="s">
        <v>1458</v>
      </c>
      <c r="C79" s="13"/>
      <c r="D79" s="13"/>
      <c r="E79" s="14"/>
      <c r="F79" s="41"/>
      <c r="G79" s="41"/>
      <c r="H79" s="41"/>
      <c r="I79" s="41"/>
      <c r="J79" s="41"/>
      <c r="K79" s="41"/>
      <c r="L79" s="41"/>
      <c r="M79" s="41"/>
      <c r="N79" s="41"/>
      <c r="O79" s="41"/>
      <c r="P79" s="41"/>
      <c r="Q79" s="41"/>
      <c r="R79" s="41"/>
      <c r="S79" s="41"/>
      <c r="T79" s="41"/>
      <c r="U79" s="41"/>
      <c r="V79" s="41"/>
      <c r="W79" s="41"/>
      <c r="X79" s="41"/>
      <c r="Y79" s="41"/>
      <c r="Z79" s="41"/>
    </row>
    <row r="80" ht="19.5" customHeight="1">
      <c r="A80" s="41"/>
      <c r="B80" s="84" t="s">
        <v>608</v>
      </c>
      <c r="C80" s="110" t="s">
        <v>432</v>
      </c>
      <c r="D80" s="32"/>
      <c r="E80" s="18" t="s">
        <v>609</v>
      </c>
      <c r="F80" s="41"/>
      <c r="G80" s="41"/>
      <c r="H80" s="41"/>
      <c r="I80" s="41"/>
      <c r="J80" s="41"/>
      <c r="K80" s="41"/>
      <c r="L80" s="41"/>
      <c r="M80" s="41"/>
      <c r="N80" s="41"/>
      <c r="O80" s="41"/>
      <c r="P80" s="41"/>
      <c r="Q80" s="41"/>
      <c r="R80" s="41"/>
      <c r="S80" s="41"/>
      <c r="T80" s="41"/>
      <c r="U80" s="41"/>
      <c r="V80" s="41"/>
      <c r="W80" s="41"/>
      <c r="X80" s="41"/>
      <c r="Y80" s="41"/>
      <c r="Z80" s="41"/>
    </row>
    <row r="81" ht="19.5" customHeight="1">
      <c r="A81" s="41"/>
      <c r="B81" s="173" t="s">
        <v>608</v>
      </c>
      <c r="C81" s="110" t="s">
        <v>433</v>
      </c>
      <c r="D81" s="32"/>
      <c r="E81" s="18" t="s">
        <v>610</v>
      </c>
      <c r="F81" s="41"/>
      <c r="G81" s="41"/>
      <c r="H81" s="41"/>
      <c r="I81" s="41"/>
      <c r="J81" s="41"/>
      <c r="K81" s="41"/>
      <c r="L81" s="41"/>
      <c r="M81" s="41"/>
      <c r="N81" s="41"/>
      <c r="O81" s="41"/>
      <c r="P81" s="41"/>
      <c r="Q81" s="41"/>
      <c r="R81" s="41"/>
      <c r="S81" s="41"/>
      <c r="T81" s="41"/>
      <c r="U81" s="41"/>
      <c r="V81" s="41"/>
      <c r="W81" s="41"/>
      <c r="X81" s="41"/>
      <c r="Y81" s="41"/>
      <c r="Z81" s="41"/>
    </row>
    <row r="82" ht="19.5" customHeight="1">
      <c r="A82" s="41"/>
      <c r="B82" s="173" t="s">
        <v>611</v>
      </c>
      <c r="C82" s="110" t="s">
        <v>432</v>
      </c>
      <c r="D82" s="32"/>
      <c r="E82" s="18" t="s">
        <v>609</v>
      </c>
      <c r="F82" s="41"/>
      <c r="G82" s="41"/>
      <c r="H82" s="41"/>
      <c r="I82" s="41"/>
      <c r="J82" s="41"/>
      <c r="K82" s="41"/>
      <c r="L82" s="41"/>
      <c r="M82" s="41"/>
      <c r="N82" s="41"/>
      <c r="O82" s="41"/>
      <c r="P82" s="41"/>
      <c r="Q82" s="41"/>
      <c r="R82" s="41"/>
      <c r="S82" s="41"/>
      <c r="T82" s="41"/>
      <c r="U82" s="41"/>
      <c r="V82" s="41"/>
      <c r="W82" s="41"/>
      <c r="X82" s="41"/>
      <c r="Y82" s="41"/>
      <c r="Z82" s="41"/>
    </row>
    <row r="83" ht="19.5" customHeight="1">
      <c r="A83" s="41"/>
      <c r="B83" s="187" t="s">
        <v>611</v>
      </c>
      <c r="C83" s="110" t="s">
        <v>433</v>
      </c>
      <c r="D83" s="32"/>
      <c r="E83" s="18" t="s">
        <v>610</v>
      </c>
      <c r="F83" s="41"/>
      <c r="G83" s="41"/>
      <c r="H83" s="41"/>
      <c r="I83" s="41"/>
      <c r="J83" s="41"/>
      <c r="K83" s="41"/>
      <c r="L83" s="41"/>
      <c r="M83" s="41"/>
      <c r="N83" s="41"/>
      <c r="O83" s="41"/>
      <c r="P83" s="41"/>
      <c r="Q83" s="41"/>
      <c r="R83" s="41"/>
      <c r="S83" s="41"/>
      <c r="T83" s="41"/>
      <c r="U83" s="41"/>
      <c r="V83" s="41"/>
      <c r="W83" s="41"/>
      <c r="X83" s="41"/>
      <c r="Y83" s="41"/>
      <c r="Z83" s="41"/>
    </row>
    <row r="84" ht="19.5" customHeight="1">
      <c r="A84" s="41"/>
      <c r="B84" s="84" t="s">
        <v>612</v>
      </c>
      <c r="C84" s="156" t="str">
        <f>sample_wld_az1_edge_overlay_vlan</f>
        <v>2319</v>
      </c>
      <c r="D84" s="18" t="str">
        <f>wld_az1_edge_overlay_vlan</f>
        <v>Value Missing</v>
      </c>
      <c r="E84" s="18"/>
      <c r="F84" s="41"/>
      <c r="G84" s="41"/>
      <c r="H84" s="41"/>
      <c r="I84" s="41"/>
      <c r="J84" s="41"/>
      <c r="K84" s="41"/>
      <c r="L84" s="41"/>
      <c r="M84" s="41"/>
      <c r="N84" s="41"/>
      <c r="O84" s="41"/>
      <c r="P84" s="41"/>
      <c r="Q84" s="41"/>
      <c r="R84" s="41"/>
      <c r="S84" s="41"/>
      <c r="T84" s="41"/>
      <c r="U84" s="41"/>
      <c r="V84" s="41"/>
      <c r="W84" s="41"/>
      <c r="X84" s="41"/>
      <c r="Y84" s="41"/>
      <c r="Z84" s="41"/>
    </row>
    <row r="85" ht="19.5" customHeight="1">
      <c r="A85" s="41"/>
      <c r="B85" s="84" t="s">
        <v>613</v>
      </c>
      <c r="C85" s="110" t="s">
        <v>614</v>
      </c>
      <c r="D85" s="32" t="str">
        <f>wld_az1_en1_edge_overlay_network_ip_allocation_chosen</f>
        <v>Static IP List</v>
      </c>
      <c r="E85" s="154" t="s">
        <v>1464</v>
      </c>
      <c r="F85" s="41"/>
      <c r="G85" s="41"/>
      <c r="H85" s="41"/>
      <c r="I85" s="41"/>
      <c r="J85" s="41"/>
      <c r="K85" s="41"/>
      <c r="L85" s="41"/>
      <c r="M85" s="41"/>
      <c r="N85" s="41"/>
      <c r="O85" s="41"/>
      <c r="P85" s="41"/>
      <c r="Q85" s="41"/>
      <c r="R85" s="41"/>
      <c r="S85" s="41"/>
      <c r="T85" s="41"/>
      <c r="U85" s="41"/>
      <c r="V85" s="41"/>
      <c r="W85" s="41"/>
      <c r="X85" s="41"/>
      <c r="Y85" s="41"/>
      <c r="Z85" s="41"/>
    </row>
    <row r="86" ht="19.5" customHeight="1">
      <c r="A86" s="41"/>
      <c r="B86" s="84" t="s">
        <v>615</v>
      </c>
      <c r="C86" s="110" t="str">
        <f>sample_wld_az1_edge_overlay_network_pool_name</f>
        <v>lax-w01-r01-ip-pool02-edge</v>
      </c>
      <c r="D86" s="32" t="str">
        <f>wld_az1_edge_overlay_network_pool_name</f>
        <v>Value Missing</v>
      </c>
      <c r="E86" s="18"/>
      <c r="F86" s="41"/>
      <c r="G86" s="41"/>
      <c r="H86" s="41"/>
      <c r="I86" s="41"/>
      <c r="J86" s="41"/>
      <c r="K86" s="41"/>
      <c r="L86" s="41"/>
      <c r="M86" s="41"/>
      <c r="N86" s="41"/>
      <c r="O86" s="41"/>
      <c r="P86" s="41"/>
      <c r="Q86" s="41"/>
      <c r="R86" s="41"/>
      <c r="S86" s="41"/>
      <c r="T86" s="41"/>
      <c r="U86" s="41"/>
      <c r="V86" s="41"/>
      <c r="W86" s="41"/>
      <c r="X86" s="41"/>
      <c r="Y86" s="41"/>
      <c r="Z86" s="41"/>
    </row>
    <row r="87" ht="19.5" customHeight="1">
      <c r="A87" s="41"/>
      <c r="B87" s="84" t="s">
        <v>1465</v>
      </c>
      <c r="C87" s="163" t="str">
        <f>CONCATENATE(prefix_wld_az1_cidr,"19.4")</f>
        <v>10.23.19.4</v>
      </c>
      <c r="D87" s="18"/>
      <c r="E87" s="18" t="s">
        <v>1466</v>
      </c>
      <c r="F87" s="41"/>
      <c r="G87" s="41"/>
      <c r="H87" s="41"/>
      <c r="I87" s="41"/>
      <c r="J87" s="41"/>
      <c r="K87" s="41"/>
      <c r="L87" s="41"/>
      <c r="M87" s="41"/>
      <c r="N87" s="41"/>
      <c r="O87" s="41"/>
      <c r="P87" s="41"/>
      <c r="Q87" s="41"/>
      <c r="R87" s="41"/>
      <c r="S87" s="41"/>
      <c r="T87" s="41"/>
      <c r="U87" s="41"/>
      <c r="V87" s="41"/>
      <c r="W87" s="41"/>
      <c r="X87" s="41"/>
      <c r="Y87" s="41"/>
      <c r="Z87" s="41"/>
    </row>
    <row r="88" ht="19.5" customHeight="1">
      <c r="A88" s="41"/>
      <c r="B88" s="84" t="s">
        <v>1467</v>
      </c>
      <c r="C88" s="163" t="str">
        <f>CONCATENATE(prefix_wld_az1_cidr,"19.5")</f>
        <v>10.23.19.5</v>
      </c>
      <c r="D88" s="18"/>
      <c r="E88" s="18" t="s">
        <v>1468</v>
      </c>
      <c r="F88" s="41"/>
      <c r="G88" s="41"/>
      <c r="H88" s="41"/>
      <c r="I88" s="41"/>
      <c r="J88" s="41"/>
      <c r="K88" s="41"/>
      <c r="L88" s="41"/>
      <c r="M88" s="41"/>
      <c r="N88" s="41"/>
      <c r="O88" s="41"/>
      <c r="P88" s="41"/>
      <c r="Q88" s="41"/>
      <c r="R88" s="41"/>
      <c r="S88" s="41"/>
      <c r="T88" s="41"/>
      <c r="U88" s="41"/>
      <c r="V88" s="41"/>
      <c r="W88" s="41"/>
      <c r="X88" s="41"/>
      <c r="Y88" s="41"/>
      <c r="Z88" s="41"/>
    </row>
    <row r="89" ht="19.5" customHeight="1">
      <c r="A89" s="41"/>
      <c r="B89" s="84" t="s">
        <v>620</v>
      </c>
      <c r="C89" s="110" t="str">
        <f>sample_wld_az1_edge_overlay_gateway_ip</f>
        <v>10.23.19.1</v>
      </c>
      <c r="D89" s="18" t="str">
        <f>wld_az1_edge_overlay_gateway_ip</f>
        <v>Value Missing</v>
      </c>
      <c r="E89" s="18"/>
      <c r="F89" s="41"/>
      <c r="G89" s="41"/>
      <c r="H89" s="41"/>
      <c r="I89" s="41"/>
      <c r="J89" s="41"/>
      <c r="K89" s="41"/>
      <c r="L89" s="41"/>
      <c r="M89" s="41"/>
      <c r="N89" s="41"/>
      <c r="O89" s="41"/>
      <c r="P89" s="41"/>
      <c r="Q89" s="41"/>
      <c r="R89" s="41"/>
      <c r="S89" s="41"/>
      <c r="T89" s="41"/>
      <c r="U89" s="41"/>
      <c r="V89" s="41"/>
      <c r="W89" s="41"/>
      <c r="X89" s="41"/>
      <c r="Y89" s="41"/>
      <c r="Z89" s="41"/>
    </row>
    <row r="90" ht="19.5" customHeight="1">
      <c r="A90" s="41"/>
      <c r="B90" s="84" t="s">
        <v>621</v>
      </c>
      <c r="C90" s="110" t="str">
        <f>sample_wld_az1_edge_overlay_mask</f>
        <v>255.255.255.0</v>
      </c>
      <c r="D90" s="32" t="str">
        <f>wld_az1_edge_overlay_mask</f>
        <v>Value Missing</v>
      </c>
      <c r="E90" s="154" t="s">
        <v>1464</v>
      </c>
      <c r="F90" s="41"/>
      <c r="G90" s="41"/>
      <c r="H90" s="41"/>
      <c r="I90" s="41"/>
      <c r="J90" s="41"/>
      <c r="K90" s="41"/>
      <c r="L90" s="41"/>
      <c r="M90" s="41"/>
      <c r="N90" s="41"/>
      <c r="O90" s="41"/>
      <c r="P90" s="41"/>
      <c r="Q90" s="41"/>
      <c r="R90" s="41"/>
      <c r="S90" s="41"/>
      <c r="T90" s="41"/>
      <c r="U90" s="41"/>
      <c r="V90" s="41"/>
      <c r="W90" s="41"/>
      <c r="X90" s="41"/>
      <c r="Y90" s="41"/>
      <c r="Z90" s="41"/>
    </row>
    <row r="91" ht="19.5" customHeight="1">
      <c r="A91" s="41"/>
      <c r="B91" s="84" t="s">
        <v>633</v>
      </c>
      <c r="C91" s="110" t="s">
        <v>606</v>
      </c>
      <c r="D91" s="32" t="s">
        <v>606</v>
      </c>
      <c r="E91" s="18"/>
      <c r="F91" s="41"/>
      <c r="G91" s="41"/>
      <c r="H91" s="41"/>
      <c r="I91" s="41"/>
      <c r="J91" s="41"/>
      <c r="K91" s="41"/>
      <c r="L91" s="41"/>
      <c r="M91" s="41"/>
      <c r="N91" s="41"/>
      <c r="O91" s="41"/>
      <c r="P91" s="41"/>
      <c r="Q91" s="41"/>
      <c r="R91" s="41"/>
      <c r="S91" s="41"/>
      <c r="T91" s="41"/>
      <c r="U91" s="41"/>
      <c r="V91" s="41"/>
      <c r="W91" s="41"/>
      <c r="X91" s="41"/>
      <c r="Y91" s="41"/>
      <c r="Z91" s="41"/>
    </row>
    <row r="92" ht="19.5" customHeight="1">
      <c r="A92" s="41"/>
      <c r="B92" s="84" t="s">
        <v>634</v>
      </c>
      <c r="C92" s="110" t="s">
        <v>297</v>
      </c>
      <c r="D92" s="18"/>
      <c r="E92" s="18"/>
      <c r="F92" s="41"/>
      <c r="G92" s="41"/>
      <c r="H92" s="41"/>
      <c r="I92" s="41"/>
      <c r="J92" s="41"/>
      <c r="K92" s="41"/>
      <c r="L92" s="41"/>
      <c r="M92" s="41"/>
      <c r="N92" s="41"/>
      <c r="O92" s="41"/>
      <c r="P92" s="41"/>
      <c r="Q92" s="41"/>
      <c r="R92" s="41"/>
      <c r="S92" s="41"/>
      <c r="T92" s="41"/>
      <c r="U92" s="41"/>
      <c r="V92" s="41"/>
      <c r="W92" s="41"/>
      <c r="X92" s="41"/>
      <c r="Y92" s="41"/>
      <c r="Z92" s="41"/>
    </row>
    <row r="93" ht="19.5" customHeight="1">
      <c r="A93" s="41"/>
      <c r="B93" s="84" t="s">
        <v>635</v>
      </c>
      <c r="C93" s="110" t="s">
        <v>297</v>
      </c>
      <c r="D93" s="18"/>
      <c r="E93" s="18"/>
      <c r="F93" s="41"/>
      <c r="G93" s="41"/>
      <c r="H93" s="41"/>
      <c r="I93" s="41"/>
      <c r="J93" s="41"/>
      <c r="K93" s="41"/>
      <c r="L93" s="41"/>
      <c r="M93" s="41"/>
      <c r="N93" s="41"/>
      <c r="O93" s="41"/>
      <c r="P93" s="41"/>
      <c r="Q93" s="41"/>
      <c r="R93" s="41"/>
      <c r="S93" s="41"/>
      <c r="T93" s="41"/>
      <c r="U93" s="41"/>
      <c r="V93" s="41"/>
      <c r="W93" s="41"/>
      <c r="X93" s="41"/>
      <c r="Y93" s="41"/>
      <c r="Z93" s="41"/>
    </row>
    <row r="94" ht="19.5" customHeight="1">
      <c r="A94" s="41"/>
      <c r="B94" s="102" t="s">
        <v>636</v>
      </c>
      <c r="C94" s="13"/>
      <c r="D94" s="13"/>
      <c r="E94" s="14"/>
      <c r="F94" s="41"/>
      <c r="G94" s="41"/>
      <c r="H94" s="41"/>
      <c r="I94" s="41"/>
      <c r="J94" s="41"/>
      <c r="K94" s="41"/>
      <c r="L94" s="41"/>
      <c r="M94" s="41"/>
      <c r="N94" s="41"/>
      <c r="O94" s="41"/>
      <c r="P94" s="41"/>
      <c r="Q94" s="41"/>
      <c r="R94" s="41"/>
      <c r="S94" s="41"/>
      <c r="T94" s="41"/>
      <c r="U94" s="41"/>
      <c r="V94" s="41"/>
      <c r="W94" s="41"/>
      <c r="X94" s="41"/>
      <c r="Y94" s="41"/>
      <c r="Z94" s="41"/>
    </row>
    <row r="95" ht="19.5" customHeight="1">
      <c r="A95" s="41"/>
      <c r="B95" s="84" t="s">
        <v>637</v>
      </c>
      <c r="C95" s="110" t="str">
        <f>IF(AND(OR(wld_nsxt_federation_chosen="Standby Global Manager",wld_nsxt_federation_chosen="Connect Instance"),(wld_bgp_chosen="Centralized Connectivity")),"Selected","Unselected")</f>
        <v>Unselected</v>
      </c>
      <c r="D95" s="18" t="s">
        <v>284</v>
      </c>
      <c r="E95" s="84" t="str">
        <f>IF(AND(OR(wld_nsxt_federation_chosen="Standby Global Manager",wld_nsxt_federation_chosen="Connect Instance"),(wld_bgp_chosen="Centralized Connectivity")),"Skip Gateway and Routing Configuration as stretched T0 will be configured as part of NSX Federation configuration","")</f>
        <v/>
      </c>
      <c r="F95" s="41"/>
      <c r="G95" s="41"/>
      <c r="H95" s="41"/>
      <c r="I95" s="41"/>
      <c r="J95" s="41"/>
      <c r="K95" s="41"/>
      <c r="L95" s="41"/>
      <c r="M95" s="41"/>
      <c r="N95" s="41"/>
      <c r="O95" s="41"/>
      <c r="P95" s="41"/>
      <c r="Q95" s="41"/>
      <c r="R95" s="41"/>
      <c r="S95" s="41"/>
      <c r="T95" s="41"/>
      <c r="U95" s="41"/>
      <c r="V95" s="41"/>
      <c r="W95" s="41"/>
      <c r="X95" s="41"/>
      <c r="Y95" s="41"/>
      <c r="Z95" s="41"/>
    </row>
    <row r="96" ht="19.5" customHeight="1">
      <c r="A96" s="41"/>
      <c r="B96" s="84" t="s">
        <v>638</v>
      </c>
      <c r="C96" s="203" t="str">
        <f>CONCATENATE(this_instance,"-w0",wld_domain_number_chosen,"-ec01-t0-gw01")</f>
        <v>lax-w01-ec01-t0-gw01</v>
      </c>
      <c r="D96" s="18"/>
      <c r="E96" s="84"/>
      <c r="F96" s="41"/>
      <c r="G96" s="41"/>
      <c r="H96" s="41"/>
      <c r="I96" s="41"/>
      <c r="J96" s="41"/>
      <c r="K96" s="41"/>
      <c r="L96" s="41"/>
      <c r="M96" s="41"/>
      <c r="N96" s="41"/>
      <c r="O96" s="41"/>
      <c r="P96" s="41"/>
      <c r="Q96" s="41"/>
      <c r="R96" s="41"/>
      <c r="S96" s="41"/>
      <c r="T96" s="41"/>
      <c r="U96" s="41"/>
      <c r="V96" s="41"/>
      <c r="W96" s="41"/>
      <c r="X96" s="41"/>
      <c r="Y96" s="41"/>
      <c r="Z96" s="41"/>
    </row>
    <row r="97" ht="19.5" customHeight="1">
      <c r="A97" s="41"/>
      <c r="B97" s="84" t="s">
        <v>639</v>
      </c>
      <c r="C97" s="110" t="s">
        <v>1469</v>
      </c>
      <c r="D97" s="32" t="s">
        <v>1469</v>
      </c>
      <c r="E97" s="84" t="str">
        <f>IF(wld_iaas_result="Included","vSphere Supervisor requires a Active Standby Gateway Configuration","")</f>
        <v/>
      </c>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84" t="s">
        <v>641</v>
      </c>
      <c r="C98" s="110" t="s">
        <v>642</v>
      </c>
      <c r="D98" s="32" t="s">
        <v>642</v>
      </c>
      <c r="E98" s="84"/>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84" t="s">
        <v>643</v>
      </c>
      <c r="C99" s="156" t="str">
        <f>IF(mgmt_domain_chosen="First Instance","65102","65202")</f>
        <v>65202</v>
      </c>
      <c r="D99" s="18"/>
      <c r="E99" s="84"/>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102" t="s">
        <v>644</v>
      </c>
      <c r="C100" s="13"/>
      <c r="D100" s="13"/>
      <c r="E100" s="14"/>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71" t="s">
        <v>645</v>
      </c>
      <c r="C101" s="156" t="str">
        <f>CONCATENATE(prefix_wld_az1_vlan,"17")</f>
        <v>2317</v>
      </c>
      <c r="D101" s="18"/>
      <c r="E101" s="18" t="s">
        <v>646</v>
      </c>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71" t="s">
        <v>647</v>
      </c>
      <c r="C102" s="163" t="str">
        <f>CONCATENATE(prefix_wld_az1_cidr,"17.2","/",INT(RIGHT(sample_wld_az1_uplink01_cidr,LEN(sample_wld_az1_uplink01_cidr)-FIND("/",sample_wld_az1_uplink01_cidr))))</f>
        <v>10.23.17.2/24</v>
      </c>
      <c r="D102" s="18"/>
      <c r="E102" s="18" t="s">
        <v>1470</v>
      </c>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71" t="s">
        <v>649</v>
      </c>
      <c r="C103" s="156" t="str">
        <f>CONCATENATE(prefix_wld_az1_cidr,"17.10")</f>
        <v>10.23.17.10</v>
      </c>
      <c r="D103" s="18"/>
      <c r="E103" s="18" t="s">
        <v>658</v>
      </c>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71" t="s">
        <v>650</v>
      </c>
      <c r="C104" s="110" t="s">
        <v>285</v>
      </c>
      <c r="D104" s="18" t="s">
        <v>285</v>
      </c>
      <c r="E104" s="68"/>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71" t="s">
        <v>404</v>
      </c>
      <c r="C105" s="156">
        <v>9000.0</v>
      </c>
      <c r="D105" s="18"/>
      <c r="E105" s="68"/>
      <c r="F105" s="41"/>
      <c r="G105" s="41"/>
      <c r="H105" s="41"/>
      <c r="I105" s="41"/>
      <c r="J105" s="41"/>
      <c r="K105" s="41"/>
      <c r="L105" s="41"/>
      <c r="M105" s="41"/>
      <c r="N105" s="41"/>
      <c r="O105" s="41"/>
      <c r="P105" s="41"/>
      <c r="Q105" s="41"/>
      <c r="R105" s="41"/>
      <c r="S105" s="41"/>
      <c r="T105" s="41"/>
      <c r="U105" s="41"/>
      <c r="V105" s="41"/>
      <c r="W105" s="41"/>
      <c r="X105" s="41"/>
      <c r="Y105" s="41"/>
      <c r="Z105" s="41"/>
    </row>
    <row r="106" ht="19.5" customHeight="1">
      <c r="A106" s="41"/>
      <c r="B106" s="71" t="s">
        <v>651</v>
      </c>
      <c r="C106" s="156" t="str">
        <f>IF(wld_domain_chosen="First Domain",CONCATENATE(asn_start,asn_instance,asn_wld_az1,1),IF(wld_nsxt_federation_result="Included",CONCATENATE(asn_start,asn_instance,asn_wld_az1,1),CONCATENATE(asn_start,asn_instance,asn_wld_az1,1)))</f>
        <v>231</v>
      </c>
      <c r="D106" s="18"/>
      <c r="E106" s="68"/>
      <c r="F106" s="41"/>
      <c r="G106" s="41"/>
      <c r="H106" s="41"/>
      <c r="I106" s="41"/>
      <c r="J106" s="41"/>
      <c r="K106" s="41"/>
      <c r="L106" s="41"/>
      <c r="M106" s="41"/>
      <c r="N106" s="41"/>
      <c r="O106" s="41"/>
      <c r="P106" s="41"/>
      <c r="Q106" s="41"/>
      <c r="R106" s="41"/>
      <c r="S106" s="41"/>
      <c r="T106" s="41"/>
      <c r="U106" s="41"/>
      <c r="V106" s="41"/>
      <c r="W106" s="41"/>
      <c r="X106" s="41"/>
      <c r="Y106" s="41"/>
      <c r="Z106" s="41"/>
    </row>
    <row r="107" ht="19.5" customHeight="1">
      <c r="A107" s="41"/>
      <c r="B107" s="71" t="s">
        <v>652</v>
      </c>
      <c r="C107" s="156" t="s">
        <v>382</v>
      </c>
      <c r="D107" s="18"/>
      <c r="E107" s="68"/>
      <c r="F107" s="41"/>
      <c r="G107" s="41"/>
      <c r="H107" s="41"/>
      <c r="I107" s="41"/>
      <c r="J107" s="41"/>
      <c r="K107" s="41"/>
      <c r="L107" s="41"/>
      <c r="M107" s="41"/>
      <c r="N107" s="41"/>
      <c r="O107" s="41"/>
      <c r="P107" s="41"/>
      <c r="Q107" s="41"/>
      <c r="R107" s="41"/>
      <c r="S107" s="41"/>
      <c r="T107" s="41"/>
      <c r="U107" s="41"/>
      <c r="V107" s="41"/>
      <c r="W107" s="41"/>
      <c r="X107" s="41"/>
      <c r="Y107" s="41"/>
      <c r="Z107" s="41"/>
    </row>
    <row r="108" ht="19.5" customHeight="1">
      <c r="A108" s="41"/>
      <c r="B108" s="71" t="s">
        <v>653</v>
      </c>
      <c r="C108" s="156" t="str">
        <f>CONCATENATE(prefix_wld_az1_vlan,"18")</f>
        <v>2318</v>
      </c>
      <c r="D108" s="18"/>
      <c r="E108" s="68" t="s">
        <v>654</v>
      </c>
      <c r="F108" s="41"/>
      <c r="G108" s="41"/>
      <c r="H108" s="41"/>
      <c r="I108" s="41"/>
      <c r="J108" s="41"/>
      <c r="K108" s="41"/>
      <c r="L108" s="41"/>
      <c r="M108" s="41"/>
      <c r="N108" s="41"/>
      <c r="O108" s="41"/>
      <c r="P108" s="41"/>
      <c r="Q108" s="41"/>
      <c r="R108" s="41"/>
      <c r="S108" s="41"/>
      <c r="T108" s="41"/>
      <c r="U108" s="41"/>
      <c r="V108" s="41"/>
      <c r="W108" s="41"/>
      <c r="X108" s="41"/>
      <c r="Y108" s="41"/>
      <c r="Z108" s="41"/>
    </row>
    <row r="109" ht="19.5" customHeight="1">
      <c r="A109" s="41"/>
      <c r="B109" s="71" t="s">
        <v>647</v>
      </c>
      <c r="C109" s="163" t="str">
        <f>CONCATENATE(prefix_wld_az1_cidr,"18.2","/",INT(RIGHT(sample_wld_az1_uplink02_cidr,LEN(sample_wld_az1_uplink02_cidr)-FIND("/",sample_wld_az1_uplink02_cidr))))</f>
        <v>10.23.18.2/24</v>
      </c>
      <c r="D109" s="18"/>
      <c r="E109" s="68" t="s">
        <v>1471</v>
      </c>
      <c r="F109" s="41"/>
      <c r="G109" s="41"/>
      <c r="H109" s="41"/>
      <c r="I109" s="41"/>
      <c r="J109" s="41"/>
      <c r="K109" s="41"/>
      <c r="L109" s="41"/>
      <c r="M109" s="41"/>
      <c r="N109" s="41"/>
      <c r="O109" s="41"/>
      <c r="P109" s="41"/>
      <c r="Q109" s="41"/>
      <c r="R109" s="41"/>
      <c r="S109" s="41"/>
      <c r="T109" s="41"/>
      <c r="U109" s="41"/>
      <c r="V109" s="41"/>
      <c r="W109" s="41"/>
      <c r="X109" s="41"/>
      <c r="Y109" s="41"/>
      <c r="Z109" s="41"/>
    </row>
    <row r="110" ht="19.5" customHeight="1">
      <c r="A110" s="41"/>
      <c r="B110" s="71" t="s">
        <v>649</v>
      </c>
      <c r="C110" s="156" t="str">
        <f>CONCATENATE(prefix_wld_az1_cidr,"18.10")</f>
        <v>10.23.18.10</v>
      </c>
      <c r="D110" s="18"/>
      <c r="E110" s="68" t="s">
        <v>1472</v>
      </c>
      <c r="F110" s="41"/>
      <c r="G110" s="41"/>
      <c r="H110" s="41"/>
      <c r="I110" s="41"/>
      <c r="J110" s="41"/>
      <c r="K110" s="41"/>
      <c r="L110" s="41"/>
      <c r="M110" s="41"/>
      <c r="N110" s="41"/>
      <c r="O110" s="41"/>
      <c r="P110" s="41"/>
      <c r="Q110" s="41"/>
      <c r="R110" s="41"/>
      <c r="S110" s="41"/>
      <c r="T110" s="41"/>
      <c r="U110" s="41"/>
      <c r="V110" s="41"/>
      <c r="W110" s="41"/>
      <c r="X110" s="41"/>
      <c r="Y110" s="41"/>
      <c r="Z110" s="41"/>
    </row>
    <row r="111" ht="19.5" customHeight="1">
      <c r="A111" s="41"/>
      <c r="B111" s="71" t="s">
        <v>650</v>
      </c>
      <c r="C111" s="110" t="s">
        <v>285</v>
      </c>
      <c r="D111" s="18" t="str">
        <f>wld_en01_bfd_chosen</f>
        <v>Selected</v>
      </c>
      <c r="E111" s="68"/>
      <c r="F111" s="41"/>
      <c r="G111" s="41"/>
      <c r="H111" s="41"/>
      <c r="I111" s="41"/>
      <c r="J111" s="41"/>
      <c r="K111" s="41"/>
      <c r="L111" s="41"/>
      <c r="M111" s="41"/>
      <c r="N111" s="41"/>
      <c r="O111" s="41"/>
      <c r="P111" s="41"/>
      <c r="Q111" s="41"/>
      <c r="R111" s="41"/>
      <c r="S111" s="41"/>
      <c r="T111" s="41"/>
      <c r="U111" s="41"/>
      <c r="V111" s="41"/>
      <c r="W111" s="41"/>
      <c r="X111" s="41"/>
      <c r="Y111" s="41"/>
      <c r="Z111" s="41"/>
    </row>
    <row r="112" ht="19.5" customHeight="1">
      <c r="A112" s="41"/>
      <c r="B112" s="71" t="s">
        <v>404</v>
      </c>
      <c r="C112" s="156">
        <v>9000.0</v>
      </c>
      <c r="D112" s="18"/>
      <c r="E112" s="68"/>
      <c r="F112" s="41"/>
      <c r="G112" s="41"/>
      <c r="H112" s="41"/>
      <c r="I112" s="41"/>
      <c r="J112" s="41"/>
      <c r="K112" s="41"/>
      <c r="L112" s="41"/>
      <c r="M112" s="41"/>
      <c r="N112" s="41"/>
      <c r="O112" s="41"/>
      <c r="P112" s="41"/>
      <c r="Q112" s="41"/>
      <c r="R112" s="41"/>
      <c r="S112" s="41"/>
      <c r="T112" s="41"/>
      <c r="U112" s="41"/>
      <c r="V112" s="41"/>
      <c r="W112" s="41"/>
      <c r="X112" s="41"/>
      <c r="Y112" s="41"/>
      <c r="Z112" s="41"/>
    </row>
    <row r="113" ht="19.5" customHeight="1">
      <c r="A113" s="41"/>
      <c r="B113" s="71" t="s">
        <v>651</v>
      </c>
      <c r="C113" s="156" t="str">
        <f>IF(wld_domain_chosen="First Domain",CONCATENATE(asn_start,asn_instance,asn_wld_az1,1),IF(wld_nsxt_federation_result="Included",CONCATENATE(asn_start,asn_instance,asn_wld_az1,1),CONCATENATE(asn_start,asn_instance,asn_wld_az1,1)))</f>
        <v>231</v>
      </c>
      <c r="D113" s="18"/>
      <c r="E113" s="18"/>
      <c r="F113" s="41"/>
      <c r="G113" s="41"/>
      <c r="H113" s="41"/>
      <c r="I113" s="41"/>
      <c r="J113" s="41"/>
      <c r="K113" s="41"/>
      <c r="L113" s="41"/>
      <c r="M113" s="41"/>
      <c r="N113" s="41"/>
      <c r="O113" s="41"/>
      <c r="P113" s="41"/>
      <c r="Q113" s="41"/>
      <c r="R113" s="41"/>
      <c r="S113" s="41"/>
      <c r="T113" s="41"/>
      <c r="U113" s="41"/>
      <c r="V113" s="41"/>
      <c r="W113" s="41"/>
      <c r="X113" s="41"/>
      <c r="Y113" s="41"/>
      <c r="Z113" s="41"/>
    </row>
    <row r="114" ht="19.5" customHeight="1">
      <c r="A114" s="41"/>
      <c r="B114" s="71" t="s">
        <v>652</v>
      </c>
      <c r="C114" s="156" t="s">
        <v>382</v>
      </c>
      <c r="D114" s="18"/>
      <c r="E114" s="18"/>
      <c r="F114" s="41"/>
      <c r="G114" s="41"/>
      <c r="H114" s="41"/>
      <c r="I114" s="41"/>
      <c r="J114" s="41"/>
      <c r="K114" s="41"/>
      <c r="L114" s="41"/>
      <c r="M114" s="41"/>
      <c r="N114" s="41"/>
      <c r="O114" s="41"/>
      <c r="P114" s="41"/>
      <c r="Q114" s="41"/>
      <c r="R114" s="41"/>
      <c r="S114" s="41"/>
      <c r="T114" s="41"/>
      <c r="U114" s="41"/>
      <c r="V114" s="41"/>
      <c r="W114" s="41"/>
      <c r="X114" s="41"/>
      <c r="Y114" s="41"/>
      <c r="Z114" s="41"/>
    </row>
    <row r="115" ht="19.5" customHeight="1">
      <c r="A115" s="41"/>
      <c r="B115" s="102" t="s">
        <v>656</v>
      </c>
      <c r="C115" s="13"/>
      <c r="D115" s="13"/>
      <c r="E115" s="14"/>
      <c r="F115" s="41"/>
      <c r="G115" s="41"/>
      <c r="H115" s="41"/>
      <c r="I115" s="41"/>
      <c r="J115" s="41"/>
      <c r="K115" s="41"/>
      <c r="L115" s="41"/>
      <c r="M115" s="41"/>
      <c r="N115" s="41"/>
      <c r="O115" s="41"/>
      <c r="P115" s="41"/>
      <c r="Q115" s="41"/>
      <c r="R115" s="41"/>
      <c r="S115" s="41"/>
      <c r="T115" s="41"/>
      <c r="U115" s="41"/>
      <c r="V115" s="41"/>
      <c r="W115" s="41"/>
      <c r="X115" s="41"/>
      <c r="Y115" s="41"/>
      <c r="Z115" s="41"/>
    </row>
    <row r="116" ht="19.5" customHeight="1">
      <c r="A116" s="41"/>
      <c r="B116" s="173" t="s">
        <v>645</v>
      </c>
      <c r="C116" s="110" t="str">
        <f>sample_wld_az1_uplink01_vlan</f>
        <v>2317</v>
      </c>
      <c r="D116" s="32" t="str">
        <f>wld_az1_uplink01_vlan</f>
        <v>Value Missing</v>
      </c>
      <c r="E116" s="154" t="s">
        <v>646</v>
      </c>
      <c r="F116" s="41"/>
      <c r="G116" s="41"/>
      <c r="H116" s="41"/>
      <c r="I116" s="41"/>
      <c r="J116" s="41"/>
      <c r="K116" s="41"/>
      <c r="L116" s="41"/>
      <c r="M116" s="41"/>
      <c r="N116" s="41"/>
      <c r="O116" s="41"/>
      <c r="P116" s="41"/>
      <c r="Q116" s="41"/>
      <c r="R116" s="41"/>
      <c r="S116" s="41"/>
      <c r="T116" s="41"/>
      <c r="U116" s="41"/>
      <c r="V116" s="41"/>
      <c r="W116" s="41"/>
      <c r="X116" s="41"/>
      <c r="Y116" s="41"/>
      <c r="Z116" s="41"/>
    </row>
    <row r="117" ht="19.5" customHeight="1">
      <c r="A117" s="41"/>
      <c r="B117" s="173" t="s">
        <v>647</v>
      </c>
      <c r="C117" s="163" t="str">
        <f>CONCATENATE(prefix_wld_az1_cidr,"17.3","/",INT(RIGHT(sample_wld_az1_uplink01_cidr,LEN(sample_wld_az1_uplink01_cidr)-FIND("/",sample_wld_az1_uplink01_cidr))))</f>
        <v>10.23.17.3/24</v>
      </c>
      <c r="D117" s="18"/>
      <c r="E117" s="18" t="s">
        <v>657</v>
      </c>
      <c r="F117" s="41"/>
      <c r="G117" s="41"/>
      <c r="H117" s="41"/>
      <c r="I117" s="41"/>
      <c r="J117" s="41"/>
      <c r="K117" s="41"/>
      <c r="L117" s="41"/>
      <c r="M117" s="41"/>
      <c r="N117" s="41"/>
      <c r="O117" s="41"/>
      <c r="P117" s="41"/>
      <c r="Q117" s="41"/>
      <c r="R117" s="41"/>
      <c r="S117" s="41"/>
      <c r="T117" s="41"/>
      <c r="U117" s="41"/>
      <c r="V117" s="41"/>
      <c r="W117" s="41"/>
      <c r="X117" s="41"/>
      <c r="Y117" s="41"/>
      <c r="Z117" s="41"/>
    </row>
    <row r="118" ht="19.5" customHeight="1">
      <c r="A118" s="41"/>
      <c r="B118" s="173" t="s">
        <v>649</v>
      </c>
      <c r="C118" s="110" t="str">
        <f>sample_wld_az1_tor1_peer_ip</f>
        <v>10.23.17.10</v>
      </c>
      <c r="D118" s="32" t="str">
        <f>wld_az1_tor1_peer_ip</f>
        <v>Value Missing</v>
      </c>
      <c r="E118" s="18" t="s">
        <v>658</v>
      </c>
      <c r="F118" s="41"/>
      <c r="G118" s="41"/>
      <c r="H118" s="41"/>
      <c r="I118" s="41"/>
      <c r="J118" s="41"/>
      <c r="K118" s="41"/>
      <c r="L118" s="41"/>
      <c r="M118" s="41"/>
      <c r="N118" s="41"/>
      <c r="O118" s="41"/>
      <c r="P118" s="41"/>
      <c r="Q118" s="41"/>
      <c r="R118" s="41"/>
      <c r="S118" s="41"/>
      <c r="T118" s="41"/>
      <c r="U118" s="41"/>
      <c r="V118" s="41"/>
      <c r="W118" s="41"/>
      <c r="X118" s="41"/>
      <c r="Y118" s="41"/>
      <c r="Z118" s="41"/>
    </row>
    <row r="119" ht="19.5" customHeight="1">
      <c r="A119" s="41"/>
      <c r="B119" s="173" t="s">
        <v>650</v>
      </c>
      <c r="C119" s="110" t="s">
        <v>285</v>
      </c>
      <c r="D119" s="18" t="s">
        <v>285</v>
      </c>
      <c r="E119" s="274" t="s">
        <v>1464</v>
      </c>
      <c r="F119" s="41"/>
      <c r="G119" s="41"/>
      <c r="H119" s="41"/>
      <c r="I119" s="41"/>
      <c r="J119" s="41"/>
      <c r="K119" s="41"/>
      <c r="L119" s="41"/>
      <c r="M119" s="41"/>
      <c r="N119" s="41"/>
      <c r="O119" s="41"/>
      <c r="P119" s="41"/>
      <c r="Q119" s="41"/>
      <c r="R119" s="41"/>
      <c r="S119" s="41"/>
      <c r="T119" s="41"/>
      <c r="U119" s="41"/>
      <c r="V119" s="41"/>
      <c r="W119" s="41"/>
      <c r="X119" s="41"/>
      <c r="Y119" s="41"/>
      <c r="Z119" s="41"/>
    </row>
    <row r="120" ht="19.5" customHeight="1">
      <c r="A120" s="41"/>
      <c r="B120" s="173" t="s">
        <v>404</v>
      </c>
      <c r="C120" s="110">
        <f>sample_wld_az1_uplink01_mtu</f>
        <v>9000</v>
      </c>
      <c r="D120" s="275" t="str">
        <f>wld_az1_uplink01_mtu</f>
        <v>Value Missing</v>
      </c>
      <c r="E120" s="274" t="s">
        <v>1464</v>
      </c>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173" t="s">
        <v>651</v>
      </c>
      <c r="C121" s="110" t="str">
        <f>sample_wld_az1_tor1_peer_asn</f>
        <v>231</v>
      </c>
      <c r="D121" s="32" t="str">
        <f>wld_az1_tor1_peer_asn</f>
        <v>Value Missing</v>
      </c>
      <c r="E121" s="274" t="s">
        <v>1464</v>
      </c>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173" t="s">
        <v>652</v>
      </c>
      <c r="C122" s="110" t="str">
        <f>sample_wld_az1_tor1_peer_bgp_password</f>
        <v>VMw@re1!</v>
      </c>
      <c r="D122" s="32" t="str">
        <f>wld_az1_tor1_peer_bgp_password</f>
        <v>Value Missing</v>
      </c>
      <c r="E122" s="274" t="s">
        <v>1464</v>
      </c>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173" t="s">
        <v>653</v>
      </c>
      <c r="C123" s="110" t="str">
        <f>sample_wld_az1_uplink02_vlan</f>
        <v>2318</v>
      </c>
      <c r="D123" s="32" t="str">
        <f>wld_az1_uplink02_vlan</f>
        <v>Value Missing</v>
      </c>
      <c r="E123" s="18" t="s">
        <v>654</v>
      </c>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173" t="s">
        <v>647</v>
      </c>
      <c r="C124" s="163" t="str">
        <f>CONCATENATE(prefix_wld_az1_cidr,"18.3","/",INT(RIGHT(sample_wld_az1_uplink02_cidr,LEN(sample_wld_az1_uplink02_cidr)-FIND("/",sample_wld_az1_uplink02_cidr))))</f>
        <v>10.23.18.3/24</v>
      </c>
      <c r="D124" s="18"/>
      <c r="E124" s="18" t="s">
        <v>655</v>
      </c>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173" t="s">
        <v>649</v>
      </c>
      <c r="C125" s="110" t="str">
        <f>sample_wld_az1_tor2_peer_ip</f>
        <v>10.23.18.10</v>
      </c>
      <c r="D125" s="32" t="str">
        <f>wld_az1_tor2_peer_ip</f>
        <v>Value Missing</v>
      </c>
      <c r="E125" s="18" t="s">
        <v>1473</v>
      </c>
      <c r="F125" s="41"/>
      <c r="G125" s="41"/>
      <c r="H125" s="41"/>
      <c r="I125" s="41"/>
      <c r="J125" s="41"/>
      <c r="K125" s="41"/>
      <c r="L125" s="41"/>
      <c r="M125" s="41"/>
      <c r="N125" s="41"/>
      <c r="O125" s="41"/>
      <c r="P125" s="41"/>
      <c r="Q125" s="41"/>
      <c r="R125" s="41"/>
      <c r="S125" s="41"/>
      <c r="T125" s="41"/>
      <c r="U125" s="41"/>
      <c r="V125" s="41"/>
      <c r="W125" s="41"/>
      <c r="X125" s="41"/>
      <c r="Y125" s="41"/>
      <c r="Z125" s="41"/>
    </row>
    <row r="126" ht="19.5" customHeight="1">
      <c r="A126" s="41"/>
      <c r="B126" s="173" t="s">
        <v>650</v>
      </c>
      <c r="C126" s="110" t="s">
        <v>285</v>
      </c>
      <c r="D126" s="18" t="str">
        <f>wld_en02_bfd_chosen</f>
        <v>Selected</v>
      </c>
      <c r="E126" s="189"/>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173" t="s">
        <v>404</v>
      </c>
      <c r="C127" s="110">
        <f>sample_wld_az1_uplink02_mtu</f>
        <v>9000</v>
      </c>
      <c r="D127" s="275" t="str">
        <f>wld_az1_uplink02_mtu</f>
        <v>Value Missing</v>
      </c>
      <c r="E127" s="68" t="s">
        <v>1464</v>
      </c>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173" t="s">
        <v>651</v>
      </c>
      <c r="C128" s="110" t="str">
        <f>sample_wld_az1_tor2_peer_asn</f>
        <v>231</v>
      </c>
      <c r="D128" s="32" t="str">
        <f>wld_az1_tor2_peer_asn</f>
        <v>Value Missing</v>
      </c>
      <c r="E128" s="68" t="s">
        <v>1464</v>
      </c>
      <c r="F128" s="41"/>
      <c r="G128" s="41"/>
      <c r="H128" s="41"/>
      <c r="I128" s="41"/>
      <c r="J128" s="41"/>
      <c r="K128" s="41"/>
      <c r="L128" s="41"/>
      <c r="M128" s="41"/>
      <c r="N128" s="41"/>
      <c r="O128" s="41"/>
      <c r="P128" s="41"/>
      <c r="Q128" s="41"/>
      <c r="R128" s="41"/>
      <c r="S128" s="41"/>
      <c r="T128" s="41"/>
      <c r="U128" s="41"/>
      <c r="V128" s="41"/>
      <c r="W128" s="41"/>
      <c r="X128" s="41"/>
      <c r="Y128" s="41"/>
      <c r="Z128" s="41"/>
    </row>
    <row r="129" ht="19.5" customHeight="1">
      <c r="A129" s="41"/>
      <c r="B129" s="173" t="s">
        <v>652</v>
      </c>
      <c r="C129" s="110" t="str">
        <f>sample_wld_az1_tor2_peer_bgp_password</f>
        <v>VMw@re1!</v>
      </c>
      <c r="D129" s="32" t="str">
        <f>wld_az1_tor2_peer_bgp_password</f>
        <v>Value Missing</v>
      </c>
      <c r="E129" s="68" t="s">
        <v>1464</v>
      </c>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102" t="s">
        <v>664</v>
      </c>
      <c r="C130" s="13"/>
      <c r="D130" s="13"/>
      <c r="E130" s="14"/>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84" t="s">
        <v>665</v>
      </c>
      <c r="C131" s="110" t="s">
        <v>1474</v>
      </c>
      <c r="D131" s="32"/>
      <c r="E131" s="18" t="s">
        <v>667</v>
      </c>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84" t="s">
        <v>668</v>
      </c>
      <c r="C132" s="110" t="str">
        <f>sample_wld_cl01_supervisor_private_transit_gateway_cidr</f>
        <v>172.25.0.0/16</v>
      </c>
      <c r="D132" s="18"/>
      <c r="E132" s="18" t="s">
        <v>1475</v>
      </c>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102" t="s">
        <v>671</v>
      </c>
      <c r="C133" s="13"/>
      <c r="D133" s="13"/>
      <c r="E133" s="14"/>
      <c r="F133" s="41"/>
      <c r="G133" s="41"/>
      <c r="H133" s="41"/>
      <c r="I133" s="41"/>
      <c r="J133" s="41"/>
      <c r="K133" s="41"/>
      <c r="L133" s="41"/>
      <c r="M133" s="41"/>
      <c r="N133" s="41"/>
      <c r="O133" s="41"/>
      <c r="P133" s="41"/>
      <c r="Q133" s="41"/>
      <c r="R133" s="41"/>
      <c r="S133" s="41"/>
      <c r="T133" s="41"/>
      <c r="U133" s="41"/>
      <c r="V133" s="41"/>
      <c r="W133" s="41"/>
      <c r="X133" s="41"/>
      <c r="Y133" s="41"/>
      <c r="Z133" s="41"/>
    </row>
    <row r="134" ht="19.5" customHeight="1">
      <c r="A134" s="41"/>
      <c r="B134" s="84" t="s">
        <v>672</v>
      </c>
      <c r="C134" s="156" t="s">
        <v>673</v>
      </c>
      <c r="D134" s="18" t="s">
        <v>673</v>
      </c>
      <c r="E134" s="84" t="str">
        <f>IF(wld_ec_api_chosen="Exclude","","Use the JSON Generator to create the JSON Spec - PATCH https://sfo-w01-nsx01.sfo.rainpole.io/policy/api/v1/infra")</f>
        <v>Use the JSON Generator to create the JSON Spec - PATCH https://sfo-w01-nsx01.sfo.rainpole.io/policy/api/v1/infra</v>
      </c>
      <c r="F134" s="41"/>
      <c r="G134" s="41"/>
      <c r="H134" s="41"/>
      <c r="I134" s="41"/>
      <c r="J134" s="41"/>
      <c r="K134" s="41"/>
      <c r="L134" s="41"/>
      <c r="M134" s="41"/>
      <c r="N134" s="41"/>
      <c r="O134" s="41"/>
      <c r="P134" s="41"/>
      <c r="Q134" s="41"/>
      <c r="R134" s="41"/>
      <c r="S134" s="41"/>
      <c r="T134" s="41"/>
      <c r="U134" s="41"/>
      <c r="V134" s="41"/>
      <c r="W134" s="41"/>
      <c r="X134" s="41"/>
      <c r="Y134" s="41"/>
      <c r="Z134" s="41"/>
    </row>
    <row r="135" ht="19.5" customHeight="1">
      <c r="A135" s="41"/>
      <c r="B135" s="102" t="s">
        <v>674</v>
      </c>
      <c r="C135" s="13"/>
      <c r="D135" s="13"/>
      <c r="E135" s="14"/>
      <c r="F135" s="41"/>
      <c r="G135" s="41"/>
      <c r="H135" s="41"/>
      <c r="I135" s="41"/>
      <c r="J135" s="41"/>
      <c r="K135" s="41"/>
      <c r="L135" s="41"/>
      <c r="M135" s="41"/>
      <c r="N135" s="41"/>
      <c r="O135" s="41"/>
      <c r="P135" s="41"/>
      <c r="Q135" s="41"/>
      <c r="R135" s="41"/>
      <c r="S135" s="41"/>
      <c r="T135" s="41"/>
      <c r="U135" s="41"/>
      <c r="V135" s="41"/>
      <c r="W135" s="41"/>
      <c r="X135" s="41"/>
      <c r="Y135" s="41"/>
      <c r="Z135" s="41"/>
    </row>
    <row r="136" ht="19.5" customHeight="1">
      <c r="A136" s="41"/>
      <c r="B136" s="84" t="s">
        <v>441</v>
      </c>
      <c r="C136" s="156" t="str">
        <f>CONCATENATE(sample_wld_sddc_domain,"-cl01-vds01","-pg-uplink01")</f>
        <v>lax-w01-cl01-vds01-pg-uplink01</v>
      </c>
      <c r="D136" s="18"/>
      <c r="E136" s="190" t="s">
        <v>1476</v>
      </c>
      <c r="F136" s="41"/>
      <c r="G136" s="41"/>
      <c r="H136" s="41"/>
      <c r="I136" s="41"/>
      <c r="J136" s="41"/>
      <c r="K136" s="41"/>
      <c r="L136" s="41"/>
      <c r="M136" s="41"/>
      <c r="N136" s="41"/>
      <c r="O136" s="41"/>
      <c r="P136" s="41"/>
      <c r="Q136" s="41"/>
      <c r="R136" s="41"/>
      <c r="S136" s="41"/>
      <c r="T136" s="41"/>
      <c r="U136" s="41"/>
      <c r="V136" s="41"/>
      <c r="W136" s="41"/>
      <c r="X136" s="41"/>
      <c r="Y136" s="41"/>
      <c r="Z136" s="41"/>
    </row>
    <row r="137" ht="19.5" customHeight="1">
      <c r="A137" s="41"/>
      <c r="B137" s="84" t="s">
        <v>402</v>
      </c>
      <c r="C137" s="156" t="str">
        <f>CONCATENATE(prefix_wld_az1_cidr,"17.1")</f>
        <v>10.23.17.1</v>
      </c>
      <c r="D137" s="18"/>
      <c r="E137" s="191"/>
      <c r="F137" s="41"/>
      <c r="G137" s="41"/>
      <c r="H137" s="41"/>
      <c r="I137" s="41"/>
      <c r="J137" s="41"/>
      <c r="K137" s="41"/>
      <c r="L137" s="41"/>
      <c r="M137" s="41"/>
      <c r="N137" s="41"/>
      <c r="O137" s="41"/>
      <c r="P137" s="41"/>
      <c r="Q137" s="41"/>
      <c r="R137" s="41"/>
      <c r="S137" s="41"/>
      <c r="T137" s="41"/>
      <c r="U137" s="41"/>
      <c r="V137" s="41"/>
      <c r="W137" s="41"/>
      <c r="X137" s="41"/>
      <c r="Y137" s="41"/>
      <c r="Z137" s="41"/>
    </row>
    <row r="138" ht="19.5" customHeight="1">
      <c r="A138" s="41"/>
      <c r="B138" s="84" t="s">
        <v>403</v>
      </c>
      <c r="C138" s="156" t="str">
        <f>CONCATENATE(prefix_wld_az1_cidr,"17.0/24")</f>
        <v>10.23.17.0/24</v>
      </c>
      <c r="D138" s="18"/>
      <c r="E138" s="191"/>
      <c r="F138" s="41"/>
      <c r="G138" s="41"/>
      <c r="H138" s="41"/>
      <c r="I138" s="41"/>
      <c r="J138" s="41"/>
      <c r="K138" s="41"/>
      <c r="L138" s="41"/>
      <c r="M138" s="41"/>
      <c r="N138" s="41"/>
      <c r="O138" s="41"/>
      <c r="P138" s="41"/>
      <c r="Q138" s="41"/>
      <c r="R138" s="41"/>
      <c r="S138" s="41"/>
      <c r="T138" s="41"/>
      <c r="U138" s="41"/>
      <c r="V138" s="41"/>
      <c r="W138" s="41"/>
      <c r="X138" s="41"/>
      <c r="Y138" s="41"/>
      <c r="Z138" s="41"/>
    </row>
    <row r="139" ht="19.5" customHeight="1">
      <c r="A139" s="41"/>
      <c r="B139" s="102" t="s">
        <v>676</v>
      </c>
      <c r="C139" s="13"/>
      <c r="D139" s="13"/>
      <c r="E139" s="14"/>
      <c r="F139" s="41"/>
      <c r="G139" s="41"/>
      <c r="H139" s="41"/>
      <c r="I139" s="41"/>
      <c r="J139" s="41"/>
      <c r="K139" s="41"/>
      <c r="L139" s="41"/>
      <c r="M139" s="41"/>
      <c r="N139" s="41"/>
      <c r="O139" s="41"/>
      <c r="P139" s="41"/>
      <c r="Q139" s="41"/>
      <c r="R139" s="41"/>
      <c r="S139" s="41"/>
      <c r="T139" s="41"/>
      <c r="U139" s="41"/>
      <c r="V139" s="41"/>
      <c r="W139" s="41"/>
      <c r="X139" s="41"/>
      <c r="Y139" s="41"/>
      <c r="Z139" s="41"/>
    </row>
    <row r="140" ht="19.5" customHeight="1">
      <c r="A140" s="41"/>
      <c r="B140" s="84" t="s">
        <v>441</v>
      </c>
      <c r="C140" s="156" t="str">
        <f>CONCATENATE(sample_wld_sddc_domain,"-cl01-vds01","-pg-uplink02")</f>
        <v>lax-w01-cl01-vds01-pg-uplink02</v>
      </c>
      <c r="D140" s="18"/>
      <c r="E140" s="190" t="s">
        <v>1476</v>
      </c>
      <c r="F140" s="41"/>
      <c r="G140" s="41"/>
      <c r="H140" s="41"/>
      <c r="I140" s="41"/>
      <c r="J140" s="41"/>
      <c r="K140" s="41"/>
      <c r="L140" s="41"/>
      <c r="M140" s="41"/>
      <c r="N140" s="41"/>
      <c r="O140" s="41"/>
      <c r="P140" s="41"/>
      <c r="Q140" s="41"/>
      <c r="R140" s="41"/>
      <c r="S140" s="41"/>
      <c r="T140" s="41"/>
      <c r="U140" s="41"/>
      <c r="V140" s="41"/>
      <c r="W140" s="41"/>
      <c r="X140" s="41"/>
      <c r="Y140" s="41"/>
      <c r="Z140" s="41"/>
    </row>
    <row r="141" ht="19.5" customHeight="1">
      <c r="A141" s="41"/>
      <c r="B141" s="84" t="s">
        <v>402</v>
      </c>
      <c r="C141" s="156" t="str">
        <f>CONCATENATE(prefix_wld_az1_cidr,"18.1")</f>
        <v>10.23.18.1</v>
      </c>
      <c r="D141" s="18"/>
      <c r="E141" s="191"/>
      <c r="F141" s="41"/>
      <c r="G141" s="41"/>
      <c r="H141" s="41"/>
      <c r="I141" s="41"/>
      <c r="J141" s="41"/>
      <c r="K141" s="41"/>
      <c r="L141" s="41"/>
      <c r="M141" s="41"/>
      <c r="N141" s="41"/>
      <c r="O141" s="41"/>
      <c r="P141" s="41"/>
      <c r="Q141" s="41"/>
      <c r="R141" s="41"/>
      <c r="S141" s="41"/>
      <c r="T141" s="41"/>
      <c r="U141" s="41"/>
      <c r="V141" s="41"/>
      <c r="W141" s="41"/>
      <c r="X141" s="41"/>
      <c r="Y141" s="41"/>
      <c r="Z141" s="41"/>
    </row>
    <row r="142" ht="19.5" customHeight="1">
      <c r="A142" s="41"/>
      <c r="B142" s="84" t="s">
        <v>403</v>
      </c>
      <c r="C142" s="156" t="str">
        <f>CONCATENATE(prefix_wld_az1_cidr,"18.0/24")</f>
        <v>10.23.18.0/24</v>
      </c>
      <c r="D142" s="18"/>
      <c r="E142" s="191"/>
      <c r="F142" s="41"/>
      <c r="G142" s="41"/>
      <c r="H142" s="41"/>
      <c r="I142" s="41"/>
      <c r="J142" s="41"/>
      <c r="K142" s="41"/>
      <c r="L142" s="41"/>
      <c r="M142" s="41"/>
      <c r="N142" s="41"/>
      <c r="O142" s="41"/>
      <c r="P142" s="41"/>
      <c r="Q142" s="41"/>
      <c r="R142" s="41"/>
      <c r="S142" s="41"/>
      <c r="T142" s="41"/>
      <c r="U142" s="41"/>
      <c r="V142" s="41"/>
      <c r="W142" s="41"/>
      <c r="X142" s="41"/>
      <c r="Y142" s="41"/>
      <c r="Z142" s="41"/>
    </row>
    <row r="143" ht="19.5" customHeight="1">
      <c r="A143" s="41"/>
      <c r="B143" s="102" t="s">
        <v>678</v>
      </c>
      <c r="C143" s="13"/>
      <c r="D143" s="13"/>
      <c r="E143" s="14"/>
      <c r="F143" s="41"/>
      <c r="G143" s="41"/>
      <c r="H143" s="41"/>
      <c r="I143" s="41"/>
      <c r="J143" s="41"/>
      <c r="K143" s="41"/>
      <c r="L143" s="41"/>
      <c r="M143" s="41"/>
      <c r="N143" s="41"/>
      <c r="O143" s="41"/>
      <c r="P143" s="41"/>
      <c r="Q143" s="41"/>
      <c r="R143" s="41"/>
      <c r="S143" s="41"/>
      <c r="T143" s="41"/>
      <c r="U143" s="41"/>
      <c r="V143" s="41"/>
      <c r="W143" s="41"/>
      <c r="X143" s="41"/>
      <c r="Y143" s="41"/>
      <c r="Z143" s="41"/>
    </row>
    <row r="144" ht="19.5" customHeight="1">
      <c r="A144" s="41"/>
      <c r="B144" s="84" t="s">
        <v>403</v>
      </c>
      <c r="C144" s="156" t="str">
        <f>CONCATENATE(prefix_wld_az1_cidr,"19.0/24")</f>
        <v>10.23.19.0/24</v>
      </c>
      <c r="D144" s="18"/>
      <c r="E144" s="191"/>
      <c r="F144" s="41"/>
      <c r="G144" s="41"/>
      <c r="H144" s="41"/>
      <c r="I144" s="41"/>
      <c r="J144" s="41"/>
      <c r="K144" s="41"/>
      <c r="L144" s="41"/>
      <c r="M144" s="41"/>
      <c r="N144" s="41"/>
      <c r="O144" s="41"/>
      <c r="P144" s="41"/>
      <c r="Q144" s="41"/>
      <c r="R144" s="41"/>
      <c r="S144" s="41"/>
      <c r="T144" s="41"/>
      <c r="U144" s="41"/>
      <c r="V144" s="41"/>
      <c r="W144" s="41"/>
      <c r="X144" s="41"/>
      <c r="Y144" s="41"/>
      <c r="Z144" s="41"/>
    </row>
    <row r="145" ht="19.5" customHeight="1">
      <c r="A145" s="41"/>
      <c r="B145" s="84" t="s">
        <v>404</v>
      </c>
      <c r="C145" s="156">
        <v>9000.0</v>
      </c>
      <c r="D145" s="18"/>
      <c r="E145" s="19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1"/>
      <c r="C146" s="1"/>
      <c r="D146" s="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33.75" customHeight="1">
      <c r="A147" s="41"/>
      <c r="B147" s="197" t="s">
        <v>680</v>
      </c>
      <c r="C147" s="13"/>
      <c r="D147" s="13"/>
      <c r="E147" s="14"/>
      <c r="F147" s="41"/>
      <c r="G147" s="41"/>
      <c r="H147" s="41"/>
      <c r="I147" s="41"/>
      <c r="J147" s="41"/>
      <c r="K147" s="41"/>
      <c r="L147" s="41"/>
      <c r="M147" s="41"/>
      <c r="N147" s="41"/>
      <c r="O147" s="41"/>
      <c r="P147" s="41"/>
      <c r="Q147" s="41"/>
      <c r="R147" s="41"/>
      <c r="S147" s="41"/>
      <c r="T147" s="41"/>
      <c r="U147" s="41"/>
      <c r="V147" s="41"/>
      <c r="W147" s="41"/>
      <c r="X147" s="41"/>
      <c r="Y147" s="41"/>
      <c r="Z147" s="41"/>
    </row>
    <row r="148" ht="19.5" customHeight="1">
      <c r="A148" s="41"/>
      <c r="B148" s="102" t="s">
        <v>1477</v>
      </c>
      <c r="C148" s="13"/>
      <c r="D148" s="13"/>
      <c r="E148" s="14"/>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49" t="s">
        <v>37</v>
      </c>
      <c r="C149" s="49" t="s">
        <v>273</v>
      </c>
      <c r="D149" s="49" t="s">
        <v>274</v>
      </c>
      <c r="E149" s="49" t="s">
        <v>5</v>
      </c>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102" t="s">
        <v>681</v>
      </c>
      <c r="C150" s="13"/>
      <c r="D150" s="13"/>
      <c r="E150" s="14"/>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84" t="s">
        <v>120</v>
      </c>
      <c r="C151" s="110" t="s">
        <v>682</v>
      </c>
      <c r="D151" s="1"/>
      <c r="E151" s="84"/>
      <c r="F151" s="41"/>
      <c r="G151" s="41"/>
      <c r="H151" s="41"/>
      <c r="I151" s="41"/>
      <c r="J151" s="41"/>
      <c r="K151" s="41"/>
      <c r="L151" s="41"/>
      <c r="M151" s="41"/>
      <c r="N151" s="41"/>
      <c r="O151" s="41"/>
      <c r="P151" s="41"/>
      <c r="Q151" s="41"/>
      <c r="R151" s="41"/>
      <c r="S151" s="41"/>
      <c r="T151" s="41"/>
      <c r="U151" s="41"/>
      <c r="V151" s="41"/>
      <c r="W151" s="41"/>
      <c r="X151" s="41"/>
      <c r="Y151" s="41"/>
      <c r="Z151" s="41"/>
    </row>
    <row r="152" ht="19.5" customHeight="1">
      <c r="A152" s="41"/>
      <c r="B152" s="102" t="s">
        <v>683</v>
      </c>
      <c r="C152" s="13"/>
      <c r="D152" s="13"/>
      <c r="E152" s="14"/>
      <c r="F152" s="41"/>
      <c r="G152" s="41"/>
      <c r="H152" s="41"/>
      <c r="I152" s="41"/>
      <c r="J152" s="41"/>
      <c r="K152" s="41"/>
      <c r="L152" s="41"/>
      <c r="M152" s="41"/>
      <c r="N152" s="41"/>
      <c r="O152" s="41"/>
      <c r="P152" s="41"/>
      <c r="Q152" s="41"/>
      <c r="R152" s="41"/>
      <c r="S152" s="41"/>
      <c r="T152" s="41"/>
      <c r="U152" s="41"/>
      <c r="V152" s="41"/>
      <c r="W152" s="41"/>
      <c r="X152" s="41"/>
      <c r="Y152" s="41"/>
      <c r="Z152" s="41"/>
    </row>
    <row r="153" ht="19.5" customHeight="1">
      <c r="A153" s="41"/>
      <c r="B153" s="84" t="s">
        <v>583</v>
      </c>
      <c r="C153" s="110" t="s">
        <v>212</v>
      </c>
      <c r="D153" s="18" t="s">
        <v>212</v>
      </c>
      <c r="E153" s="84"/>
      <c r="F153" s="41"/>
      <c r="G153" s="41"/>
      <c r="H153" s="41"/>
      <c r="I153" s="41"/>
      <c r="J153" s="41"/>
      <c r="K153" s="41"/>
      <c r="L153" s="41"/>
      <c r="M153" s="41"/>
      <c r="N153" s="41"/>
      <c r="O153" s="41"/>
      <c r="P153" s="41"/>
      <c r="Q153" s="41"/>
      <c r="R153" s="41"/>
      <c r="S153" s="41"/>
      <c r="T153" s="41"/>
      <c r="U153" s="41"/>
      <c r="V153" s="41"/>
      <c r="W153" s="41"/>
      <c r="X153" s="41"/>
      <c r="Y153" s="41"/>
      <c r="Z153" s="41"/>
    </row>
    <row r="154" ht="19.5" customHeight="1">
      <c r="A154" s="41"/>
      <c r="B154" s="102" t="s">
        <v>684</v>
      </c>
      <c r="C154" s="13"/>
      <c r="D154" s="13"/>
      <c r="E154" s="14"/>
      <c r="F154" s="41"/>
      <c r="G154" s="41"/>
      <c r="H154" s="41"/>
      <c r="I154" s="41"/>
      <c r="J154" s="41"/>
      <c r="K154" s="41"/>
      <c r="L154" s="41"/>
      <c r="M154" s="41"/>
      <c r="N154" s="41"/>
      <c r="O154" s="41"/>
      <c r="P154" s="41"/>
      <c r="Q154" s="41"/>
      <c r="R154" s="41"/>
      <c r="S154" s="41"/>
      <c r="T154" s="41"/>
      <c r="U154" s="41"/>
      <c r="V154" s="41"/>
      <c r="W154" s="41"/>
      <c r="X154" s="41"/>
      <c r="Y154" s="41"/>
      <c r="Z154" s="41"/>
    </row>
    <row r="155" ht="19.5" customHeight="1">
      <c r="A155" s="41"/>
      <c r="B155" s="84" t="s">
        <v>685</v>
      </c>
      <c r="C155" s="110" t="str">
        <f>sample_avilb_root_password</f>
        <v>VMw@re1!VMw@re1!</v>
      </c>
      <c r="D155" s="18"/>
      <c r="E155" s="84"/>
      <c r="F155" s="41"/>
      <c r="G155" s="41"/>
      <c r="H155" s="41"/>
      <c r="I155" s="41"/>
      <c r="J155" s="41"/>
      <c r="K155" s="41"/>
      <c r="L155" s="41"/>
      <c r="M155" s="41"/>
      <c r="N155" s="41"/>
      <c r="O155" s="41"/>
      <c r="P155" s="41"/>
      <c r="Q155" s="41"/>
      <c r="R155" s="41"/>
      <c r="S155" s="41"/>
      <c r="T155" s="41"/>
      <c r="U155" s="41"/>
      <c r="V155" s="41"/>
      <c r="W155" s="41"/>
      <c r="X155" s="41"/>
      <c r="Y155" s="41"/>
      <c r="Z155" s="41"/>
    </row>
    <row r="156" ht="19.5" customHeight="1">
      <c r="A156" s="41"/>
      <c r="B156" s="84" t="s">
        <v>687</v>
      </c>
      <c r="C156" s="163" t="str">
        <f>IF(mgmt_dpg_reuse_result="Included",CONCATENATE(prefix_mgmt_az1_cidr,"10.",(152 + (30*(wld_domain_number_chosen - 1)))),CONCATENATE(prefix_mgmt_az1_cidr,"11.",(152 + (30*(wld_domain_number_chosen - 1)))))</f>
        <v>10.21.10.152</v>
      </c>
      <c r="D156" s="18"/>
      <c r="E156" s="84"/>
      <c r="F156" s="41"/>
      <c r="G156" s="41"/>
      <c r="H156" s="41"/>
      <c r="I156" s="41"/>
      <c r="J156" s="41"/>
      <c r="K156" s="41"/>
      <c r="L156" s="41"/>
      <c r="M156" s="41"/>
      <c r="N156" s="41"/>
      <c r="O156" s="41"/>
      <c r="P156" s="41"/>
      <c r="Q156" s="41"/>
      <c r="R156" s="41"/>
      <c r="S156" s="41"/>
      <c r="T156" s="41"/>
      <c r="U156" s="41"/>
      <c r="V156" s="41"/>
      <c r="W156" s="41"/>
      <c r="X156" s="41"/>
      <c r="Y156" s="41"/>
      <c r="Z156" s="41"/>
    </row>
    <row r="157" ht="19.5" customHeight="1">
      <c r="A157" s="41"/>
      <c r="B157" s="84" t="s">
        <v>689</v>
      </c>
      <c r="C157" s="163" t="str">
        <f>IF(mgmt_dpg_reuse_result="Included",CONCATENATE(prefix_mgmt_az1_cidr,"10.",(153 + (30*(wld_domain_number_chosen - 1)))),CONCATENATE(prefix_mgmt_az1_cidr,"11.",(153 + (30*(wld_domain_number_chosen - 1)))))</f>
        <v>10.21.10.153</v>
      </c>
      <c r="D157" s="18"/>
      <c r="E157" s="84"/>
      <c r="F157" s="41"/>
      <c r="G157" s="41"/>
      <c r="H157" s="41"/>
      <c r="I157" s="41"/>
      <c r="J157" s="41"/>
      <c r="K157" s="41"/>
      <c r="L157" s="41"/>
      <c r="M157" s="41"/>
      <c r="N157" s="41"/>
      <c r="O157" s="41"/>
      <c r="P157" s="41"/>
      <c r="Q157" s="41"/>
      <c r="R157" s="41"/>
      <c r="S157" s="41"/>
      <c r="T157" s="41"/>
      <c r="U157" s="41"/>
      <c r="V157" s="41"/>
      <c r="W157" s="41"/>
      <c r="X157" s="41"/>
      <c r="Y157" s="41"/>
      <c r="Z157" s="41"/>
    </row>
    <row r="158" ht="19.5" customHeight="1">
      <c r="A158" s="41"/>
      <c r="B158" s="84" t="s">
        <v>691</v>
      </c>
      <c r="C158" s="163" t="str">
        <f>IF(mgmt_dpg_reuse_result="Included",CONCATENATE(prefix_mgmt_az1_cidr,"10.",(154 + (30*(wld_domain_number_chosen - 1)))),CONCATENATE(prefix_mgmt_az1_cidr,"11.",(154 + (30*(wld_domain_number_chosen - 1)))))</f>
        <v>10.21.10.154</v>
      </c>
      <c r="D158" s="18"/>
      <c r="E158" s="84"/>
      <c r="F158" s="41"/>
      <c r="G158" s="41"/>
      <c r="H158" s="41"/>
      <c r="I158" s="41"/>
      <c r="J158" s="41"/>
      <c r="K158" s="41"/>
      <c r="L158" s="41"/>
      <c r="M158" s="41"/>
      <c r="N158" s="41"/>
      <c r="O158" s="41"/>
      <c r="P158" s="41"/>
      <c r="Q158" s="41"/>
      <c r="R158" s="41"/>
      <c r="S158" s="41"/>
      <c r="T158" s="41"/>
      <c r="U158" s="41"/>
      <c r="V158" s="41"/>
      <c r="W158" s="41"/>
      <c r="X158" s="41"/>
      <c r="Y158" s="41"/>
      <c r="Z158" s="41"/>
    </row>
    <row r="159" ht="19.5" customHeight="1">
      <c r="A159" s="41"/>
      <c r="B159" s="84" t="s">
        <v>693</v>
      </c>
      <c r="C159" s="163" t="str">
        <f>IF(mgmt_dpg_reuse_result="Included",CONCATENATE(prefix_mgmt_az1_cidr,"10.",(151 + (30*(wld_domain_number_chosen - 1)))),CONCATENATE(prefix_mgmt_az1_cidr,"11.",(151 + (30*(wld_domain_number_chosen - 1)))))</f>
        <v>10.21.10.151</v>
      </c>
      <c r="D159" s="18"/>
      <c r="E159" s="84"/>
      <c r="F159" s="41"/>
      <c r="G159" s="41"/>
      <c r="H159" s="41"/>
      <c r="I159" s="41"/>
      <c r="J159" s="41"/>
      <c r="K159" s="41"/>
      <c r="L159" s="41"/>
      <c r="M159" s="41"/>
      <c r="N159" s="41"/>
      <c r="O159" s="41"/>
      <c r="P159" s="41"/>
      <c r="Q159" s="41"/>
      <c r="R159" s="41"/>
      <c r="S159" s="41"/>
      <c r="T159" s="41"/>
      <c r="U159" s="41"/>
      <c r="V159" s="41"/>
      <c r="W159" s="41"/>
      <c r="X159" s="41"/>
      <c r="Y159" s="41"/>
      <c r="Z159" s="41"/>
    </row>
    <row r="160" ht="19.5" customHeight="1">
      <c r="A160" s="41"/>
      <c r="B160" s="84" t="s">
        <v>361</v>
      </c>
      <c r="C160" s="111" t="str">
        <f>CONCATENATE(this_instance,"-w0",wld_domain_number_chosen,"-avilb01",".",sample_child_dns_zone)</f>
        <v>lax-w01-avilb01.lax.rainpole.io</v>
      </c>
      <c r="D160" s="18"/>
      <c r="E160" s="84"/>
      <c r="F160" s="41"/>
      <c r="G160" s="41"/>
      <c r="H160" s="41"/>
      <c r="I160" s="41"/>
      <c r="J160" s="41"/>
      <c r="K160" s="41"/>
      <c r="L160" s="41"/>
      <c r="M160" s="41"/>
      <c r="N160" s="41"/>
      <c r="O160" s="41"/>
      <c r="P160" s="41"/>
      <c r="Q160" s="41"/>
      <c r="R160" s="41"/>
      <c r="S160" s="41"/>
      <c r="T160" s="41"/>
      <c r="U160" s="41"/>
      <c r="V160" s="41"/>
      <c r="W160" s="41"/>
      <c r="X160" s="41"/>
      <c r="Y160" s="41"/>
      <c r="Z160" s="41"/>
    </row>
    <row r="161" ht="19.5" customHeight="1">
      <c r="A161" s="41"/>
      <c r="B161" s="84" t="s">
        <v>355</v>
      </c>
      <c r="C161" s="110" t="str">
        <f>CONCATENATE(this_instance,"-w01-cl01-avilb01")</f>
        <v>lax-w01-cl01-avilb01</v>
      </c>
      <c r="D161" s="18"/>
      <c r="E161" s="84"/>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1"/>
      <c r="C162" s="1"/>
      <c r="D162" s="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33.75" customHeight="1">
      <c r="A163" s="41"/>
      <c r="B163" s="184" t="s">
        <v>1478</v>
      </c>
      <c r="C163" s="13"/>
      <c r="D163" s="13"/>
      <c r="E163" s="14"/>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1"/>
      <c r="C164" s="1"/>
      <c r="D164" s="1"/>
      <c r="E164" s="41"/>
      <c r="F164" s="41"/>
      <c r="G164" s="195"/>
      <c r="H164" s="41"/>
      <c r="I164" s="41"/>
      <c r="J164" s="41"/>
      <c r="K164" s="41"/>
      <c r="L164" s="41"/>
      <c r="M164" s="41"/>
      <c r="N164" s="41"/>
      <c r="O164" s="41"/>
      <c r="P164" s="41"/>
      <c r="Q164" s="41"/>
      <c r="R164" s="41"/>
      <c r="S164" s="41"/>
      <c r="T164" s="41"/>
      <c r="U164" s="41"/>
      <c r="V164" s="41"/>
      <c r="W164" s="41"/>
      <c r="X164" s="41"/>
      <c r="Y164" s="41"/>
      <c r="Z164" s="41"/>
    </row>
    <row r="165" ht="33.75" customHeight="1">
      <c r="A165" s="41"/>
      <c r="B165" s="197" t="s">
        <v>1241</v>
      </c>
      <c r="C165" s="13"/>
      <c r="D165" s="13"/>
      <c r="E165" s="14"/>
      <c r="F165" s="41"/>
      <c r="G165" s="41"/>
      <c r="H165" s="41"/>
      <c r="I165" s="41"/>
      <c r="J165" s="41"/>
      <c r="K165" s="41"/>
      <c r="L165" s="41"/>
      <c r="M165" s="41"/>
      <c r="N165" s="41"/>
      <c r="O165" s="41"/>
      <c r="P165" s="41"/>
      <c r="Q165" s="41"/>
      <c r="R165" s="41"/>
      <c r="S165" s="41"/>
      <c r="T165" s="41"/>
      <c r="U165" s="41"/>
      <c r="V165" s="41"/>
      <c r="W165" s="41"/>
      <c r="X165" s="41"/>
      <c r="Y165" s="41"/>
      <c r="Z165" s="41"/>
    </row>
    <row r="166" ht="19.5" customHeight="1">
      <c r="A166" s="41"/>
      <c r="B166" s="102"/>
      <c r="C166" s="13"/>
      <c r="D166" s="13"/>
      <c r="E166" s="14"/>
      <c r="F166" s="41"/>
      <c r="G166" s="41"/>
      <c r="H166" s="41"/>
      <c r="I166" s="41"/>
      <c r="J166" s="41"/>
      <c r="K166" s="41"/>
      <c r="L166" s="41"/>
      <c r="M166" s="41"/>
      <c r="N166" s="41"/>
      <c r="O166" s="41"/>
      <c r="P166" s="41"/>
      <c r="Q166" s="41"/>
      <c r="R166" s="41"/>
      <c r="S166" s="41"/>
      <c r="T166" s="41"/>
      <c r="U166" s="41"/>
      <c r="V166" s="41"/>
      <c r="W166" s="41"/>
      <c r="X166" s="41"/>
      <c r="Y166" s="41"/>
      <c r="Z166" s="41"/>
    </row>
    <row r="167" ht="19.5" customHeight="1">
      <c r="A167" s="41"/>
      <c r="B167" s="49" t="s">
        <v>37</v>
      </c>
      <c r="C167" s="49" t="s">
        <v>273</v>
      </c>
      <c r="D167" s="49" t="s">
        <v>274</v>
      </c>
      <c r="E167" s="49" t="s">
        <v>5</v>
      </c>
      <c r="F167" s="41"/>
      <c r="G167" s="41"/>
      <c r="H167" s="41"/>
      <c r="I167" s="41"/>
      <c r="J167" s="41"/>
      <c r="K167" s="41"/>
      <c r="L167" s="41"/>
      <c r="M167" s="41"/>
      <c r="N167" s="41"/>
      <c r="O167" s="41"/>
      <c r="P167" s="41"/>
      <c r="Q167" s="41"/>
      <c r="R167" s="41"/>
      <c r="S167" s="41"/>
      <c r="T167" s="41"/>
      <c r="U167" s="41"/>
      <c r="V167" s="41"/>
      <c r="W167" s="41"/>
      <c r="X167" s="41"/>
      <c r="Y167" s="41"/>
      <c r="Z167" s="41"/>
    </row>
    <row r="168" ht="19.5" customHeight="1">
      <c r="A168" s="41"/>
      <c r="B168" s="102" t="s">
        <v>400</v>
      </c>
      <c r="C168" s="13"/>
      <c r="D168" s="13"/>
      <c r="E168" s="14"/>
      <c r="F168" s="41"/>
      <c r="G168" s="41"/>
      <c r="H168" s="41"/>
      <c r="I168" s="41"/>
      <c r="J168" s="41"/>
      <c r="K168" s="41"/>
      <c r="L168" s="41"/>
      <c r="M168" s="41"/>
      <c r="N168" s="41"/>
      <c r="O168" s="41"/>
      <c r="P168" s="41"/>
      <c r="Q168" s="41"/>
      <c r="R168" s="41"/>
      <c r="S168" s="41"/>
      <c r="T168" s="41"/>
      <c r="U168" s="41"/>
      <c r="V168" s="41"/>
      <c r="W168" s="41"/>
      <c r="X168" s="41"/>
      <c r="Y168" s="41"/>
      <c r="Z168" s="41"/>
    </row>
    <row r="169" ht="19.5" customHeight="1">
      <c r="A169" s="41"/>
      <c r="B169" s="84" t="s">
        <v>401</v>
      </c>
      <c r="C169" s="156" t="str">
        <f>CONCATENATE(prefix_wld_az2_vlan,"11")</f>
        <v>2411</v>
      </c>
      <c r="D169" s="18"/>
      <c r="E169" s="84"/>
      <c r="F169" s="41"/>
      <c r="G169" s="41"/>
      <c r="H169" s="41"/>
      <c r="I169" s="41"/>
      <c r="J169" s="41"/>
      <c r="K169" s="41"/>
      <c r="L169" s="41"/>
      <c r="M169" s="41"/>
      <c r="N169" s="41"/>
      <c r="O169" s="41"/>
      <c r="P169" s="41"/>
      <c r="Q169" s="41"/>
      <c r="R169" s="41"/>
      <c r="S169" s="41"/>
      <c r="T169" s="41"/>
      <c r="U169" s="41"/>
      <c r="V169" s="41"/>
      <c r="W169" s="41"/>
      <c r="X169" s="41"/>
      <c r="Y169" s="41"/>
      <c r="Z169" s="41"/>
    </row>
    <row r="170" ht="19.5" customHeight="1">
      <c r="A170" s="41"/>
      <c r="B170" s="84" t="s">
        <v>402</v>
      </c>
      <c r="C170" s="156" t="str">
        <f>CONCATENATE(prefix_wld_az2_cidr,"11.1")</f>
        <v>10.24.11.1</v>
      </c>
      <c r="D170" s="18"/>
      <c r="E170" s="191"/>
      <c r="F170" s="41"/>
      <c r="G170" s="41"/>
      <c r="H170" s="41"/>
      <c r="I170" s="41"/>
      <c r="J170" s="41"/>
      <c r="K170" s="41"/>
      <c r="L170" s="41"/>
      <c r="M170" s="41"/>
      <c r="N170" s="41"/>
      <c r="O170" s="41"/>
      <c r="P170" s="41"/>
      <c r="Q170" s="41"/>
      <c r="R170" s="41"/>
      <c r="S170" s="41"/>
      <c r="T170" s="41"/>
      <c r="U170" s="41"/>
      <c r="V170" s="41"/>
      <c r="W170" s="41"/>
      <c r="X170" s="41"/>
      <c r="Y170" s="41"/>
      <c r="Z170" s="41"/>
    </row>
    <row r="171" ht="19.5" customHeight="1">
      <c r="A171" s="41"/>
      <c r="B171" s="84" t="s">
        <v>403</v>
      </c>
      <c r="C171" s="156" t="str">
        <f>CONCATENATE(prefix_wld_az2_cidr,"11.0/24")</f>
        <v>10.24.11.0/24</v>
      </c>
      <c r="D171" s="18"/>
      <c r="E171" s="191"/>
      <c r="F171" s="41"/>
      <c r="G171" s="41"/>
      <c r="H171" s="41"/>
      <c r="I171" s="41"/>
      <c r="J171" s="41"/>
      <c r="K171" s="41"/>
      <c r="L171" s="41"/>
      <c r="M171" s="41"/>
      <c r="N171" s="41"/>
      <c r="O171" s="41"/>
      <c r="P171" s="41"/>
      <c r="Q171" s="41"/>
      <c r="R171" s="41"/>
      <c r="S171" s="41"/>
      <c r="T171" s="41"/>
      <c r="U171" s="41"/>
      <c r="V171" s="41"/>
      <c r="W171" s="41"/>
      <c r="X171" s="41"/>
      <c r="Y171" s="41"/>
      <c r="Z171" s="41"/>
    </row>
    <row r="172" ht="19.5" customHeight="1">
      <c r="A172" s="41"/>
      <c r="B172" s="84" t="s">
        <v>404</v>
      </c>
      <c r="C172" s="156">
        <v>1500.0</v>
      </c>
      <c r="D172" s="18"/>
      <c r="E172" s="191"/>
      <c r="F172" s="41"/>
      <c r="G172" s="41"/>
      <c r="H172" s="41"/>
      <c r="I172" s="41"/>
      <c r="J172" s="41"/>
      <c r="K172" s="41"/>
      <c r="L172" s="41"/>
      <c r="M172" s="41"/>
      <c r="N172" s="41"/>
      <c r="O172" s="41"/>
      <c r="P172" s="41"/>
      <c r="Q172" s="41"/>
      <c r="R172" s="41"/>
      <c r="S172" s="41"/>
      <c r="T172" s="41"/>
      <c r="U172" s="41"/>
      <c r="V172" s="41"/>
      <c r="W172" s="41"/>
      <c r="X172" s="41"/>
      <c r="Y172" s="41"/>
      <c r="Z172" s="41"/>
    </row>
    <row r="173" ht="19.5" customHeight="1">
      <c r="A173" s="41"/>
      <c r="B173" s="17" t="s">
        <v>481</v>
      </c>
      <c r="C173" s="13"/>
      <c r="D173" s="13"/>
      <c r="E173" s="14"/>
      <c r="F173" s="41"/>
      <c r="G173" s="41"/>
      <c r="H173" s="41"/>
      <c r="I173" s="41"/>
      <c r="J173" s="41"/>
      <c r="K173" s="41"/>
      <c r="L173" s="41"/>
      <c r="M173" s="41"/>
      <c r="N173" s="41"/>
      <c r="O173" s="41"/>
      <c r="P173" s="41"/>
      <c r="Q173" s="41"/>
      <c r="R173" s="41"/>
      <c r="S173" s="41"/>
      <c r="T173" s="41"/>
      <c r="U173" s="41"/>
      <c r="V173" s="41"/>
      <c r="W173" s="41"/>
      <c r="X173" s="41"/>
      <c r="Y173" s="41"/>
      <c r="Z173" s="41"/>
    </row>
    <row r="174" ht="19.5" customHeight="1">
      <c r="A174" s="41"/>
      <c r="B174" s="173" t="s">
        <v>697</v>
      </c>
      <c r="C174" s="163" t="str">
        <f>CONCATENATE(prefix_wld_az2_cidr,"11.101")</f>
        <v>10.24.11.101</v>
      </c>
      <c r="D174" s="18"/>
      <c r="E174" s="199" t="s">
        <v>482</v>
      </c>
      <c r="F174" s="41"/>
      <c r="G174" s="41"/>
      <c r="H174" s="41"/>
      <c r="I174" s="41"/>
      <c r="J174" s="41"/>
      <c r="K174" s="41"/>
      <c r="L174" s="41"/>
      <c r="M174" s="41"/>
      <c r="N174" s="41"/>
      <c r="O174" s="41"/>
      <c r="P174" s="41"/>
      <c r="Q174" s="41"/>
      <c r="R174" s="41"/>
      <c r="S174" s="41"/>
      <c r="T174" s="41"/>
      <c r="U174" s="41"/>
      <c r="V174" s="41"/>
      <c r="W174" s="41"/>
      <c r="X174" s="41"/>
      <c r="Y174" s="41"/>
      <c r="Z174" s="41"/>
    </row>
    <row r="175" ht="19.5" customHeight="1">
      <c r="A175" s="41"/>
      <c r="B175" s="173" t="s">
        <v>698</v>
      </c>
      <c r="C175" s="163" t="str">
        <f>CONCATENATE(prefix_wld_az2_cidr,"11.102")</f>
        <v>10.24.11.102</v>
      </c>
      <c r="D175" s="18"/>
      <c r="E175" s="199" t="s">
        <v>484</v>
      </c>
      <c r="F175" s="41"/>
      <c r="G175" s="41"/>
      <c r="H175" s="41"/>
      <c r="I175" s="41"/>
      <c r="J175" s="41"/>
      <c r="K175" s="41"/>
      <c r="L175" s="41"/>
      <c r="M175" s="41"/>
      <c r="N175" s="41"/>
      <c r="O175" s="41"/>
      <c r="P175" s="41"/>
      <c r="Q175" s="41"/>
      <c r="R175" s="41"/>
      <c r="S175" s="41"/>
      <c r="T175" s="41"/>
      <c r="U175" s="41"/>
      <c r="V175" s="41"/>
      <c r="W175" s="41"/>
      <c r="X175" s="41"/>
      <c r="Y175" s="41"/>
      <c r="Z175" s="41"/>
    </row>
    <row r="176" ht="19.5" customHeight="1">
      <c r="A176" s="41"/>
      <c r="B176" s="173" t="s">
        <v>699</v>
      </c>
      <c r="C176" s="163" t="str">
        <f>CONCATENATE(prefix_wld_az2_cidr,"11.103")</f>
        <v>10.24.11.103</v>
      </c>
      <c r="D176" s="18"/>
      <c r="E176" s="199" t="s">
        <v>485</v>
      </c>
      <c r="F176" s="41"/>
      <c r="G176" s="41"/>
      <c r="H176" s="41"/>
      <c r="I176" s="41"/>
      <c r="J176" s="41"/>
      <c r="K176" s="41"/>
      <c r="L176" s="41"/>
      <c r="M176" s="41"/>
      <c r="N176" s="41"/>
      <c r="O176" s="41"/>
      <c r="P176" s="41"/>
      <c r="Q176" s="41"/>
      <c r="R176" s="41"/>
      <c r="S176" s="41"/>
      <c r="T176" s="41"/>
      <c r="U176" s="41"/>
      <c r="V176" s="41"/>
      <c r="W176" s="41"/>
      <c r="X176" s="41"/>
      <c r="Y176" s="41"/>
      <c r="Z176" s="41"/>
    </row>
    <row r="177" ht="19.5" customHeight="1">
      <c r="A177" s="41"/>
      <c r="B177" s="173" t="s">
        <v>700</v>
      </c>
      <c r="C177" s="163" t="str">
        <f>CONCATENATE(prefix_wld_az2_cidr,"11.104")</f>
        <v>10.24.11.104</v>
      </c>
      <c r="D177" s="18"/>
      <c r="E177" s="199" t="s">
        <v>486</v>
      </c>
      <c r="F177" s="41"/>
      <c r="G177" s="41"/>
      <c r="H177" s="41"/>
      <c r="I177" s="41"/>
      <c r="J177" s="41"/>
      <c r="K177" s="41"/>
      <c r="L177" s="41"/>
      <c r="M177" s="41"/>
      <c r="N177" s="41"/>
      <c r="O177" s="41"/>
      <c r="P177" s="41"/>
      <c r="Q177" s="41"/>
      <c r="R177" s="41"/>
      <c r="S177" s="41"/>
      <c r="T177" s="41"/>
      <c r="U177" s="41"/>
      <c r="V177" s="41"/>
      <c r="W177" s="41"/>
      <c r="X177" s="41"/>
      <c r="Y177" s="41"/>
      <c r="Z177" s="41"/>
    </row>
    <row r="178" ht="19.5" customHeight="1">
      <c r="A178" s="41"/>
      <c r="B178" s="173" t="s">
        <v>701</v>
      </c>
      <c r="C178" s="163" t="str">
        <f>CONCATENATE(prefix_wld_az2_cidr,"11.105")</f>
        <v>10.24.11.105</v>
      </c>
      <c r="D178" s="18"/>
      <c r="E178" s="199" t="s">
        <v>487</v>
      </c>
      <c r="F178" s="41"/>
      <c r="G178" s="41"/>
      <c r="H178" s="41"/>
      <c r="I178" s="41"/>
      <c r="J178" s="41"/>
      <c r="K178" s="41"/>
      <c r="L178" s="41"/>
      <c r="M178" s="41"/>
      <c r="N178" s="41"/>
      <c r="O178" s="41"/>
      <c r="P178" s="41"/>
      <c r="Q178" s="41"/>
      <c r="R178" s="41"/>
      <c r="S178" s="41"/>
      <c r="T178" s="41"/>
      <c r="U178" s="41"/>
      <c r="V178" s="41"/>
      <c r="W178" s="41"/>
      <c r="X178" s="41"/>
      <c r="Y178" s="41"/>
      <c r="Z178" s="41"/>
    </row>
    <row r="179" ht="19.5" customHeight="1">
      <c r="A179" s="41"/>
      <c r="B179" s="173" t="s">
        <v>702</v>
      </c>
      <c r="C179" s="163" t="str">
        <f>CONCATENATE(prefix_wld_az2_cidr,"11.106")</f>
        <v>10.24.11.106</v>
      </c>
      <c r="D179" s="18"/>
      <c r="E179" s="199" t="s">
        <v>488</v>
      </c>
      <c r="F179" s="41"/>
      <c r="G179" s="41"/>
      <c r="H179" s="41"/>
      <c r="I179" s="41"/>
      <c r="J179" s="41"/>
      <c r="K179" s="41"/>
      <c r="L179" s="41"/>
      <c r="M179" s="41"/>
      <c r="N179" s="41"/>
      <c r="O179" s="41"/>
      <c r="P179" s="41"/>
      <c r="Q179" s="41"/>
      <c r="R179" s="41"/>
      <c r="S179" s="41"/>
      <c r="T179" s="41"/>
      <c r="U179" s="41"/>
      <c r="V179" s="41"/>
      <c r="W179" s="41"/>
      <c r="X179" s="41"/>
      <c r="Y179" s="41"/>
      <c r="Z179" s="41"/>
    </row>
    <row r="180" ht="19.5" customHeight="1">
      <c r="A180" s="41"/>
      <c r="B180" s="173" t="s">
        <v>703</v>
      </c>
      <c r="C180" s="163" t="str">
        <f>CONCATENATE(prefix_wld_az2_cidr,"11.107")</f>
        <v>10.24.11.107</v>
      </c>
      <c r="D180" s="18"/>
      <c r="E180" s="199" t="s">
        <v>489</v>
      </c>
      <c r="F180" s="41"/>
      <c r="G180" s="41"/>
      <c r="H180" s="41"/>
      <c r="I180" s="41"/>
      <c r="J180" s="41"/>
      <c r="K180" s="41"/>
      <c r="L180" s="41"/>
      <c r="M180" s="41"/>
      <c r="N180" s="41"/>
      <c r="O180" s="41"/>
      <c r="P180" s="41"/>
      <c r="Q180" s="41"/>
      <c r="R180" s="41"/>
      <c r="S180" s="41"/>
      <c r="T180" s="41"/>
      <c r="U180" s="41"/>
      <c r="V180" s="41"/>
      <c r="W180" s="41"/>
      <c r="X180" s="41"/>
      <c r="Y180" s="41"/>
      <c r="Z180" s="41"/>
    </row>
    <row r="181" ht="19.5" customHeight="1">
      <c r="A181" s="41"/>
      <c r="B181" s="173" t="s">
        <v>704</v>
      </c>
      <c r="C181" s="163" t="str">
        <f>CONCATENATE(prefix_wld_az2_cidr,"11.108")</f>
        <v>10.24.11.108</v>
      </c>
      <c r="D181" s="18"/>
      <c r="E181" s="199" t="s">
        <v>490</v>
      </c>
      <c r="F181" s="41"/>
      <c r="G181" s="41"/>
      <c r="H181" s="41"/>
      <c r="I181" s="41"/>
      <c r="J181" s="41"/>
      <c r="K181" s="41"/>
      <c r="L181" s="41"/>
      <c r="M181" s="41"/>
      <c r="N181" s="41"/>
      <c r="O181" s="41"/>
      <c r="P181" s="41"/>
      <c r="Q181" s="41"/>
      <c r="R181" s="41"/>
      <c r="S181" s="41"/>
      <c r="T181" s="41"/>
      <c r="U181" s="41"/>
      <c r="V181" s="41"/>
      <c r="W181" s="41"/>
      <c r="X181" s="41"/>
      <c r="Y181" s="41"/>
      <c r="Z181" s="41"/>
    </row>
    <row r="182" ht="19.5" customHeight="1">
      <c r="A182" s="41"/>
      <c r="B182" s="173" t="s">
        <v>705</v>
      </c>
      <c r="C182" s="163" t="str">
        <f>CONCATENATE(prefix_wld_az2_cidr,"11.109")</f>
        <v>10.24.11.109</v>
      </c>
      <c r="D182" s="18"/>
      <c r="E182" s="199" t="s">
        <v>491</v>
      </c>
      <c r="F182" s="41"/>
      <c r="G182" s="41"/>
      <c r="H182" s="41"/>
      <c r="I182" s="41"/>
      <c r="J182" s="41"/>
      <c r="K182" s="41"/>
      <c r="L182" s="41"/>
      <c r="M182" s="41"/>
      <c r="N182" s="41"/>
      <c r="O182" s="41"/>
      <c r="P182" s="41"/>
      <c r="Q182" s="41"/>
      <c r="R182" s="41"/>
      <c r="S182" s="41"/>
      <c r="T182" s="41"/>
      <c r="U182" s="41"/>
      <c r="V182" s="41"/>
      <c r="W182" s="41"/>
      <c r="X182" s="41"/>
      <c r="Y182" s="41"/>
      <c r="Z182" s="41"/>
    </row>
    <row r="183" ht="19.5" customHeight="1">
      <c r="A183" s="41"/>
      <c r="B183" s="173" t="s">
        <v>706</v>
      </c>
      <c r="C183" s="163" t="str">
        <f>CONCATENATE(prefix_wld_az2_cidr,"11.110")</f>
        <v>10.24.11.110</v>
      </c>
      <c r="D183" s="18"/>
      <c r="E183" s="199" t="s">
        <v>492</v>
      </c>
      <c r="F183" s="41"/>
      <c r="G183" s="41"/>
      <c r="H183" s="41"/>
      <c r="I183" s="41"/>
      <c r="J183" s="41"/>
      <c r="K183" s="41"/>
      <c r="L183" s="41"/>
      <c r="M183" s="41"/>
      <c r="N183" s="41"/>
      <c r="O183" s="41"/>
      <c r="P183" s="41"/>
      <c r="Q183" s="41"/>
      <c r="R183" s="41"/>
      <c r="S183" s="41"/>
      <c r="T183" s="41"/>
      <c r="U183" s="41"/>
      <c r="V183" s="41"/>
      <c r="W183" s="41"/>
      <c r="X183" s="41"/>
      <c r="Y183" s="41"/>
      <c r="Z183" s="41"/>
    </row>
    <row r="184" ht="19.5" customHeight="1">
      <c r="A184" s="41"/>
      <c r="B184" s="173" t="s">
        <v>707</v>
      </c>
      <c r="C184" s="163" t="str">
        <f>CONCATENATE(prefix_wld_az2_cidr,"11.111")</f>
        <v>10.24.11.111</v>
      </c>
      <c r="D184" s="18"/>
      <c r="E184" s="199" t="s">
        <v>493</v>
      </c>
      <c r="F184" s="41"/>
      <c r="G184" s="41"/>
      <c r="H184" s="41"/>
      <c r="I184" s="41"/>
      <c r="J184" s="41"/>
      <c r="K184" s="41"/>
      <c r="L184" s="41"/>
      <c r="M184" s="41"/>
      <c r="N184" s="41"/>
      <c r="O184" s="41"/>
      <c r="P184" s="41"/>
      <c r="Q184" s="41"/>
      <c r="R184" s="41"/>
      <c r="S184" s="41"/>
      <c r="T184" s="41"/>
      <c r="U184" s="41"/>
      <c r="V184" s="41"/>
      <c r="W184" s="41"/>
      <c r="X184" s="41"/>
      <c r="Y184" s="41"/>
      <c r="Z184" s="41"/>
    </row>
    <row r="185" ht="19.5" customHeight="1">
      <c r="A185" s="41"/>
      <c r="B185" s="173" t="s">
        <v>708</v>
      </c>
      <c r="C185" s="163" t="str">
        <f>CONCATENATE(prefix_wld_az2_cidr,"11.112")</f>
        <v>10.24.11.112</v>
      </c>
      <c r="D185" s="18"/>
      <c r="E185" s="199" t="s">
        <v>494</v>
      </c>
      <c r="F185" s="41"/>
      <c r="G185" s="41"/>
      <c r="H185" s="41"/>
      <c r="I185" s="41"/>
      <c r="J185" s="41"/>
      <c r="K185" s="41"/>
      <c r="L185" s="41"/>
      <c r="M185" s="41"/>
      <c r="N185" s="41"/>
      <c r="O185" s="41"/>
      <c r="P185" s="41"/>
      <c r="Q185" s="41"/>
      <c r="R185" s="41"/>
      <c r="S185" s="41"/>
      <c r="T185" s="41"/>
      <c r="U185" s="41"/>
      <c r="V185" s="41"/>
      <c r="W185" s="41"/>
      <c r="X185" s="41"/>
      <c r="Y185" s="41"/>
      <c r="Z185" s="41"/>
    </row>
    <row r="186" ht="19.5" customHeight="1">
      <c r="A186" s="41"/>
      <c r="B186" s="173" t="s">
        <v>709</v>
      </c>
      <c r="C186" s="163" t="str">
        <f>CONCATENATE(prefix_wld_az2_cidr,"11.113")</f>
        <v>10.24.11.113</v>
      </c>
      <c r="D186" s="18"/>
      <c r="E186" s="199" t="s">
        <v>495</v>
      </c>
      <c r="F186" s="41"/>
      <c r="G186" s="41"/>
      <c r="H186" s="41"/>
      <c r="I186" s="41"/>
      <c r="J186" s="41"/>
      <c r="K186" s="41"/>
      <c r="L186" s="41"/>
      <c r="M186" s="41"/>
      <c r="N186" s="41"/>
      <c r="O186" s="41"/>
      <c r="P186" s="41"/>
      <c r="Q186" s="41"/>
      <c r="R186" s="41"/>
      <c r="S186" s="41"/>
      <c r="T186" s="41"/>
      <c r="U186" s="41"/>
      <c r="V186" s="41"/>
      <c r="W186" s="41"/>
      <c r="X186" s="41"/>
      <c r="Y186" s="41"/>
      <c r="Z186" s="41"/>
    </row>
    <row r="187" ht="19.5" customHeight="1">
      <c r="A187" s="41"/>
      <c r="B187" s="173" t="s">
        <v>710</v>
      </c>
      <c r="C187" s="163" t="str">
        <f>CONCATENATE(prefix_wld_az2_cidr,"11.114")</f>
        <v>10.24.11.114</v>
      </c>
      <c r="D187" s="18"/>
      <c r="E187" s="199" t="s">
        <v>496</v>
      </c>
      <c r="F187" s="41"/>
      <c r="G187" s="41"/>
      <c r="H187" s="41"/>
      <c r="I187" s="41"/>
      <c r="J187" s="41"/>
      <c r="K187" s="41"/>
      <c r="L187" s="41"/>
      <c r="M187" s="41"/>
      <c r="N187" s="41"/>
      <c r="O187" s="41"/>
      <c r="P187" s="41"/>
      <c r="Q187" s="41"/>
      <c r="R187" s="41"/>
      <c r="S187" s="41"/>
      <c r="T187" s="41"/>
      <c r="U187" s="41"/>
      <c r="V187" s="41"/>
      <c r="W187" s="41"/>
      <c r="X187" s="41"/>
      <c r="Y187" s="41"/>
      <c r="Z187" s="41"/>
    </row>
    <row r="188" ht="19.5" customHeight="1">
      <c r="A188" s="41"/>
      <c r="B188" s="173" t="s">
        <v>711</v>
      </c>
      <c r="C188" s="163" t="str">
        <f>CONCATENATE(prefix_wld_az2_cidr,"11.115")</f>
        <v>10.24.11.115</v>
      </c>
      <c r="D188" s="18"/>
      <c r="E188" s="199" t="s">
        <v>497</v>
      </c>
      <c r="F188" s="41"/>
      <c r="G188" s="41"/>
      <c r="H188" s="41"/>
      <c r="I188" s="41"/>
      <c r="J188" s="41"/>
      <c r="K188" s="41"/>
      <c r="L188" s="41"/>
      <c r="M188" s="41"/>
      <c r="N188" s="41"/>
      <c r="O188" s="41"/>
      <c r="P188" s="41"/>
      <c r="Q188" s="41"/>
      <c r="R188" s="41"/>
      <c r="S188" s="41"/>
      <c r="T188" s="41"/>
      <c r="U188" s="41"/>
      <c r="V188" s="41"/>
      <c r="W188" s="41"/>
      <c r="X188" s="41"/>
      <c r="Y188" s="41"/>
      <c r="Z188" s="41"/>
    </row>
    <row r="189" ht="19.5" customHeight="1">
      <c r="A189" s="41"/>
      <c r="B189" s="173" t="s">
        <v>712</v>
      </c>
      <c r="C189" s="163" t="str">
        <f>CONCATENATE(prefix_wld_az2_cidr,"11.116")</f>
        <v>10.24.11.116</v>
      </c>
      <c r="D189" s="18"/>
      <c r="E189" s="199" t="s">
        <v>498</v>
      </c>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1"/>
      <c r="C190" s="1"/>
      <c r="D190" s="1"/>
      <c r="E190" s="41"/>
      <c r="F190" s="41"/>
      <c r="G190" s="195"/>
      <c r="H190" s="41"/>
      <c r="I190" s="41"/>
      <c r="J190" s="41"/>
      <c r="K190" s="41"/>
      <c r="L190" s="41"/>
      <c r="M190" s="41"/>
      <c r="N190" s="41"/>
      <c r="O190" s="41"/>
      <c r="P190" s="41"/>
      <c r="Q190" s="41"/>
      <c r="R190" s="41"/>
      <c r="S190" s="41"/>
      <c r="T190" s="41"/>
      <c r="U190" s="41"/>
      <c r="V190" s="41"/>
      <c r="W190" s="41"/>
      <c r="X190" s="41"/>
      <c r="Y190" s="41"/>
      <c r="Z190" s="41"/>
    </row>
    <row r="191" ht="33.75" customHeight="1">
      <c r="A191" s="41"/>
      <c r="B191" s="197" t="s">
        <v>1243</v>
      </c>
      <c r="C191" s="13"/>
      <c r="D191" s="13"/>
      <c r="E191" s="14"/>
      <c r="F191" s="41"/>
      <c r="G191" s="41"/>
      <c r="H191" s="41"/>
      <c r="I191" s="41"/>
      <c r="J191" s="41"/>
      <c r="K191" s="41"/>
      <c r="L191" s="41"/>
      <c r="M191" s="41"/>
      <c r="N191" s="41"/>
      <c r="O191" s="41"/>
      <c r="P191" s="41"/>
      <c r="Q191" s="41"/>
      <c r="R191" s="41"/>
      <c r="S191" s="41"/>
      <c r="T191" s="41"/>
      <c r="U191" s="41"/>
      <c r="V191" s="41"/>
      <c r="W191" s="41"/>
      <c r="X191" s="41"/>
      <c r="Y191" s="41"/>
      <c r="Z191" s="41"/>
    </row>
    <row r="192" ht="19.5" customHeight="1">
      <c r="A192" s="41"/>
      <c r="B192" s="102"/>
      <c r="C192" s="13"/>
      <c r="D192" s="13"/>
      <c r="E192" s="14"/>
      <c r="F192" s="41"/>
      <c r="G192" s="41"/>
      <c r="H192" s="41"/>
      <c r="I192" s="41"/>
      <c r="J192" s="41"/>
      <c r="K192" s="41"/>
      <c r="L192" s="41"/>
      <c r="M192" s="41"/>
      <c r="N192" s="41"/>
      <c r="O192" s="41"/>
      <c r="P192" s="41"/>
      <c r="Q192" s="41"/>
      <c r="R192" s="41"/>
      <c r="S192" s="41"/>
      <c r="T192" s="41"/>
      <c r="U192" s="41"/>
      <c r="V192" s="41"/>
      <c r="W192" s="41"/>
      <c r="X192" s="41"/>
      <c r="Y192" s="41"/>
      <c r="Z192" s="41"/>
    </row>
    <row r="193" ht="19.5" customHeight="1">
      <c r="A193" s="41"/>
      <c r="B193" s="49" t="s">
        <v>37</v>
      </c>
      <c r="C193" s="49" t="s">
        <v>273</v>
      </c>
      <c r="D193" s="49" t="s">
        <v>274</v>
      </c>
      <c r="E193" s="49" t="s">
        <v>5</v>
      </c>
      <c r="F193" s="41"/>
      <c r="G193" s="41"/>
      <c r="H193" s="41"/>
      <c r="I193" s="41"/>
      <c r="J193" s="41"/>
      <c r="K193" s="41"/>
      <c r="L193" s="41"/>
      <c r="M193" s="41"/>
      <c r="N193" s="41"/>
      <c r="O193" s="41"/>
      <c r="P193" s="41"/>
      <c r="Q193" s="41"/>
      <c r="R193" s="41"/>
      <c r="S193" s="41"/>
      <c r="T193" s="41"/>
      <c r="U193" s="41"/>
      <c r="V193" s="41"/>
      <c r="W193" s="41"/>
      <c r="X193" s="41"/>
      <c r="Y193" s="41"/>
      <c r="Z193" s="41"/>
    </row>
    <row r="194" ht="19.5" customHeight="1">
      <c r="A194" s="41"/>
      <c r="B194" s="84" t="s">
        <v>714</v>
      </c>
      <c r="C194" s="110" t="s">
        <v>715</v>
      </c>
      <c r="D194" s="18" t="s">
        <v>715</v>
      </c>
      <c r="E194" s="84" t="str">
        <f>IF(wld_az2_reuse_vcf_networkpool_chosen="Re-use an existing VCF Network Pool","An exisiting VCF Network Pool will be reused for Host TEP assignment","A new VCF Network Pool will be created")</f>
        <v>A new VCF Network Pool will be created</v>
      </c>
      <c r="F194" s="41"/>
      <c r="G194" s="41"/>
      <c r="H194" s="41"/>
      <c r="I194" s="41"/>
      <c r="J194" s="41"/>
      <c r="K194" s="41"/>
      <c r="L194" s="41"/>
      <c r="M194" s="41"/>
      <c r="N194" s="41"/>
      <c r="O194" s="41"/>
      <c r="P194" s="41"/>
      <c r="Q194" s="41"/>
      <c r="R194" s="41"/>
      <c r="S194" s="41"/>
      <c r="T194" s="41"/>
      <c r="U194" s="41"/>
      <c r="V194" s="41"/>
      <c r="W194" s="41"/>
      <c r="X194" s="41"/>
      <c r="Y194" s="41"/>
      <c r="Z194" s="41"/>
    </row>
    <row r="195" ht="19.5" customHeight="1">
      <c r="A195" s="41"/>
      <c r="B195" s="173" t="s">
        <v>716</v>
      </c>
      <c r="C195" s="156" t="str">
        <f>CONCATENATE(this_instance,"02-w0",wld_domain_number_chosen,"-r01-network-pool-01")</f>
        <v>lax02-w01-r01-network-pool-01</v>
      </c>
      <c r="D195" s="18"/>
      <c r="E195" s="191"/>
      <c r="F195" s="41"/>
      <c r="G195" s="41"/>
      <c r="H195" s="41"/>
      <c r="I195" s="41"/>
      <c r="J195" s="41"/>
      <c r="K195" s="41"/>
      <c r="L195" s="41"/>
      <c r="M195" s="41"/>
      <c r="N195" s="41"/>
      <c r="O195" s="41"/>
      <c r="P195" s="41"/>
      <c r="Q195" s="41"/>
      <c r="R195" s="41"/>
      <c r="S195" s="41"/>
      <c r="T195" s="41"/>
      <c r="U195" s="41"/>
      <c r="V195" s="41"/>
      <c r="W195" s="41"/>
      <c r="X195" s="41"/>
      <c r="Y195" s="41"/>
      <c r="Z195" s="41"/>
    </row>
    <row r="196" ht="19.5" customHeight="1">
      <c r="A196" s="41"/>
      <c r="B196" s="102" t="s">
        <v>407</v>
      </c>
      <c r="C196" s="13"/>
      <c r="D196" s="13"/>
      <c r="E196" s="14"/>
      <c r="F196" s="41"/>
      <c r="G196" s="41"/>
      <c r="H196" s="41"/>
      <c r="I196" s="41"/>
      <c r="J196" s="41"/>
      <c r="K196" s="41"/>
      <c r="L196" s="41"/>
      <c r="M196" s="41"/>
      <c r="N196" s="41"/>
      <c r="O196" s="41"/>
      <c r="P196" s="41"/>
      <c r="Q196" s="41"/>
      <c r="R196" s="41"/>
      <c r="S196" s="41"/>
      <c r="T196" s="41"/>
      <c r="U196" s="41"/>
      <c r="V196" s="41"/>
      <c r="W196" s="41"/>
      <c r="X196" s="41"/>
      <c r="Y196" s="41"/>
      <c r="Z196" s="41"/>
    </row>
    <row r="197" ht="19.5" customHeight="1">
      <c r="A197" s="41"/>
      <c r="B197" s="84" t="s">
        <v>401</v>
      </c>
      <c r="C197" s="156" t="str">
        <f>CONCATENATE(prefix_wld_az2_vlan,"12")</f>
        <v>2412</v>
      </c>
      <c r="D197" s="18"/>
      <c r="E197" s="84"/>
      <c r="F197" s="41"/>
      <c r="G197" s="41"/>
      <c r="H197" s="41"/>
      <c r="I197" s="41"/>
      <c r="J197" s="41"/>
      <c r="K197" s="41"/>
      <c r="L197" s="41"/>
      <c r="M197" s="41"/>
      <c r="N197" s="41"/>
      <c r="O197" s="41"/>
      <c r="P197" s="41"/>
      <c r="Q197" s="41"/>
      <c r="R197" s="41"/>
      <c r="S197" s="41"/>
      <c r="T197" s="41"/>
      <c r="U197" s="41"/>
      <c r="V197" s="41"/>
      <c r="W197" s="41"/>
      <c r="X197" s="41"/>
      <c r="Y197" s="41"/>
      <c r="Z197" s="41"/>
    </row>
    <row r="198" ht="19.5" customHeight="1">
      <c r="A198" s="41"/>
      <c r="B198" s="84" t="s">
        <v>404</v>
      </c>
      <c r="C198" s="156">
        <v>9000.0</v>
      </c>
      <c r="D198" s="18"/>
      <c r="E198" s="191"/>
      <c r="F198" s="41"/>
      <c r="G198" s="41"/>
      <c r="H198" s="41"/>
      <c r="I198" s="41"/>
      <c r="J198" s="41"/>
      <c r="K198" s="41"/>
      <c r="L198" s="41"/>
      <c r="M198" s="41"/>
      <c r="N198" s="41"/>
      <c r="O198" s="41"/>
      <c r="P198" s="41"/>
      <c r="Q198" s="41"/>
      <c r="R198" s="41"/>
      <c r="S198" s="41"/>
      <c r="T198" s="41"/>
      <c r="U198" s="41"/>
      <c r="V198" s="41"/>
      <c r="W198" s="41"/>
      <c r="X198" s="41"/>
      <c r="Y198" s="41"/>
      <c r="Z198" s="41"/>
    </row>
    <row r="199" ht="19.5" customHeight="1">
      <c r="A199" s="41"/>
      <c r="B199" s="84" t="s">
        <v>717</v>
      </c>
      <c r="C199" s="156" t="str">
        <f>CONCATENATE(prefix_wld_az2_cidr,"12.0")</f>
        <v>10.24.12.0</v>
      </c>
      <c r="D199" s="18"/>
      <c r="E199" s="191"/>
      <c r="F199" s="41"/>
      <c r="G199" s="41"/>
      <c r="H199" s="41"/>
      <c r="I199" s="41"/>
      <c r="J199" s="41"/>
      <c r="K199" s="41"/>
      <c r="L199" s="41"/>
      <c r="M199" s="41"/>
      <c r="N199" s="41"/>
      <c r="O199" s="41"/>
      <c r="P199" s="41"/>
      <c r="Q199" s="41"/>
      <c r="R199" s="41"/>
      <c r="S199" s="41"/>
      <c r="T199" s="41"/>
      <c r="U199" s="41"/>
      <c r="V199" s="41"/>
      <c r="W199" s="41"/>
      <c r="X199" s="41"/>
      <c r="Y199" s="41"/>
      <c r="Z199" s="41"/>
    </row>
    <row r="200" ht="19.5" customHeight="1">
      <c r="A200" s="41"/>
      <c r="B200" s="84" t="s">
        <v>743</v>
      </c>
      <c r="C200" s="156" t="s">
        <v>622</v>
      </c>
      <c r="D200" s="18"/>
      <c r="E200" s="191"/>
      <c r="F200" s="41"/>
      <c r="G200" s="41"/>
      <c r="H200" s="41"/>
      <c r="I200" s="41"/>
      <c r="J200" s="41"/>
      <c r="K200" s="41"/>
      <c r="L200" s="41"/>
      <c r="M200" s="41"/>
      <c r="N200" s="41"/>
      <c r="O200" s="41"/>
      <c r="P200" s="41"/>
      <c r="Q200" s="41"/>
      <c r="R200" s="41"/>
      <c r="S200" s="41"/>
      <c r="T200" s="41"/>
      <c r="U200" s="41"/>
      <c r="V200" s="41"/>
      <c r="W200" s="41"/>
      <c r="X200" s="41"/>
      <c r="Y200" s="41"/>
      <c r="Z200" s="41"/>
    </row>
    <row r="201" ht="19.5" customHeight="1">
      <c r="A201" s="41"/>
      <c r="B201" s="84" t="s">
        <v>402</v>
      </c>
      <c r="C201" s="156" t="str">
        <f>CONCATENATE(prefix_wld_az2_cidr,"12.1")</f>
        <v>10.24.12.1</v>
      </c>
      <c r="D201" s="18"/>
      <c r="E201" s="191"/>
      <c r="F201" s="41"/>
      <c r="G201" s="41"/>
      <c r="H201" s="41"/>
      <c r="I201" s="41"/>
      <c r="J201" s="41"/>
      <c r="K201" s="41"/>
      <c r="L201" s="41"/>
      <c r="M201" s="41"/>
      <c r="N201" s="41"/>
      <c r="O201" s="41"/>
      <c r="P201" s="41"/>
      <c r="Q201" s="41"/>
      <c r="R201" s="41"/>
      <c r="S201" s="41"/>
      <c r="T201" s="41"/>
      <c r="U201" s="41"/>
      <c r="V201" s="41"/>
      <c r="W201" s="41"/>
      <c r="X201" s="41"/>
      <c r="Y201" s="41"/>
      <c r="Z201" s="41"/>
    </row>
    <row r="202" ht="19.5" customHeight="1">
      <c r="A202" s="41"/>
      <c r="B202" s="173" t="s">
        <v>465</v>
      </c>
      <c r="C202" s="156" t="str">
        <f>CONCATENATE(prefix_wld_az2_cidr,"12.101")</f>
        <v>10.24.12.101</v>
      </c>
      <c r="D202" s="18"/>
      <c r="E202" s="191"/>
      <c r="F202" s="41"/>
      <c r="G202" s="41"/>
      <c r="H202" s="41"/>
      <c r="I202" s="41"/>
      <c r="J202" s="41"/>
      <c r="K202" s="41"/>
      <c r="L202" s="41"/>
      <c r="M202" s="41"/>
      <c r="N202" s="41"/>
      <c r="O202" s="41"/>
      <c r="P202" s="41"/>
      <c r="Q202" s="41"/>
      <c r="R202" s="41"/>
      <c r="S202" s="41"/>
      <c r="T202" s="41"/>
      <c r="U202" s="41"/>
      <c r="V202" s="41"/>
      <c r="W202" s="41"/>
      <c r="X202" s="41"/>
      <c r="Y202" s="41"/>
      <c r="Z202" s="41"/>
    </row>
    <row r="203" ht="19.5" customHeight="1">
      <c r="A203" s="41"/>
      <c r="B203" s="173" t="s">
        <v>466</v>
      </c>
      <c r="C203" s="156" t="str">
        <f>CONCATENATE(prefix_wld_az2_cidr,"12.116")</f>
        <v>10.24.12.116</v>
      </c>
      <c r="D203" s="18"/>
      <c r="E203" s="191"/>
      <c r="F203" s="41"/>
      <c r="G203" s="41"/>
      <c r="H203" s="41"/>
      <c r="I203" s="41"/>
      <c r="J203" s="41"/>
      <c r="K203" s="41"/>
      <c r="L203" s="41"/>
      <c r="M203" s="41"/>
      <c r="N203" s="41"/>
      <c r="O203" s="41"/>
      <c r="P203" s="41"/>
      <c r="Q203" s="41"/>
      <c r="R203" s="41"/>
      <c r="S203" s="41"/>
      <c r="T203" s="41"/>
      <c r="U203" s="41"/>
      <c r="V203" s="41"/>
      <c r="W203" s="41"/>
      <c r="X203" s="41"/>
      <c r="Y203" s="41"/>
      <c r="Z203" s="41"/>
    </row>
    <row r="204" ht="19.5" customHeight="1">
      <c r="A204" s="41"/>
      <c r="B204" s="102" t="s">
        <v>410</v>
      </c>
      <c r="C204" s="13"/>
      <c r="D204" s="13"/>
      <c r="E204" s="14"/>
      <c r="F204" s="41"/>
      <c r="G204" s="41"/>
      <c r="H204" s="41"/>
      <c r="I204" s="41"/>
      <c r="J204" s="41"/>
      <c r="K204" s="41"/>
      <c r="L204" s="41"/>
      <c r="M204" s="41"/>
      <c r="N204" s="41"/>
      <c r="O204" s="41"/>
      <c r="P204" s="41"/>
      <c r="Q204" s="41"/>
      <c r="R204" s="41"/>
      <c r="S204" s="41"/>
      <c r="T204" s="41"/>
      <c r="U204" s="41"/>
      <c r="V204" s="41"/>
      <c r="W204" s="41"/>
      <c r="X204" s="41"/>
      <c r="Y204" s="41"/>
      <c r="Z204" s="41"/>
    </row>
    <row r="205" ht="19.5" customHeight="1">
      <c r="A205" s="41"/>
      <c r="B205" s="84" t="s">
        <v>401</v>
      </c>
      <c r="C205" s="156" t="str">
        <f>CONCATENATE(prefix_wld_az2_vlan,"13")</f>
        <v>2413</v>
      </c>
      <c r="D205" s="18"/>
      <c r="E205" s="191"/>
      <c r="F205" s="41"/>
      <c r="G205" s="41"/>
      <c r="H205" s="41"/>
      <c r="I205" s="41"/>
      <c r="J205" s="41"/>
      <c r="K205" s="41"/>
      <c r="L205" s="41"/>
      <c r="M205" s="41"/>
      <c r="N205" s="41"/>
      <c r="O205" s="41"/>
      <c r="P205" s="41"/>
      <c r="Q205" s="41"/>
      <c r="R205" s="41"/>
      <c r="S205" s="41"/>
      <c r="T205" s="41"/>
      <c r="U205" s="41"/>
      <c r="V205" s="41"/>
      <c r="W205" s="41"/>
      <c r="X205" s="41"/>
      <c r="Y205" s="41"/>
      <c r="Z205" s="41"/>
    </row>
    <row r="206" ht="19.5" customHeight="1">
      <c r="A206" s="41"/>
      <c r="B206" s="84" t="s">
        <v>404</v>
      </c>
      <c r="C206" s="156">
        <v>9000.0</v>
      </c>
      <c r="D206" s="18"/>
      <c r="E206" s="191"/>
      <c r="F206" s="41"/>
      <c r="G206" s="41"/>
      <c r="H206" s="41"/>
      <c r="I206" s="41"/>
      <c r="J206" s="41"/>
      <c r="K206" s="41"/>
      <c r="L206" s="41"/>
      <c r="M206" s="41"/>
      <c r="N206" s="41"/>
      <c r="O206" s="41"/>
      <c r="P206" s="41"/>
      <c r="Q206" s="41"/>
      <c r="R206" s="41"/>
      <c r="S206" s="41"/>
      <c r="T206" s="41"/>
      <c r="U206" s="41"/>
      <c r="V206" s="41"/>
      <c r="W206" s="41"/>
      <c r="X206" s="41"/>
      <c r="Y206" s="41"/>
      <c r="Z206" s="41"/>
    </row>
    <row r="207" ht="19.5" customHeight="1">
      <c r="A207" s="41"/>
      <c r="B207" s="84" t="s">
        <v>717</v>
      </c>
      <c r="C207" s="156" t="str">
        <f>CONCATENATE(prefix_wld_az2_cidr,"13.0")</f>
        <v>10.24.13.0</v>
      </c>
      <c r="D207" s="18"/>
      <c r="E207" s="201"/>
      <c r="F207" s="41"/>
      <c r="G207" s="41"/>
      <c r="H207" s="41"/>
      <c r="I207" s="41"/>
      <c r="J207" s="41"/>
      <c r="K207" s="41"/>
      <c r="L207" s="41"/>
      <c r="M207" s="41"/>
      <c r="N207" s="41"/>
      <c r="O207" s="41"/>
      <c r="P207" s="41"/>
      <c r="Q207" s="41"/>
      <c r="R207" s="41"/>
      <c r="S207" s="41"/>
      <c r="T207" s="41"/>
      <c r="U207" s="41"/>
      <c r="V207" s="41"/>
      <c r="W207" s="41"/>
      <c r="X207" s="41"/>
      <c r="Y207" s="41"/>
      <c r="Z207" s="41"/>
    </row>
    <row r="208" ht="19.5" customHeight="1">
      <c r="A208" s="41"/>
      <c r="B208" s="84" t="s">
        <v>743</v>
      </c>
      <c r="C208" s="156" t="s">
        <v>622</v>
      </c>
      <c r="D208" s="18"/>
      <c r="E208" s="201"/>
      <c r="F208" s="41"/>
      <c r="G208" s="41"/>
      <c r="H208" s="41"/>
      <c r="I208" s="41"/>
      <c r="J208" s="41"/>
      <c r="K208" s="41"/>
      <c r="L208" s="41"/>
      <c r="M208" s="41"/>
      <c r="N208" s="41"/>
      <c r="O208" s="41"/>
      <c r="P208" s="41"/>
      <c r="Q208" s="41"/>
      <c r="R208" s="41"/>
      <c r="S208" s="41"/>
      <c r="T208" s="41"/>
      <c r="U208" s="41"/>
      <c r="V208" s="41"/>
      <c r="W208" s="41"/>
      <c r="X208" s="41"/>
      <c r="Y208" s="41"/>
      <c r="Z208" s="41"/>
    </row>
    <row r="209" ht="19.5" customHeight="1">
      <c r="A209" s="41"/>
      <c r="B209" s="84" t="s">
        <v>402</v>
      </c>
      <c r="C209" s="156" t="str">
        <f>CONCATENATE(prefix_wld_az2_cidr,"13.1")</f>
        <v>10.24.13.1</v>
      </c>
      <c r="D209" s="18"/>
      <c r="E209" s="191" t="str">
        <f>IF(AND(mgmt_stretched_cluster_result="Included",mgmt_dpg_reuse_result="Excluded"),"Stretched L2","")</f>
        <v/>
      </c>
      <c r="F209" s="41"/>
      <c r="G209" s="41"/>
      <c r="H209" s="41"/>
      <c r="I209" s="41"/>
      <c r="J209" s="41"/>
      <c r="K209" s="41"/>
      <c r="L209" s="41"/>
      <c r="M209" s="41"/>
      <c r="N209" s="41"/>
      <c r="O209" s="41"/>
      <c r="P209" s="41"/>
      <c r="Q209" s="41"/>
      <c r="R209" s="41"/>
      <c r="S209" s="41"/>
      <c r="T209" s="41"/>
      <c r="U209" s="41"/>
      <c r="V209" s="41"/>
      <c r="W209" s="41"/>
      <c r="X209" s="41"/>
      <c r="Y209" s="41"/>
      <c r="Z209" s="41"/>
    </row>
    <row r="210" ht="19.5" customHeight="1">
      <c r="A210" s="41"/>
      <c r="B210" s="173" t="s">
        <v>465</v>
      </c>
      <c r="C210" s="156" t="str">
        <f>CONCATENATE(prefix_wld_az2_cidr,"13.101")</f>
        <v>10.24.13.101</v>
      </c>
      <c r="D210" s="18"/>
      <c r="E210" s="201"/>
      <c r="F210" s="41"/>
      <c r="G210" s="41"/>
      <c r="H210" s="41"/>
      <c r="I210" s="41"/>
      <c r="J210" s="41"/>
      <c r="K210" s="41"/>
      <c r="L210" s="41"/>
      <c r="M210" s="41"/>
      <c r="N210" s="41"/>
      <c r="O210" s="41"/>
      <c r="P210" s="41"/>
      <c r="Q210" s="41"/>
      <c r="R210" s="41"/>
      <c r="S210" s="41"/>
      <c r="T210" s="41"/>
      <c r="U210" s="41"/>
      <c r="V210" s="41"/>
      <c r="W210" s="41"/>
      <c r="X210" s="41"/>
      <c r="Y210" s="41"/>
      <c r="Z210" s="41"/>
    </row>
    <row r="211" ht="19.5" customHeight="1">
      <c r="A211" s="41"/>
      <c r="B211" s="173" t="s">
        <v>466</v>
      </c>
      <c r="C211" s="156" t="str">
        <f>CONCATENATE(prefix_wld_az2_cidr,"13.116")</f>
        <v>10.24.13.116</v>
      </c>
      <c r="D211" s="18"/>
      <c r="E211" s="201"/>
      <c r="F211" s="41"/>
      <c r="G211" s="41"/>
      <c r="H211" s="41"/>
      <c r="I211" s="41"/>
      <c r="J211" s="41"/>
      <c r="K211" s="41"/>
      <c r="L211" s="41"/>
      <c r="M211" s="41"/>
      <c r="N211" s="41"/>
      <c r="O211" s="41"/>
      <c r="P211" s="41"/>
      <c r="Q211" s="41"/>
      <c r="R211" s="41"/>
      <c r="S211" s="41"/>
      <c r="T211" s="41"/>
      <c r="U211" s="41"/>
      <c r="V211" s="41"/>
      <c r="W211" s="41"/>
      <c r="X211" s="41"/>
      <c r="Y211" s="41"/>
      <c r="Z211" s="41"/>
    </row>
    <row r="212" ht="19.5" customHeight="1">
      <c r="A212" s="41"/>
      <c r="B212" s="102" t="str">
        <f>IF(wld_secondary_storage_chosen="Secondary NFS Storage Network","NFS Storage Network","vSAN Storage Client")</f>
        <v>vSAN Storage Client</v>
      </c>
      <c r="C212" s="13"/>
      <c r="D212" s="13"/>
      <c r="E212" s="14"/>
      <c r="F212" s="41"/>
      <c r="G212" s="41"/>
      <c r="H212" s="41"/>
      <c r="I212" s="41"/>
      <c r="J212" s="41"/>
      <c r="K212" s="41"/>
      <c r="L212" s="41"/>
      <c r="M212" s="41"/>
      <c r="N212" s="41"/>
      <c r="O212" s="41"/>
      <c r="P212" s="41"/>
      <c r="Q212" s="41"/>
      <c r="R212" s="41"/>
      <c r="S212" s="41"/>
      <c r="T212" s="41"/>
      <c r="U212" s="41"/>
      <c r="V212" s="41"/>
      <c r="W212" s="41"/>
      <c r="X212" s="41"/>
      <c r="Y212" s="41"/>
      <c r="Z212" s="41"/>
    </row>
    <row r="213" ht="19.5" customHeight="1">
      <c r="A213" s="41"/>
      <c r="B213" s="84" t="s">
        <v>401</v>
      </c>
      <c r="C213" s="156" t="str">
        <f>CONCATENATE(prefix_wld_az2_vlan,"15")</f>
        <v>2415</v>
      </c>
      <c r="D213" s="18"/>
      <c r="E213" s="191"/>
      <c r="F213" s="41"/>
      <c r="G213" s="41"/>
      <c r="H213" s="41"/>
      <c r="I213" s="41"/>
      <c r="J213" s="41"/>
      <c r="K213" s="41"/>
      <c r="L213" s="41"/>
      <c r="M213" s="41"/>
      <c r="N213" s="41"/>
      <c r="O213" s="41"/>
      <c r="P213" s="41"/>
      <c r="Q213" s="41"/>
      <c r="R213" s="41"/>
      <c r="S213" s="41"/>
      <c r="T213" s="41"/>
      <c r="U213" s="41"/>
      <c r="V213" s="41"/>
      <c r="W213" s="41"/>
      <c r="X213" s="41"/>
      <c r="Y213" s="41"/>
      <c r="Z213" s="41"/>
    </row>
    <row r="214" ht="19.5" customHeight="1">
      <c r="A214" s="41"/>
      <c r="B214" s="84" t="s">
        <v>404</v>
      </c>
      <c r="C214" s="156">
        <v>9000.0</v>
      </c>
      <c r="D214" s="18"/>
      <c r="E214" s="201"/>
      <c r="F214" s="41"/>
      <c r="G214" s="41"/>
      <c r="H214" s="41"/>
      <c r="I214" s="41"/>
      <c r="J214" s="41"/>
      <c r="K214" s="41"/>
      <c r="L214" s="41"/>
      <c r="M214" s="41"/>
      <c r="N214" s="41"/>
      <c r="O214" s="41"/>
      <c r="P214" s="41"/>
      <c r="Q214" s="41"/>
      <c r="R214" s="41"/>
      <c r="S214" s="41"/>
      <c r="T214" s="41"/>
      <c r="U214" s="41"/>
      <c r="V214" s="41"/>
      <c r="W214" s="41"/>
      <c r="X214" s="41"/>
      <c r="Y214" s="41"/>
      <c r="Z214" s="41"/>
    </row>
    <row r="215" ht="19.5" customHeight="1">
      <c r="A215" s="41"/>
      <c r="B215" s="84" t="s">
        <v>717</v>
      </c>
      <c r="C215" s="156" t="str">
        <f>CONCATENATE(prefix_wld_az2_cidr,"15.0")</f>
        <v>10.24.15.0</v>
      </c>
      <c r="D215" s="18"/>
      <c r="E215" s="191"/>
      <c r="F215" s="41"/>
      <c r="G215" s="41"/>
      <c r="H215" s="41"/>
      <c r="I215" s="41"/>
      <c r="J215" s="41"/>
      <c r="K215" s="41"/>
      <c r="L215" s="41"/>
      <c r="M215" s="41"/>
      <c r="N215" s="41"/>
      <c r="O215" s="41"/>
      <c r="P215" s="41"/>
      <c r="Q215" s="41"/>
      <c r="R215" s="41"/>
      <c r="S215" s="41"/>
      <c r="T215" s="41"/>
      <c r="U215" s="41"/>
      <c r="V215" s="41"/>
      <c r="W215" s="41"/>
      <c r="X215" s="41"/>
      <c r="Y215" s="41"/>
      <c r="Z215" s="41"/>
    </row>
    <row r="216" ht="19.5" customHeight="1">
      <c r="A216" s="41"/>
      <c r="B216" s="84" t="s">
        <v>743</v>
      </c>
      <c r="C216" s="156" t="s">
        <v>622</v>
      </c>
      <c r="D216" s="18"/>
      <c r="E216" s="191"/>
      <c r="F216" s="41"/>
      <c r="G216" s="41"/>
      <c r="H216" s="41"/>
      <c r="I216" s="41"/>
      <c r="J216" s="41"/>
      <c r="K216" s="41"/>
      <c r="L216" s="41"/>
      <c r="M216" s="41"/>
      <c r="N216" s="41"/>
      <c r="O216" s="41"/>
      <c r="P216" s="41"/>
      <c r="Q216" s="41"/>
      <c r="R216" s="41"/>
      <c r="S216" s="41"/>
      <c r="T216" s="41"/>
      <c r="U216" s="41"/>
      <c r="V216" s="41"/>
      <c r="W216" s="41"/>
      <c r="X216" s="41"/>
      <c r="Y216" s="41"/>
      <c r="Z216" s="41"/>
    </row>
    <row r="217" ht="19.5" customHeight="1">
      <c r="A217" s="41"/>
      <c r="B217" s="84" t="s">
        <v>402</v>
      </c>
      <c r="C217" s="156" t="str">
        <f>CONCATENATE(prefix_wld_az2_cidr,"15.1")</f>
        <v>10.24.15.1</v>
      </c>
      <c r="D217" s="18"/>
      <c r="E217" s="191" t="str">
        <f>IF(AND(mgmt_stretched_cluster_result="Included",mgmt_dpg_reuse_result="Excluded"),"Stretched L2","")</f>
        <v/>
      </c>
      <c r="F217" s="41"/>
      <c r="G217" s="41"/>
      <c r="H217" s="41"/>
      <c r="I217" s="41"/>
      <c r="J217" s="41"/>
      <c r="K217" s="41"/>
      <c r="L217" s="41"/>
      <c r="M217" s="41"/>
      <c r="N217" s="41"/>
      <c r="O217" s="41"/>
      <c r="P217" s="41"/>
      <c r="Q217" s="41"/>
      <c r="R217" s="41"/>
      <c r="S217" s="41"/>
      <c r="T217" s="41"/>
      <c r="U217" s="41"/>
      <c r="V217" s="41"/>
      <c r="W217" s="41"/>
      <c r="X217" s="41"/>
      <c r="Y217" s="41"/>
      <c r="Z217" s="41"/>
    </row>
    <row r="218" ht="19.5" customHeight="1">
      <c r="A218" s="41"/>
      <c r="B218" s="173" t="s">
        <v>465</v>
      </c>
      <c r="C218" s="156" t="str">
        <f>CONCATENATE(prefix_wld_az2_cidr,"15.101")</f>
        <v>10.24.15.101</v>
      </c>
      <c r="D218" s="18"/>
      <c r="E218" s="201"/>
      <c r="F218" s="41"/>
      <c r="G218" s="41"/>
      <c r="H218" s="41"/>
      <c r="I218" s="41"/>
      <c r="J218" s="41"/>
      <c r="K218" s="41"/>
      <c r="L218" s="41"/>
      <c r="M218" s="41"/>
      <c r="N218" s="41"/>
      <c r="O218" s="41"/>
      <c r="P218" s="41"/>
      <c r="Q218" s="41"/>
      <c r="R218" s="41"/>
      <c r="S218" s="41"/>
      <c r="T218" s="41"/>
      <c r="U218" s="41"/>
      <c r="V218" s="41"/>
      <c r="W218" s="41"/>
      <c r="X218" s="41"/>
      <c r="Y218" s="41"/>
      <c r="Z218" s="41"/>
    </row>
    <row r="219" ht="19.5" customHeight="1">
      <c r="A219" s="41"/>
      <c r="B219" s="173" t="s">
        <v>466</v>
      </c>
      <c r="C219" s="156" t="str">
        <f>CONCATENATE(prefix_wld_az2_cidr,"15.116")</f>
        <v>10.24.15.116</v>
      </c>
      <c r="D219" s="18"/>
      <c r="E219" s="201"/>
      <c r="F219" s="41"/>
      <c r="G219" s="41"/>
      <c r="H219" s="41"/>
      <c r="I219" s="41"/>
      <c r="J219" s="41"/>
      <c r="K219" s="41"/>
      <c r="L219" s="41"/>
      <c r="M219" s="41"/>
      <c r="N219" s="41"/>
      <c r="O219" s="41"/>
      <c r="P219" s="41"/>
      <c r="Q219" s="41"/>
      <c r="R219" s="41"/>
      <c r="S219" s="41"/>
      <c r="T219" s="41"/>
      <c r="U219" s="41"/>
      <c r="V219" s="41"/>
      <c r="W219" s="41"/>
      <c r="X219" s="41"/>
      <c r="Y219" s="41"/>
      <c r="Z219" s="41"/>
    </row>
    <row r="220" ht="19.5" customHeight="1">
      <c r="A220" s="41"/>
      <c r="B220" s="102" t="s">
        <v>1244</v>
      </c>
      <c r="C220" s="13"/>
      <c r="D220" s="13"/>
      <c r="E220" s="14"/>
      <c r="F220" s="41"/>
      <c r="G220" s="41"/>
      <c r="H220" s="41"/>
      <c r="I220" s="41"/>
      <c r="J220" s="41"/>
      <c r="K220" s="41"/>
      <c r="L220" s="41"/>
      <c r="M220" s="41"/>
      <c r="N220" s="41"/>
      <c r="O220" s="41"/>
      <c r="P220" s="41"/>
      <c r="Q220" s="41"/>
      <c r="R220" s="41"/>
      <c r="S220" s="41"/>
      <c r="T220" s="41"/>
      <c r="U220" s="41"/>
      <c r="V220" s="41"/>
      <c r="W220" s="41"/>
      <c r="X220" s="41"/>
      <c r="Y220" s="41"/>
      <c r="Z220" s="41"/>
    </row>
    <row r="221" ht="19.5" customHeight="1">
      <c r="A221" s="41"/>
      <c r="B221" s="84" t="s">
        <v>401</v>
      </c>
      <c r="C221" s="156" t="str">
        <f>CONCATENATE(prefix_wld_az2_vlan,"16")</f>
        <v>2416</v>
      </c>
      <c r="D221" s="18"/>
      <c r="E221" s="191"/>
      <c r="F221" s="41"/>
      <c r="G221" s="41"/>
      <c r="H221" s="41"/>
      <c r="I221" s="41"/>
      <c r="J221" s="41"/>
      <c r="K221" s="41"/>
      <c r="L221" s="41"/>
      <c r="M221" s="41"/>
      <c r="N221" s="41"/>
      <c r="O221" s="41"/>
      <c r="P221" s="41"/>
      <c r="Q221" s="41"/>
      <c r="R221" s="41"/>
      <c r="S221" s="41"/>
      <c r="T221" s="41"/>
      <c r="U221" s="41"/>
      <c r="V221" s="41"/>
      <c r="W221" s="41"/>
      <c r="X221" s="41"/>
      <c r="Y221" s="41"/>
      <c r="Z221" s="41"/>
    </row>
    <row r="222" ht="19.5" customHeight="1">
      <c r="A222" s="41"/>
      <c r="B222" s="84" t="s">
        <v>404</v>
      </c>
      <c r="C222" s="156">
        <v>9000.0</v>
      </c>
      <c r="D222" s="18"/>
      <c r="E222" s="201"/>
      <c r="F222" s="41"/>
      <c r="G222" s="41"/>
      <c r="H222" s="41"/>
      <c r="I222" s="41"/>
      <c r="J222" s="41"/>
      <c r="K222" s="41"/>
      <c r="L222" s="41"/>
      <c r="M222" s="41"/>
      <c r="N222" s="41"/>
      <c r="O222" s="41"/>
      <c r="P222" s="41"/>
      <c r="Q222" s="41"/>
      <c r="R222" s="41"/>
      <c r="S222" s="41"/>
      <c r="T222" s="41"/>
      <c r="U222" s="41"/>
      <c r="V222" s="41"/>
      <c r="W222" s="41"/>
      <c r="X222" s="41"/>
      <c r="Y222" s="41"/>
      <c r="Z222" s="41"/>
    </row>
    <row r="223" ht="19.5" customHeight="1">
      <c r="A223" s="41"/>
      <c r="B223" s="84" t="s">
        <v>717</v>
      </c>
      <c r="C223" s="156" t="str">
        <f>CONCATENATE(prefix_wld_az2_cidr,"16.0")</f>
        <v>10.24.16.0</v>
      </c>
      <c r="D223" s="18"/>
      <c r="E223" s="191"/>
      <c r="F223" s="41"/>
      <c r="G223" s="41"/>
      <c r="H223" s="41"/>
      <c r="I223" s="41"/>
      <c r="J223" s="41"/>
      <c r="K223" s="41"/>
      <c r="L223" s="41"/>
      <c r="M223" s="41"/>
      <c r="N223" s="41"/>
      <c r="O223" s="41"/>
      <c r="P223" s="41"/>
      <c r="Q223" s="41"/>
      <c r="R223" s="41"/>
      <c r="S223" s="41"/>
      <c r="T223" s="41"/>
      <c r="U223" s="41"/>
      <c r="V223" s="41"/>
      <c r="W223" s="41"/>
      <c r="X223" s="41"/>
      <c r="Y223" s="41"/>
      <c r="Z223" s="41"/>
    </row>
    <row r="224" ht="19.5" customHeight="1">
      <c r="A224" s="41"/>
      <c r="B224" s="84" t="s">
        <v>743</v>
      </c>
      <c r="C224" s="156" t="s">
        <v>622</v>
      </c>
      <c r="D224" s="18"/>
      <c r="E224" s="191"/>
      <c r="F224" s="41"/>
      <c r="G224" s="41"/>
      <c r="H224" s="41"/>
      <c r="I224" s="41"/>
      <c r="J224" s="41"/>
      <c r="K224" s="41"/>
      <c r="L224" s="41"/>
      <c r="M224" s="41"/>
      <c r="N224" s="41"/>
      <c r="O224" s="41"/>
      <c r="P224" s="41"/>
      <c r="Q224" s="41"/>
      <c r="R224" s="41"/>
      <c r="S224" s="41"/>
      <c r="T224" s="41"/>
      <c r="U224" s="41"/>
      <c r="V224" s="41"/>
      <c r="W224" s="41"/>
      <c r="X224" s="41"/>
      <c r="Y224" s="41"/>
      <c r="Z224" s="41"/>
    </row>
    <row r="225" ht="19.5" customHeight="1">
      <c r="A225" s="41"/>
      <c r="B225" s="84" t="s">
        <v>402</v>
      </c>
      <c r="C225" s="156" t="str">
        <f>CONCATENATE(prefix_wld_az2_cidr,"16.1")</f>
        <v>10.24.16.1</v>
      </c>
      <c r="D225" s="18"/>
      <c r="E225" s="191" t="str">
        <f>IF(AND(mgmt_stretched_cluster_result="Included",mgmt_dpg_reuse_result="Excluded"),"Stretched L2","")</f>
        <v/>
      </c>
      <c r="F225" s="41"/>
      <c r="G225" s="41"/>
      <c r="H225" s="41"/>
      <c r="I225" s="41"/>
      <c r="J225" s="41"/>
      <c r="K225" s="41"/>
      <c r="L225" s="41"/>
      <c r="M225" s="41"/>
      <c r="N225" s="41"/>
      <c r="O225" s="41"/>
      <c r="P225" s="41"/>
      <c r="Q225" s="41"/>
      <c r="R225" s="41"/>
      <c r="S225" s="41"/>
      <c r="T225" s="41"/>
      <c r="U225" s="41"/>
      <c r="V225" s="41"/>
      <c r="W225" s="41"/>
      <c r="X225" s="41"/>
      <c r="Y225" s="41"/>
      <c r="Z225" s="41"/>
    </row>
    <row r="226" ht="19.5" customHeight="1">
      <c r="A226" s="41"/>
      <c r="B226" s="173" t="s">
        <v>465</v>
      </c>
      <c r="C226" s="156" t="str">
        <f>CONCATENATE(prefix_wld_az2_cidr,"16.101")</f>
        <v>10.24.16.101</v>
      </c>
      <c r="D226" s="18"/>
      <c r="E226" s="201"/>
      <c r="F226" s="41"/>
      <c r="G226" s="41"/>
      <c r="H226" s="41"/>
      <c r="I226" s="41"/>
      <c r="J226" s="41"/>
      <c r="K226" s="41"/>
      <c r="L226" s="41"/>
      <c r="M226" s="41"/>
      <c r="N226" s="41"/>
      <c r="O226" s="41"/>
      <c r="P226" s="41"/>
      <c r="Q226" s="41"/>
      <c r="R226" s="41"/>
      <c r="S226" s="41"/>
      <c r="T226" s="41"/>
      <c r="U226" s="41"/>
      <c r="V226" s="41"/>
      <c r="W226" s="41"/>
      <c r="X226" s="41"/>
      <c r="Y226" s="41"/>
      <c r="Z226" s="41"/>
    </row>
    <row r="227" ht="19.5" customHeight="1">
      <c r="A227" s="41"/>
      <c r="B227" s="173" t="s">
        <v>466</v>
      </c>
      <c r="C227" s="156" t="str">
        <f>CONCATENATE(prefix_wld_az2_cidr,"16.116")</f>
        <v>10.24.16.116</v>
      </c>
      <c r="D227" s="18"/>
      <c r="E227" s="20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1"/>
      <c r="C228" s="1"/>
      <c r="D228" s="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33.75" customHeight="1">
      <c r="A229" s="41"/>
      <c r="B229" s="197" t="s">
        <v>1245</v>
      </c>
      <c r="C229" s="13"/>
      <c r="D229" s="13"/>
      <c r="E229" s="14"/>
      <c r="F229" s="41"/>
      <c r="G229" s="41"/>
      <c r="H229" s="41"/>
      <c r="I229" s="41"/>
      <c r="J229" s="41"/>
      <c r="K229" s="41"/>
      <c r="L229" s="41"/>
      <c r="M229" s="41"/>
      <c r="N229" s="41"/>
      <c r="O229" s="41"/>
      <c r="P229" s="41"/>
      <c r="Q229" s="41"/>
      <c r="R229" s="41"/>
      <c r="S229" s="41"/>
      <c r="T229" s="41"/>
      <c r="U229" s="41"/>
      <c r="V229" s="41"/>
      <c r="W229" s="41"/>
      <c r="X229" s="41"/>
      <c r="Y229" s="41"/>
      <c r="Z229" s="41"/>
    </row>
    <row r="230" ht="19.5" customHeight="1">
      <c r="A230" s="41"/>
      <c r="B230" s="102"/>
      <c r="C230" s="13"/>
      <c r="D230" s="13"/>
      <c r="E230" s="14"/>
      <c r="F230" s="41"/>
      <c r="G230" s="41"/>
      <c r="H230" s="41"/>
      <c r="I230" s="41"/>
      <c r="J230" s="41"/>
      <c r="K230" s="41"/>
      <c r="L230" s="41"/>
      <c r="M230" s="41"/>
      <c r="N230" s="41"/>
      <c r="O230" s="41"/>
      <c r="P230" s="41"/>
      <c r="Q230" s="41"/>
      <c r="R230" s="41"/>
      <c r="S230" s="41"/>
      <c r="T230" s="41"/>
      <c r="U230" s="41"/>
      <c r="V230" s="41"/>
      <c r="W230" s="41"/>
      <c r="X230" s="41"/>
      <c r="Y230" s="41"/>
      <c r="Z230" s="41"/>
    </row>
    <row r="231" ht="19.5" customHeight="1">
      <c r="A231" s="41"/>
      <c r="B231" s="49" t="s">
        <v>37</v>
      </c>
      <c r="C231" s="49" t="s">
        <v>273</v>
      </c>
      <c r="D231" s="49" t="s">
        <v>274</v>
      </c>
      <c r="E231" s="49" t="s">
        <v>5</v>
      </c>
      <c r="F231" s="41"/>
      <c r="G231" s="41"/>
      <c r="H231" s="41"/>
      <c r="I231" s="41"/>
      <c r="J231" s="41"/>
      <c r="K231" s="41"/>
      <c r="L231" s="41"/>
      <c r="M231" s="41"/>
      <c r="N231" s="41"/>
      <c r="O231" s="41"/>
      <c r="P231" s="41"/>
      <c r="Q231" s="41"/>
      <c r="R231" s="41"/>
      <c r="S231" s="41"/>
      <c r="T231" s="41"/>
      <c r="U231" s="41"/>
      <c r="V231" s="41"/>
      <c r="W231" s="41"/>
      <c r="X231" s="41"/>
      <c r="Y231" s="41"/>
      <c r="Z231" s="41"/>
    </row>
    <row r="232" ht="19.5" customHeight="1">
      <c r="A232" s="41"/>
      <c r="B232" s="173" t="s">
        <v>697</v>
      </c>
      <c r="C232" s="242" t="str">
        <f>CONCATENATE(this_instance,"02-w0",wld_domain_number_chosen,"-r01-esx01",".",sample_child_dns_zone)</f>
        <v>lax02-w01-r01-esx01.lax.rainpole.io</v>
      </c>
      <c r="D232" s="276"/>
      <c r="E232" s="191"/>
      <c r="F232" s="41"/>
      <c r="G232" s="41"/>
      <c r="H232" s="41"/>
      <c r="I232" s="41"/>
      <c r="J232" s="41"/>
      <c r="K232" s="41"/>
      <c r="L232" s="41"/>
      <c r="M232" s="41"/>
      <c r="N232" s="41"/>
      <c r="O232" s="41"/>
      <c r="P232" s="41"/>
      <c r="Q232" s="41"/>
      <c r="R232" s="41"/>
      <c r="S232" s="41"/>
      <c r="T232" s="41"/>
      <c r="U232" s="41"/>
      <c r="V232" s="41"/>
      <c r="W232" s="41"/>
      <c r="X232" s="41"/>
      <c r="Y232" s="41"/>
      <c r="Z232" s="41"/>
    </row>
    <row r="233" ht="19.5" customHeight="1">
      <c r="A233" s="41"/>
      <c r="B233" s="173" t="s">
        <v>698</v>
      </c>
      <c r="C233" s="277" t="str">
        <f>CONCATENATE(this_instance,"02-w0",wld_domain_number_chosen,"-r01-esx02",".",sample_child_dns_zone)</f>
        <v>lax02-w01-r01-esx02.lax.rainpole.io</v>
      </c>
      <c r="D233" s="276"/>
      <c r="E233" s="191"/>
      <c r="F233" s="41"/>
      <c r="G233" s="41"/>
      <c r="H233" s="41"/>
      <c r="I233" s="41"/>
      <c r="J233" s="41"/>
      <c r="K233" s="41"/>
      <c r="L233" s="41"/>
      <c r="M233" s="41"/>
      <c r="N233" s="41"/>
      <c r="O233" s="41"/>
      <c r="P233" s="41"/>
      <c r="Q233" s="41"/>
      <c r="R233" s="41"/>
      <c r="S233" s="41"/>
      <c r="T233" s="41"/>
      <c r="U233" s="41"/>
      <c r="V233" s="41"/>
      <c r="W233" s="41"/>
      <c r="X233" s="41"/>
      <c r="Y233" s="41"/>
      <c r="Z233" s="41"/>
    </row>
    <row r="234" ht="19.5" customHeight="1">
      <c r="A234" s="41"/>
      <c r="B234" s="173" t="s">
        <v>699</v>
      </c>
      <c r="C234" s="277" t="str">
        <f>CONCATENATE(this_instance,"02-w0",wld_domain_number_chosen,"-r01-esx03",".",sample_child_dns_zone)</f>
        <v>lax02-w01-r01-esx03.lax.rainpole.io</v>
      </c>
      <c r="D234" s="276"/>
      <c r="E234" s="191"/>
      <c r="F234" s="41"/>
      <c r="G234" s="41"/>
      <c r="H234" s="41"/>
      <c r="I234" s="41"/>
      <c r="J234" s="41"/>
      <c r="K234" s="41"/>
      <c r="L234" s="41"/>
      <c r="M234" s="41"/>
      <c r="N234" s="41"/>
      <c r="O234" s="41"/>
      <c r="P234" s="41"/>
      <c r="Q234" s="41"/>
      <c r="R234" s="41"/>
      <c r="S234" s="41"/>
      <c r="T234" s="41"/>
      <c r="U234" s="41"/>
      <c r="V234" s="41"/>
      <c r="W234" s="41"/>
      <c r="X234" s="41"/>
      <c r="Y234" s="41"/>
      <c r="Z234" s="41"/>
    </row>
    <row r="235" ht="19.5" customHeight="1">
      <c r="A235" s="41"/>
      <c r="B235" s="173" t="s">
        <v>700</v>
      </c>
      <c r="C235" s="277" t="str">
        <f>CONCATENATE(this_instance,"02-w0",wld_domain_number_chosen,"-r01-esx04",".",sample_child_dns_zone)</f>
        <v>lax02-w01-r01-esx04.lax.rainpole.io</v>
      </c>
      <c r="D235" s="276"/>
      <c r="E235" s="191"/>
      <c r="F235" s="41"/>
      <c r="G235" s="41"/>
      <c r="H235" s="41"/>
      <c r="I235" s="41"/>
      <c r="J235" s="41"/>
      <c r="K235" s="41"/>
      <c r="L235" s="41"/>
      <c r="M235" s="41"/>
      <c r="N235" s="41"/>
      <c r="O235" s="41"/>
      <c r="P235" s="41"/>
      <c r="Q235" s="41"/>
      <c r="R235" s="41"/>
      <c r="S235" s="41"/>
      <c r="T235" s="41"/>
      <c r="U235" s="41"/>
      <c r="V235" s="41"/>
      <c r="W235" s="41"/>
      <c r="X235" s="41"/>
      <c r="Y235" s="41"/>
      <c r="Z235" s="41"/>
    </row>
    <row r="236" ht="19.5" customHeight="1">
      <c r="A236" s="41"/>
      <c r="B236" s="173" t="s">
        <v>701</v>
      </c>
      <c r="C236" s="277" t="str">
        <f>CONCATENATE(this_instance,"02-w0",wld_domain_number_chosen,"-r01-esx05",".",sample_child_dns_zone)</f>
        <v>lax02-w01-r01-esx05.lax.rainpole.io</v>
      </c>
      <c r="D236" s="276"/>
      <c r="E236" s="191"/>
      <c r="F236" s="41"/>
      <c r="G236" s="41"/>
      <c r="H236" s="41"/>
      <c r="I236" s="41"/>
      <c r="J236" s="41"/>
      <c r="K236" s="41"/>
      <c r="L236" s="41"/>
      <c r="M236" s="41"/>
      <c r="N236" s="41"/>
      <c r="O236" s="41"/>
      <c r="P236" s="41"/>
      <c r="Q236" s="41"/>
      <c r="R236" s="41"/>
      <c r="S236" s="41"/>
      <c r="T236" s="41"/>
      <c r="U236" s="41"/>
      <c r="V236" s="41"/>
      <c r="W236" s="41"/>
      <c r="X236" s="41"/>
      <c r="Y236" s="41"/>
      <c r="Z236" s="41"/>
    </row>
    <row r="237" ht="19.5" customHeight="1">
      <c r="A237" s="41"/>
      <c r="B237" s="173" t="s">
        <v>702</v>
      </c>
      <c r="C237" s="277" t="str">
        <f>CONCATENATE(this_instance,"02-w0",wld_domain_number_chosen,"-r01-esx06",".",sample_child_dns_zone)</f>
        <v>lax02-w01-r01-esx06.lax.rainpole.io</v>
      </c>
      <c r="D237" s="276"/>
      <c r="E237" s="191"/>
      <c r="F237" s="41"/>
      <c r="G237" s="41"/>
      <c r="H237" s="41"/>
      <c r="I237" s="41"/>
      <c r="J237" s="41"/>
      <c r="K237" s="41"/>
      <c r="L237" s="41"/>
      <c r="M237" s="41"/>
      <c r="N237" s="41"/>
      <c r="O237" s="41"/>
      <c r="P237" s="41"/>
      <c r="Q237" s="41"/>
      <c r="R237" s="41"/>
      <c r="S237" s="41"/>
      <c r="T237" s="41"/>
      <c r="U237" s="41"/>
      <c r="V237" s="41"/>
      <c r="W237" s="41"/>
      <c r="X237" s="41"/>
      <c r="Y237" s="41"/>
      <c r="Z237" s="41"/>
    </row>
    <row r="238" ht="19.5" customHeight="1">
      <c r="A238" s="41"/>
      <c r="B238" s="173" t="s">
        <v>703</v>
      </c>
      <c r="C238" s="277" t="str">
        <f>CONCATENATE(this_instance,"02-w0",wld_domain_number_chosen,"-r01-esx07",".",sample_child_dns_zone)</f>
        <v>lax02-w01-r01-esx07.lax.rainpole.io</v>
      </c>
      <c r="D238" s="276"/>
      <c r="E238" s="191"/>
      <c r="F238" s="41"/>
      <c r="G238" s="41"/>
      <c r="H238" s="41"/>
      <c r="I238" s="41"/>
      <c r="J238" s="41"/>
      <c r="K238" s="41"/>
      <c r="L238" s="41"/>
      <c r="M238" s="41"/>
      <c r="N238" s="41"/>
      <c r="O238" s="41"/>
      <c r="P238" s="41"/>
      <c r="Q238" s="41"/>
      <c r="R238" s="41"/>
      <c r="S238" s="41"/>
      <c r="T238" s="41"/>
      <c r="U238" s="41"/>
      <c r="V238" s="41"/>
      <c r="W238" s="41"/>
      <c r="X238" s="41"/>
      <c r="Y238" s="41"/>
      <c r="Z238" s="41"/>
    </row>
    <row r="239" ht="19.5" customHeight="1">
      <c r="A239" s="41"/>
      <c r="B239" s="173" t="s">
        <v>704</v>
      </c>
      <c r="C239" s="277" t="str">
        <f>CONCATENATE(this_instance,"02-w0",wld_domain_number_chosen,"-r01-esx08",".",sample_child_dns_zone)</f>
        <v>lax02-w01-r01-esx08.lax.rainpole.io</v>
      </c>
      <c r="D239" s="276"/>
      <c r="E239" s="191"/>
      <c r="F239" s="41"/>
      <c r="G239" s="41"/>
      <c r="H239" s="41"/>
      <c r="I239" s="41"/>
      <c r="J239" s="41"/>
      <c r="K239" s="41"/>
      <c r="L239" s="41"/>
      <c r="M239" s="41"/>
      <c r="N239" s="41"/>
      <c r="O239" s="41"/>
      <c r="P239" s="41"/>
      <c r="Q239" s="41"/>
      <c r="R239" s="41"/>
      <c r="S239" s="41"/>
      <c r="T239" s="41"/>
      <c r="U239" s="41"/>
      <c r="V239" s="41"/>
      <c r="W239" s="41"/>
      <c r="X239" s="41"/>
      <c r="Y239" s="41"/>
      <c r="Z239" s="41"/>
    </row>
    <row r="240" ht="19.5" customHeight="1">
      <c r="A240" s="41"/>
      <c r="B240" s="173" t="s">
        <v>705</v>
      </c>
      <c r="C240" s="277" t="str">
        <f>CONCATENATE(this_instance,"02-w0",wld_domain_number_chosen,"-r01-esx09",".",sample_child_dns_zone)</f>
        <v>lax02-w01-r01-esx09.lax.rainpole.io</v>
      </c>
      <c r="D240" s="276"/>
      <c r="E240" s="191"/>
      <c r="F240" s="41"/>
      <c r="G240" s="41"/>
      <c r="H240" s="41"/>
      <c r="I240" s="41"/>
      <c r="J240" s="41"/>
      <c r="K240" s="41"/>
      <c r="L240" s="41"/>
      <c r="M240" s="41"/>
      <c r="N240" s="41"/>
      <c r="O240" s="41"/>
      <c r="P240" s="41"/>
      <c r="Q240" s="41"/>
      <c r="R240" s="41"/>
      <c r="S240" s="41"/>
      <c r="T240" s="41"/>
      <c r="U240" s="41"/>
      <c r="V240" s="41"/>
      <c r="W240" s="41"/>
      <c r="X240" s="41"/>
      <c r="Y240" s="41"/>
      <c r="Z240" s="41"/>
    </row>
    <row r="241" ht="19.5" customHeight="1">
      <c r="A241" s="41"/>
      <c r="B241" s="173" t="s">
        <v>706</v>
      </c>
      <c r="C241" s="277" t="str">
        <f>CONCATENATE(this_instance,"02-w0",wld_domain_number_chosen,"-r01-esx10",".",sample_child_dns_zone)</f>
        <v>lax02-w01-r01-esx10.lax.rainpole.io</v>
      </c>
      <c r="D241" s="276"/>
      <c r="E241" s="191"/>
      <c r="F241" s="41"/>
      <c r="G241" s="41"/>
      <c r="H241" s="41"/>
      <c r="I241" s="41"/>
      <c r="J241" s="41"/>
      <c r="K241" s="41"/>
      <c r="L241" s="41"/>
      <c r="M241" s="41"/>
      <c r="N241" s="41"/>
      <c r="O241" s="41"/>
      <c r="P241" s="41"/>
      <c r="Q241" s="41"/>
      <c r="R241" s="41"/>
      <c r="S241" s="41"/>
      <c r="T241" s="41"/>
      <c r="U241" s="41"/>
      <c r="V241" s="41"/>
      <c r="W241" s="41"/>
      <c r="X241" s="41"/>
      <c r="Y241" s="41"/>
      <c r="Z241" s="41"/>
    </row>
    <row r="242" ht="19.5" customHeight="1">
      <c r="A242" s="41"/>
      <c r="B242" s="173" t="s">
        <v>707</v>
      </c>
      <c r="C242" s="277" t="str">
        <f>CONCATENATE(this_instance,"02-w0",wld_domain_number_chosen,"-r01-esx11",".",sample_child_dns_zone)</f>
        <v>lax02-w01-r01-esx11.lax.rainpole.io</v>
      </c>
      <c r="D242" s="276"/>
      <c r="E242" s="191"/>
      <c r="F242" s="41"/>
      <c r="G242" s="41"/>
      <c r="H242" s="41"/>
      <c r="I242" s="41"/>
      <c r="J242" s="41"/>
      <c r="K242" s="41"/>
      <c r="L242" s="41"/>
      <c r="M242" s="41"/>
      <c r="N242" s="41"/>
      <c r="O242" s="41"/>
      <c r="P242" s="41"/>
      <c r="Q242" s="41"/>
      <c r="R242" s="41"/>
      <c r="S242" s="41"/>
      <c r="T242" s="41"/>
      <c r="U242" s="41"/>
      <c r="V242" s="41"/>
      <c r="W242" s="41"/>
      <c r="X242" s="41"/>
      <c r="Y242" s="41"/>
      <c r="Z242" s="41"/>
    </row>
    <row r="243" ht="19.5" customHeight="1">
      <c r="A243" s="41"/>
      <c r="B243" s="173" t="s">
        <v>708</v>
      </c>
      <c r="C243" s="277" t="str">
        <f>CONCATENATE(this_instance,"02-w0",wld_domain_number_chosen,"-r01-esx12",".",sample_child_dns_zone)</f>
        <v>lax02-w01-r01-esx12.lax.rainpole.io</v>
      </c>
      <c r="D243" s="276"/>
      <c r="E243" s="191"/>
      <c r="F243" s="41"/>
      <c r="G243" s="41"/>
      <c r="H243" s="41"/>
      <c r="I243" s="41"/>
      <c r="J243" s="41"/>
      <c r="K243" s="41"/>
      <c r="L243" s="41"/>
      <c r="M243" s="41"/>
      <c r="N243" s="41"/>
      <c r="O243" s="41"/>
      <c r="P243" s="41"/>
      <c r="Q243" s="41"/>
      <c r="R243" s="41"/>
      <c r="S243" s="41"/>
      <c r="T243" s="41"/>
      <c r="U243" s="41"/>
      <c r="V243" s="41"/>
      <c r="W243" s="41"/>
      <c r="X243" s="41"/>
      <c r="Y243" s="41"/>
      <c r="Z243" s="41"/>
    </row>
    <row r="244" ht="19.5" customHeight="1">
      <c r="A244" s="41"/>
      <c r="B244" s="173" t="s">
        <v>709</v>
      </c>
      <c r="C244" s="277" t="str">
        <f>CONCATENATE(this_instance,"02-w0",wld_domain_number_chosen,"-r01-esx13",".",sample_child_dns_zone)</f>
        <v>lax02-w01-r01-esx13.lax.rainpole.io</v>
      </c>
      <c r="D244" s="276"/>
      <c r="E244" s="191"/>
      <c r="F244" s="41"/>
      <c r="G244" s="41"/>
      <c r="H244" s="41"/>
      <c r="I244" s="41"/>
      <c r="J244" s="41"/>
      <c r="K244" s="41"/>
      <c r="L244" s="41"/>
      <c r="M244" s="41"/>
      <c r="N244" s="41"/>
      <c r="O244" s="41"/>
      <c r="P244" s="41"/>
      <c r="Q244" s="41"/>
      <c r="R244" s="41"/>
      <c r="S244" s="41"/>
      <c r="T244" s="41"/>
      <c r="U244" s="41"/>
      <c r="V244" s="41"/>
      <c r="W244" s="41"/>
      <c r="X244" s="41"/>
      <c r="Y244" s="41"/>
      <c r="Z244" s="41"/>
    </row>
    <row r="245" ht="19.5" customHeight="1">
      <c r="A245" s="41"/>
      <c r="B245" s="173" t="s">
        <v>710</v>
      </c>
      <c r="C245" s="277" t="str">
        <f>CONCATENATE(this_instance,"02-w0",wld_domain_number_chosen,"-r01-esx14",".",sample_child_dns_zone)</f>
        <v>lax02-w01-r01-esx14.lax.rainpole.io</v>
      </c>
      <c r="D245" s="276"/>
      <c r="E245" s="191"/>
      <c r="F245" s="41"/>
      <c r="G245" s="41"/>
      <c r="H245" s="41"/>
      <c r="I245" s="41"/>
      <c r="J245" s="41"/>
      <c r="K245" s="41"/>
      <c r="L245" s="41"/>
      <c r="M245" s="41"/>
      <c r="N245" s="41"/>
      <c r="O245" s="41"/>
      <c r="P245" s="41"/>
      <c r="Q245" s="41"/>
      <c r="R245" s="41"/>
      <c r="S245" s="41"/>
      <c r="T245" s="41"/>
      <c r="U245" s="41"/>
      <c r="V245" s="41"/>
      <c r="W245" s="41"/>
      <c r="X245" s="41"/>
      <c r="Y245" s="41"/>
      <c r="Z245" s="41"/>
    </row>
    <row r="246" ht="19.5" customHeight="1">
      <c r="A246" s="41"/>
      <c r="B246" s="173" t="s">
        <v>711</v>
      </c>
      <c r="C246" s="277" t="str">
        <f>CONCATENATE(this_instance,"02-w0",wld_domain_number_chosen,"-r01-esx15",".",sample_child_dns_zone)</f>
        <v>lax02-w01-r01-esx15.lax.rainpole.io</v>
      </c>
      <c r="D246" s="276"/>
      <c r="E246" s="191"/>
      <c r="F246" s="41"/>
      <c r="G246" s="41"/>
      <c r="H246" s="41"/>
      <c r="I246" s="41"/>
      <c r="J246" s="41"/>
      <c r="K246" s="41"/>
      <c r="L246" s="41"/>
      <c r="M246" s="41"/>
      <c r="N246" s="41"/>
      <c r="O246" s="41"/>
      <c r="P246" s="41"/>
      <c r="Q246" s="41"/>
      <c r="R246" s="41"/>
      <c r="S246" s="41"/>
      <c r="T246" s="41"/>
      <c r="U246" s="41"/>
      <c r="V246" s="41"/>
      <c r="W246" s="41"/>
      <c r="X246" s="41"/>
      <c r="Y246" s="41"/>
      <c r="Z246" s="41"/>
    </row>
    <row r="247" ht="19.5" customHeight="1">
      <c r="A247" s="41"/>
      <c r="B247" s="173" t="s">
        <v>712</v>
      </c>
      <c r="C247" s="277" t="str">
        <f>CONCATENATE(this_instance,"02-w0",wld_domain_number_chosen,"-r01-esx16",".",sample_child_dns_zone)</f>
        <v>lax02-w01-r01-esx16.lax.rainpole.io</v>
      </c>
      <c r="D247" s="276"/>
      <c r="E247" s="191"/>
      <c r="F247" s="41"/>
      <c r="G247" s="41"/>
      <c r="H247" s="41"/>
      <c r="I247" s="41"/>
      <c r="J247" s="41"/>
      <c r="K247" s="41"/>
      <c r="L247" s="41"/>
      <c r="M247" s="41"/>
      <c r="N247" s="41"/>
      <c r="O247" s="41"/>
      <c r="P247" s="41"/>
      <c r="Q247" s="41"/>
      <c r="R247" s="41"/>
      <c r="S247" s="41"/>
      <c r="T247" s="41"/>
      <c r="U247" s="41"/>
      <c r="V247" s="41"/>
      <c r="W247" s="41"/>
      <c r="X247" s="41"/>
      <c r="Y247" s="41"/>
      <c r="Z247" s="41"/>
    </row>
    <row r="248" ht="19.5" customHeight="1">
      <c r="A248" s="41"/>
      <c r="B248" s="173" t="s">
        <v>723</v>
      </c>
      <c r="C248" s="149" t="s">
        <v>370</v>
      </c>
      <c r="D248" s="276" t="str">
        <f>IF(wld_principal_storage_chosen="vSAN-ESA","Selected","Unselected")</f>
        <v>Selected</v>
      </c>
      <c r="E248" s="191"/>
      <c r="F248" s="41"/>
      <c r="G248" s="41"/>
      <c r="H248" s="41"/>
      <c r="I248" s="41"/>
      <c r="J248" s="41"/>
      <c r="K248" s="41"/>
      <c r="L248" s="41"/>
      <c r="M248" s="41"/>
      <c r="N248" s="41"/>
      <c r="O248" s="41"/>
      <c r="P248" s="41"/>
      <c r="Q248" s="41"/>
      <c r="R248" s="41"/>
      <c r="S248" s="41"/>
      <c r="T248" s="41"/>
      <c r="U248" s="41"/>
      <c r="V248" s="41"/>
      <c r="W248" s="41"/>
      <c r="X248" s="41"/>
      <c r="Y248" s="41"/>
      <c r="Z248" s="41"/>
    </row>
    <row r="249" ht="19.5" customHeight="1">
      <c r="A249" s="41"/>
      <c r="B249" s="173" t="s">
        <v>725</v>
      </c>
      <c r="C249" s="149" t="s">
        <v>726</v>
      </c>
      <c r="D249" s="276" t="s">
        <v>726</v>
      </c>
      <c r="E249" s="191"/>
      <c r="F249" s="41"/>
      <c r="G249" s="41"/>
      <c r="H249" s="41"/>
      <c r="I249" s="41"/>
      <c r="J249" s="41"/>
      <c r="K249" s="41"/>
      <c r="L249" s="41"/>
      <c r="M249" s="41"/>
      <c r="N249" s="41"/>
      <c r="O249" s="41"/>
      <c r="P249" s="41"/>
      <c r="Q249" s="41"/>
      <c r="R249" s="41"/>
      <c r="S249" s="41"/>
      <c r="T249" s="41"/>
      <c r="U249" s="41"/>
      <c r="V249" s="41"/>
      <c r="W249" s="41"/>
      <c r="X249" s="41"/>
      <c r="Y249" s="41"/>
      <c r="Z249" s="41"/>
    </row>
    <row r="250" ht="19.5" customHeight="1">
      <c r="A250" s="41"/>
      <c r="B250" s="173" t="s">
        <v>727</v>
      </c>
      <c r="C250" s="149" t="s">
        <v>285</v>
      </c>
      <c r="D250" s="276" t="str">
        <f>IF(OR(wld_principal_storage_chosen="vSAN-ESA",wld_principal_storage_chosen="vSAN Storage Cluster"),"Selected","Unselected")</f>
        <v>Selected</v>
      </c>
      <c r="E250" s="191"/>
      <c r="F250" s="41"/>
      <c r="G250" s="41"/>
      <c r="H250" s="41"/>
      <c r="I250" s="41"/>
      <c r="J250" s="41"/>
      <c r="K250" s="41"/>
      <c r="L250" s="41"/>
      <c r="M250" s="41"/>
      <c r="N250" s="41"/>
      <c r="O250" s="41"/>
      <c r="P250" s="41"/>
      <c r="Q250" s="41"/>
      <c r="R250" s="41"/>
      <c r="S250" s="41"/>
      <c r="T250" s="41"/>
      <c r="U250" s="41"/>
      <c r="V250" s="41"/>
      <c r="W250" s="41"/>
      <c r="X250" s="41"/>
      <c r="Y250" s="41"/>
      <c r="Z250" s="41"/>
    </row>
    <row r="251" ht="19.5" customHeight="1">
      <c r="A251" s="41"/>
      <c r="B251" s="173" t="s">
        <v>716</v>
      </c>
      <c r="C251" s="149" t="str">
        <f>sample_wld_az2_pool_name</f>
        <v>lax02-w01-r01-network-pool-01</v>
      </c>
      <c r="D251" s="276" t="str">
        <f>wld_az2_pool_name</f>
        <v>Value Missing</v>
      </c>
      <c r="E251" s="191"/>
      <c r="F251" s="41"/>
      <c r="G251" s="41"/>
      <c r="H251" s="41"/>
      <c r="I251" s="41"/>
      <c r="J251" s="41"/>
      <c r="K251" s="41"/>
      <c r="L251" s="41"/>
      <c r="M251" s="41"/>
      <c r="N251" s="41"/>
      <c r="O251" s="41"/>
      <c r="P251" s="41"/>
      <c r="Q251" s="41"/>
      <c r="R251" s="41"/>
      <c r="S251" s="41"/>
      <c r="T251" s="41"/>
      <c r="U251" s="41"/>
      <c r="V251" s="41"/>
      <c r="W251" s="41"/>
      <c r="X251" s="41"/>
      <c r="Y251" s="41"/>
      <c r="Z251" s="41"/>
    </row>
    <row r="252" ht="19.5" customHeight="1">
      <c r="A252" s="41"/>
      <c r="B252" s="173" t="s">
        <v>545</v>
      </c>
      <c r="C252" s="149" t="s">
        <v>728</v>
      </c>
      <c r="D252" s="276"/>
      <c r="E252" s="191"/>
      <c r="F252" s="41"/>
      <c r="G252" s="41"/>
      <c r="H252" s="41"/>
      <c r="I252" s="41"/>
      <c r="J252" s="41"/>
      <c r="K252" s="41"/>
      <c r="L252" s="41"/>
      <c r="M252" s="41"/>
      <c r="N252" s="41"/>
      <c r="O252" s="41"/>
      <c r="P252" s="41"/>
      <c r="Q252" s="41"/>
      <c r="R252" s="41"/>
      <c r="S252" s="41"/>
      <c r="T252" s="41"/>
      <c r="U252" s="41"/>
      <c r="V252" s="41"/>
      <c r="W252" s="41"/>
      <c r="X252" s="41"/>
      <c r="Y252" s="41"/>
      <c r="Z252" s="41"/>
    </row>
    <row r="253" ht="19.5" customHeight="1">
      <c r="A253" s="41"/>
      <c r="B253" s="173" t="s">
        <v>296</v>
      </c>
      <c r="C253" s="149" t="s">
        <v>382</v>
      </c>
      <c r="D253" s="276"/>
      <c r="E253" s="19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262"/>
      <c r="C254" s="262"/>
      <c r="D254" s="262"/>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9.5" customHeight="1">
      <c r="A255" s="41"/>
      <c r="B255" s="102" t="s">
        <v>1479</v>
      </c>
      <c r="C255" s="13"/>
      <c r="D255" s="13"/>
      <c r="E255" s="14"/>
      <c r="F255" s="41"/>
      <c r="G255" s="41"/>
      <c r="H255" s="41"/>
      <c r="I255" s="41"/>
      <c r="J255" s="41"/>
      <c r="K255" s="41"/>
      <c r="L255" s="41"/>
      <c r="M255" s="41"/>
      <c r="N255" s="41"/>
      <c r="O255" s="41"/>
      <c r="P255" s="41"/>
      <c r="Q255" s="41"/>
      <c r="R255" s="41"/>
      <c r="S255" s="41"/>
      <c r="T255" s="41"/>
      <c r="U255" s="41"/>
      <c r="V255" s="41"/>
      <c r="W255" s="41"/>
      <c r="X255" s="41"/>
      <c r="Y255" s="41"/>
      <c r="Z255" s="41"/>
    </row>
    <row r="256" ht="19.5" customHeight="1">
      <c r="A256" s="41"/>
      <c r="B256" s="49" t="s">
        <v>37</v>
      </c>
      <c r="C256" s="49" t="s">
        <v>273</v>
      </c>
      <c r="D256" s="49" t="s">
        <v>274</v>
      </c>
      <c r="E256" s="49" t="s">
        <v>5</v>
      </c>
      <c r="F256" s="41"/>
      <c r="G256" s="41"/>
      <c r="H256" s="41"/>
      <c r="I256" s="41"/>
      <c r="J256" s="41"/>
      <c r="K256" s="41"/>
      <c r="L256" s="41"/>
      <c r="M256" s="41"/>
      <c r="N256" s="41"/>
      <c r="O256" s="41"/>
      <c r="P256" s="41"/>
      <c r="Q256" s="41"/>
      <c r="R256" s="41"/>
      <c r="S256" s="41"/>
      <c r="T256" s="41"/>
      <c r="U256" s="41"/>
      <c r="V256" s="41"/>
      <c r="W256" s="41"/>
      <c r="X256" s="41"/>
      <c r="Y256" s="41"/>
      <c r="Z256" s="41"/>
    </row>
    <row r="257" ht="19.5" customHeight="1">
      <c r="A257" s="41"/>
      <c r="B257" s="84" t="s">
        <v>401</v>
      </c>
      <c r="C257" s="156" t="str">
        <f>IF(mgmt_dpg_reuse_result="Included",CONCATENATE(prefix_wld_witness_vlan,"10"),CONCATENATE(prefix_wld_witness_vlan,"11"))</f>
        <v>1110</v>
      </c>
      <c r="D257" s="18"/>
      <c r="E257" s="191"/>
      <c r="F257" s="41"/>
      <c r="G257" s="41"/>
      <c r="H257" s="41"/>
      <c r="I257" s="41"/>
      <c r="J257" s="41"/>
      <c r="K257" s="41"/>
      <c r="L257" s="41"/>
      <c r="M257" s="41"/>
      <c r="N257" s="41"/>
      <c r="O257" s="41"/>
      <c r="P257" s="41"/>
      <c r="Q257" s="41"/>
      <c r="R257" s="41"/>
      <c r="S257" s="41"/>
      <c r="T257" s="41"/>
      <c r="U257" s="41"/>
      <c r="V257" s="41"/>
      <c r="W257" s="41"/>
      <c r="X257" s="41"/>
      <c r="Y257" s="41"/>
      <c r="Z257" s="41"/>
    </row>
    <row r="258" ht="19.5" customHeight="1">
      <c r="A258" s="41"/>
      <c r="B258" s="84" t="s">
        <v>402</v>
      </c>
      <c r="C258" s="110" t="str">
        <f>IF(mgmt_dpg_reuse_result="Included",CONCATENATE(prefix_wld_witness_cidr,"10.1"),CONCATENATE(prefix_wld_witness_cidr,"11.1"))</f>
        <v>10.11.10.1</v>
      </c>
      <c r="D258" s="18"/>
      <c r="E258" s="191" t="str">
        <f>IF(AND(mgmt_stretched_cluster_result="Included",mgmt_dpg_reuse_result="Excluded"),"Stretched L2","")</f>
        <v/>
      </c>
      <c r="F258" s="41"/>
      <c r="G258" s="41"/>
      <c r="H258" s="41"/>
      <c r="I258" s="41"/>
      <c r="J258" s="41"/>
      <c r="K258" s="41"/>
      <c r="L258" s="41"/>
      <c r="M258" s="41"/>
      <c r="N258" s="41"/>
      <c r="O258" s="41"/>
      <c r="P258" s="41"/>
      <c r="Q258" s="41"/>
      <c r="R258" s="41"/>
      <c r="S258" s="41"/>
      <c r="T258" s="41"/>
      <c r="U258" s="41"/>
      <c r="V258" s="41"/>
      <c r="W258" s="41"/>
      <c r="X258" s="41"/>
      <c r="Y258" s="41"/>
      <c r="Z258" s="41"/>
    </row>
    <row r="259" ht="19.5" customHeight="1">
      <c r="A259" s="41"/>
      <c r="B259" s="84" t="s">
        <v>403</v>
      </c>
      <c r="C259" s="156" t="str">
        <f>IF(mgmt_dpg_reuse_result="Included",CONCATENATE(prefix_wld_witness_cidr,"10.0/24"),CONCATENATE(prefix_wld_witness_cidr,"11.0/24"))</f>
        <v>10.11.10.0/24</v>
      </c>
      <c r="D259" s="18"/>
      <c r="E259" s="191"/>
      <c r="F259" s="41"/>
      <c r="G259" s="41"/>
      <c r="H259" s="41"/>
      <c r="I259" s="41"/>
      <c r="J259" s="41"/>
      <c r="K259" s="41"/>
      <c r="L259" s="41"/>
      <c r="M259" s="41"/>
      <c r="N259" s="41"/>
      <c r="O259" s="41"/>
      <c r="P259" s="41"/>
      <c r="Q259" s="41"/>
      <c r="R259" s="41"/>
      <c r="S259" s="41"/>
      <c r="T259" s="41"/>
      <c r="U259" s="41"/>
      <c r="V259" s="41"/>
      <c r="W259" s="41"/>
      <c r="X259" s="41"/>
      <c r="Y259" s="41"/>
      <c r="Z259" s="41"/>
    </row>
    <row r="260" ht="19.5" customHeight="1">
      <c r="A260" s="41"/>
      <c r="B260" s="84" t="s">
        <v>404</v>
      </c>
      <c r="C260" s="110">
        <f>sample_wld_witnessaz_mgmt_mtu</f>
        <v>1500</v>
      </c>
      <c r="D260" s="276"/>
      <c r="E260" s="191"/>
      <c r="F260" s="41"/>
      <c r="G260" s="41"/>
      <c r="H260" s="41"/>
      <c r="I260" s="41"/>
      <c r="J260" s="41"/>
      <c r="K260" s="41"/>
      <c r="L260" s="41"/>
      <c r="M260" s="41"/>
      <c r="N260" s="41"/>
      <c r="O260" s="41"/>
      <c r="P260" s="41"/>
      <c r="Q260" s="41"/>
      <c r="R260" s="41"/>
      <c r="S260" s="41"/>
      <c r="T260" s="41"/>
      <c r="U260" s="41"/>
      <c r="V260" s="41"/>
      <c r="W260" s="41"/>
      <c r="X260" s="41"/>
      <c r="Y260" s="41"/>
      <c r="Z260" s="41"/>
    </row>
    <row r="261" ht="19.5" customHeight="1">
      <c r="A261" s="41"/>
      <c r="B261" s="1"/>
      <c r="C261" s="1"/>
      <c r="D261" s="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33.75" customHeight="1">
      <c r="A262" s="41"/>
      <c r="B262" s="197" t="s">
        <v>1480</v>
      </c>
      <c r="C262" s="13"/>
      <c r="D262" s="13"/>
      <c r="E262" s="14"/>
      <c r="F262" s="41"/>
      <c r="G262" s="41"/>
      <c r="H262" s="41"/>
      <c r="I262" s="41"/>
      <c r="J262" s="41"/>
      <c r="K262" s="41"/>
      <c r="L262" s="41"/>
      <c r="M262" s="41"/>
      <c r="N262" s="41"/>
      <c r="O262" s="41"/>
      <c r="P262" s="41"/>
      <c r="Q262" s="41"/>
      <c r="R262" s="41"/>
      <c r="S262" s="41"/>
      <c r="T262" s="41"/>
      <c r="U262" s="41"/>
      <c r="V262" s="41"/>
      <c r="W262" s="41"/>
      <c r="X262" s="41"/>
      <c r="Y262" s="41"/>
      <c r="Z262" s="41"/>
    </row>
    <row r="263" ht="19.5" customHeight="1">
      <c r="A263" s="41"/>
      <c r="B263" s="278"/>
      <c r="C263" s="279"/>
      <c r="D263" s="279"/>
      <c r="E263" s="280"/>
      <c r="F263" s="41"/>
      <c r="G263" s="41"/>
      <c r="H263" s="41"/>
      <c r="I263" s="41"/>
      <c r="J263" s="41"/>
      <c r="K263" s="41"/>
      <c r="L263" s="41"/>
      <c r="M263" s="41"/>
      <c r="N263" s="41"/>
      <c r="O263" s="41"/>
      <c r="P263" s="41"/>
      <c r="Q263" s="41"/>
      <c r="R263" s="41"/>
      <c r="S263" s="41"/>
      <c r="T263" s="41"/>
      <c r="U263" s="41"/>
      <c r="V263" s="41"/>
      <c r="W263" s="41"/>
      <c r="X263" s="41"/>
      <c r="Y263" s="41"/>
      <c r="Z263" s="41"/>
    </row>
    <row r="264" ht="19.5" customHeight="1">
      <c r="A264" s="41"/>
      <c r="B264" s="49" t="s">
        <v>37</v>
      </c>
      <c r="C264" s="49" t="s">
        <v>273</v>
      </c>
      <c r="D264" s="49" t="s">
        <v>274</v>
      </c>
      <c r="E264" s="49" t="s">
        <v>5</v>
      </c>
      <c r="F264" s="41"/>
      <c r="G264" s="41"/>
      <c r="H264" s="41"/>
      <c r="I264" s="41"/>
      <c r="J264" s="41"/>
      <c r="K264" s="41"/>
      <c r="L264" s="41"/>
      <c r="M264" s="41"/>
      <c r="N264" s="41"/>
      <c r="O264" s="41"/>
      <c r="P264" s="41"/>
      <c r="Q264" s="41"/>
      <c r="R264" s="41"/>
      <c r="S264" s="41"/>
      <c r="T264" s="41"/>
      <c r="U264" s="41"/>
      <c r="V264" s="41"/>
      <c r="W264" s="41"/>
      <c r="X264" s="41"/>
      <c r="Y264" s="41"/>
      <c r="Z264" s="41"/>
    </row>
    <row r="265" ht="19.5" customHeight="1">
      <c r="A265" s="41"/>
      <c r="B265" s="84" t="s">
        <v>732</v>
      </c>
      <c r="C265" s="188" t="str">
        <f>CONCATENATE(other_instance,"-m01-vc01.",other_instance,".rainpole.io")</f>
        <v>sfo-m01-vc01.sfo.rainpole.io</v>
      </c>
      <c r="D265" s="18"/>
      <c r="E265" s="84"/>
      <c r="F265" s="41"/>
      <c r="G265" s="41"/>
      <c r="H265" s="41"/>
      <c r="I265" s="41"/>
      <c r="J265" s="41"/>
      <c r="K265" s="41"/>
      <c r="L265" s="41"/>
      <c r="M265" s="41"/>
      <c r="N265" s="41"/>
      <c r="O265" s="41"/>
      <c r="P265" s="41"/>
      <c r="Q265" s="41"/>
      <c r="R265" s="41"/>
      <c r="S265" s="41"/>
      <c r="T265" s="41"/>
      <c r="U265" s="41"/>
      <c r="V265" s="41"/>
      <c r="W265" s="41"/>
      <c r="X265" s="41"/>
      <c r="Y265" s="41"/>
      <c r="Z265" s="41"/>
    </row>
    <row r="266" ht="19.5" customHeight="1">
      <c r="A266" s="41"/>
      <c r="B266" s="84" t="s">
        <v>734</v>
      </c>
      <c r="C266" s="163" t="str">
        <f>IF(mgmt_dpg_reuse_result="Included",CONCATENATE(prefix_other_region_az1_cidr,"10.70"),CONCATENATE(prefix_other_region_az1_cidr,"11.70"))</f>
        <v>10.11.10.70</v>
      </c>
      <c r="D266" s="18"/>
      <c r="E266" s="84"/>
      <c r="F266" s="41"/>
      <c r="G266" s="41"/>
      <c r="H266" s="41"/>
      <c r="I266" s="41"/>
      <c r="J266" s="41"/>
      <c r="K266" s="41"/>
      <c r="L266" s="41"/>
      <c r="M266" s="41"/>
      <c r="N266" s="41"/>
      <c r="O266" s="41"/>
      <c r="P266" s="41"/>
      <c r="Q266" s="41"/>
      <c r="R266" s="41"/>
      <c r="S266" s="41"/>
      <c r="T266" s="41"/>
      <c r="U266" s="41"/>
      <c r="V266" s="41"/>
      <c r="W266" s="41"/>
      <c r="X266" s="41"/>
      <c r="Y266" s="41"/>
      <c r="Z266" s="41"/>
    </row>
    <row r="267" ht="19.5" customHeight="1">
      <c r="A267" s="41"/>
      <c r="B267" s="84" t="s">
        <v>735</v>
      </c>
      <c r="C267" s="203" t="str">
        <f>CONCATENATE(this_instance,"-w0",wld_domain_number_chosen,"-cl01-vsw01")</f>
        <v>lax-w01-cl01-vsw01</v>
      </c>
      <c r="D267" s="18"/>
      <c r="E267" s="84"/>
      <c r="F267" s="41"/>
      <c r="G267" s="41"/>
      <c r="H267" s="41"/>
      <c r="I267" s="41"/>
      <c r="J267" s="41"/>
      <c r="K267" s="41"/>
      <c r="L267" s="41"/>
      <c r="M267" s="41"/>
      <c r="N267" s="41"/>
      <c r="O267" s="41"/>
      <c r="P267" s="41"/>
      <c r="Q267" s="41"/>
      <c r="R267" s="41"/>
      <c r="S267" s="41"/>
      <c r="T267" s="41"/>
      <c r="U267" s="41"/>
      <c r="V267" s="41"/>
      <c r="W267" s="41"/>
      <c r="X267" s="41"/>
      <c r="Y267" s="41"/>
      <c r="Z267" s="41"/>
    </row>
    <row r="268" ht="19.5" customHeight="1">
      <c r="A268" s="41"/>
      <c r="B268" s="84" t="s">
        <v>736</v>
      </c>
      <c r="C268" s="110" t="str">
        <f>CONCATENATE(other_instance,"-m01-cl01")</f>
        <v>sfo-m01-cl01</v>
      </c>
      <c r="D268" s="18"/>
      <c r="E268" s="84"/>
      <c r="F268" s="41"/>
      <c r="G268" s="41"/>
      <c r="H268" s="41"/>
      <c r="I268" s="41"/>
      <c r="J268" s="41"/>
      <c r="K268" s="41"/>
      <c r="L268" s="41"/>
      <c r="M268" s="41"/>
      <c r="N268" s="41"/>
      <c r="O268" s="41"/>
      <c r="P268" s="41"/>
      <c r="Q268" s="41"/>
      <c r="R268" s="41"/>
      <c r="S268" s="41"/>
      <c r="T268" s="41"/>
      <c r="U268" s="41"/>
      <c r="V268" s="41"/>
      <c r="W268" s="41"/>
      <c r="X268" s="41"/>
      <c r="Y268" s="41"/>
      <c r="Z268" s="41"/>
    </row>
    <row r="269" ht="19.5" customHeight="1">
      <c r="A269" s="41"/>
      <c r="B269" s="84" t="s">
        <v>737</v>
      </c>
      <c r="C269" s="110" t="str">
        <f>CONCATENATE(other_instance,"-fd-mgmt")</f>
        <v>sfo-fd-mgmt</v>
      </c>
      <c r="D269" s="18"/>
      <c r="E269" s="84"/>
      <c r="F269" s="41"/>
      <c r="G269" s="41"/>
      <c r="H269" s="41"/>
      <c r="I269" s="41"/>
      <c r="J269" s="41"/>
      <c r="K269" s="41"/>
      <c r="L269" s="41"/>
      <c r="M269" s="41"/>
      <c r="N269" s="41"/>
      <c r="O269" s="41"/>
      <c r="P269" s="41"/>
      <c r="Q269" s="41"/>
      <c r="R269" s="41"/>
      <c r="S269" s="41"/>
      <c r="T269" s="41"/>
      <c r="U269" s="41"/>
      <c r="V269" s="41"/>
      <c r="W269" s="41"/>
      <c r="X269" s="41"/>
      <c r="Y269" s="41"/>
      <c r="Z269" s="41"/>
    </row>
    <row r="270" ht="19.5" customHeight="1">
      <c r="A270" s="41"/>
      <c r="B270" s="84" t="s">
        <v>738</v>
      </c>
      <c r="C270" s="110" t="str">
        <f>CONCATENATE(other_instance,"-m01-cl01-ds-vsan01")</f>
        <v>sfo-m01-cl01-ds-vsan01</v>
      </c>
      <c r="D270" s="18"/>
      <c r="E270" s="84"/>
      <c r="F270" s="41"/>
      <c r="G270" s="41"/>
      <c r="H270" s="41"/>
      <c r="I270" s="41"/>
      <c r="J270" s="41"/>
      <c r="K270" s="41"/>
      <c r="L270" s="41"/>
      <c r="M270" s="41"/>
      <c r="N270" s="41"/>
      <c r="O270" s="41"/>
      <c r="P270" s="41"/>
      <c r="Q270" s="41"/>
      <c r="R270" s="41"/>
      <c r="S270" s="41"/>
      <c r="T270" s="41"/>
      <c r="U270" s="41"/>
      <c r="V270" s="41"/>
      <c r="W270" s="41"/>
      <c r="X270" s="41"/>
      <c r="Y270" s="41"/>
      <c r="Z270" s="41"/>
    </row>
    <row r="271" ht="19.5" customHeight="1">
      <c r="A271" s="41"/>
      <c r="B271" s="84" t="s">
        <v>739</v>
      </c>
      <c r="C271" s="110" t="str">
        <f>CONCATENATE(other_instance,"01-m01-cl01-vds01-pg-vm-mgmt")</f>
        <v>sfo01-m01-cl01-vds01-pg-vm-mgmt</v>
      </c>
      <c r="D271" s="18"/>
      <c r="E271" s="84"/>
      <c r="F271" s="41"/>
      <c r="G271" s="41"/>
      <c r="H271" s="41"/>
      <c r="I271" s="41"/>
      <c r="J271" s="41"/>
      <c r="K271" s="41"/>
      <c r="L271" s="41"/>
      <c r="M271" s="41"/>
      <c r="N271" s="41"/>
      <c r="O271" s="41"/>
      <c r="P271" s="41"/>
      <c r="Q271" s="41"/>
      <c r="R271" s="41"/>
      <c r="S271" s="41"/>
      <c r="T271" s="41"/>
      <c r="U271" s="41"/>
      <c r="V271" s="41"/>
      <c r="W271" s="41"/>
      <c r="X271" s="41"/>
      <c r="Y271" s="41"/>
      <c r="Z271" s="41"/>
    </row>
    <row r="272" ht="19.5" customHeight="1">
      <c r="A272" s="41"/>
      <c r="B272" s="84" t="s">
        <v>740</v>
      </c>
      <c r="C272" s="110" t="str">
        <f>sample_wld_witness_mgmt_pg</f>
        <v>sfo01-m01-cl01-vds01-pg-vm-mgmt</v>
      </c>
      <c r="D272" s="276" t="str">
        <f>wld_witness_mgmt_pg</f>
        <v>Value Missing</v>
      </c>
      <c r="E272" s="84"/>
      <c r="F272" s="41"/>
      <c r="G272" s="41"/>
      <c r="H272" s="41"/>
      <c r="I272" s="41"/>
      <c r="J272" s="41"/>
      <c r="K272" s="41"/>
      <c r="L272" s="41"/>
      <c r="M272" s="41"/>
      <c r="N272" s="41"/>
      <c r="O272" s="41"/>
      <c r="P272" s="41"/>
      <c r="Q272" s="41"/>
      <c r="R272" s="41"/>
      <c r="S272" s="41"/>
      <c r="T272" s="41"/>
      <c r="U272" s="41"/>
      <c r="V272" s="41"/>
      <c r="W272" s="41"/>
      <c r="X272" s="41"/>
      <c r="Y272" s="41"/>
      <c r="Z272" s="41"/>
    </row>
    <row r="273" ht="19.5" customHeight="1">
      <c r="A273" s="41"/>
      <c r="B273" s="84" t="s">
        <v>338</v>
      </c>
      <c r="C273" s="110" t="s">
        <v>382</v>
      </c>
      <c r="D273" s="196"/>
      <c r="E273" s="18" t="s">
        <v>1481</v>
      </c>
      <c r="F273" s="41"/>
      <c r="G273" s="41"/>
      <c r="H273" s="41"/>
      <c r="I273" s="41"/>
      <c r="J273" s="41"/>
      <c r="K273" s="41"/>
      <c r="L273" s="41"/>
      <c r="M273" s="41"/>
      <c r="N273" s="41"/>
      <c r="O273" s="41"/>
      <c r="P273" s="41"/>
      <c r="Q273" s="41"/>
      <c r="R273" s="41"/>
      <c r="S273" s="41"/>
      <c r="T273" s="41"/>
      <c r="U273" s="41"/>
      <c r="V273" s="41"/>
      <c r="W273" s="41"/>
      <c r="X273" s="41"/>
      <c r="Y273" s="41"/>
      <c r="Z273" s="41"/>
    </row>
    <row r="274" ht="19.5" customHeight="1">
      <c r="A274" s="41"/>
      <c r="B274" s="84" t="s">
        <v>1482</v>
      </c>
      <c r="C274" s="203" t="str">
        <f>IF(mgmt_dpg_reuse_result="Included",CONCATENATE(prefix_other_region_az1_cidr,"10.",(218 + wld_domain_number_chosen)),CONCATENATE(prefix_other_region_az1_cidr,"11.",(218 + wld_domain_number_chosen)))</f>
        <v>10.11.10.219</v>
      </c>
      <c r="D274" s="18"/>
      <c r="E274" s="84"/>
      <c r="F274" s="41"/>
      <c r="G274" s="41"/>
      <c r="H274" s="41"/>
      <c r="I274" s="41"/>
      <c r="J274" s="41"/>
      <c r="K274" s="41"/>
      <c r="L274" s="41"/>
      <c r="M274" s="41"/>
      <c r="N274" s="41"/>
      <c r="O274" s="41"/>
      <c r="P274" s="41"/>
      <c r="Q274" s="41"/>
      <c r="R274" s="41"/>
      <c r="S274" s="41"/>
      <c r="T274" s="41"/>
      <c r="U274" s="41"/>
      <c r="V274" s="41"/>
      <c r="W274" s="41"/>
      <c r="X274" s="41"/>
      <c r="Y274" s="41"/>
      <c r="Z274" s="41"/>
    </row>
    <row r="275" ht="19.5" customHeight="1">
      <c r="A275" s="41"/>
      <c r="B275" s="84" t="s">
        <v>743</v>
      </c>
      <c r="C275" s="110" t="s">
        <v>622</v>
      </c>
      <c r="D275" s="18" t="str">
        <f>wld_witnessaz_mgmt_mask</f>
        <v>Value Missing</v>
      </c>
      <c r="E275" s="84"/>
      <c r="F275" s="41"/>
      <c r="G275" s="41"/>
      <c r="H275" s="41"/>
      <c r="I275" s="41"/>
      <c r="J275" s="41"/>
      <c r="K275" s="41"/>
      <c r="L275" s="41"/>
      <c r="M275" s="41"/>
      <c r="N275" s="41"/>
      <c r="O275" s="41"/>
      <c r="P275" s="41"/>
      <c r="Q275" s="41"/>
      <c r="R275" s="41"/>
      <c r="S275" s="41"/>
      <c r="T275" s="41"/>
      <c r="U275" s="41"/>
      <c r="V275" s="41"/>
      <c r="W275" s="41"/>
      <c r="X275" s="41"/>
      <c r="Y275" s="41"/>
      <c r="Z275" s="41"/>
    </row>
    <row r="276" ht="19.5" customHeight="1">
      <c r="A276" s="41"/>
      <c r="B276" s="84" t="s">
        <v>402</v>
      </c>
      <c r="C276" s="110" t="str">
        <f>sample_wld_witnessaz_mgmt_gateway_ip</f>
        <v>10.11.10.1</v>
      </c>
      <c r="D276" s="18"/>
      <c r="E276" s="84"/>
      <c r="F276" s="41"/>
      <c r="G276" s="41"/>
      <c r="H276" s="41"/>
      <c r="I276" s="41"/>
      <c r="J276" s="41"/>
      <c r="K276" s="41"/>
      <c r="L276" s="41"/>
      <c r="M276" s="41"/>
      <c r="N276" s="41"/>
      <c r="O276" s="41"/>
      <c r="P276" s="41"/>
      <c r="Q276" s="41"/>
      <c r="R276" s="41"/>
      <c r="S276" s="41"/>
      <c r="T276" s="41"/>
      <c r="U276" s="41"/>
      <c r="V276" s="41"/>
      <c r="W276" s="41"/>
      <c r="X276" s="41"/>
      <c r="Y276" s="41"/>
      <c r="Z276" s="41"/>
    </row>
    <row r="277" ht="19.5" customHeight="1">
      <c r="A277" s="41"/>
      <c r="B277" s="84" t="s">
        <v>744</v>
      </c>
      <c r="C277" s="111" t="str">
        <f>sample_child_dns_zone</f>
        <v>lax.rainpole.io</v>
      </c>
      <c r="D277" s="18"/>
      <c r="E277" s="84"/>
      <c r="F277" s="41"/>
      <c r="G277" s="41"/>
      <c r="H277" s="41"/>
      <c r="I277" s="41"/>
      <c r="J277" s="41"/>
      <c r="K277" s="41"/>
      <c r="L277" s="41"/>
      <c r="M277" s="41"/>
      <c r="N277" s="41"/>
      <c r="O277" s="41"/>
      <c r="P277" s="41"/>
      <c r="Q277" s="41"/>
      <c r="R277" s="41"/>
      <c r="S277" s="41"/>
      <c r="T277" s="41"/>
      <c r="U277" s="41"/>
      <c r="V277" s="41"/>
      <c r="W277" s="41"/>
      <c r="X277" s="41"/>
      <c r="Y277" s="41"/>
      <c r="Z277" s="41"/>
    </row>
    <row r="278" ht="19.5" customHeight="1">
      <c r="A278" s="41"/>
      <c r="B278" s="84" t="s">
        <v>745</v>
      </c>
      <c r="C278" s="110" t="str">
        <f>sample_wld_witness_hostname</f>
        <v>lax-w01-cl01-vsw01</v>
      </c>
      <c r="D278" s="18" t="str">
        <f>wld_witness_hostname</f>
        <v>Value Missing</v>
      </c>
      <c r="E278" s="84"/>
      <c r="F278" s="41"/>
      <c r="G278" s="41"/>
      <c r="H278" s="41"/>
      <c r="I278" s="41"/>
      <c r="J278" s="41"/>
      <c r="K278" s="41"/>
      <c r="L278" s="41"/>
      <c r="M278" s="41"/>
      <c r="N278" s="41"/>
      <c r="O278" s="41"/>
      <c r="P278" s="41"/>
      <c r="Q278" s="41"/>
      <c r="R278" s="41"/>
      <c r="S278" s="41"/>
      <c r="T278" s="41"/>
      <c r="U278" s="41"/>
      <c r="V278" s="41"/>
      <c r="W278" s="41"/>
      <c r="X278" s="41"/>
      <c r="Y278" s="41"/>
      <c r="Z278" s="41"/>
    </row>
    <row r="279" ht="19.5" customHeight="1">
      <c r="A279" s="41"/>
      <c r="B279" s="84" t="s">
        <v>746</v>
      </c>
      <c r="C279" s="110" t="str">
        <f>IF(mgmt_dpg_reuse_result="Included",CONCATENATE(prefix_other_region_az1_cidr,"10.4"),CONCATENATE(prefix_other_region_az1_cidr,"11.4"))</f>
        <v>10.11.10.4</v>
      </c>
      <c r="D279" s="18"/>
      <c r="E279" s="191"/>
      <c r="F279" s="41"/>
      <c r="G279" s="41"/>
      <c r="H279" s="41"/>
      <c r="I279" s="41"/>
      <c r="J279" s="41"/>
      <c r="K279" s="41"/>
      <c r="L279" s="41"/>
      <c r="M279" s="41"/>
      <c r="N279" s="41"/>
      <c r="O279" s="41"/>
      <c r="P279" s="41"/>
      <c r="Q279" s="41"/>
      <c r="R279" s="41"/>
      <c r="S279" s="41"/>
      <c r="T279" s="41"/>
      <c r="U279" s="41"/>
      <c r="V279" s="41"/>
      <c r="W279" s="41"/>
      <c r="X279" s="41"/>
      <c r="Y279" s="41"/>
      <c r="Z279" s="41"/>
    </row>
    <row r="280" ht="19.5" customHeight="1">
      <c r="A280" s="41"/>
      <c r="B280" s="84" t="s">
        <v>748</v>
      </c>
      <c r="C280" s="110" t="str">
        <f>IF(mgmt_dpg_reuse_result="Included",CONCATENATE(prefix_other_region_az1_cidr,"10.5"),CONCATENATE(prefix_other_region_az1_cidr,"11.5"))</f>
        <v>10.11.10.5</v>
      </c>
      <c r="D280" s="18"/>
      <c r="E280" s="191"/>
      <c r="F280" s="41"/>
      <c r="G280" s="41"/>
      <c r="H280" s="41"/>
      <c r="I280" s="41"/>
      <c r="J280" s="41"/>
      <c r="K280" s="41"/>
      <c r="L280" s="41"/>
      <c r="M280" s="41"/>
      <c r="N280" s="41"/>
      <c r="O280" s="41"/>
      <c r="P280" s="41"/>
      <c r="Q280" s="41"/>
      <c r="R280" s="41"/>
      <c r="S280" s="41"/>
      <c r="T280" s="41"/>
      <c r="U280" s="41"/>
      <c r="V280" s="41"/>
      <c r="W280" s="41"/>
      <c r="X280" s="41"/>
      <c r="Y280" s="41"/>
      <c r="Z280" s="41"/>
    </row>
    <row r="281" ht="19.5" customHeight="1">
      <c r="A281" s="41"/>
      <c r="B281" s="84" t="s">
        <v>750</v>
      </c>
      <c r="C281" s="111" t="str">
        <f>CONCATENATE("ntp0.",other_instance,".rainpole.io")</f>
        <v>ntp0.sfo.rainpole.io</v>
      </c>
      <c r="D281" s="18"/>
      <c r="E281" s="84"/>
      <c r="F281" s="41"/>
      <c r="G281" s="41"/>
      <c r="H281" s="41"/>
      <c r="I281" s="41"/>
      <c r="J281" s="41"/>
      <c r="K281" s="41"/>
      <c r="L281" s="41"/>
      <c r="M281" s="41"/>
      <c r="N281" s="41"/>
      <c r="O281" s="41"/>
      <c r="P281" s="41"/>
      <c r="Q281" s="41"/>
      <c r="R281" s="41"/>
      <c r="S281" s="41"/>
      <c r="T281" s="41"/>
      <c r="U281" s="41"/>
      <c r="V281" s="41"/>
      <c r="W281" s="41"/>
      <c r="X281" s="41"/>
      <c r="Y281" s="41"/>
      <c r="Z281" s="41"/>
    </row>
    <row r="282" ht="19.5" customHeight="1">
      <c r="A282" s="41"/>
      <c r="B282" s="84" t="s">
        <v>751</v>
      </c>
      <c r="C282" s="111" t="str">
        <f>CONCATENATE("ntp1.",other_instance,".rainpole.io")</f>
        <v>ntp1.sfo.rainpole.io</v>
      </c>
      <c r="D282" s="18"/>
      <c r="E282" s="84"/>
      <c r="F282" s="41"/>
      <c r="G282" s="41"/>
      <c r="H282" s="41"/>
      <c r="I282" s="41"/>
      <c r="J282" s="41"/>
      <c r="K282" s="41"/>
      <c r="L282" s="41"/>
      <c r="M282" s="41"/>
      <c r="N282" s="41"/>
      <c r="O282" s="41"/>
      <c r="P282" s="41"/>
      <c r="Q282" s="41"/>
      <c r="R282" s="41"/>
      <c r="S282" s="41"/>
      <c r="T282" s="41"/>
      <c r="U282" s="41"/>
      <c r="V282" s="41"/>
      <c r="W282" s="41"/>
      <c r="X282" s="41"/>
      <c r="Y282" s="41"/>
      <c r="Z282" s="41"/>
    </row>
    <row r="283" ht="19.5" customHeight="1">
      <c r="A283" s="41"/>
      <c r="B283" s="17" t="s">
        <v>752</v>
      </c>
      <c r="C283" s="13"/>
      <c r="D283" s="13"/>
      <c r="E283" s="14"/>
      <c r="F283" s="41"/>
      <c r="G283" s="41"/>
      <c r="H283" s="41"/>
      <c r="I283" s="41"/>
      <c r="J283" s="41"/>
      <c r="K283" s="41"/>
      <c r="L283" s="41"/>
      <c r="M283" s="41"/>
      <c r="N283" s="41"/>
      <c r="O283" s="41"/>
      <c r="P283" s="41"/>
      <c r="Q283" s="41"/>
      <c r="R283" s="41"/>
      <c r="S283" s="41"/>
      <c r="T283" s="41"/>
      <c r="U283" s="41"/>
      <c r="V283" s="41"/>
      <c r="W283" s="41"/>
      <c r="X283" s="41"/>
      <c r="Y283" s="41"/>
      <c r="Z283" s="41"/>
    </row>
    <row r="284" ht="19.5" customHeight="1">
      <c r="A284" s="41"/>
      <c r="B284" s="49" t="s">
        <v>37</v>
      </c>
      <c r="C284" s="49" t="s">
        <v>273</v>
      </c>
      <c r="D284" s="49" t="s">
        <v>274</v>
      </c>
      <c r="E284" s="49" t="s">
        <v>5</v>
      </c>
      <c r="F284" s="41"/>
      <c r="G284" s="41"/>
      <c r="H284" s="41"/>
      <c r="I284" s="41"/>
      <c r="J284" s="41"/>
      <c r="K284" s="41"/>
      <c r="L284" s="41"/>
      <c r="M284" s="41"/>
      <c r="N284" s="41"/>
      <c r="O284" s="41"/>
      <c r="P284" s="41"/>
      <c r="Q284" s="41"/>
      <c r="R284" s="41"/>
      <c r="S284" s="41"/>
      <c r="T284" s="41"/>
      <c r="U284" s="41"/>
      <c r="V284" s="41"/>
      <c r="W284" s="41"/>
      <c r="X284" s="41"/>
      <c r="Y284" s="41"/>
      <c r="Z284" s="41"/>
    </row>
    <row r="285" ht="19.5" customHeight="1">
      <c r="A285" s="41"/>
      <c r="B285" s="84" t="s">
        <v>732</v>
      </c>
      <c r="C285" s="111" t="str">
        <f>sample_wld_vc_fqdn</f>
        <v>lax-w01-vc01.lax.rainpole.io</v>
      </c>
      <c r="D285" s="18" t="str">
        <f>wld_vc_fqdn</f>
        <v>Value Missing</v>
      </c>
      <c r="E285" s="84"/>
      <c r="F285" s="41"/>
      <c r="G285" s="41"/>
      <c r="H285" s="41"/>
      <c r="I285" s="41"/>
      <c r="J285" s="41"/>
      <c r="K285" s="41"/>
      <c r="L285" s="41"/>
      <c r="M285" s="41"/>
      <c r="N285" s="41"/>
      <c r="O285" s="41"/>
      <c r="P285" s="41"/>
      <c r="Q285" s="41"/>
      <c r="R285" s="41"/>
      <c r="S285" s="41"/>
      <c r="T285" s="41"/>
      <c r="U285" s="41"/>
      <c r="V285" s="41"/>
      <c r="W285" s="41"/>
      <c r="X285" s="41"/>
      <c r="Y285" s="41"/>
      <c r="Z285" s="41"/>
    </row>
    <row r="286" ht="19.5" customHeight="1">
      <c r="A286" s="41"/>
      <c r="B286" s="84" t="s">
        <v>753</v>
      </c>
      <c r="C286" s="110" t="str">
        <f>CONCATENATE(this_instance,"-w0",wld_domain_number_chosen,"-dc")</f>
        <v>lax-w01-dc</v>
      </c>
      <c r="D286" s="18"/>
      <c r="E286" s="84"/>
      <c r="F286" s="41"/>
      <c r="G286" s="41"/>
      <c r="H286" s="41"/>
      <c r="I286" s="41"/>
      <c r="J286" s="41"/>
      <c r="K286" s="41"/>
      <c r="L286" s="41"/>
      <c r="M286" s="41"/>
      <c r="N286" s="41"/>
      <c r="O286" s="41"/>
      <c r="P286" s="41"/>
      <c r="Q286" s="41"/>
      <c r="R286" s="41"/>
      <c r="S286" s="41"/>
      <c r="T286" s="41"/>
      <c r="U286" s="41"/>
      <c r="V286" s="41"/>
      <c r="W286" s="41"/>
      <c r="X286" s="41"/>
      <c r="Y286" s="41"/>
      <c r="Z286" s="41"/>
    </row>
    <row r="287" ht="19.5" customHeight="1">
      <c r="A287" s="41"/>
      <c r="B287" s="84" t="s">
        <v>537</v>
      </c>
      <c r="C287" s="111" t="str">
        <f>CONCATENATE(sample_wld_witness_hostname,".",sample_child_dns_zone)</f>
        <v>lax-w01-cl01-vsw01.lax.rainpole.io</v>
      </c>
      <c r="D287" s="18"/>
      <c r="E287" s="84"/>
      <c r="F287" s="41"/>
      <c r="G287" s="41"/>
      <c r="H287" s="41"/>
      <c r="I287" s="41"/>
      <c r="J287" s="41"/>
      <c r="K287" s="41"/>
      <c r="L287" s="41"/>
      <c r="M287" s="41"/>
      <c r="N287" s="41"/>
      <c r="O287" s="41"/>
      <c r="P287" s="41"/>
      <c r="Q287" s="41"/>
      <c r="R287" s="41"/>
      <c r="S287" s="41"/>
      <c r="T287" s="41"/>
      <c r="U287" s="41"/>
      <c r="V287" s="41"/>
      <c r="W287" s="41"/>
      <c r="X287" s="41"/>
      <c r="Y287" s="41"/>
      <c r="Z287" s="41"/>
    </row>
    <row r="288" ht="19.5" customHeight="1">
      <c r="A288" s="41"/>
      <c r="B288" s="84" t="s">
        <v>754</v>
      </c>
      <c r="C288" s="110" t="str">
        <f>sample_wld_witness_root_password</f>
        <v>VMw@re1!</v>
      </c>
      <c r="D288" s="18" t="str">
        <f>wld_witness_root_password</f>
        <v>Value Missing</v>
      </c>
      <c r="E288" s="84"/>
      <c r="F288" s="41"/>
      <c r="G288" s="41"/>
      <c r="H288" s="41"/>
      <c r="I288" s="41"/>
      <c r="J288" s="41"/>
      <c r="K288" s="41"/>
      <c r="L288" s="41"/>
      <c r="M288" s="41"/>
      <c r="N288" s="41"/>
      <c r="O288" s="41"/>
      <c r="P288" s="41"/>
      <c r="Q288" s="41"/>
      <c r="R288" s="41"/>
      <c r="S288" s="41"/>
      <c r="T288" s="41"/>
      <c r="U288" s="41"/>
      <c r="V288" s="41"/>
      <c r="W288" s="41"/>
      <c r="X288" s="41"/>
      <c r="Y288" s="41"/>
      <c r="Z288" s="41"/>
    </row>
    <row r="289" ht="19.5" customHeight="1">
      <c r="A289" s="41"/>
      <c r="B289" s="17" t="s">
        <v>755</v>
      </c>
      <c r="C289" s="13"/>
      <c r="D289" s="13"/>
      <c r="E289" s="14"/>
      <c r="F289" s="41"/>
      <c r="G289" s="41"/>
      <c r="H289" s="41"/>
      <c r="I289" s="41"/>
      <c r="J289" s="41"/>
      <c r="K289" s="41"/>
      <c r="L289" s="41"/>
      <c r="M289" s="41"/>
      <c r="N289" s="41"/>
      <c r="O289" s="41"/>
      <c r="P289" s="41"/>
      <c r="Q289" s="41"/>
      <c r="R289" s="41"/>
      <c r="S289" s="41"/>
      <c r="T289" s="41"/>
      <c r="U289" s="41"/>
      <c r="V289" s="41"/>
      <c r="W289" s="41"/>
      <c r="X289" s="41"/>
      <c r="Y289" s="41"/>
      <c r="Z289" s="41"/>
    </row>
    <row r="290" ht="19.5" customHeight="1">
      <c r="A290" s="41"/>
      <c r="B290" s="49" t="s">
        <v>37</v>
      </c>
      <c r="C290" s="49" t="s">
        <v>273</v>
      </c>
      <c r="D290" s="49" t="s">
        <v>274</v>
      </c>
      <c r="E290" s="49" t="s">
        <v>5</v>
      </c>
      <c r="F290" s="41"/>
      <c r="G290" s="41"/>
      <c r="H290" s="41"/>
      <c r="I290" s="41"/>
      <c r="J290" s="41"/>
      <c r="K290" s="41"/>
      <c r="L290" s="41"/>
      <c r="M290" s="41"/>
      <c r="N290" s="41"/>
      <c r="O290" s="41"/>
      <c r="P290" s="41"/>
      <c r="Q290" s="41"/>
      <c r="R290" s="41"/>
      <c r="S290" s="41"/>
      <c r="T290" s="41"/>
      <c r="U290" s="41"/>
      <c r="V290" s="41"/>
      <c r="W290" s="41"/>
      <c r="X290" s="41"/>
      <c r="Y290" s="41"/>
      <c r="Z290" s="41"/>
    </row>
    <row r="291" ht="19.5" customHeight="1">
      <c r="A291" s="41"/>
      <c r="B291" s="84" t="s">
        <v>732</v>
      </c>
      <c r="C291" s="111" t="str">
        <f>sample_wld_vc_fqdn</f>
        <v>lax-w01-vc01.lax.rainpole.io</v>
      </c>
      <c r="D291" s="18" t="str">
        <f>wld_vc_fqdn</f>
        <v>Value Missing</v>
      </c>
      <c r="E291" s="84"/>
      <c r="F291" s="41"/>
      <c r="G291" s="41"/>
      <c r="H291" s="41"/>
      <c r="I291" s="41"/>
      <c r="J291" s="41"/>
      <c r="K291" s="41"/>
      <c r="L291" s="41"/>
      <c r="M291" s="41"/>
      <c r="N291" s="41"/>
      <c r="O291" s="41"/>
      <c r="P291" s="41"/>
      <c r="Q291" s="41"/>
      <c r="R291" s="41"/>
      <c r="S291" s="41"/>
      <c r="T291" s="41"/>
      <c r="U291" s="41"/>
      <c r="V291" s="41"/>
      <c r="W291" s="41"/>
      <c r="X291" s="41"/>
      <c r="Y291" s="41"/>
      <c r="Z291" s="41"/>
    </row>
    <row r="292" ht="19.5" customHeight="1">
      <c r="A292" s="41"/>
      <c r="B292" s="84" t="s">
        <v>756</v>
      </c>
      <c r="C292" s="110" t="str">
        <f>sample_wld_witness_hostname</f>
        <v>lax-w01-cl01-vsw01</v>
      </c>
      <c r="D292" s="18" t="str">
        <f>wld_witness_hostname</f>
        <v>Value Missing</v>
      </c>
      <c r="E292" s="84"/>
      <c r="F292" s="41"/>
      <c r="G292" s="41"/>
      <c r="H292" s="41"/>
      <c r="I292" s="41"/>
      <c r="J292" s="41"/>
      <c r="K292" s="41"/>
      <c r="L292" s="41"/>
      <c r="M292" s="41"/>
      <c r="N292" s="41"/>
      <c r="O292" s="41"/>
      <c r="P292" s="41"/>
      <c r="Q292" s="41"/>
      <c r="R292" s="41"/>
      <c r="S292" s="41"/>
      <c r="T292" s="41"/>
      <c r="U292" s="41"/>
      <c r="V292" s="41"/>
      <c r="W292" s="41"/>
      <c r="X292" s="41"/>
      <c r="Y292" s="41"/>
      <c r="Z292" s="41"/>
    </row>
    <row r="293" ht="19.5" customHeight="1">
      <c r="A293" s="41"/>
      <c r="B293" s="84" t="s">
        <v>757</v>
      </c>
      <c r="C293" s="110" t="str">
        <f>IF(AND((NOT(ISBLANK(sample_mgmt_witness_ntp2_server))),(sample_mgmt_witness_ntp2_server &lt;&gt; "n/a")),CONCATENATE(sample_mgmt_witness_ntp1_server,",",sample_mgmt_witness_ntp2_server),sample_mgmt_witness_ntp1_server)</f>
        <v>ntp0.lax.rainpole.io,ntp1.lax.rainpole.io</v>
      </c>
      <c r="D293" s="18" t="str">
        <f>IF(AND((NOT(ISBLANK(witness_ntp2_server))),(witness_ntp2_server&lt;&gt;"n/a"),(witness_ntp2_server&lt;&gt;"")),CONCATENATE(witness_ntp1_server,",",witness_ntp2_server,witness_ntp1_server))</f>
        <v>Value Missing,Value MissingValue Missing</v>
      </c>
      <c r="E293" s="191"/>
      <c r="F293" s="41"/>
      <c r="G293" s="41"/>
      <c r="H293" s="41"/>
      <c r="I293" s="41"/>
      <c r="J293" s="41"/>
      <c r="K293" s="41"/>
      <c r="L293" s="41"/>
      <c r="M293" s="41"/>
      <c r="N293" s="41"/>
      <c r="O293" s="41"/>
      <c r="P293" s="41"/>
      <c r="Q293" s="41"/>
      <c r="R293" s="41"/>
      <c r="S293" s="41"/>
      <c r="T293" s="41"/>
      <c r="U293" s="41"/>
      <c r="V293" s="41"/>
      <c r="W293" s="41"/>
      <c r="X293" s="41"/>
      <c r="Y293" s="41"/>
      <c r="Z293" s="41"/>
    </row>
    <row r="294" ht="19.5" customHeight="1">
      <c r="A294" s="41"/>
      <c r="B294" s="17" t="s">
        <v>758</v>
      </c>
      <c r="C294" s="13"/>
      <c r="D294" s="13"/>
      <c r="E294" s="14"/>
      <c r="F294" s="41"/>
      <c r="G294" s="41"/>
      <c r="H294" s="41"/>
      <c r="I294" s="41"/>
      <c r="J294" s="41"/>
      <c r="K294" s="41"/>
      <c r="L294" s="41"/>
      <c r="M294" s="41"/>
      <c r="N294" s="41"/>
      <c r="O294" s="41"/>
      <c r="P294" s="41"/>
      <c r="Q294" s="41"/>
      <c r="R294" s="41"/>
      <c r="S294" s="41"/>
      <c r="T294" s="41"/>
      <c r="U294" s="41"/>
      <c r="V294" s="41"/>
      <c r="W294" s="41"/>
      <c r="X294" s="41"/>
      <c r="Y294" s="41"/>
      <c r="Z294" s="41"/>
    </row>
    <row r="295" ht="19.5" customHeight="1">
      <c r="A295" s="41"/>
      <c r="B295" s="49" t="s">
        <v>37</v>
      </c>
      <c r="C295" s="49" t="s">
        <v>273</v>
      </c>
      <c r="D295" s="49" t="s">
        <v>274</v>
      </c>
      <c r="E295" s="49" t="s">
        <v>5</v>
      </c>
      <c r="F295" s="41"/>
      <c r="G295" s="41"/>
      <c r="H295" s="41"/>
      <c r="I295" s="41"/>
      <c r="J295" s="41"/>
      <c r="K295" s="41"/>
      <c r="L295" s="41"/>
      <c r="M295" s="41"/>
      <c r="N295" s="41"/>
      <c r="O295" s="41"/>
      <c r="P295" s="41"/>
      <c r="Q295" s="41"/>
      <c r="R295" s="41"/>
      <c r="S295" s="41"/>
      <c r="T295" s="41"/>
      <c r="U295" s="41"/>
      <c r="V295" s="41"/>
      <c r="W295" s="41"/>
      <c r="X295" s="41"/>
      <c r="Y295" s="41"/>
      <c r="Z295" s="41"/>
    </row>
    <row r="296" ht="19.5" customHeight="1">
      <c r="A296" s="41"/>
      <c r="B296" s="84" t="s">
        <v>732</v>
      </c>
      <c r="C296" s="111" t="str">
        <f>sample_wld_vc_fqdn</f>
        <v>lax-w01-vc01.lax.rainpole.io</v>
      </c>
      <c r="D296" s="18" t="str">
        <f>mgmt_vc_fqdn</f>
        <v>Value Missing</v>
      </c>
      <c r="E296" s="84"/>
      <c r="F296" s="41"/>
      <c r="G296" s="41"/>
      <c r="H296" s="41"/>
      <c r="I296" s="41"/>
      <c r="J296" s="41"/>
      <c r="K296" s="41"/>
      <c r="L296" s="41"/>
      <c r="M296" s="41"/>
      <c r="N296" s="41"/>
      <c r="O296" s="41"/>
      <c r="P296" s="41"/>
      <c r="Q296" s="41"/>
      <c r="R296" s="41"/>
      <c r="S296" s="41"/>
      <c r="T296" s="41"/>
      <c r="U296" s="41"/>
      <c r="V296" s="41"/>
      <c r="W296" s="41"/>
      <c r="X296" s="41"/>
      <c r="Y296" s="41"/>
      <c r="Z296" s="41"/>
    </row>
    <row r="297" ht="19.5" customHeight="1">
      <c r="A297" s="41"/>
      <c r="B297" s="84" t="s">
        <v>753</v>
      </c>
      <c r="C297" s="110" t="str">
        <f>sample_wld_datacenter</f>
        <v>lax-w01-dc</v>
      </c>
      <c r="D297" s="18" t="str">
        <f>wld_datacenter</f>
        <v>Value Missing</v>
      </c>
      <c r="E297" s="84"/>
      <c r="F297" s="41"/>
      <c r="G297" s="41"/>
      <c r="H297" s="41"/>
      <c r="I297" s="41"/>
      <c r="J297" s="41"/>
      <c r="K297" s="41"/>
      <c r="L297" s="41"/>
      <c r="M297" s="41"/>
      <c r="N297" s="41"/>
      <c r="O297" s="41"/>
      <c r="P297" s="41"/>
      <c r="Q297" s="41"/>
      <c r="R297" s="41"/>
      <c r="S297" s="41"/>
      <c r="T297" s="41"/>
      <c r="U297" s="41"/>
      <c r="V297" s="41"/>
      <c r="W297" s="41"/>
      <c r="X297" s="41"/>
      <c r="Y297" s="41"/>
      <c r="Z297" s="41"/>
    </row>
    <row r="298" ht="19.5" customHeight="1">
      <c r="A298" s="41"/>
      <c r="B298" s="84" t="s">
        <v>760</v>
      </c>
      <c r="C298" s="110" t="str">
        <f>sample_wld_witness_hostname</f>
        <v>lax-w01-cl01-vsw01</v>
      </c>
      <c r="D298" s="18" t="str">
        <f>wld_witness_hostname</f>
        <v>Value Missing</v>
      </c>
      <c r="E298" s="84"/>
      <c r="F298" s="41"/>
      <c r="G298" s="41"/>
      <c r="H298" s="41"/>
      <c r="I298" s="41"/>
      <c r="J298" s="41"/>
      <c r="K298" s="41"/>
      <c r="L298" s="41"/>
      <c r="M298" s="41"/>
      <c r="N298" s="41"/>
      <c r="O298" s="41"/>
      <c r="P298" s="41"/>
      <c r="Q298" s="41"/>
      <c r="R298" s="41"/>
      <c r="S298" s="41"/>
      <c r="T298" s="41"/>
      <c r="U298" s="41"/>
      <c r="V298" s="41"/>
      <c r="W298" s="41"/>
      <c r="X298" s="41"/>
      <c r="Y298" s="41"/>
      <c r="Z298" s="41"/>
    </row>
    <row r="299" ht="19.5" customHeight="1">
      <c r="A299" s="41"/>
      <c r="B299" s="79"/>
      <c r="C299" s="281"/>
      <c r="D299" s="74"/>
      <c r="E299" s="79"/>
      <c r="F299" s="41"/>
      <c r="G299" s="41"/>
      <c r="H299" s="41"/>
      <c r="I299" s="41"/>
      <c r="J299" s="41"/>
      <c r="K299" s="41"/>
      <c r="L299" s="41"/>
      <c r="M299" s="41"/>
      <c r="N299" s="41"/>
      <c r="O299" s="41"/>
      <c r="P299" s="41"/>
      <c r="Q299" s="41"/>
      <c r="R299" s="41"/>
      <c r="S299" s="41"/>
      <c r="T299" s="41"/>
      <c r="U299" s="41"/>
      <c r="V299" s="41"/>
      <c r="W299" s="41"/>
      <c r="X299" s="41"/>
      <c r="Y299" s="41"/>
      <c r="Z299" s="41"/>
    </row>
    <row r="300" ht="33.75" customHeight="1">
      <c r="A300" s="41"/>
      <c r="B300" s="197" t="s">
        <v>761</v>
      </c>
      <c r="C300" s="13"/>
      <c r="D300" s="13"/>
      <c r="E300" s="14"/>
      <c r="F300" s="41"/>
      <c r="G300" s="41"/>
      <c r="H300" s="41"/>
      <c r="I300" s="41"/>
      <c r="J300" s="41"/>
      <c r="K300" s="41"/>
      <c r="L300" s="41"/>
      <c r="M300" s="41"/>
      <c r="N300" s="41"/>
      <c r="O300" s="41"/>
      <c r="P300" s="41"/>
      <c r="Q300" s="41"/>
      <c r="R300" s="41"/>
      <c r="S300" s="41"/>
      <c r="T300" s="41"/>
      <c r="U300" s="41"/>
      <c r="V300" s="41"/>
      <c r="W300" s="41"/>
      <c r="X300" s="41"/>
      <c r="Y300" s="41"/>
      <c r="Z300" s="41"/>
    </row>
    <row r="301" ht="19.5" customHeight="1">
      <c r="A301" s="41"/>
      <c r="B301" s="278"/>
      <c r="C301" s="279"/>
      <c r="D301" s="279"/>
      <c r="E301" s="280"/>
      <c r="F301" s="41"/>
      <c r="G301" s="41"/>
      <c r="H301" s="41"/>
      <c r="I301" s="41"/>
      <c r="J301" s="41"/>
      <c r="K301" s="41"/>
      <c r="L301" s="41"/>
      <c r="M301" s="41"/>
      <c r="N301" s="41"/>
      <c r="O301" s="41"/>
      <c r="P301" s="41"/>
      <c r="Q301" s="41"/>
      <c r="R301" s="41"/>
      <c r="S301" s="41"/>
      <c r="T301" s="41"/>
      <c r="U301" s="41"/>
      <c r="V301" s="41"/>
      <c r="W301" s="41"/>
      <c r="X301" s="41"/>
      <c r="Y301" s="41"/>
      <c r="Z301" s="41"/>
    </row>
    <row r="302" ht="19.5" customHeight="1">
      <c r="A302" s="41"/>
      <c r="B302" s="49" t="s">
        <v>37</v>
      </c>
      <c r="C302" s="49" t="s">
        <v>273</v>
      </c>
      <c r="D302" s="49" t="s">
        <v>274</v>
      </c>
      <c r="E302" s="49" t="s">
        <v>5</v>
      </c>
      <c r="F302" s="41"/>
      <c r="G302" s="41"/>
      <c r="H302" s="41"/>
      <c r="I302" s="41"/>
      <c r="J302" s="41"/>
      <c r="K302" s="41"/>
      <c r="L302" s="41"/>
      <c r="M302" s="41"/>
      <c r="N302" s="41"/>
      <c r="O302" s="41"/>
      <c r="P302" s="41"/>
      <c r="Q302" s="41"/>
      <c r="R302" s="41"/>
      <c r="S302" s="41"/>
      <c r="T302" s="41"/>
      <c r="U302" s="41"/>
      <c r="V302" s="41"/>
      <c r="W302" s="41"/>
      <c r="X302" s="41"/>
      <c r="Y302" s="41"/>
      <c r="Z302" s="41"/>
    </row>
    <row r="303" ht="19.5" customHeight="1">
      <c r="A303" s="41"/>
      <c r="B303" s="85" t="str">
        <f t="array" ref="B303:B318">wld_az2_host_fqdns</f>
        <v>Value Missing</v>
      </c>
      <c r="C303" s="110" t="s">
        <v>763</v>
      </c>
      <c r="D303" s="18"/>
      <c r="E303" s="18" t="s">
        <v>1483</v>
      </c>
      <c r="F303" s="41"/>
      <c r="G303" s="41"/>
      <c r="H303" s="41"/>
      <c r="I303" s="41"/>
      <c r="J303" s="41"/>
      <c r="K303" s="41"/>
      <c r="L303" s="41"/>
      <c r="M303" s="41"/>
      <c r="N303" s="41"/>
      <c r="O303" s="41"/>
      <c r="P303" s="41"/>
      <c r="Q303" s="41"/>
      <c r="R303" s="41"/>
      <c r="S303" s="41"/>
      <c r="T303" s="41"/>
      <c r="U303" s="41"/>
      <c r="V303" s="41"/>
      <c r="W303" s="41"/>
      <c r="X303" s="41"/>
      <c r="Y303" s="41"/>
      <c r="Z303" s="41"/>
    </row>
    <row r="304" ht="19.5" customHeight="1">
      <c r="A304" s="41"/>
      <c r="B304" s="84" t="s">
        <v>483</v>
      </c>
      <c r="C304" s="110" t="s">
        <v>765</v>
      </c>
      <c r="D304" s="18"/>
      <c r="E304" s="18" t="s">
        <v>1483</v>
      </c>
      <c r="F304" s="41"/>
      <c r="G304" s="41"/>
      <c r="H304" s="41"/>
      <c r="I304" s="41"/>
      <c r="J304" s="41"/>
      <c r="K304" s="41"/>
      <c r="L304" s="41"/>
      <c r="M304" s="41"/>
      <c r="N304" s="41"/>
      <c r="O304" s="41"/>
      <c r="P304" s="41"/>
      <c r="Q304" s="41"/>
      <c r="R304" s="41"/>
      <c r="S304" s="41"/>
      <c r="T304" s="41"/>
      <c r="U304" s="41"/>
      <c r="V304" s="41"/>
      <c r="W304" s="41"/>
      <c r="X304" s="41"/>
      <c r="Y304" s="41"/>
      <c r="Z304" s="41"/>
    </row>
    <row r="305" ht="19.5" customHeight="1">
      <c r="A305" s="41"/>
      <c r="B305" s="84" t="s">
        <v>483</v>
      </c>
      <c r="C305" s="110" t="s">
        <v>767</v>
      </c>
      <c r="D305" s="18"/>
      <c r="E305" s="18" t="s">
        <v>1483</v>
      </c>
      <c r="F305" s="41"/>
      <c r="G305" s="41"/>
      <c r="H305" s="41"/>
      <c r="I305" s="41"/>
      <c r="J305" s="41"/>
      <c r="K305" s="41"/>
      <c r="L305" s="41"/>
      <c r="M305" s="41"/>
      <c r="N305" s="41"/>
      <c r="O305" s="41"/>
      <c r="P305" s="41"/>
      <c r="Q305" s="41"/>
      <c r="R305" s="41"/>
      <c r="S305" s="41"/>
      <c r="T305" s="41"/>
      <c r="U305" s="41"/>
      <c r="V305" s="41"/>
      <c r="W305" s="41"/>
      <c r="X305" s="41"/>
      <c r="Y305" s="41"/>
      <c r="Z305" s="41"/>
    </row>
    <row r="306" ht="19.5" customHeight="1">
      <c r="A306" s="41"/>
      <c r="B306" s="84" t="s">
        <v>483</v>
      </c>
      <c r="C306" s="110" t="s">
        <v>769</v>
      </c>
      <c r="D306" s="18"/>
      <c r="E306" s="18" t="s">
        <v>1483</v>
      </c>
      <c r="F306" s="41"/>
      <c r="G306" s="41"/>
      <c r="H306" s="41"/>
      <c r="I306" s="41"/>
      <c r="J306" s="41"/>
      <c r="K306" s="41"/>
      <c r="L306" s="41"/>
      <c r="M306" s="41"/>
      <c r="N306" s="41"/>
      <c r="O306" s="41"/>
      <c r="P306" s="41"/>
      <c r="Q306" s="41"/>
      <c r="R306" s="41"/>
      <c r="S306" s="41"/>
      <c r="T306" s="41"/>
      <c r="U306" s="41"/>
      <c r="V306" s="41"/>
      <c r="W306" s="41"/>
      <c r="X306" s="41"/>
      <c r="Y306" s="41"/>
      <c r="Z306" s="41"/>
    </row>
    <row r="307" ht="19.5" customHeight="1">
      <c r="A307" s="41"/>
      <c r="B307" s="84" t="s">
        <v>483</v>
      </c>
      <c r="C307" s="110" t="s">
        <v>1484</v>
      </c>
      <c r="D307" s="18"/>
      <c r="E307" s="18"/>
      <c r="F307" s="41"/>
      <c r="G307" s="41"/>
      <c r="H307" s="41"/>
      <c r="I307" s="41"/>
      <c r="J307" s="41"/>
      <c r="K307" s="41"/>
      <c r="L307" s="41"/>
      <c r="M307" s="41"/>
      <c r="N307" s="41"/>
      <c r="O307" s="41"/>
      <c r="P307" s="41"/>
      <c r="Q307" s="41"/>
      <c r="R307" s="41"/>
      <c r="S307" s="41"/>
      <c r="T307" s="41"/>
      <c r="U307" s="41"/>
      <c r="V307" s="41"/>
      <c r="W307" s="41"/>
      <c r="X307" s="41"/>
      <c r="Y307" s="41"/>
      <c r="Z307" s="41"/>
    </row>
    <row r="308" ht="19.5" customHeight="1">
      <c r="A308" s="41"/>
      <c r="B308" s="84" t="s">
        <v>483</v>
      </c>
      <c r="C308" s="110" t="s">
        <v>1485</v>
      </c>
      <c r="D308" s="18"/>
      <c r="E308" s="18"/>
      <c r="F308" s="41"/>
      <c r="G308" s="41"/>
      <c r="H308" s="41"/>
      <c r="I308" s="41"/>
      <c r="J308" s="41"/>
      <c r="K308" s="41"/>
      <c r="L308" s="41"/>
      <c r="M308" s="41"/>
      <c r="N308" s="41"/>
      <c r="O308" s="41"/>
      <c r="P308" s="41"/>
      <c r="Q308" s="41"/>
      <c r="R308" s="41"/>
      <c r="S308" s="41"/>
      <c r="T308" s="41"/>
      <c r="U308" s="41"/>
      <c r="V308" s="41"/>
      <c r="W308" s="41"/>
      <c r="X308" s="41"/>
      <c r="Y308" s="41"/>
      <c r="Z308" s="41"/>
    </row>
    <row r="309" ht="19.5" customHeight="1">
      <c r="A309" s="41"/>
      <c r="B309" s="84" t="s">
        <v>483</v>
      </c>
      <c r="C309" s="110" t="s">
        <v>1486</v>
      </c>
      <c r="D309" s="18"/>
      <c r="E309" s="18"/>
      <c r="F309" s="41"/>
      <c r="G309" s="41"/>
      <c r="H309" s="41"/>
      <c r="I309" s="41"/>
      <c r="J309" s="41"/>
      <c r="K309" s="41"/>
      <c r="L309" s="41"/>
      <c r="M309" s="41"/>
      <c r="N309" s="41"/>
      <c r="O309" s="41"/>
      <c r="P309" s="41"/>
      <c r="Q309" s="41"/>
      <c r="R309" s="41"/>
      <c r="S309" s="41"/>
      <c r="T309" s="41"/>
      <c r="U309" s="41"/>
      <c r="V309" s="41"/>
      <c r="W309" s="41"/>
      <c r="X309" s="41"/>
      <c r="Y309" s="41"/>
      <c r="Z309" s="41"/>
    </row>
    <row r="310" ht="19.5" customHeight="1">
      <c r="A310" s="41"/>
      <c r="B310" s="84" t="s">
        <v>483</v>
      </c>
      <c r="C310" s="110" t="s">
        <v>1487</v>
      </c>
      <c r="D310" s="18"/>
      <c r="E310" s="18"/>
      <c r="F310" s="41"/>
      <c r="G310" s="41"/>
      <c r="H310" s="41"/>
      <c r="I310" s="41"/>
      <c r="J310" s="41"/>
      <c r="K310" s="41"/>
      <c r="L310" s="41"/>
      <c r="M310" s="41"/>
      <c r="N310" s="41"/>
      <c r="O310" s="41"/>
      <c r="P310" s="41"/>
      <c r="Q310" s="41"/>
      <c r="R310" s="41"/>
      <c r="S310" s="41"/>
      <c r="T310" s="41"/>
      <c r="U310" s="41"/>
      <c r="V310" s="41"/>
      <c r="W310" s="41"/>
      <c r="X310" s="41"/>
      <c r="Y310" s="41"/>
      <c r="Z310" s="41"/>
    </row>
    <row r="311" ht="19.5" customHeight="1">
      <c r="A311" s="41"/>
      <c r="B311" s="84" t="s">
        <v>483</v>
      </c>
      <c r="C311" s="110" t="s">
        <v>1488</v>
      </c>
      <c r="D311" s="18"/>
      <c r="E311" s="18"/>
      <c r="F311" s="41"/>
      <c r="G311" s="41"/>
      <c r="H311" s="41"/>
      <c r="I311" s="41"/>
      <c r="J311" s="41"/>
      <c r="K311" s="41"/>
      <c r="L311" s="41"/>
      <c r="M311" s="41"/>
      <c r="N311" s="41"/>
      <c r="O311" s="41"/>
      <c r="P311" s="41"/>
      <c r="Q311" s="41"/>
      <c r="R311" s="41"/>
      <c r="S311" s="41"/>
      <c r="T311" s="41"/>
      <c r="U311" s="41"/>
      <c r="V311" s="41"/>
      <c r="W311" s="41"/>
      <c r="X311" s="41"/>
      <c r="Y311" s="41"/>
      <c r="Z311" s="41"/>
    </row>
    <row r="312" ht="19.5" customHeight="1">
      <c r="A312" s="41"/>
      <c r="B312" s="84" t="s">
        <v>483</v>
      </c>
      <c r="C312" s="110" t="s">
        <v>1489</v>
      </c>
      <c r="D312" s="18"/>
      <c r="E312" s="18"/>
      <c r="F312" s="41"/>
      <c r="G312" s="41"/>
      <c r="H312" s="41"/>
      <c r="I312" s="41"/>
      <c r="J312" s="41"/>
      <c r="K312" s="41"/>
      <c r="L312" s="41"/>
      <c r="M312" s="41"/>
      <c r="N312" s="41"/>
      <c r="O312" s="41"/>
      <c r="P312" s="41"/>
      <c r="Q312" s="41"/>
      <c r="R312" s="41"/>
      <c r="S312" s="41"/>
      <c r="T312" s="41"/>
      <c r="U312" s="41"/>
      <c r="V312" s="41"/>
      <c r="W312" s="41"/>
      <c r="X312" s="41"/>
      <c r="Y312" s="41"/>
      <c r="Z312" s="41"/>
    </row>
    <row r="313" ht="19.5" customHeight="1">
      <c r="A313" s="41"/>
      <c r="B313" s="84" t="s">
        <v>483</v>
      </c>
      <c r="C313" s="110" t="s">
        <v>1490</v>
      </c>
      <c r="D313" s="18"/>
      <c r="E313" s="18"/>
      <c r="F313" s="41"/>
      <c r="G313" s="41"/>
      <c r="H313" s="41"/>
      <c r="I313" s="41"/>
      <c r="J313" s="41"/>
      <c r="K313" s="41"/>
      <c r="L313" s="41"/>
      <c r="M313" s="41"/>
      <c r="N313" s="41"/>
      <c r="O313" s="41"/>
      <c r="P313" s="41"/>
      <c r="Q313" s="41"/>
      <c r="R313" s="41"/>
      <c r="S313" s="41"/>
      <c r="T313" s="41"/>
      <c r="U313" s="41"/>
      <c r="V313" s="41"/>
      <c r="W313" s="41"/>
      <c r="X313" s="41"/>
      <c r="Y313" s="41"/>
      <c r="Z313" s="41"/>
    </row>
    <row r="314" ht="19.5" customHeight="1">
      <c r="A314" s="41"/>
      <c r="B314" s="84" t="s">
        <v>483</v>
      </c>
      <c r="C314" s="110" t="s">
        <v>1491</v>
      </c>
      <c r="D314" s="18"/>
      <c r="E314" s="18"/>
      <c r="F314" s="41"/>
      <c r="G314" s="41"/>
      <c r="H314" s="41"/>
      <c r="I314" s="41"/>
      <c r="J314" s="41"/>
      <c r="K314" s="41"/>
      <c r="L314" s="41"/>
      <c r="M314" s="41"/>
      <c r="N314" s="41"/>
      <c r="O314" s="41"/>
      <c r="P314" s="41"/>
      <c r="Q314" s="41"/>
      <c r="R314" s="41"/>
      <c r="S314" s="41"/>
      <c r="T314" s="41"/>
      <c r="U314" s="41"/>
      <c r="V314" s="41"/>
      <c r="W314" s="41"/>
      <c r="X314" s="41"/>
      <c r="Y314" s="41"/>
      <c r="Z314" s="41"/>
    </row>
    <row r="315" ht="19.5" customHeight="1">
      <c r="A315" s="41"/>
      <c r="B315" s="84" t="s">
        <v>483</v>
      </c>
      <c r="C315" s="110" t="s">
        <v>1492</v>
      </c>
      <c r="D315" s="18"/>
      <c r="E315" s="18"/>
      <c r="F315" s="41"/>
      <c r="G315" s="41"/>
      <c r="H315" s="41"/>
      <c r="I315" s="41"/>
      <c r="J315" s="41"/>
      <c r="K315" s="41"/>
      <c r="L315" s="41"/>
      <c r="M315" s="41"/>
      <c r="N315" s="41"/>
      <c r="O315" s="41"/>
      <c r="P315" s="41"/>
      <c r="Q315" s="41"/>
      <c r="R315" s="41"/>
      <c r="S315" s="41"/>
      <c r="T315" s="41"/>
      <c r="U315" s="41"/>
      <c r="V315" s="41"/>
      <c r="W315" s="41"/>
      <c r="X315" s="41"/>
      <c r="Y315" s="41"/>
      <c r="Z315" s="41"/>
    </row>
    <row r="316" ht="19.5" customHeight="1">
      <c r="A316" s="41"/>
      <c r="B316" s="84" t="s">
        <v>483</v>
      </c>
      <c r="C316" s="110" t="s">
        <v>1493</v>
      </c>
      <c r="D316" s="18"/>
      <c r="E316" s="18"/>
      <c r="F316" s="41"/>
      <c r="G316" s="41"/>
      <c r="H316" s="41"/>
      <c r="I316" s="41"/>
      <c r="J316" s="41"/>
      <c r="K316" s="41"/>
      <c r="L316" s="41"/>
      <c r="M316" s="41"/>
      <c r="N316" s="41"/>
      <c r="O316" s="41"/>
      <c r="P316" s="41"/>
      <c r="Q316" s="41"/>
      <c r="R316" s="41"/>
      <c r="S316" s="41"/>
      <c r="T316" s="41"/>
      <c r="U316" s="41"/>
      <c r="V316" s="41"/>
      <c r="W316" s="41"/>
      <c r="X316" s="41"/>
      <c r="Y316" s="41"/>
      <c r="Z316" s="41"/>
    </row>
    <row r="317" ht="19.5" customHeight="1">
      <c r="A317" s="41"/>
      <c r="B317" s="84" t="s">
        <v>483</v>
      </c>
      <c r="C317" s="110" t="s">
        <v>1494</v>
      </c>
      <c r="D317" s="18"/>
      <c r="E317" s="18"/>
      <c r="F317" s="41"/>
      <c r="G317" s="41"/>
      <c r="H317" s="41"/>
      <c r="I317" s="41"/>
      <c r="J317" s="41"/>
      <c r="K317" s="41"/>
      <c r="L317" s="41"/>
      <c r="M317" s="41"/>
      <c r="N317" s="41"/>
      <c r="O317" s="41"/>
      <c r="P317" s="41"/>
      <c r="Q317" s="41"/>
      <c r="R317" s="41"/>
      <c r="S317" s="41"/>
      <c r="T317" s="41"/>
      <c r="U317" s="41"/>
      <c r="V317" s="41"/>
      <c r="W317" s="41"/>
      <c r="X317" s="41"/>
      <c r="Y317" s="41"/>
      <c r="Z317" s="41"/>
    </row>
    <row r="318" ht="19.5" customHeight="1">
      <c r="A318" s="41"/>
      <c r="B318" s="84" t="s">
        <v>483</v>
      </c>
      <c r="C318" s="110" t="s">
        <v>1495</v>
      </c>
      <c r="D318" s="18"/>
      <c r="E318" s="18"/>
      <c r="F318" s="41"/>
      <c r="G318" s="41"/>
      <c r="H318" s="41"/>
      <c r="I318" s="41"/>
      <c r="J318" s="41"/>
      <c r="K318" s="41"/>
      <c r="L318" s="41"/>
      <c r="M318" s="41"/>
      <c r="N318" s="41"/>
      <c r="O318" s="41"/>
      <c r="P318" s="41"/>
      <c r="Q318" s="41"/>
      <c r="R318" s="41"/>
      <c r="S318" s="41"/>
      <c r="T318" s="41"/>
      <c r="U318" s="41"/>
      <c r="V318" s="41"/>
      <c r="W318" s="41"/>
      <c r="X318" s="41"/>
      <c r="Y318" s="41"/>
      <c r="Z318" s="41"/>
    </row>
    <row r="319" ht="19.5" customHeight="1">
      <c r="A319" s="41"/>
      <c r="B319" s="84" t="s">
        <v>795</v>
      </c>
      <c r="C319" s="110" t="str">
        <f>CONCATENATE(this_instance,"02-",sample_wld_cl01_cluster,"-r01-network-profile")</f>
        <v>lax02-lax-w01-cl01-r01-network-profile</v>
      </c>
      <c r="D319" s="18"/>
      <c r="E319" s="282"/>
      <c r="F319" s="41"/>
      <c r="G319" s="41"/>
      <c r="H319" s="41"/>
      <c r="I319" s="41"/>
      <c r="J319" s="41"/>
      <c r="K319" s="41"/>
      <c r="L319" s="41"/>
      <c r="M319" s="41"/>
      <c r="N319" s="41"/>
      <c r="O319" s="41"/>
      <c r="P319" s="41"/>
      <c r="Q319" s="41"/>
      <c r="R319" s="41"/>
      <c r="S319" s="41"/>
      <c r="T319" s="41"/>
      <c r="U319" s="41"/>
      <c r="V319" s="41"/>
      <c r="W319" s="41"/>
      <c r="X319" s="41"/>
      <c r="Y319" s="41"/>
      <c r="Z319" s="41"/>
    </row>
    <row r="320" ht="19.5" customHeight="1">
      <c r="A320" s="41"/>
      <c r="B320" s="84" t="s">
        <v>796</v>
      </c>
      <c r="C320" s="110" t="s">
        <v>797</v>
      </c>
      <c r="D320" s="18" t="s">
        <v>797</v>
      </c>
      <c r="E320" s="8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c r="F320" s="41"/>
      <c r="G320" s="41"/>
      <c r="H320" s="41"/>
      <c r="I320" s="41"/>
      <c r="J320" s="41"/>
      <c r="K320" s="41"/>
      <c r="L320" s="41"/>
      <c r="M320" s="41"/>
      <c r="N320" s="41"/>
      <c r="O320" s="41"/>
      <c r="P320" s="41"/>
      <c r="Q320" s="41"/>
      <c r="R320" s="41"/>
      <c r="S320" s="41"/>
      <c r="T320" s="41"/>
      <c r="U320" s="41"/>
      <c r="V320" s="41"/>
      <c r="W320" s="41"/>
      <c r="X320" s="41"/>
      <c r="Y320" s="41"/>
      <c r="Z320" s="41"/>
    </row>
    <row r="321" ht="19.5" customHeight="1">
      <c r="A321" s="41"/>
      <c r="B321" s="84" t="s">
        <v>798</v>
      </c>
      <c r="C321" s="110" t="str">
        <f>CONCATENATE(this_instance,"02-w0",wld_domain_number_chosen,"-r01-ip-pool01-host")</f>
        <v>lax02-w01-r01-ip-pool01-host</v>
      </c>
      <c r="D321" s="18"/>
      <c r="E321" s="84"/>
      <c r="F321" s="41"/>
      <c r="G321" s="41"/>
      <c r="H321" s="41"/>
      <c r="I321" s="41"/>
      <c r="J321" s="41"/>
      <c r="K321" s="41"/>
      <c r="L321" s="41"/>
      <c r="M321" s="41"/>
      <c r="N321" s="41"/>
      <c r="O321" s="41"/>
      <c r="P321" s="41"/>
      <c r="Q321" s="41"/>
      <c r="R321" s="41"/>
      <c r="S321" s="41"/>
      <c r="T321" s="41"/>
      <c r="U321" s="41"/>
      <c r="V321" s="41"/>
      <c r="W321" s="41"/>
      <c r="X321" s="41"/>
      <c r="Y321" s="41"/>
      <c r="Z321" s="41"/>
    </row>
    <row r="322" ht="19.5" customHeight="1">
      <c r="A322" s="41"/>
      <c r="B322" s="84" t="s">
        <v>799</v>
      </c>
      <c r="C322" s="110" t="str">
        <f>CONCATENATE(this_instance,"02-w0",wld_domain_number_chosen,"-r01-uplink-profile01")</f>
        <v>lax02-w01-r01-uplink-profile01</v>
      </c>
      <c r="D322" s="18"/>
      <c r="E322" s="84"/>
      <c r="F322" s="41"/>
      <c r="G322" s="41"/>
      <c r="H322" s="41"/>
      <c r="I322" s="41"/>
      <c r="J322" s="41"/>
      <c r="K322" s="41"/>
      <c r="L322" s="41"/>
      <c r="M322" s="41"/>
      <c r="N322" s="41"/>
      <c r="O322" s="41"/>
      <c r="P322" s="41"/>
      <c r="Q322" s="41"/>
      <c r="R322" s="41"/>
      <c r="S322" s="41"/>
      <c r="T322" s="41"/>
      <c r="U322" s="41"/>
      <c r="V322" s="41"/>
      <c r="W322" s="41"/>
      <c r="X322" s="41"/>
      <c r="Y322" s="41"/>
      <c r="Z322" s="41"/>
    </row>
    <row r="323" ht="19.5" customHeight="1">
      <c r="A323" s="41"/>
      <c r="B323" s="173" t="s">
        <v>800</v>
      </c>
      <c r="C323" s="110" t="str">
        <f>CONCATENATE(prefix_wld_az2_vlan,"14")</f>
        <v>2414</v>
      </c>
      <c r="D323" s="18"/>
      <c r="E323" s="84"/>
      <c r="F323" s="41"/>
      <c r="G323" s="41"/>
      <c r="H323" s="41"/>
      <c r="I323" s="41"/>
      <c r="J323" s="41"/>
      <c r="K323" s="41"/>
      <c r="L323" s="41"/>
      <c r="M323" s="41"/>
      <c r="N323" s="41"/>
      <c r="O323" s="41"/>
      <c r="P323" s="41"/>
      <c r="Q323" s="41"/>
      <c r="R323" s="41"/>
      <c r="S323" s="41"/>
      <c r="T323" s="41"/>
      <c r="U323" s="41"/>
      <c r="V323" s="41"/>
      <c r="W323" s="41"/>
      <c r="X323" s="41"/>
      <c r="Y323" s="41"/>
      <c r="Z323" s="41"/>
    </row>
    <row r="324" ht="19.5" customHeight="1">
      <c r="A324" s="41"/>
      <c r="B324" s="84" t="s">
        <v>801</v>
      </c>
      <c r="C324" s="156" t="str">
        <f>CONCATENATE(prefix_wld_az2_cidr,"14.1")</f>
        <v>10.24.14.1</v>
      </c>
      <c r="D324" s="18"/>
      <c r="E324" s="191" t="str">
        <f>IF(AND(mgmt_stretched_cluster_result="Included",mgmt_dpg_reuse_result="Excluded"),"Stretched L2","")</f>
        <v/>
      </c>
      <c r="F324" s="41"/>
      <c r="G324" s="41"/>
      <c r="H324" s="41"/>
      <c r="I324" s="41"/>
      <c r="J324" s="41"/>
      <c r="K324" s="41"/>
      <c r="L324" s="41"/>
      <c r="M324" s="41"/>
      <c r="N324" s="41"/>
      <c r="O324" s="41"/>
      <c r="P324" s="41"/>
      <c r="Q324" s="41"/>
      <c r="R324" s="41"/>
      <c r="S324" s="41"/>
      <c r="T324" s="41"/>
      <c r="U324" s="41"/>
      <c r="V324" s="41"/>
      <c r="W324" s="41"/>
      <c r="X324" s="41"/>
      <c r="Y324" s="41"/>
      <c r="Z324" s="41"/>
    </row>
    <row r="325" ht="19.5" customHeight="1">
      <c r="A325" s="41"/>
      <c r="B325" s="84" t="s">
        <v>802</v>
      </c>
      <c r="C325" s="156" t="str">
        <f>CONCATENATE(prefix_wld_az2_cidr,"14.0/24")</f>
        <v>10.24.14.0/24</v>
      </c>
      <c r="D325" s="18"/>
      <c r="E325" s="191"/>
      <c r="F325" s="41"/>
      <c r="G325" s="41"/>
      <c r="H325" s="41"/>
      <c r="I325" s="41"/>
      <c r="J325" s="41"/>
      <c r="K325" s="41"/>
      <c r="L325" s="41"/>
      <c r="M325" s="41"/>
      <c r="N325" s="41"/>
      <c r="O325" s="41"/>
      <c r="P325" s="41"/>
      <c r="Q325" s="41"/>
      <c r="R325" s="41"/>
      <c r="S325" s="41"/>
      <c r="T325" s="41"/>
      <c r="U325" s="41"/>
      <c r="V325" s="41"/>
      <c r="W325" s="41"/>
      <c r="X325" s="41"/>
      <c r="Y325" s="41"/>
      <c r="Z325" s="41"/>
    </row>
    <row r="326" ht="19.5" customHeight="1">
      <c r="A326" s="41"/>
      <c r="B326" s="84" t="s">
        <v>803</v>
      </c>
      <c r="C326" s="156">
        <v>9000.0</v>
      </c>
      <c r="D326" s="18"/>
      <c r="E326" s="201"/>
      <c r="F326" s="41"/>
      <c r="G326" s="41"/>
      <c r="H326" s="41"/>
      <c r="I326" s="41"/>
      <c r="J326" s="41"/>
      <c r="K326" s="41"/>
      <c r="L326" s="41"/>
      <c r="M326" s="41"/>
      <c r="N326" s="41"/>
      <c r="O326" s="41"/>
      <c r="P326" s="41"/>
      <c r="Q326" s="41"/>
      <c r="R326" s="41"/>
      <c r="S326" s="41"/>
      <c r="T326" s="41"/>
      <c r="U326" s="41"/>
      <c r="V326" s="41"/>
      <c r="W326" s="41"/>
      <c r="X326" s="41"/>
      <c r="Y326" s="41"/>
      <c r="Z326" s="41"/>
    </row>
    <row r="327" ht="19.5" customHeight="1">
      <c r="A327" s="41"/>
      <c r="B327" s="173" t="s">
        <v>465</v>
      </c>
      <c r="C327" s="156" t="str">
        <f>CONCATENATE(prefix_wld_az2_cidr,"14.101")</f>
        <v>10.24.14.101</v>
      </c>
      <c r="D327" s="18"/>
      <c r="E327" s="201"/>
      <c r="F327" s="41"/>
      <c r="G327" s="41"/>
      <c r="H327" s="41"/>
      <c r="I327" s="41"/>
      <c r="J327" s="41"/>
      <c r="K327" s="41"/>
      <c r="L327" s="41"/>
      <c r="M327" s="41"/>
      <c r="N327" s="41"/>
      <c r="O327" s="41"/>
      <c r="P327" s="41"/>
      <c r="Q327" s="41"/>
      <c r="R327" s="41"/>
      <c r="S327" s="41"/>
      <c r="T327" s="41"/>
      <c r="U327" s="41"/>
      <c r="V327" s="41"/>
      <c r="W327" s="41"/>
      <c r="X327" s="41"/>
      <c r="Y327" s="41"/>
      <c r="Z327" s="41"/>
    </row>
    <row r="328" ht="19.5" customHeight="1">
      <c r="A328" s="41"/>
      <c r="B328" s="173" t="s">
        <v>466</v>
      </c>
      <c r="C328" s="156" t="str">
        <f>CONCATENATE(prefix_wld_az2_cidr,"14.132")</f>
        <v>10.24.14.132</v>
      </c>
      <c r="D328" s="18"/>
      <c r="E328" s="201"/>
      <c r="F328" s="41"/>
      <c r="G328" s="41"/>
      <c r="H328" s="41"/>
      <c r="I328" s="41"/>
      <c r="J328" s="41"/>
      <c r="K328" s="41"/>
      <c r="L328" s="41"/>
      <c r="M328" s="41"/>
      <c r="N328" s="41"/>
      <c r="O328" s="41"/>
      <c r="P328" s="41"/>
      <c r="Q328" s="41"/>
      <c r="R328" s="41"/>
      <c r="S328" s="41"/>
      <c r="T328" s="41"/>
      <c r="U328" s="41"/>
      <c r="V328" s="41"/>
      <c r="W328" s="41"/>
      <c r="X328" s="41"/>
      <c r="Y328" s="41"/>
      <c r="Z328" s="41"/>
    </row>
    <row r="329" ht="19.5" customHeight="1">
      <c r="A329" s="41"/>
      <c r="B329" s="84" t="s">
        <v>1496</v>
      </c>
      <c r="C329" s="111" t="str">
        <f>sample_wld_witness_fqdn</f>
        <v>lax-w01-cl01-vsw01.lax.rainpole.io</v>
      </c>
      <c r="D329" s="18" t="str">
        <f>wld_witness_fqdn</f>
        <v>Value Missing</v>
      </c>
      <c r="E329" s="84"/>
      <c r="F329" s="41"/>
      <c r="G329" s="41"/>
      <c r="H329" s="41"/>
      <c r="I329" s="41"/>
      <c r="J329" s="41"/>
      <c r="K329" s="41"/>
      <c r="L329" s="41"/>
      <c r="M329" s="41"/>
      <c r="N329" s="41"/>
      <c r="O329" s="41"/>
      <c r="P329" s="41"/>
      <c r="Q329" s="41"/>
      <c r="R329" s="41"/>
      <c r="S329" s="41"/>
      <c r="T329" s="41"/>
      <c r="U329" s="41"/>
      <c r="V329" s="41"/>
      <c r="W329" s="41"/>
      <c r="X329" s="41"/>
      <c r="Y329" s="41"/>
      <c r="Z329" s="41"/>
    </row>
    <row r="330" ht="19.5" customHeight="1">
      <c r="A330" s="41"/>
      <c r="B330" s="84" t="s">
        <v>808</v>
      </c>
      <c r="C330" s="110" t="str">
        <f>sample_wld_witnessaz_mgmt_cidr</f>
        <v>10.11.10.0/24</v>
      </c>
      <c r="D330" s="18" t="str">
        <f>wld_witnessaz_mgmt_cidr</f>
        <v>Value Missing</v>
      </c>
      <c r="E330" s="84"/>
      <c r="F330" s="41"/>
      <c r="G330" s="41"/>
      <c r="H330" s="41"/>
      <c r="I330" s="41"/>
      <c r="J330" s="41"/>
      <c r="K330" s="41"/>
      <c r="L330" s="41"/>
      <c r="M330" s="41"/>
      <c r="N330" s="41"/>
      <c r="O330" s="41"/>
      <c r="P330" s="41"/>
      <c r="Q330" s="41"/>
      <c r="R330" s="41"/>
      <c r="S330" s="41"/>
      <c r="T330" s="41"/>
      <c r="U330" s="41"/>
      <c r="V330" s="41"/>
      <c r="W330" s="41"/>
      <c r="X330" s="41"/>
      <c r="Y330" s="41"/>
      <c r="Z330" s="41"/>
    </row>
    <row r="331" ht="19.5" customHeight="1">
      <c r="A331" s="41"/>
      <c r="B331" s="84" t="s">
        <v>806</v>
      </c>
      <c r="C331" s="110" t="str">
        <f>sample_wld_witness_ip</f>
        <v>10.11.10.219</v>
      </c>
      <c r="D331" s="18" t="str">
        <f>wld_witness_mgmt_ip</f>
        <v>#NAME?</v>
      </c>
      <c r="E331" s="84"/>
      <c r="F331" s="41"/>
      <c r="G331" s="41"/>
      <c r="H331" s="41"/>
      <c r="I331" s="41"/>
      <c r="J331" s="41"/>
      <c r="K331" s="41"/>
      <c r="L331" s="41"/>
      <c r="M331" s="41"/>
      <c r="N331" s="41"/>
      <c r="O331" s="41"/>
      <c r="P331" s="41"/>
      <c r="Q331" s="41"/>
      <c r="R331" s="41"/>
      <c r="S331" s="41"/>
      <c r="T331" s="41"/>
      <c r="U331" s="41"/>
      <c r="V331" s="41"/>
      <c r="W331" s="41"/>
      <c r="X331" s="41"/>
      <c r="Y331" s="41"/>
      <c r="Z331" s="41"/>
    </row>
    <row r="332" ht="19.5" customHeight="1">
      <c r="A332" s="41"/>
      <c r="B332" s="84" t="s">
        <v>811</v>
      </c>
      <c r="C332" s="110" t="s">
        <v>810</v>
      </c>
      <c r="D332" s="18"/>
      <c r="E332" s="18"/>
      <c r="F332" s="41"/>
      <c r="G332" s="41"/>
      <c r="H332" s="41"/>
      <c r="I332" s="41"/>
      <c r="J332" s="41"/>
      <c r="K332" s="41"/>
      <c r="L332" s="41"/>
      <c r="M332" s="41"/>
      <c r="N332" s="41"/>
      <c r="O332" s="41"/>
      <c r="P332" s="41"/>
      <c r="Q332" s="41"/>
      <c r="R332" s="41"/>
      <c r="S332" s="41"/>
      <c r="T332" s="41"/>
      <c r="U332" s="41"/>
      <c r="V332" s="41"/>
      <c r="W332" s="41"/>
      <c r="X332" s="41"/>
      <c r="Y332" s="41"/>
      <c r="Z332" s="41"/>
    </row>
    <row r="333" ht="19.5" customHeight="1">
      <c r="A333" s="41"/>
      <c r="B333" s="79"/>
      <c r="C333" s="13"/>
      <c r="D333" s="13"/>
      <c r="E333" s="13"/>
      <c r="F333" s="41"/>
      <c r="G333" s="41"/>
      <c r="H333" s="41"/>
      <c r="I333" s="41"/>
      <c r="J333" s="41"/>
      <c r="K333" s="41"/>
      <c r="L333" s="41"/>
      <c r="M333" s="41"/>
      <c r="N333" s="41"/>
      <c r="O333" s="41"/>
      <c r="P333" s="41"/>
      <c r="Q333" s="41"/>
      <c r="R333" s="41"/>
      <c r="S333" s="41"/>
      <c r="T333" s="41"/>
      <c r="U333" s="41"/>
      <c r="V333" s="41"/>
      <c r="W333" s="41"/>
      <c r="X333" s="41"/>
      <c r="Y333" s="41"/>
      <c r="Z333" s="41"/>
    </row>
    <row r="334" ht="33.75" customHeight="1">
      <c r="A334" s="41"/>
      <c r="B334" s="197" t="s">
        <v>812</v>
      </c>
      <c r="C334" s="13"/>
      <c r="D334" s="13"/>
      <c r="E334" s="14"/>
      <c r="F334" s="41"/>
      <c r="G334" s="41"/>
      <c r="H334" s="41"/>
      <c r="I334" s="41"/>
      <c r="J334" s="41"/>
      <c r="K334" s="41"/>
      <c r="L334" s="41"/>
      <c r="M334" s="41"/>
      <c r="N334" s="41"/>
      <c r="O334" s="41"/>
      <c r="P334" s="41"/>
      <c r="Q334" s="41"/>
      <c r="R334" s="41"/>
      <c r="S334" s="41"/>
      <c r="T334" s="41"/>
      <c r="U334" s="41"/>
      <c r="V334" s="41"/>
      <c r="W334" s="41"/>
      <c r="X334" s="41"/>
      <c r="Y334" s="41"/>
      <c r="Z334" s="41"/>
    </row>
    <row r="335" ht="19.5" customHeight="1">
      <c r="A335" s="41"/>
      <c r="B335" s="15" t="s">
        <v>813</v>
      </c>
      <c r="C335" s="283"/>
      <c r="D335" s="283"/>
      <c r="E335" s="283"/>
      <c r="F335" s="41"/>
      <c r="G335" s="41"/>
      <c r="H335" s="41"/>
      <c r="I335" s="41"/>
      <c r="J335" s="41"/>
      <c r="K335" s="41"/>
      <c r="L335" s="41"/>
      <c r="M335" s="41"/>
      <c r="N335" s="41"/>
      <c r="O335" s="41"/>
      <c r="P335" s="41"/>
      <c r="Q335" s="41"/>
      <c r="R335" s="41"/>
      <c r="S335" s="41"/>
      <c r="T335" s="41"/>
      <c r="U335" s="41"/>
      <c r="V335" s="41"/>
      <c r="W335" s="41"/>
      <c r="X335" s="41"/>
      <c r="Y335" s="41"/>
      <c r="Z335" s="41"/>
    </row>
    <row r="336" ht="19.5" customHeight="1">
      <c r="A336" s="41"/>
      <c r="B336" s="49" t="s">
        <v>37</v>
      </c>
      <c r="C336" s="49" t="s">
        <v>273</v>
      </c>
      <c r="D336" s="49" t="s">
        <v>274</v>
      </c>
      <c r="E336" s="49" t="s">
        <v>5</v>
      </c>
      <c r="F336" s="41"/>
      <c r="G336" s="41"/>
      <c r="H336" s="41"/>
      <c r="I336" s="41"/>
      <c r="J336" s="41"/>
      <c r="K336" s="41"/>
      <c r="L336" s="41"/>
      <c r="M336" s="41"/>
      <c r="N336" s="41"/>
      <c r="O336" s="41"/>
      <c r="P336" s="41"/>
      <c r="Q336" s="41"/>
      <c r="R336" s="41"/>
      <c r="S336" s="41"/>
      <c r="T336" s="41"/>
      <c r="U336" s="41"/>
      <c r="V336" s="41"/>
      <c r="W336" s="41"/>
      <c r="X336" s="41"/>
      <c r="Y336" s="41"/>
      <c r="Z336" s="41"/>
    </row>
    <row r="337" ht="19.5" customHeight="1">
      <c r="A337" s="41"/>
      <c r="B337" s="84" t="s">
        <v>814</v>
      </c>
      <c r="C337" s="111" t="str">
        <f>sample_wld_nsxt_vip_fqdn</f>
        <v>lax-w01-nsx01.lax.rainpole.io</v>
      </c>
      <c r="D337" s="18" t="str">
        <f>wld_nsxt_vip_fqdn</f>
        <v>Value Missing</v>
      </c>
      <c r="E337" s="84" t="str">
        <f>IF(wld_bgp_chosen&lt;&gt;"Centralized Connectivity", "These sections are masked out as NSX connectivity has not be configured or selected in Post-Deployment Options","")</f>
        <v>These sections are masked out as NSX connectivity has not be configured or selected in Post-Deployment Options</v>
      </c>
      <c r="F337" s="41"/>
      <c r="G337" s="41"/>
      <c r="H337" s="41"/>
      <c r="I337" s="41"/>
      <c r="J337" s="41"/>
      <c r="K337" s="41"/>
      <c r="L337" s="41"/>
      <c r="M337" s="41"/>
      <c r="N337" s="41"/>
      <c r="O337" s="41"/>
      <c r="P337" s="41"/>
      <c r="Q337" s="41"/>
      <c r="R337" s="41"/>
      <c r="S337" s="41"/>
      <c r="T337" s="41"/>
      <c r="U337" s="41"/>
      <c r="V337" s="41"/>
      <c r="W337" s="41"/>
      <c r="X337" s="41"/>
      <c r="Y337" s="41"/>
      <c r="Z337" s="41"/>
    </row>
    <row r="338" ht="19.5" customHeight="1">
      <c r="A338" s="41"/>
      <c r="B338" s="17" t="s">
        <v>815</v>
      </c>
      <c r="C338" s="13"/>
      <c r="D338" s="13"/>
      <c r="E338" s="14"/>
      <c r="F338" s="41"/>
      <c r="G338" s="41"/>
      <c r="H338" s="41"/>
      <c r="I338" s="41"/>
      <c r="J338" s="41"/>
      <c r="K338" s="41"/>
      <c r="L338" s="41"/>
      <c r="M338" s="41"/>
      <c r="N338" s="41"/>
      <c r="O338" s="41"/>
      <c r="P338" s="41"/>
      <c r="Q338" s="41"/>
      <c r="R338" s="41"/>
      <c r="S338" s="41"/>
      <c r="T338" s="41"/>
      <c r="U338" s="41"/>
      <c r="V338" s="41"/>
      <c r="W338" s="41"/>
      <c r="X338" s="41"/>
      <c r="Y338" s="41"/>
      <c r="Z338" s="41"/>
    </row>
    <row r="339" ht="19.5" customHeight="1">
      <c r="A339" s="41"/>
      <c r="B339" s="49" t="s">
        <v>37</v>
      </c>
      <c r="C339" s="49" t="s">
        <v>273</v>
      </c>
      <c r="D339" s="49" t="s">
        <v>274</v>
      </c>
      <c r="E339" s="49" t="s">
        <v>5</v>
      </c>
      <c r="F339" s="41"/>
      <c r="G339" s="41"/>
      <c r="H339" s="41"/>
      <c r="I339" s="41"/>
      <c r="J339" s="41"/>
      <c r="K339" s="41"/>
      <c r="L339" s="41"/>
      <c r="M339" s="41"/>
      <c r="N339" s="41"/>
      <c r="O339" s="41"/>
      <c r="P339" s="41"/>
      <c r="Q339" s="41"/>
      <c r="R339" s="41"/>
      <c r="S339" s="41"/>
      <c r="T339" s="41"/>
      <c r="U339" s="41"/>
      <c r="V339" s="41"/>
      <c r="W339" s="41"/>
      <c r="X339" s="41"/>
      <c r="Y339" s="41"/>
      <c r="Z339" s="41"/>
    </row>
    <row r="340" ht="19.5" customHeight="1">
      <c r="A340" s="41"/>
      <c r="B340" s="84" t="s">
        <v>814</v>
      </c>
      <c r="C340" s="111" t="str">
        <f>sample_wld_nsxt_vip_fqdn</f>
        <v>lax-w01-nsx01.lax.rainpole.io</v>
      </c>
      <c r="D340" s="18" t="str">
        <f>wld_nsxt_vip_fqdn</f>
        <v>Value Missing</v>
      </c>
      <c r="E340" s="84"/>
      <c r="F340" s="41"/>
      <c r="G340" s="41"/>
      <c r="H340" s="41"/>
      <c r="I340" s="41"/>
      <c r="J340" s="41"/>
      <c r="K340" s="41"/>
      <c r="L340" s="41"/>
      <c r="M340" s="41"/>
      <c r="N340" s="41"/>
      <c r="O340" s="41"/>
      <c r="P340" s="41"/>
      <c r="Q340" s="41"/>
      <c r="R340" s="41"/>
      <c r="S340" s="41"/>
      <c r="T340" s="41"/>
      <c r="U340" s="41"/>
      <c r="V340" s="41"/>
      <c r="W340" s="41"/>
      <c r="X340" s="41"/>
      <c r="Y340" s="41"/>
      <c r="Z340" s="41"/>
    </row>
    <row r="341" ht="19.5" customHeight="1">
      <c r="A341" s="41"/>
      <c r="B341" s="84" t="s">
        <v>816</v>
      </c>
      <c r="C341" s="110" t="str">
        <f>sample_wld_en_asn</f>
        <v>65202</v>
      </c>
      <c r="D341" s="18" t="str">
        <f>wld_en_asn</f>
        <v>Value Missing</v>
      </c>
      <c r="E341" s="84"/>
      <c r="F341" s="41"/>
      <c r="G341" s="41"/>
      <c r="H341" s="41"/>
      <c r="I341" s="41"/>
      <c r="J341" s="41"/>
      <c r="K341" s="41"/>
      <c r="L341" s="41"/>
      <c r="M341" s="41"/>
      <c r="N341" s="41"/>
      <c r="O341" s="41"/>
      <c r="P341" s="41"/>
      <c r="Q341" s="41"/>
      <c r="R341" s="41"/>
      <c r="S341" s="41"/>
      <c r="T341" s="41"/>
      <c r="U341" s="41"/>
      <c r="V341" s="41"/>
      <c r="W341" s="41"/>
      <c r="X341" s="41"/>
      <c r="Y341" s="41"/>
      <c r="Z341" s="41"/>
    </row>
    <row r="342" ht="19.5" customHeight="1">
      <c r="A342" s="41"/>
      <c r="B342" s="17" t="s">
        <v>817</v>
      </c>
      <c r="C342" s="13"/>
      <c r="D342" s="13"/>
      <c r="E342" s="14"/>
      <c r="F342" s="41"/>
      <c r="G342" s="41"/>
      <c r="H342" s="41"/>
      <c r="I342" s="41"/>
      <c r="J342" s="41"/>
      <c r="K342" s="41"/>
      <c r="L342" s="41"/>
      <c r="M342" s="41"/>
      <c r="N342" s="41"/>
      <c r="O342" s="41"/>
      <c r="P342" s="41"/>
      <c r="Q342" s="41"/>
      <c r="R342" s="41"/>
      <c r="S342" s="41"/>
      <c r="T342" s="41"/>
      <c r="U342" s="41"/>
      <c r="V342" s="41"/>
      <c r="W342" s="41"/>
      <c r="X342" s="41"/>
      <c r="Y342" s="41"/>
      <c r="Z342" s="41"/>
    </row>
    <row r="343" ht="19.5" customHeight="1">
      <c r="A343" s="41"/>
      <c r="B343" s="49" t="s">
        <v>37</v>
      </c>
      <c r="C343" s="49" t="s">
        <v>273</v>
      </c>
      <c r="D343" s="49" t="s">
        <v>274</v>
      </c>
      <c r="E343" s="49" t="s">
        <v>5</v>
      </c>
      <c r="F343" s="41"/>
      <c r="G343" s="41"/>
      <c r="H343" s="41"/>
      <c r="I343" s="41"/>
      <c r="J343" s="41"/>
      <c r="K343" s="41"/>
      <c r="L343" s="41"/>
      <c r="M343" s="41"/>
      <c r="N343" s="41"/>
      <c r="O343" s="41"/>
      <c r="P343" s="41"/>
      <c r="Q343" s="41"/>
      <c r="R343" s="41"/>
      <c r="S343" s="41"/>
      <c r="T343" s="41"/>
      <c r="U343" s="41"/>
      <c r="V343" s="41"/>
      <c r="W343" s="41"/>
      <c r="X343" s="41"/>
      <c r="Y343" s="41"/>
      <c r="Z343" s="41"/>
    </row>
    <row r="344" ht="19.5" customHeight="1">
      <c r="A344" s="41"/>
      <c r="B344" s="84" t="s">
        <v>814</v>
      </c>
      <c r="C344" s="111" t="str">
        <f>sample_wld_nsxt_vip_fqdn</f>
        <v>lax-w01-nsx01.lax.rainpole.io</v>
      </c>
      <c r="D344" s="18" t="str">
        <f>wld_nsxt_vip_fqdn</f>
        <v>Value Missing</v>
      </c>
      <c r="E344" s="84"/>
      <c r="F344" s="41"/>
      <c r="G344" s="41"/>
      <c r="H344" s="41"/>
      <c r="I344" s="41"/>
      <c r="J344" s="41"/>
      <c r="K344" s="41"/>
      <c r="L344" s="41"/>
      <c r="M344" s="41"/>
      <c r="N344" s="41"/>
      <c r="O344" s="41"/>
      <c r="P344" s="41"/>
      <c r="Q344" s="41"/>
      <c r="R344" s="41"/>
      <c r="S344" s="41"/>
      <c r="T344" s="41"/>
      <c r="U344" s="41"/>
      <c r="V344" s="41"/>
      <c r="W344" s="41"/>
      <c r="X344" s="41"/>
      <c r="Y344" s="41"/>
      <c r="Z344" s="41"/>
    </row>
    <row r="345" ht="19.5" customHeight="1">
      <c r="A345" s="41"/>
      <c r="B345" s="84" t="s">
        <v>818</v>
      </c>
      <c r="C345" s="156" t="str">
        <f>CONCATENATE(prefix_wld_az1_cidr,"17.11")</f>
        <v>10.23.17.11</v>
      </c>
      <c r="D345" s="18"/>
      <c r="E345" s="84"/>
      <c r="F345" s="41"/>
      <c r="G345" s="41"/>
      <c r="H345" s="41"/>
      <c r="I345" s="41"/>
      <c r="J345" s="41"/>
      <c r="K345" s="41"/>
      <c r="L345" s="41"/>
      <c r="M345" s="41"/>
      <c r="N345" s="41"/>
      <c r="O345" s="41"/>
      <c r="P345" s="41"/>
      <c r="Q345" s="41"/>
      <c r="R345" s="41"/>
      <c r="S345" s="41"/>
      <c r="T345" s="41"/>
      <c r="U345" s="41"/>
      <c r="V345" s="41"/>
      <c r="W345" s="41"/>
      <c r="X345" s="41"/>
      <c r="Y345" s="41"/>
      <c r="Z345" s="41"/>
    </row>
    <row r="346" ht="19.5" customHeight="1">
      <c r="A346" s="41"/>
      <c r="B346" s="84" t="s">
        <v>819</v>
      </c>
      <c r="C346" s="156" t="str">
        <f>CONCATENATE(asn_start,asn_instance,asn_wld_az2,1)</f>
        <v>241</v>
      </c>
      <c r="D346" s="18"/>
      <c r="E346" s="84"/>
      <c r="F346" s="41"/>
      <c r="G346" s="41"/>
      <c r="H346" s="41"/>
      <c r="I346" s="41"/>
      <c r="J346" s="41"/>
      <c r="K346" s="41"/>
      <c r="L346" s="41"/>
      <c r="M346" s="41"/>
      <c r="N346" s="41"/>
      <c r="O346" s="41"/>
      <c r="P346" s="41"/>
      <c r="Q346" s="41"/>
      <c r="R346" s="41"/>
      <c r="S346" s="41"/>
      <c r="T346" s="41"/>
      <c r="U346" s="41"/>
      <c r="V346" s="41"/>
      <c r="W346" s="41"/>
      <c r="X346" s="41"/>
      <c r="Y346" s="41"/>
      <c r="Z346" s="41"/>
    </row>
    <row r="347" ht="19.5" customHeight="1">
      <c r="A347" s="41"/>
      <c r="B347" s="84" t="s">
        <v>820</v>
      </c>
      <c r="C347" s="110" t="str">
        <f>sample_wld_az1_en1_uplink01_interface_cidr</f>
        <v>10.23.17.2/24</v>
      </c>
      <c r="D347" s="18" t="str">
        <f>wld_az1_en1_uplink01_interface_cidr</f>
        <v>Value Missing</v>
      </c>
      <c r="E347" s="84"/>
      <c r="F347" s="41"/>
      <c r="G347" s="41"/>
      <c r="H347" s="41"/>
      <c r="I347" s="41"/>
      <c r="J347" s="41"/>
      <c r="K347" s="41"/>
      <c r="L347" s="41"/>
      <c r="M347" s="41"/>
      <c r="N347" s="41"/>
      <c r="O347" s="41"/>
      <c r="P347" s="41"/>
      <c r="Q347" s="41"/>
      <c r="R347" s="41"/>
      <c r="S347" s="41"/>
      <c r="T347" s="41"/>
      <c r="U347" s="41"/>
      <c r="V347" s="41"/>
      <c r="W347" s="41"/>
      <c r="X347" s="41"/>
      <c r="Y347" s="41"/>
      <c r="Z347" s="41"/>
    </row>
    <row r="348" ht="19.5" customHeight="1">
      <c r="A348" s="41"/>
      <c r="B348" s="84" t="s">
        <v>821</v>
      </c>
      <c r="C348" s="110" t="str">
        <f>sample_wld_az1_en2_uplink01_interface_cidr</f>
        <v>10.23.17.3/24</v>
      </c>
      <c r="D348" s="18" t="str">
        <f>wld_az1_en2_uplink01_interface_cidr</f>
        <v>Value Missing</v>
      </c>
      <c r="E348" s="84"/>
      <c r="F348" s="41"/>
      <c r="G348" s="41"/>
      <c r="H348" s="41"/>
      <c r="I348" s="41"/>
      <c r="J348" s="41"/>
      <c r="K348" s="41"/>
      <c r="L348" s="41"/>
      <c r="M348" s="41"/>
      <c r="N348" s="41"/>
      <c r="O348" s="41"/>
      <c r="P348" s="41"/>
      <c r="Q348" s="41"/>
      <c r="R348" s="41"/>
      <c r="S348" s="41"/>
      <c r="T348" s="41"/>
      <c r="U348" s="41"/>
      <c r="V348" s="41"/>
      <c r="W348" s="41"/>
      <c r="X348" s="41"/>
      <c r="Y348" s="41"/>
      <c r="Z348" s="41"/>
    </row>
    <row r="349" ht="19.5" customHeight="1">
      <c r="A349" s="41"/>
      <c r="B349" s="84" t="s">
        <v>822</v>
      </c>
      <c r="C349" s="156" t="s">
        <v>382</v>
      </c>
      <c r="D349" s="18"/>
      <c r="E349" s="84"/>
      <c r="F349" s="41"/>
      <c r="G349" s="41"/>
      <c r="H349" s="41"/>
      <c r="I349" s="41"/>
      <c r="J349" s="41"/>
      <c r="K349" s="41"/>
      <c r="L349" s="41"/>
      <c r="M349" s="41"/>
      <c r="N349" s="41"/>
      <c r="O349" s="41"/>
      <c r="P349" s="41"/>
      <c r="Q349" s="41"/>
      <c r="R349" s="41"/>
      <c r="S349" s="41"/>
      <c r="T349" s="41"/>
      <c r="U349" s="41"/>
      <c r="V349" s="41"/>
      <c r="W349" s="41"/>
      <c r="X349" s="41"/>
      <c r="Y349" s="41"/>
      <c r="Z349" s="41"/>
    </row>
    <row r="350" ht="19.5" customHeight="1">
      <c r="A350" s="41"/>
      <c r="B350" s="84" t="s">
        <v>823</v>
      </c>
      <c r="C350" s="156" t="str">
        <f>CONCATENATE(prefix_wld_az1_cidr,"18.11")</f>
        <v>10.23.18.11</v>
      </c>
      <c r="D350" s="18"/>
      <c r="E350" s="84"/>
      <c r="F350" s="41"/>
      <c r="G350" s="41"/>
      <c r="H350" s="41"/>
      <c r="I350" s="41"/>
      <c r="J350" s="41"/>
      <c r="K350" s="41"/>
      <c r="L350" s="41"/>
      <c r="M350" s="41"/>
      <c r="N350" s="41"/>
      <c r="O350" s="41"/>
      <c r="P350" s="41"/>
      <c r="Q350" s="41"/>
      <c r="R350" s="41"/>
      <c r="S350" s="41"/>
      <c r="T350" s="41"/>
      <c r="U350" s="41"/>
      <c r="V350" s="41"/>
      <c r="W350" s="41"/>
      <c r="X350" s="41"/>
      <c r="Y350" s="41"/>
      <c r="Z350" s="41"/>
    </row>
    <row r="351" ht="19.5" customHeight="1">
      <c r="A351" s="41"/>
      <c r="B351" s="84" t="s">
        <v>824</v>
      </c>
      <c r="C351" s="156" t="str">
        <f>CONCATENATE(asn_start,asn_instance,asn_wld_az2,1)</f>
        <v>241</v>
      </c>
      <c r="D351" s="18"/>
      <c r="E351" s="84"/>
      <c r="F351" s="41"/>
      <c r="G351" s="41"/>
      <c r="H351" s="41"/>
      <c r="I351" s="41"/>
      <c r="J351" s="41"/>
      <c r="K351" s="41"/>
      <c r="L351" s="41"/>
      <c r="M351" s="41"/>
      <c r="N351" s="41"/>
      <c r="O351" s="41"/>
      <c r="P351" s="41"/>
      <c r="Q351" s="41"/>
      <c r="R351" s="41"/>
      <c r="S351" s="41"/>
      <c r="T351" s="41"/>
      <c r="U351" s="41"/>
      <c r="V351" s="41"/>
      <c r="W351" s="41"/>
      <c r="X351" s="41"/>
      <c r="Y351" s="41"/>
      <c r="Z351" s="41"/>
    </row>
    <row r="352" ht="19.5" customHeight="1">
      <c r="A352" s="41"/>
      <c r="B352" s="84" t="s">
        <v>820</v>
      </c>
      <c r="C352" s="110" t="str">
        <f>sample_wld_az1_en1_uplink02_interface_cidr</f>
        <v>10.23.18.2/24</v>
      </c>
      <c r="D352" s="18" t="str">
        <f>wld_az1_en1_uplink02_interface_cidr</f>
        <v>Value Missing</v>
      </c>
      <c r="E352" s="84"/>
      <c r="F352" s="41"/>
      <c r="G352" s="41"/>
      <c r="H352" s="41"/>
      <c r="I352" s="41"/>
      <c r="J352" s="41"/>
      <c r="K352" s="41"/>
      <c r="L352" s="41"/>
      <c r="M352" s="41"/>
      <c r="N352" s="41"/>
      <c r="O352" s="41"/>
      <c r="P352" s="41"/>
      <c r="Q352" s="41"/>
      <c r="R352" s="41"/>
      <c r="S352" s="41"/>
      <c r="T352" s="41"/>
      <c r="U352" s="41"/>
      <c r="V352" s="41"/>
      <c r="W352" s="41"/>
      <c r="X352" s="41"/>
      <c r="Y352" s="41"/>
      <c r="Z352" s="41"/>
    </row>
    <row r="353" ht="19.5" customHeight="1">
      <c r="A353" s="41"/>
      <c r="B353" s="84" t="s">
        <v>821</v>
      </c>
      <c r="C353" s="110" t="str">
        <f>sample_wld_az1_en2_uplink02_interface_cidr</f>
        <v>10.23.18.3/24</v>
      </c>
      <c r="D353" s="18" t="str">
        <f>wld_az1_en2_uplink02_interface_cidr</f>
        <v>Value Missing</v>
      </c>
      <c r="E353" s="84"/>
      <c r="F353" s="41"/>
      <c r="G353" s="41"/>
      <c r="H353" s="41"/>
      <c r="I353" s="41"/>
      <c r="J353" s="41"/>
      <c r="K353" s="41"/>
      <c r="L353" s="41"/>
      <c r="M353" s="41"/>
      <c r="N353" s="41"/>
      <c r="O353" s="41"/>
      <c r="P353" s="41"/>
      <c r="Q353" s="41"/>
      <c r="R353" s="41"/>
      <c r="S353" s="41"/>
      <c r="T353" s="41"/>
      <c r="U353" s="41"/>
      <c r="V353" s="41"/>
      <c r="W353" s="41"/>
      <c r="X353" s="41"/>
      <c r="Y353" s="41"/>
      <c r="Z353" s="41"/>
    </row>
    <row r="354" ht="19.5" customHeight="1">
      <c r="A354" s="41"/>
      <c r="B354" s="84" t="s">
        <v>822</v>
      </c>
      <c r="C354" s="156" t="s">
        <v>382</v>
      </c>
      <c r="D354" s="18"/>
      <c r="E354" s="84"/>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1"/>
      <c r="C355" s="1"/>
      <c r="D355" s="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33.75" customHeight="1">
      <c r="A356" s="41"/>
      <c r="B356" s="184" t="s">
        <v>1446</v>
      </c>
      <c r="C356" s="13"/>
      <c r="D356" s="13"/>
      <c r="E356" s="14"/>
      <c r="F356" s="41"/>
      <c r="G356" s="41"/>
      <c r="H356" s="41"/>
      <c r="I356" s="41"/>
      <c r="J356" s="41"/>
      <c r="K356" s="41"/>
      <c r="L356" s="41"/>
      <c r="M356" s="41"/>
      <c r="N356" s="41"/>
      <c r="O356" s="41"/>
      <c r="P356" s="41"/>
      <c r="Q356" s="41"/>
      <c r="R356" s="41"/>
      <c r="S356" s="41"/>
      <c r="T356" s="41"/>
      <c r="U356" s="41"/>
      <c r="V356" s="41"/>
      <c r="W356" s="41"/>
      <c r="X356" s="41"/>
      <c r="Y356" s="41"/>
      <c r="Z356" s="41"/>
    </row>
    <row r="357" ht="19.5" customHeight="1">
      <c r="A357" s="41"/>
      <c r="B357" s="17" t="s">
        <v>825</v>
      </c>
      <c r="C357" s="13"/>
      <c r="D357" s="13"/>
      <c r="E357" s="14"/>
      <c r="F357" s="41"/>
      <c r="G357" s="41"/>
      <c r="H357" s="41"/>
      <c r="I357" s="41"/>
      <c r="J357" s="41"/>
      <c r="K357" s="41"/>
      <c r="L357" s="41"/>
      <c r="M357" s="41"/>
      <c r="N357" s="41"/>
      <c r="O357" s="41"/>
      <c r="P357" s="41"/>
      <c r="Q357" s="41"/>
      <c r="R357" s="41"/>
      <c r="S357" s="41"/>
      <c r="T357" s="41"/>
      <c r="U357" s="41"/>
      <c r="V357" s="41"/>
      <c r="W357" s="41"/>
      <c r="X357" s="41"/>
      <c r="Y357" s="41"/>
      <c r="Z357" s="41"/>
    </row>
    <row r="358" ht="19.5" customHeight="1">
      <c r="A358" s="41"/>
      <c r="B358" s="49" t="s">
        <v>37</v>
      </c>
      <c r="C358" s="49" t="s">
        <v>273</v>
      </c>
      <c r="D358" s="49" t="s">
        <v>274</v>
      </c>
      <c r="E358" s="49" t="s">
        <v>5</v>
      </c>
      <c r="F358" s="41"/>
      <c r="G358" s="41"/>
      <c r="H358" s="41"/>
      <c r="I358" s="41"/>
      <c r="J358" s="41"/>
      <c r="K358" s="41"/>
      <c r="L358" s="41"/>
      <c r="M358" s="41"/>
      <c r="N358" s="41"/>
      <c r="O358" s="41"/>
      <c r="P358" s="41"/>
      <c r="Q358" s="41"/>
      <c r="R358" s="41"/>
      <c r="S358" s="41"/>
      <c r="T358" s="41"/>
      <c r="U358" s="41"/>
      <c r="V358" s="41"/>
      <c r="W358" s="41"/>
      <c r="X358" s="41"/>
      <c r="Y358" s="41"/>
      <c r="Z358" s="41"/>
    </row>
    <row r="359" ht="19.5" customHeight="1">
      <c r="A359" s="41"/>
      <c r="B359" s="173" t="s">
        <v>826</v>
      </c>
      <c r="C359" s="111" t="str">
        <f>sample_mgmt_vc_fqdn</f>
        <v>lax-m01-vc01.lax.rainpole.io</v>
      </c>
      <c r="D359" s="18" t="str">
        <f>mgmt_vc_fqdn</f>
        <v>Value Missing</v>
      </c>
      <c r="E359" s="84"/>
      <c r="F359" s="41"/>
      <c r="G359" s="41"/>
      <c r="H359" s="41"/>
      <c r="I359" s="41"/>
      <c r="J359" s="41"/>
      <c r="K359" s="41"/>
      <c r="L359" s="41"/>
      <c r="M359" s="41"/>
      <c r="N359" s="41"/>
      <c r="O359" s="41"/>
      <c r="P359" s="41"/>
      <c r="Q359" s="41"/>
      <c r="R359" s="41"/>
      <c r="S359" s="41"/>
      <c r="T359" s="41"/>
      <c r="U359" s="41"/>
      <c r="V359" s="41"/>
      <c r="W359" s="41"/>
      <c r="X359" s="41"/>
      <c r="Y359" s="41"/>
      <c r="Z359" s="41"/>
    </row>
    <row r="360" ht="19.5" customHeight="1">
      <c r="A360" s="41"/>
      <c r="B360" s="17" t="s">
        <v>827</v>
      </c>
      <c r="C360" s="13"/>
      <c r="D360" s="13"/>
      <c r="E360" s="14"/>
      <c r="F360" s="41"/>
      <c r="G360" s="41"/>
      <c r="H360" s="41"/>
      <c r="I360" s="41"/>
      <c r="J360" s="41"/>
      <c r="K360" s="41"/>
      <c r="L360" s="41"/>
      <c r="M360" s="41"/>
      <c r="N360" s="41"/>
      <c r="O360" s="41"/>
      <c r="P360" s="41"/>
      <c r="Q360" s="41"/>
      <c r="R360" s="41"/>
      <c r="S360" s="41"/>
      <c r="T360" s="41"/>
      <c r="U360" s="41"/>
      <c r="V360" s="41"/>
      <c r="W360" s="41"/>
      <c r="X360" s="41"/>
      <c r="Y360" s="41"/>
      <c r="Z360" s="41"/>
    </row>
    <row r="361" ht="19.5" customHeight="1">
      <c r="A361" s="41"/>
      <c r="B361" s="187" t="s">
        <v>1497</v>
      </c>
      <c r="C361" s="163" t="str">
        <f>CONCATENATE(this_instance,"-w0",wld_domain_number_chosen,"-nsx-gm01a")</f>
        <v>lax-w01-nsx-gm01a</v>
      </c>
      <c r="D361" s="18"/>
      <c r="E361" s="84"/>
      <c r="F361" s="41"/>
      <c r="G361" s="41"/>
      <c r="H361" s="41"/>
      <c r="I361" s="41"/>
      <c r="J361" s="41"/>
      <c r="K361" s="41"/>
      <c r="L361" s="41"/>
      <c r="M361" s="41"/>
      <c r="N361" s="41"/>
      <c r="O361" s="41"/>
      <c r="P361" s="41"/>
      <c r="Q361" s="41"/>
      <c r="R361" s="41"/>
      <c r="S361" s="41"/>
      <c r="T361" s="41"/>
      <c r="U361" s="41"/>
      <c r="V361" s="41"/>
      <c r="W361" s="41"/>
      <c r="X361" s="41"/>
      <c r="Y361" s="41"/>
      <c r="Z361" s="41"/>
    </row>
    <row r="362" ht="19.5" customHeight="1">
      <c r="A362" s="41"/>
      <c r="B362" s="187" t="s">
        <v>1498</v>
      </c>
      <c r="C362" s="110" t="str">
        <f>sample_mgmt_datacenter</f>
        <v>lax-m01-dc01</v>
      </c>
      <c r="D362" s="18" t="str">
        <f>mgmt_datacenter</f>
        <v>Value Missing</v>
      </c>
      <c r="E362" s="84"/>
      <c r="F362" s="41"/>
      <c r="G362" s="41"/>
      <c r="H362" s="41"/>
      <c r="I362" s="41"/>
      <c r="J362" s="41"/>
      <c r="K362" s="41"/>
      <c r="L362" s="41"/>
      <c r="M362" s="41"/>
      <c r="N362" s="41"/>
      <c r="O362" s="41"/>
      <c r="P362" s="41"/>
      <c r="Q362" s="41"/>
      <c r="R362" s="41"/>
      <c r="S362" s="41"/>
      <c r="T362" s="41"/>
      <c r="U362" s="41"/>
      <c r="V362" s="41"/>
      <c r="W362" s="41"/>
      <c r="X362" s="41"/>
      <c r="Y362" s="41"/>
      <c r="Z362" s="41"/>
    </row>
    <row r="363" ht="19.5" customHeight="1">
      <c r="A363" s="41"/>
      <c r="B363" s="187" t="s">
        <v>1499</v>
      </c>
      <c r="C363" s="110" t="str">
        <f>sample_mgmt_cl01_cluster</f>
        <v>lax-m01-cl01</v>
      </c>
      <c r="D363" s="18" t="str">
        <f>mgmt_cl01_cluster</f>
        <v>Value Missing</v>
      </c>
      <c r="E363" s="84"/>
      <c r="F363" s="41"/>
      <c r="G363" s="41"/>
      <c r="H363" s="41"/>
      <c r="I363" s="41"/>
      <c r="J363" s="41"/>
      <c r="K363" s="41"/>
      <c r="L363" s="41"/>
      <c r="M363" s="41"/>
      <c r="N363" s="41"/>
      <c r="O363" s="41"/>
      <c r="P363" s="41"/>
      <c r="Q363" s="41"/>
      <c r="R363" s="41"/>
      <c r="S363" s="41"/>
      <c r="T363" s="41"/>
      <c r="U363" s="41"/>
      <c r="V363" s="41"/>
      <c r="W363" s="41"/>
      <c r="X363" s="41"/>
      <c r="Y363" s="41"/>
      <c r="Z363" s="41"/>
    </row>
    <row r="364" ht="19.5" customHeight="1">
      <c r="A364" s="41"/>
      <c r="B364" s="187" t="s">
        <v>1500</v>
      </c>
      <c r="C364" s="110" t="s">
        <v>225</v>
      </c>
      <c r="D364" s="18" t="s">
        <v>225</v>
      </c>
      <c r="E364" s="84"/>
      <c r="F364" s="41"/>
      <c r="G364" s="41"/>
      <c r="H364" s="41"/>
      <c r="I364" s="41"/>
      <c r="J364" s="41"/>
      <c r="K364" s="41"/>
      <c r="L364" s="41"/>
      <c r="M364" s="41"/>
      <c r="N364" s="41"/>
      <c r="O364" s="41"/>
      <c r="P364" s="41"/>
      <c r="Q364" s="41"/>
      <c r="R364" s="41"/>
      <c r="S364" s="41"/>
      <c r="T364" s="41"/>
      <c r="U364" s="41"/>
      <c r="V364" s="41"/>
      <c r="W364" s="41"/>
      <c r="X364" s="41"/>
      <c r="Y364" s="41"/>
      <c r="Z364" s="41"/>
    </row>
    <row r="365" ht="19.5" customHeight="1">
      <c r="A365" s="41"/>
      <c r="B365" s="187" t="s">
        <v>1501</v>
      </c>
      <c r="C365" s="110" t="str">
        <f>sample_mgmt_cl01_vsan_datastore</f>
        <v>lax-m01-cl01-ds-nfs01</v>
      </c>
      <c r="D365" s="18" t="str">
        <f>mgmt_cl01_vsan_datastore</f>
        <v>Value Missing</v>
      </c>
      <c r="E365" s="84"/>
      <c r="F365" s="41"/>
      <c r="G365" s="41"/>
      <c r="H365" s="41"/>
      <c r="I365" s="41"/>
      <c r="J365" s="41"/>
      <c r="K365" s="41"/>
      <c r="L365" s="41"/>
      <c r="M365" s="41"/>
      <c r="N365" s="41"/>
      <c r="O365" s="41"/>
      <c r="P365" s="41"/>
      <c r="Q365" s="41"/>
      <c r="R365" s="41"/>
      <c r="S365" s="41"/>
      <c r="T365" s="41"/>
      <c r="U365" s="41"/>
      <c r="V365" s="41"/>
      <c r="W365" s="41"/>
      <c r="X365" s="41"/>
      <c r="Y365" s="41"/>
      <c r="Z365" s="41"/>
    </row>
    <row r="366" ht="19.5" customHeight="1">
      <c r="A366" s="41"/>
      <c r="B366" s="187" t="s">
        <v>1502</v>
      </c>
      <c r="C366" s="110" t="str">
        <f>sample_mgmt_cl01_az1_mgmt_vm_pg</f>
        <v>lax-m01-cl01-vds01-pg-vm-mgmt</v>
      </c>
      <c r="D366" s="18" t="str">
        <f>mgmt_cl01_az1_mgmt_vm_pg</f>
        <v>Value Missing</v>
      </c>
      <c r="E366" s="84"/>
      <c r="F366" s="41"/>
      <c r="G366" s="41"/>
      <c r="H366" s="41"/>
      <c r="I366" s="41"/>
      <c r="J366" s="41"/>
      <c r="K366" s="41"/>
      <c r="L366" s="41"/>
      <c r="M366" s="41"/>
      <c r="N366" s="41"/>
      <c r="O366" s="41"/>
      <c r="P366" s="41"/>
      <c r="Q366" s="41"/>
      <c r="R366" s="41"/>
      <c r="S366" s="41"/>
      <c r="T366" s="41"/>
      <c r="U366" s="41"/>
      <c r="V366" s="41"/>
      <c r="W366" s="41"/>
      <c r="X366" s="41"/>
      <c r="Y366" s="41"/>
      <c r="Z366" s="41"/>
    </row>
    <row r="367" ht="19.5" customHeight="1">
      <c r="A367" s="41"/>
      <c r="B367" s="187" t="s">
        <v>1503</v>
      </c>
      <c r="C367" s="110" t="s">
        <v>297</v>
      </c>
      <c r="D367" s="18"/>
      <c r="E367" s="84"/>
      <c r="F367" s="41"/>
      <c r="G367" s="41"/>
      <c r="H367" s="41"/>
      <c r="I367" s="41"/>
      <c r="J367" s="41"/>
      <c r="K367" s="41"/>
      <c r="L367" s="41"/>
      <c r="M367" s="41"/>
      <c r="N367" s="41"/>
      <c r="O367" s="41"/>
      <c r="P367" s="41"/>
      <c r="Q367" s="41"/>
      <c r="R367" s="41"/>
      <c r="S367" s="41"/>
      <c r="T367" s="41"/>
      <c r="U367" s="41"/>
      <c r="V367" s="41"/>
      <c r="W367" s="41"/>
      <c r="X367" s="41"/>
      <c r="Y367" s="41"/>
      <c r="Z367" s="41"/>
    </row>
    <row r="368" ht="19.5" customHeight="1">
      <c r="A368" s="41"/>
      <c r="B368" s="187" t="s">
        <v>1504</v>
      </c>
      <c r="C368" s="110" t="s">
        <v>297</v>
      </c>
      <c r="D368" s="18"/>
      <c r="E368" s="84"/>
      <c r="F368" s="41"/>
      <c r="G368" s="41"/>
      <c r="H368" s="41"/>
      <c r="I368" s="41"/>
      <c r="J368" s="41"/>
      <c r="K368" s="41"/>
      <c r="L368" s="41"/>
      <c r="M368" s="41"/>
      <c r="N368" s="41"/>
      <c r="O368" s="41"/>
      <c r="P368" s="41"/>
      <c r="Q368" s="41"/>
      <c r="R368" s="41"/>
      <c r="S368" s="41"/>
      <c r="T368" s="41"/>
      <c r="U368" s="41"/>
      <c r="V368" s="41"/>
      <c r="W368" s="41"/>
      <c r="X368" s="41"/>
      <c r="Y368" s="41"/>
      <c r="Z368" s="41"/>
    </row>
    <row r="369" ht="19.5" customHeight="1">
      <c r="A369" s="41"/>
      <c r="B369" s="187" t="s">
        <v>1505</v>
      </c>
      <c r="C369" s="110" t="s">
        <v>297</v>
      </c>
      <c r="D369" s="18"/>
      <c r="E369" s="84"/>
      <c r="F369" s="41"/>
      <c r="G369" s="41"/>
      <c r="H369" s="41"/>
      <c r="I369" s="41"/>
      <c r="J369" s="41"/>
      <c r="K369" s="41"/>
      <c r="L369" s="41"/>
      <c r="M369" s="41"/>
      <c r="N369" s="41"/>
      <c r="O369" s="41"/>
      <c r="P369" s="41"/>
      <c r="Q369" s="41"/>
      <c r="R369" s="41"/>
      <c r="S369" s="41"/>
      <c r="T369" s="41"/>
      <c r="U369" s="41"/>
      <c r="V369" s="41"/>
      <c r="W369" s="41"/>
      <c r="X369" s="41"/>
      <c r="Y369" s="41"/>
      <c r="Z369" s="41"/>
    </row>
    <row r="370" ht="19.5" customHeight="1">
      <c r="A370" s="41"/>
      <c r="B370" s="187" t="s">
        <v>1506</v>
      </c>
      <c r="C370" s="111" t="str">
        <f>CONCATENATE(sample_wld_nsxt_global_mgra_hostname,".",sample_child_dns_zone)</f>
        <v>lax-w01-nsx-gm01a.lax.rainpole.io</v>
      </c>
      <c r="D370" s="18"/>
      <c r="E370" s="84"/>
      <c r="F370" s="41"/>
      <c r="G370" s="41"/>
      <c r="H370" s="41"/>
      <c r="I370" s="41"/>
      <c r="J370" s="41"/>
      <c r="K370" s="41"/>
      <c r="L370" s="41"/>
      <c r="M370" s="41"/>
      <c r="N370" s="41"/>
      <c r="O370" s="41"/>
      <c r="P370" s="41"/>
      <c r="Q370" s="41"/>
      <c r="R370" s="41"/>
      <c r="S370" s="41"/>
      <c r="T370" s="41"/>
      <c r="U370" s="41"/>
      <c r="V370" s="41"/>
      <c r="W370" s="41"/>
      <c r="X370" s="41"/>
      <c r="Y370" s="41"/>
      <c r="Z370" s="41"/>
    </row>
    <row r="371" ht="19.5" customHeight="1">
      <c r="A371" s="41"/>
      <c r="B371" s="187" t="s">
        <v>1507</v>
      </c>
      <c r="C371" s="163" t="str">
        <f>IF(mgmt_dpg_reuse_result="Included",CONCATENATE(prefix_mgmt_az1_cidr,"10.",(142 + (30*(wld_domain_number_chosen - 1)))),CONCATENATE(prefix_mgmt_az1_cidr,"11.",(142 + (30*(wld_domain_number_chosen - 1)))))</f>
        <v>10.21.10.142</v>
      </c>
      <c r="D371" s="18"/>
      <c r="E371" s="84"/>
      <c r="F371" s="41"/>
      <c r="G371" s="41"/>
      <c r="H371" s="41"/>
      <c r="I371" s="41"/>
      <c r="J371" s="41"/>
      <c r="K371" s="41"/>
      <c r="L371" s="41"/>
      <c r="M371" s="41"/>
      <c r="N371" s="41"/>
      <c r="O371" s="41"/>
      <c r="P371" s="41"/>
      <c r="Q371" s="41"/>
      <c r="R371" s="41"/>
      <c r="S371" s="41"/>
      <c r="T371" s="41"/>
      <c r="U371" s="41"/>
      <c r="V371" s="41"/>
      <c r="W371" s="41"/>
      <c r="X371" s="41"/>
      <c r="Y371" s="41"/>
      <c r="Z371" s="41"/>
    </row>
    <row r="372" ht="19.5" customHeight="1">
      <c r="A372" s="41"/>
      <c r="B372" s="187" t="s">
        <v>1508</v>
      </c>
      <c r="C372" s="110" t="s">
        <v>622</v>
      </c>
      <c r="D372" s="18" t="str">
        <f>mgmt_az1_mgmt_vm_mask</f>
        <v>Value Missing</v>
      </c>
      <c r="E372" s="84"/>
      <c r="F372" s="41"/>
      <c r="G372" s="41"/>
      <c r="H372" s="41"/>
      <c r="I372" s="41"/>
      <c r="J372" s="41"/>
      <c r="K372" s="41"/>
      <c r="L372" s="41"/>
      <c r="M372" s="41"/>
      <c r="N372" s="41"/>
      <c r="O372" s="41"/>
      <c r="P372" s="41"/>
      <c r="Q372" s="41"/>
      <c r="R372" s="41"/>
      <c r="S372" s="41"/>
      <c r="T372" s="41"/>
      <c r="U372" s="41"/>
      <c r="V372" s="41"/>
      <c r="W372" s="41"/>
      <c r="X372" s="41"/>
      <c r="Y372" s="41"/>
      <c r="Z372" s="41"/>
    </row>
    <row r="373" ht="19.5" customHeight="1">
      <c r="A373" s="41"/>
      <c r="B373" s="187" t="s">
        <v>1509</v>
      </c>
      <c r="C373" s="110" t="str">
        <f>sample_mgmt_az1_mgmt_vm_gateway_ip</f>
        <v>10.21.10.1</v>
      </c>
      <c r="D373" s="18" t="str">
        <f>mgmt_az1_mgmt_vm_gateway_ip</f>
        <v>Value Missing</v>
      </c>
      <c r="E373" s="84"/>
      <c r="F373" s="41"/>
      <c r="G373" s="41"/>
      <c r="H373" s="41"/>
      <c r="I373" s="41"/>
      <c r="J373" s="41"/>
      <c r="K373" s="41"/>
      <c r="L373" s="41"/>
      <c r="M373" s="41"/>
      <c r="N373" s="41"/>
      <c r="O373" s="41"/>
      <c r="P373" s="41"/>
      <c r="Q373" s="41"/>
      <c r="R373" s="41"/>
      <c r="S373" s="41"/>
      <c r="T373" s="41"/>
      <c r="U373" s="41"/>
      <c r="V373" s="41"/>
      <c r="W373" s="41"/>
      <c r="X373" s="41"/>
      <c r="Y373" s="41"/>
      <c r="Z373" s="41"/>
    </row>
    <row r="374" ht="19.5" customHeight="1">
      <c r="A374" s="41"/>
      <c r="B374" s="187" t="s">
        <v>1510</v>
      </c>
      <c r="C374" s="110" t="str">
        <f>CONCATENATE(sample_region_dns1_ip,",",sample_region_dns2_ip)</f>
        <v>10.21.10.4,10.21.10.5</v>
      </c>
      <c r="D374" s="18" t="str">
        <f>IF(ISBLANK(input_region_dns1_ip),"Value Missing",CONCATENATE(region_dns1_ip,",",IF(ISBLANK(input_region_dns2_ip),"Value Missing",region_dns2_ip)))</f>
        <v>Value Missing</v>
      </c>
      <c r="E374" s="84"/>
      <c r="F374" s="41"/>
      <c r="G374" s="41"/>
      <c r="H374" s="41"/>
      <c r="I374" s="41"/>
      <c r="J374" s="41"/>
      <c r="K374" s="41"/>
      <c r="L374" s="41"/>
      <c r="M374" s="41"/>
      <c r="N374" s="41"/>
      <c r="O374" s="41"/>
      <c r="P374" s="41"/>
      <c r="Q374" s="41"/>
      <c r="R374" s="41"/>
      <c r="S374" s="41"/>
      <c r="T374" s="41"/>
      <c r="U374" s="41"/>
      <c r="V374" s="41"/>
      <c r="W374" s="41"/>
      <c r="X374" s="41"/>
      <c r="Y374" s="41"/>
      <c r="Z374" s="41"/>
    </row>
    <row r="375" ht="19.5" customHeight="1">
      <c r="A375" s="41"/>
      <c r="B375" s="187" t="s">
        <v>1511</v>
      </c>
      <c r="C375" s="110" t="str">
        <f>CONCATENATE(sample_child_dns_zone,",",sample_parent_dns_zone)</f>
        <v>lax.rainpole.io,rainpole.io</v>
      </c>
      <c r="D375" s="18" t="str">
        <f>child_dns_zone</f>
        <v>Value Missing</v>
      </c>
      <c r="E375" s="84"/>
      <c r="F375" s="41"/>
      <c r="G375" s="41"/>
      <c r="H375" s="41"/>
      <c r="I375" s="41"/>
      <c r="J375" s="41"/>
      <c r="K375" s="41"/>
      <c r="L375" s="41"/>
      <c r="M375" s="41"/>
      <c r="N375" s="41"/>
      <c r="O375" s="41"/>
      <c r="P375" s="41"/>
      <c r="Q375" s="41"/>
      <c r="R375" s="41"/>
      <c r="S375" s="41"/>
      <c r="T375" s="41"/>
      <c r="U375" s="41"/>
      <c r="V375" s="41"/>
      <c r="W375" s="41"/>
      <c r="X375" s="41"/>
      <c r="Y375" s="41"/>
      <c r="Z375" s="41"/>
    </row>
    <row r="376" ht="19.5" customHeight="1">
      <c r="A376" s="41"/>
      <c r="B376" s="187" t="s">
        <v>1512</v>
      </c>
      <c r="C376" s="110" t="str">
        <f>IF(AND((NOT(ISBLANK(sample_region_ntp2_server))),(sample_region_ntp2_server &lt;&gt; "n/a")),CONCATENATE(sample_region_ntp1_server,",",sample_region_ntp2_server),sample_region_ntp1_server)</f>
        <v>ntp0.lax.rainpole.io,ntp1.lax.rainpole.io</v>
      </c>
      <c r="D376" s="18" t="str">
        <f>IF(AND((NOT(ISBLANK(region_ntp2_server))),(region_ntp2_server &lt;&gt; "n/a")),CONCATENATE(region_ntp1_server,",",region_ntp2_server),region_ntp1_server)</f>
        <v>Value Missing,Value Missing</v>
      </c>
      <c r="E376" s="84"/>
      <c r="F376" s="41"/>
      <c r="G376" s="41"/>
      <c r="H376" s="41"/>
      <c r="I376" s="41"/>
      <c r="J376" s="41"/>
      <c r="K376" s="41"/>
      <c r="L376" s="41"/>
      <c r="M376" s="41"/>
      <c r="N376" s="41"/>
      <c r="O376" s="41"/>
      <c r="P376" s="41"/>
      <c r="Q376" s="41"/>
      <c r="R376" s="41"/>
      <c r="S376" s="41"/>
      <c r="T376" s="41"/>
      <c r="U376" s="41"/>
      <c r="V376" s="41"/>
      <c r="W376" s="41"/>
      <c r="X376" s="41"/>
      <c r="Y376" s="41"/>
      <c r="Z376" s="41"/>
    </row>
    <row r="377" ht="19.5" customHeight="1">
      <c r="A377" s="41"/>
      <c r="B377" s="17" t="s">
        <v>845</v>
      </c>
      <c r="C377" s="13"/>
      <c r="D377" s="13"/>
      <c r="E377" s="14"/>
      <c r="F377" s="41"/>
      <c r="G377" s="41"/>
      <c r="H377" s="41"/>
      <c r="I377" s="41"/>
      <c r="J377" s="41"/>
      <c r="K377" s="41"/>
      <c r="L377" s="41"/>
      <c r="M377" s="41"/>
      <c r="N377" s="41"/>
      <c r="O377" s="41"/>
      <c r="P377" s="41"/>
      <c r="Q377" s="41"/>
      <c r="R377" s="41"/>
      <c r="S377" s="41"/>
      <c r="T377" s="41"/>
      <c r="U377" s="41"/>
      <c r="V377" s="41"/>
      <c r="W377" s="41"/>
      <c r="X377" s="41"/>
      <c r="Y377" s="41"/>
      <c r="Z377" s="41"/>
    </row>
    <row r="378" ht="19.5" customHeight="1">
      <c r="A378" s="41"/>
      <c r="B378" s="187" t="s">
        <v>1513</v>
      </c>
      <c r="C378" s="163" t="str">
        <f>CONCATENATE(this_instance,"-w0",wld_domain_number_chosen,"-nsx-gm01b")</f>
        <v>lax-w01-nsx-gm01b</v>
      </c>
      <c r="D378" s="18"/>
      <c r="E378" s="84"/>
      <c r="F378" s="41"/>
      <c r="G378" s="41"/>
      <c r="H378" s="41"/>
      <c r="I378" s="41"/>
      <c r="J378" s="41"/>
      <c r="K378" s="41"/>
      <c r="L378" s="41"/>
      <c r="M378" s="41"/>
      <c r="N378" s="41"/>
      <c r="O378" s="41"/>
      <c r="P378" s="41"/>
      <c r="Q378" s="41"/>
      <c r="R378" s="41"/>
      <c r="S378" s="41"/>
      <c r="T378" s="41"/>
      <c r="U378" s="41"/>
      <c r="V378" s="41"/>
      <c r="W378" s="41"/>
      <c r="X378" s="41"/>
      <c r="Y378" s="41"/>
      <c r="Z378" s="41"/>
    </row>
    <row r="379" ht="19.5" customHeight="1">
      <c r="A379" s="41"/>
      <c r="B379" s="187" t="s">
        <v>1514</v>
      </c>
      <c r="C379" s="110" t="str">
        <f>sample_mgmt_datacenter</f>
        <v>lax-m01-dc01</v>
      </c>
      <c r="D379" s="18" t="str">
        <f>mgmt_datacenter</f>
        <v>Value Missing</v>
      </c>
      <c r="E379" s="84"/>
      <c r="F379" s="41"/>
      <c r="G379" s="41"/>
      <c r="H379" s="41"/>
      <c r="I379" s="41"/>
      <c r="J379" s="41"/>
      <c r="K379" s="41"/>
      <c r="L379" s="41"/>
      <c r="M379" s="41"/>
      <c r="N379" s="41"/>
      <c r="O379" s="41"/>
      <c r="P379" s="41"/>
      <c r="Q379" s="41"/>
      <c r="R379" s="41"/>
      <c r="S379" s="41"/>
      <c r="T379" s="41"/>
      <c r="U379" s="41"/>
      <c r="V379" s="41"/>
      <c r="W379" s="41"/>
      <c r="X379" s="41"/>
      <c r="Y379" s="41"/>
      <c r="Z379" s="41"/>
    </row>
    <row r="380" ht="19.5" customHeight="1">
      <c r="A380" s="41"/>
      <c r="B380" s="187" t="s">
        <v>1515</v>
      </c>
      <c r="C380" s="110" t="str">
        <f>sample_mgmt_cl01_cluster</f>
        <v>lax-m01-cl01</v>
      </c>
      <c r="D380" s="18" t="str">
        <f>mgmt_cl01_cluster</f>
        <v>Value Missing</v>
      </c>
      <c r="E380" s="84"/>
      <c r="F380" s="41"/>
      <c r="G380" s="41"/>
      <c r="H380" s="41"/>
      <c r="I380" s="41"/>
      <c r="J380" s="41"/>
      <c r="K380" s="41"/>
      <c r="L380" s="41"/>
      <c r="M380" s="41"/>
      <c r="N380" s="41"/>
      <c r="O380" s="41"/>
      <c r="P380" s="41"/>
      <c r="Q380" s="41"/>
      <c r="R380" s="41"/>
      <c r="S380" s="41"/>
      <c r="T380" s="41"/>
      <c r="U380" s="41"/>
      <c r="V380" s="41"/>
      <c r="W380" s="41"/>
      <c r="X380" s="41"/>
      <c r="Y380" s="41"/>
      <c r="Z380" s="41"/>
    </row>
    <row r="381" ht="19.5" customHeight="1">
      <c r="A381" s="41"/>
      <c r="B381" s="187" t="s">
        <v>1516</v>
      </c>
      <c r="C381" s="110" t="s">
        <v>225</v>
      </c>
      <c r="D381" s="18" t="str">
        <f>D364</f>
        <v>Large</v>
      </c>
      <c r="E381" s="84"/>
      <c r="F381" s="41"/>
      <c r="G381" s="41"/>
      <c r="H381" s="41"/>
      <c r="I381" s="41"/>
      <c r="J381" s="41"/>
      <c r="K381" s="41"/>
      <c r="L381" s="41"/>
      <c r="M381" s="41"/>
      <c r="N381" s="41"/>
      <c r="O381" s="41"/>
      <c r="P381" s="41"/>
      <c r="Q381" s="41"/>
      <c r="R381" s="41"/>
      <c r="S381" s="41"/>
      <c r="T381" s="41"/>
      <c r="U381" s="41"/>
      <c r="V381" s="41"/>
      <c r="W381" s="41"/>
      <c r="X381" s="41"/>
      <c r="Y381" s="41"/>
      <c r="Z381" s="41"/>
    </row>
    <row r="382" ht="19.5" customHeight="1">
      <c r="A382" s="41"/>
      <c r="B382" s="187" t="s">
        <v>1517</v>
      </c>
      <c r="C382" s="110" t="str">
        <f>sample_mgmt_cl01_vsan_datastore</f>
        <v>lax-m01-cl01-ds-nfs01</v>
      </c>
      <c r="D382" s="18" t="str">
        <f>mgmt_cl01_vsan_datastore</f>
        <v>Value Missing</v>
      </c>
      <c r="E382" s="84"/>
      <c r="F382" s="41"/>
      <c r="G382" s="41"/>
      <c r="H382" s="41"/>
      <c r="I382" s="41"/>
      <c r="J382" s="41"/>
      <c r="K382" s="41"/>
      <c r="L382" s="41"/>
      <c r="M382" s="41"/>
      <c r="N382" s="41"/>
      <c r="O382" s="41"/>
      <c r="P382" s="41"/>
      <c r="Q382" s="41"/>
      <c r="R382" s="41"/>
      <c r="S382" s="41"/>
      <c r="T382" s="41"/>
      <c r="U382" s="41"/>
      <c r="V382" s="41"/>
      <c r="W382" s="41"/>
      <c r="X382" s="41"/>
      <c r="Y382" s="41"/>
      <c r="Z382" s="41"/>
    </row>
    <row r="383" ht="19.5" customHeight="1">
      <c r="A383" s="41"/>
      <c r="B383" s="187" t="s">
        <v>1518</v>
      </c>
      <c r="C383" s="110" t="str">
        <f>sample_mgmt_cl01_az1_mgmt_vm_pg</f>
        <v>lax-m01-cl01-vds01-pg-vm-mgmt</v>
      </c>
      <c r="D383" s="18" t="str">
        <f>mgmt_cl01_az1_mgmt_vm_pg</f>
        <v>Value Missing</v>
      </c>
      <c r="E383" s="84"/>
      <c r="F383" s="41"/>
      <c r="G383" s="41"/>
      <c r="H383" s="41"/>
      <c r="I383" s="41"/>
      <c r="J383" s="41"/>
      <c r="K383" s="41"/>
      <c r="L383" s="41"/>
      <c r="M383" s="41"/>
      <c r="N383" s="41"/>
      <c r="O383" s="41"/>
      <c r="P383" s="41"/>
      <c r="Q383" s="41"/>
      <c r="R383" s="41"/>
      <c r="S383" s="41"/>
      <c r="T383" s="41"/>
      <c r="U383" s="41"/>
      <c r="V383" s="41"/>
      <c r="W383" s="41"/>
      <c r="X383" s="41"/>
      <c r="Y383" s="41"/>
      <c r="Z383" s="41"/>
    </row>
    <row r="384" ht="19.5" customHeight="1">
      <c r="A384" s="41"/>
      <c r="B384" s="187" t="s">
        <v>1519</v>
      </c>
      <c r="C384" s="110" t="str">
        <f>sample_wld_nsxt_gm_root_password</f>
        <v>VMw@re1!VMw@re1!</v>
      </c>
      <c r="D384" s="18" t="str">
        <f t="array" ref="D384">wld_nsxt_gm_root_password</f>
        <v>Value Missing</v>
      </c>
      <c r="E384" s="84"/>
      <c r="F384" s="41"/>
      <c r="G384" s="41"/>
      <c r="H384" s="41"/>
      <c r="I384" s="41"/>
      <c r="J384" s="41"/>
      <c r="K384" s="41"/>
      <c r="L384" s="41"/>
      <c r="M384" s="41"/>
      <c r="N384" s="41"/>
      <c r="O384" s="41"/>
      <c r="P384" s="41"/>
      <c r="Q384" s="41"/>
      <c r="R384" s="41"/>
      <c r="S384" s="41"/>
      <c r="T384" s="41"/>
      <c r="U384" s="41"/>
      <c r="V384" s="41"/>
      <c r="W384" s="41"/>
      <c r="X384" s="41"/>
      <c r="Y384" s="41"/>
      <c r="Z384" s="41"/>
    </row>
    <row r="385" ht="19.5" customHeight="1">
      <c r="A385" s="41"/>
      <c r="B385" s="187" t="s">
        <v>1520</v>
      </c>
      <c r="C385" s="110" t="str">
        <f>sample_wld_nsxt_gm_admin_password</f>
        <v>VMw@re1!VMw@re1!</v>
      </c>
      <c r="D385" s="18" t="str">
        <f t="array" ref="D385">wld_nsxt_gm_admin_password</f>
        <v>Value Missing</v>
      </c>
      <c r="E385" s="84"/>
      <c r="F385" s="41"/>
      <c r="G385" s="41"/>
      <c r="H385" s="41"/>
      <c r="I385" s="41"/>
      <c r="J385" s="41"/>
      <c r="K385" s="41"/>
      <c r="L385" s="41"/>
      <c r="M385" s="41"/>
      <c r="N385" s="41"/>
      <c r="O385" s="41"/>
      <c r="P385" s="41"/>
      <c r="Q385" s="41"/>
      <c r="R385" s="41"/>
      <c r="S385" s="41"/>
      <c r="T385" s="41"/>
      <c r="U385" s="41"/>
      <c r="V385" s="41"/>
      <c r="W385" s="41"/>
      <c r="X385" s="41"/>
      <c r="Y385" s="41"/>
      <c r="Z385" s="41"/>
    </row>
    <row r="386" ht="19.5" customHeight="1">
      <c r="A386" s="41"/>
      <c r="B386" s="187" t="s">
        <v>1521</v>
      </c>
      <c r="C386" s="110" t="str">
        <f>sample_wld_nsxt_gm_audit_password</f>
        <v>VMw@re1!VMw@re1!</v>
      </c>
      <c r="D386" s="18" t="str">
        <f t="array" ref="D386">wld_nsxt_gm_audit_password</f>
        <v>Value Missing</v>
      </c>
      <c r="E386" s="84"/>
      <c r="F386" s="41"/>
      <c r="G386" s="41"/>
      <c r="H386" s="41"/>
      <c r="I386" s="41"/>
      <c r="J386" s="41"/>
      <c r="K386" s="41"/>
      <c r="L386" s="41"/>
      <c r="M386" s="41"/>
      <c r="N386" s="41"/>
      <c r="O386" s="41"/>
      <c r="P386" s="41"/>
      <c r="Q386" s="41"/>
      <c r="R386" s="41"/>
      <c r="S386" s="41"/>
      <c r="T386" s="41"/>
      <c r="U386" s="41"/>
      <c r="V386" s="41"/>
      <c r="W386" s="41"/>
      <c r="X386" s="41"/>
      <c r="Y386" s="41"/>
      <c r="Z386" s="41"/>
    </row>
    <row r="387" ht="19.5" customHeight="1">
      <c r="A387" s="41"/>
      <c r="B387" s="187" t="s">
        <v>1522</v>
      </c>
      <c r="C387" s="111" t="str">
        <f>CONCATENATE(sample_wld_nsxt_global_mgrb_hostname,".",sample_child_dns_zone)</f>
        <v>lax-w01-nsx-gm01b.lax.rainpole.io</v>
      </c>
      <c r="D387" s="18"/>
      <c r="E387" s="84"/>
      <c r="F387" s="41"/>
      <c r="G387" s="41"/>
      <c r="H387" s="41"/>
      <c r="I387" s="41"/>
      <c r="J387" s="41"/>
      <c r="K387" s="41"/>
      <c r="L387" s="41"/>
      <c r="M387" s="41"/>
      <c r="N387" s="41"/>
      <c r="O387" s="41"/>
      <c r="P387" s="41"/>
      <c r="Q387" s="41"/>
      <c r="R387" s="41"/>
      <c r="S387" s="41"/>
      <c r="T387" s="41"/>
      <c r="U387" s="41"/>
      <c r="V387" s="41"/>
      <c r="W387" s="41"/>
      <c r="X387" s="41"/>
      <c r="Y387" s="41"/>
      <c r="Z387" s="41"/>
    </row>
    <row r="388" ht="19.5" customHeight="1">
      <c r="A388" s="41"/>
      <c r="B388" s="187" t="s">
        <v>1523</v>
      </c>
      <c r="C388" s="163" t="str">
        <f>IF(mgmt_dpg_reuse_result="Included",CONCATENATE(prefix_mgmt_az1_cidr,"10.",(143 + (30*(wld_domain_number_chosen - 1)))),CONCATENATE(prefix_mgmt_az1_cidr,"11.",(143 + (30*(wld_domain_number_chosen - 1)))))</f>
        <v>10.21.10.143</v>
      </c>
      <c r="D388" s="18"/>
      <c r="E388" s="84"/>
      <c r="F388" s="41"/>
      <c r="G388" s="41"/>
      <c r="H388" s="41"/>
      <c r="I388" s="41"/>
      <c r="J388" s="41"/>
      <c r="K388" s="41"/>
      <c r="L388" s="41"/>
      <c r="M388" s="41"/>
      <c r="N388" s="41"/>
      <c r="O388" s="41"/>
      <c r="P388" s="41"/>
      <c r="Q388" s="41"/>
      <c r="R388" s="41"/>
      <c r="S388" s="41"/>
      <c r="T388" s="41"/>
      <c r="U388" s="41"/>
      <c r="V388" s="41"/>
      <c r="W388" s="41"/>
      <c r="X388" s="41"/>
      <c r="Y388" s="41"/>
      <c r="Z388" s="41"/>
    </row>
    <row r="389" ht="19.5" customHeight="1">
      <c r="A389" s="41"/>
      <c r="B389" s="187" t="s">
        <v>1524</v>
      </c>
      <c r="C389" s="110" t="s">
        <v>622</v>
      </c>
      <c r="D389" s="18" t="str">
        <f>mgmt_az1_mgmt_vm_mask</f>
        <v>Value Missing</v>
      </c>
      <c r="E389" s="84"/>
      <c r="F389" s="41"/>
      <c r="G389" s="41"/>
      <c r="H389" s="41"/>
      <c r="I389" s="41"/>
      <c r="J389" s="41"/>
      <c r="K389" s="41"/>
      <c r="L389" s="41"/>
      <c r="M389" s="41"/>
      <c r="N389" s="41"/>
      <c r="O389" s="41"/>
      <c r="P389" s="41"/>
      <c r="Q389" s="41"/>
      <c r="R389" s="41"/>
      <c r="S389" s="41"/>
      <c r="T389" s="41"/>
      <c r="U389" s="41"/>
      <c r="V389" s="41"/>
      <c r="W389" s="41"/>
      <c r="X389" s="41"/>
      <c r="Y389" s="41"/>
      <c r="Z389" s="41"/>
    </row>
    <row r="390" ht="19.5" customHeight="1">
      <c r="A390" s="41"/>
      <c r="B390" s="187" t="s">
        <v>1525</v>
      </c>
      <c r="C390" s="110" t="str">
        <f>sample_mgmt_az1_mgmt_vm_gateway_ip</f>
        <v>10.21.10.1</v>
      </c>
      <c r="D390" s="18" t="str">
        <f>mgmt_az1_mgmt_vm_gateway_ip</f>
        <v>Value Missing</v>
      </c>
      <c r="E390" s="84"/>
      <c r="F390" s="41"/>
      <c r="G390" s="41"/>
      <c r="H390" s="41"/>
      <c r="I390" s="41"/>
      <c r="J390" s="41"/>
      <c r="K390" s="41"/>
      <c r="L390" s="41"/>
      <c r="M390" s="41"/>
      <c r="N390" s="41"/>
      <c r="O390" s="41"/>
      <c r="P390" s="41"/>
      <c r="Q390" s="41"/>
      <c r="R390" s="41"/>
      <c r="S390" s="41"/>
      <c r="T390" s="41"/>
      <c r="U390" s="41"/>
      <c r="V390" s="41"/>
      <c r="W390" s="41"/>
      <c r="X390" s="41"/>
      <c r="Y390" s="41"/>
      <c r="Z390" s="41"/>
    </row>
    <row r="391" ht="19.5" customHeight="1">
      <c r="A391" s="41"/>
      <c r="B391" s="187" t="s">
        <v>1526</v>
      </c>
      <c r="C391" s="110" t="str">
        <f>CONCATENATE(sample_region_dns1_ip,",",sample_region_dns2_ip)</f>
        <v>10.21.10.4,10.21.10.5</v>
      </c>
      <c r="D391" s="18" t="str">
        <f>IF(ISBLANK(input_region_dns1_ip),"Value Missing",CONCATENATE(region_dns1_ip,",",IF(ISBLANK(region_dns2_ip),"Value Missing",region_dns2_ip)))</f>
        <v>Value Missing</v>
      </c>
      <c r="E391" s="84"/>
      <c r="F391" s="41"/>
      <c r="G391" s="41"/>
      <c r="H391" s="41"/>
      <c r="I391" s="41"/>
      <c r="J391" s="41"/>
      <c r="K391" s="41"/>
      <c r="L391" s="41"/>
      <c r="M391" s="41"/>
      <c r="N391" s="41"/>
      <c r="O391" s="41"/>
      <c r="P391" s="41"/>
      <c r="Q391" s="41"/>
      <c r="R391" s="41"/>
      <c r="S391" s="41"/>
      <c r="T391" s="41"/>
      <c r="U391" s="41"/>
      <c r="V391" s="41"/>
      <c r="W391" s="41"/>
      <c r="X391" s="41"/>
      <c r="Y391" s="41"/>
      <c r="Z391" s="41"/>
    </row>
    <row r="392" ht="19.5" customHeight="1">
      <c r="A392" s="41"/>
      <c r="B392" s="187" t="s">
        <v>1527</v>
      </c>
      <c r="C392" s="110" t="str">
        <f>CONCATENATE(sample_child_dns_zone,",",sample_parent_dns_zone)</f>
        <v>lax.rainpole.io,rainpole.io</v>
      </c>
      <c r="D392" s="18" t="str">
        <f>CONCATENATE(child_dns_zone,",",parent_dns_zone)</f>
        <v>Value Missing,Value Missing</v>
      </c>
      <c r="E392" s="84"/>
      <c r="F392" s="41"/>
      <c r="G392" s="41"/>
      <c r="H392" s="41"/>
      <c r="I392" s="41"/>
      <c r="J392" s="41"/>
      <c r="K392" s="41"/>
      <c r="L392" s="41"/>
      <c r="M392" s="41"/>
      <c r="N392" s="41"/>
      <c r="O392" s="41"/>
      <c r="P392" s="41"/>
      <c r="Q392" s="41"/>
      <c r="R392" s="41"/>
      <c r="S392" s="41"/>
      <c r="T392" s="41"/>
      <c r="U392" s="41"/>
      <c r="V392" s="41"/>
      <c r="W392" s="41"/>
      <c r="X392" s="41"/>
      <c r="Y392" s="41"/>
      <c r="Z392" s="41"/>
    </row>
    <row r="393" ht="19.5" customHeight="1">
      <c r="A393" s="41"/>
      <c r="B393" s="187" t="s">
        <v>1528</v>
      </c>
      <c r="C393" s="110" t="str">
        <f>IF(AND((NOT(ISBLANK(sample_region_ntp2_server))),(sample_region_ntp2_server &lt;&gt; "n/a")),CONCATENATE(sample_region_ntp1_server,",",sample_region_ntp2_server),sample_region_ntp1_server)</f>
        <v>ntp0.lax.rainpole.io,ntp1.lax.rainpole.io</v>
      </c>
      <c r="D393" s="18" t="str">
        <f>IF(AND((NOT(ISBLANK(region_ntp2_server))),(region_ntp2_server &lt;&gt; "n/a")),CONCATENATE(region_ntp1_server,",",region_ntp2_server),region_ntp1_server)</f>
        <v>Value Missing,Value Missing</v>
      </c>
      <c r="E393" s="84"/>
      <c r="F393" s="41"/>
      <c r="G393" s="41"/>
      <c r="H393" s="41"/>
      <c r="I393" s="41"/>
      <c r="J393" s="41"/>
      <c r="K393" s="41"/>
      <c r="L393" s="41"/>
      <c r="M393" s="41"/>
      <c r="N393" s="41"/>
      <c r="O393" s="41"/>
      <c r="P393" s="41"/>
      <c r="Q393" s="41"/>
      <c r="R393" s="41"/>
      <c r="S393" s="41"/>
      <c r="T393" s="41"/>
      <c r="U393" s="41"/>
      <c r="V393" s="41"/>
      <c r="W393" s="41"/>
      <c r="X393" s="41"/>
      <c r="Y393" s="41"/>
      <c r="Z393" s="41"/>
    </row>
    <row r="394" ht="19.5" customHeight="1">
      <c r="A394" s="41"/>
      <c r="B394" s="17" t="s">
        <v>862</v>
      </c>
      <c r="C394" s="13"/>
      <c r="D394" s="13"/>
      <c r="E394" s="14"/>
      <c r="F394" s="41"/>
      <c r="G394" s="41"/>
      <c r="H394" s="41"/>
      <c r="I394" s="41"/>
      <c r="J394" s="41"/>
      <c r="K394" s="41"/>
      <c r="L394" s="41"/>
      <c r="M394" s="41"/>
      <c r="N394" s="41"/>
      <c r="O394" s="41"/>
      <c r="P394" s="41"/>
      <c r="Q394" s="41"/>
      <c r="R394" s="41"/>
      <c r="S394" s="41"/>
      <c r="T394" s="41"/>
      <c r="U394" s="41"/>
      <c r="V394" s="41"/>
      <c r="W394" s="41"/>
      <c r="X394" s="41"/>
      <c r="Y394" s="41"/>
      <c r="Z394" s="41"/>
    </row>
    <row r="395" ht="19.5" customHeight="1">
      <c r="A395" s="41"/>
      <c r="B395" s="187" t="s">
        <v>1529</v>
      </c>
      <c r="C395" s="163" t="str">
        <f>CONCATENATE(this_instance,"-w0",wld_domain_number_chosen,"-nsx-gm01c")</f>
        <v>lax-w01-nsx-gm01c</v>
      </c>
      <c r="D395" s="18"/>
      <c r="E395" s="84"/>
      <c r="F395" s="41"/>
      <c r="G395" s="41"/>
      <c r="H395" s="41"/>
      <c r="I395" s="41"/>
      <c r="J395" s="41"/>
      <c r="K395" s="41"/>
      <c r="L395" s="41"/>
      <c r="M395" s="41"/>
      <c r="N395" s="41"/>
      <c r="O395" s="41"/>
      <c r="P395" s="41"/>
      <c r="Q395" s="41"/>
      <c r="R395" s="41"/>
      <c r="S395" s="41"/>
      <c r="T395" s="41"/>
      <c r="U395" s="41"/>
      <c r="V395" s="41"/>
      <c r="W395" s="41"/>
      <c r="X395" s="41"/>
      <c r="Y395" s="41"/>
      <c r="Z395" s="41"/>
    </row>
    <row r="396" ht="19.5" customHeight="1">
      <c r="A396" s="41"/>
      <c r="B396" s="187" t="s">
        <v>1530</v>
      </c>
      <c r="C396" s="110" t="str">
        <f>sample_mgmt_datacenter</f>
        <v>lax-m01-dc01</v>
      </c>
      <c r="D396" s="18" t="str">
        <f>mgmt_datacenter</f>
        <v>Value Missing</v>
      </c>
      <c r="E396" s="84"/>
      <c r="F396" s="41"/>
      <c r="G396" s="41"/>
      <c r="H396" s="41"/>
      <c r="I396" s="41"/>
      <c r="J396" s="41"/>
      <c r="K396" s="41"/>
      <c r="L396" s="41"/>
      <c r="M396" s="41"/>
      <c r="N396" s="41"/>
      <c r="O396" s="41"/>
      <c r="P396" s="41"/>
      <c r="Q396" s="41"/>
      <c r="R396" s="41"/>
      <c r="S396" s="41"/>
      <c r="T396" s="41"/>
      <c r="U396" s="41"/>
      <c r="V396" s="41"/>
      <c r="W396" s="41"/>
      <c r="X396" s="41"/>
      <c r="Y396" s="41"/>
      <c r="Z396" s="41"/>
    </row>
    <row r="397" ht="19.5" customHeight="1">
      <c r="A397" s="41"/>
      <c r="B397" s="187" t="s">
        <v>1531</v>
      </c>
      <c r="C397" s="110" t="str">
        <f>sample_mgmt_cl01_cluster</f>
        <v>lax-m01-cl01</v>
      </c>
      <c r="D397" s="18" t="str">
        <f>mgmt_cl01_cluster</f>
        <v>Value Missing</v>
      </c>
      <c r="E397" s="84"/>
      <c r="F397" s="41"/>
      <c r="G397" s="41"/>
      <c r="H397" s="41"/>
      <c r="I397" s="41"/>
      <c r="J397" s="41"/>
      <c r="K397" s="41"/>
      <c r="L397" s="41"/>
      <c r="M397" s="41"/>
      <c r="N397" s="41"/>
      <c r="O397" s="41"/>
      <c r="P397" s="41"/>
      <c r="Q397" s="41"/>
      <c r="R397" s="41"/>
      <c r="S397" s="41"/>
      <c r="T397" s="41"/>
      <c r="U397" s="41"/>
      <c r="V397" s="41"/>
      <c r="W397" s="41"/>
      <c r="X397" s="41"/>
      <c r="Y397" s="41"/>
      <c r="Z397" s="41"/>
    </row>
    <row r="398" ht="19.5" customHeight="1">
      <c r="A398" s="41"/>
      <c r="B398" s="187" t="s">
        <v>1532</v>
      </c>
      <c r="C398" s="110" t="s">
        <v>225</v>
      </c>
      <c r="D398" s="18" t="str">
        <f>D364</f>
        <v>Large</v>
      </c>
      <c r="E398" s="84"/>
      <c r="F398" s="41"/>
      <c r="G398" s="41"/>
      <c r="H398" s="41"/>
      <c r="I398" s="41"/>
      <c r="J398" s="41"/>
      <c r="K398" s="41"/>
      <c r="L398" s="41"/>
      <c r="M398" s="41"/>
      <c r="N398" s="41"/>
      <c r="O398" s="41"/>
      <c r="P398" s="41"/>
      <c r="Q398" s="41"/>
      <c r="R398" s="41"/>
      <c r="S398" s="41"/>
      <c r="T398" s="41"/>
      <c r="U398" s="41"/>
      <c r="V398" s="41"/>
      <c r="W398" s="41"/>
      <c r="X398" s="41"/>
      <c r="Y398" s="41"/>
      <c r="Z398" s="41"/>
    </row>
    <row r="399" ht="19.5" customHeight="1">
      <c r="A399" s="41"/>
      <c r="B399" s="187" t="s">
        <v>1533</v>
      </c>
      <c r="C399" s="110" t="str">
        <f>sample_mgmt_cl01_vsan_datastore</f>
        <v>lax-m01-cl01-ds-nfs01</v>
      </c>
      <c r="D399" s="18" t="str">
        <f>mgmt_cl01_vsan_datastore</f>
        <v>Value Missing</v>
      </c>
      <c r="E399" s="84"/>
      <c r="F399" s="41"/>
      <c r="G399" s="41"/>
      <c r="H399" s="41"/>
      <c r="I399" s="41"/>
      <c r="J399" s="41"/>
      <c r="K399" s="41"/>
      <c r="L399" s="41"/>
      <c r="M399" s="41"/>
      <c r="N399" s="41"/>
      <c r="O399" s="41"/>
      <c r="P399" s="41"/>
      <c r="Q399" s="41"/>
      <c r="R399" s="41"/>
      <c r="S399" s="41"/>
      <c r="T399" s="41"/>
      <c r="U399" s="41"/>
      <c r="V399" s="41"/>
      <c r="W399" s="41"/>
      <c r="X399" s="41"/>
      <c r="Y399" s="41"/>
      <c r="Z399" s="41"/>
    </row>
    <row r="400" ht="19.5" customHeight="1">
      <c r="A400" s="41"/>
      <c r="B400" s="187" t="s">
        <v>1534</v>
      </c>
      <c r="C400" s="110" t="str">
        <f>sample_mgmt_cl01_az1_mgmt_vm_pg</f>
        <v>lax-m01-cl01-vds01-pg-vm-mgmt</v>
      </c>
      <c r="D400" s="18" t="str">
        <f>mgmt_cl01_az1_mgmt_vm_pg</f>
        <v>Value Missing</v>
      </c>
      <c r="E400" s="84"/>
      <c r="F400" s="41"/>
      <c r="G400" s="41"/>
      <c r="H400" s="41"/>
      <c r="I400" s="41"/>
      <c r="J400" s="41"/>
      <c r="K400" s="41"/>
      <c r="L400" s="41"/>
      <c r="M400" s="41"/>
      <c r="N400" s="41"/>
      <c r="O400" s="41"/>
      <c r="P400" s="41"/>
      <c r="Q400" s="41"/>
      <c r="R400" s="41"/>
      <c r="S400" s="41"/>
      <c r="T400" s="41"/>
      <c r="U400" s="41"/>
      <c r="V400" s="41"/>
      <c r="W400" s="41"/>
      <c r="X400" s="41"/>
      <c r="Y400" s="41"/>
      <c r="Z400" s="41"/>
    </row>
    <row r="401" ht="19.5" customHeight="1">
      <c r="A401" s="41"/>
      <c r="B401" s="187" t="s">
        <v>1535</v>
      </c>
      <c r="C401" s="110" t="str">
        <f>sample_wld_nsxt_gm_root_password</f>
        <v>VMw@re1!VMw@re1!</v>
      </c>
      <c r="D401" s="18" t="str">
        <f t="array" ref="D401">wld_nsxt_gm_root_password</f>
        <v>Value Missing</v>
      </c>
      <c r="E401" s="84"/>
      <c r="F401" s="41"/>
      <c r="G401" s="41"/>
      <c r="H401" s="41"/>
      <c r="I401" s="41"/>
      <c r="J401" s="41"/>
      <c r="K401" s="41"/>
      <c r="L401" s="41"/>
      <c r="M401" s="41"/>
      <c r="N401" s="41"/>
      <c r="O401" s="41"/>
      <c r="P401" s="41"/>
      <c r="Q401" s="41"/>
      <c r="R401" s="41"/>
      <c r="S401" s="41"/>
      <c r="T401" s="41"/>
      <c r="U401" s="41"/>
      <c r="V401" s="41"/>
      <c r="W401" s="41"/>
      <c r="X401" s="41"/>
      <c r="Y401" s="41"/>
      <c r="Z401" s="41"/>
    </row>
    <row r="402" ht="19.5" customHeight="1">
      <c r="A402" s="41"/>
      <c r="B402" s="187" t="s">
        <v>1536</v>
      </c>
      <c r="C402" s="110" t="str">
        <f>sample_wld_nsxt_gm_admin_password</f>
        <v>VMw@re1!VMw@re1!</v>
      </c>
      <c r="D402" s="18" t="str">
        <f t="array" ref="D402">wld_nsxt_gm_admin_password</f>
        <v>Value Missing</v>
      </c>
      <c r="E402" s="84"/>
      <c r="F402" s="41"/>
      <c r="G402" s="41"/>
      <c r="H402" s="41"/>
      <c r="I402" s="41"/>
      <c r="J402" s="41"/>
      <c r="K402" s="41"/>
      <c r="L402" s="41"/>
      <c r="M402" s="41"/>
      <c r="N402" s="41"/>
      <c r="O402" s="41"/>
      <c r="P402" s="41"/>
      <c r="Q402" s="41"/>
      <c r="R402" s="41"/>
      <c r="S402" s="41"/>
      <c r="T402" s="41"/>
      <c r="U402" s="41"/>
      <c r="V402" s="41"/>
      <c r="W402" s="41"/>
      <c r="X402" s="41"/>
      <c r="Y402" s="41"/>
      <c r="Z402" s="41"/>
    </row>
    <row r="403" ht="19.5" customHeight="1">
      <c r="A403" s="41"/>
      <c r="B403" s="187" t="s">
        <v>1537</v>
      </c>
      <c r="C403" s="110" t="str">
        <f>sample_wld_nsxt_gm_audit_password</f>
        <v>VMw@re1!VMw@re1!</v>
      </c>
      <c r="D403" s="18" t="str">
        <f t="array" ref="D403">wld_nsxt_gm_audit_password</f>
        <v>Value Missing</v>
      </c>
      <c r="E403" s="84"/>
      <c r="F403" s="41"/>
      <c r="G403" s="41"/>
      <c r="H403" s="41"/>
      <c r="I403" s="41"/>
      <c r="J403" s="41"/>
      <c r="K403" s="41"/>
      <c r="L403" s="41"/>
      <c r="M403" s="41"/>
      <c r="N403" s="41"/>
      <c r="O403" s="41"/>
      <c r="P403" s="41"/>
      <c r="Q403" s="41"/>
      <c r="R403" s="41"/>
      <c r="S403" s="41"/>
      <c r="T403" s="41"/>
      <c r="U403" s="41"/>
      <c r="V403" s="41"/>
      <c r="W403" s="41"/>
      <c r="X403" s="41"/>
      <c r="Y403" s="41"/>
      <c r="Z403" s="41"/>
    </row>
    <row r="404" ht="19.5" customHeight="1">
      <c r="A404" s="41"/>
      <c r="B404" s="187" t="s">
        <v>1538</v>
      </c>
      <c r="C404" s="111" t="str">
        <f>CONCATENATE(sample_wld_nsxt_global_mgrc_hostname,".",sample_child_dns_zone)</f>
        <v>lax-w01-nsx-gm01c.lax.rainpole.io</v>
      </c>
      <c r="D404" s="18"/>
      <c r="E404" s="84"/>
      <c r="F404" s="41"/>
      <c r="G404" s="41"/>
      <c r="H404" s="41"/>
      <c r="I404" s="41"/>
      <c r="J404" s="41"/>
      <c r="K404" s="41"/>
      <c r="L404" s="41"/>
      <c r="M404" s="41"/>
      <c r="N404" s="41"/>
      <c r="O404" s="41"/>
      <c r="P404" s="41"/>
      <c r="Q404" s="41"/>
      <c r="R404" s="41"/>
      <c r="S404" s="41"/>
      <c r="T404" s="41"/>
      <c r="U404" s="41"/>
      <c r="V404" s="41"/>
      <c r="W404" s="41"/>
      <c r="X404" s="41"/>
      <c r="Y404" s="41"/>
      <c r="Z404" s="41"/>
    </row>
    <row r="405" ht="19.5" customHeight="1">
      <c r="A405" s="41"/>
      <c r="B405" s="187" t="s">
        <v>1539</v>
      </c>
      <c r="C405" s="163" t="str">
        <f>IF(mgmt_dpg_reuse_result="Included",CONCATENATE(prefix_mgmt_az1_cidr,"10.",(144 + (30*(wld_domain_number_chosen - 1)))),CONCATENATE(prefix_mgmt_az1_cidr,"11.",(144 + (30*(wld_domain_number_chosen - 1)))))</f>
        <v>10.21.10.144</v>
      </c>
      <c r="D405" s="18"/>
      <c r="E405" s="84"/>
      <c r="F405" s="41"/>
      <c r="G405" s="41"/>
      <c r="H405" s="41"/>
      <c r="I405" s="41"/>
      <c r="J405" s="41"/>
      <c r="K405" s="41"/>
      <c r="L405" s="41"/>
      <c r="M405" s="41"/>
      <c r="N405" s="41"/>
      <c r="O405" s="41"/>
      <c r="P405" s="41"/>
      <c r="Q405" s="41"/>
      <c r="R405" s="41"/>
      <c r="S405" s="41"/>
      <c r="T405" s="41"/>
      <c r="U405" s="41"/>
      <c r="V405" s="41"/>
      <c r="W405" s="41"/>
      <c r="X405" s="41"/>
      <c r="Y405" s="41"/>
      <c r="Z405" s="41"/>
    </row>
    <row r="406" ht="19.5" customHeight="1">
      <c r="A406" s="41"/>
      <c r="B406" s="187" t="s">
        <v>1540</v>
      </c>
      <c r="C406" s="110" t="s">
        <v>622</v>
      </c>
      <c r="D406" s="18" t="str">
        <f>mgmt_az1_mgmt_vm_mask</f>
        <v>Value Missing</v>
      </c>
      <c r="E406" s="84"/>
      <c r="F406" s="41"/>
      <c r="G406" s="41"/>
      <c r="H406" s="41"/>
      <c r="I406" s="41"/>
      <c r="J406" s="41"/>
      <c r="K406" s="41"/>
      <c r="L406" s="41"/>
      <c r="M406" s="41"/>
      <c r="N406" s="41"/>
      <c r="O406" s="41"/>
      <c r="P406" s="41"/>
      <c r="Q406" s="41"/>
      <c r="R406" s="41"/>
      <c r="S406" s="41"/>
      <c r="T406" s="41"/>
      <c r="U406" s="41"/>
      <c r="V406" s="41"/>
      <c r="W406" s="41"/>
      <c r="X406" s="41"/>
      <c r="Y406" s="41"/>
      <c r="Z406" s="41"/>
    </row>
    <row r="407" ht="19.5" customHeight="1">
      <c r="A407" s="41"/>
      <c r="B407" s="187" t="s">
        <v>1541</v>
      </c>
      <c r="C407" s="110" t="str">
        <f>sample_mgmt_az1_mgmt_vm_gateway_ip</f>
        <v>10.21.10.1</v>
      </c>
      <c r="D407" s="18" t="str">
        <f>mgmt_az1_mgmt_vm_gateway_ip</f>
        <v>Value Missing</v>
      </c>
      <c r="E407" s="84"/>
      <c r="F407" s="41"/>
      <c r="G407" s="41"/>
      <c r="H407" s="41"/>
      <c r="I407" s="41"/>
      <c r="J407" s="41"/>
      <c r="K407" s="41"/>
      <c r="L407" s="41"/>
      <c r="M407" s="41"/>
      <c r="N407" s="41"/>
      <c r="O407" s="41"/>
      <c r="P407" s="41"/>
      <c r="Q407" s="41"/>
      <c r="R407" s="41"/>
      <c r="S407" s="41"/>
      <c r="T407" s="41"/>
      <c r="U407" s="41"/>
      <c r="V407" s="41"/>
      <c r="W407" s="41"/>
      <c r="X407" s="41"/>
      <c r="Y407" s="41"/>
      <c r="Z407" s="41"/>
    </row>
    <row r="408" ht="19.5" customHeight="1">
      <c r="A408" s="41"/>
      <c r="B408" s="187" t="s">
        <v>1542</v>
      </c>
      <c r="C408" s="110" t="str">
        <f>CONCATENATE(sample_region_dns1_ip,",",sample_region_dns2_ip)</f>
        <v>10.21.10.4,10.21.10.5</v>
      </c>
      <c r="D408" s="18" t="str">
        <f>IF(ISBLANK(region_dns1_ip),"Value Missing",CONCAT(region_dns1_ip,",",IF(ISBLANK(region_dns2_ip),"Value Missing",region_dns2_ip)))</f>
        <v>#N/A</v>
      </c>
      <c r="E408" s="84"/>
      <c r="F408" s="41"/>
      <c r="G408" s="41"/>
      <c r="H408" s="41"/>
      <c r="I408" s="41"/>
      <c r="J408" s="41"/>
      <c r="K408" s="41"/>
      <c r="L408" s="41"/>
      <c r="M408" s="41"/>
      <c r="N408" s="41"/>
      <c r="O408" s="41"/>
      <c r="P408" s="41"/>
      <c r="Q408" s="41"/>
      <c r="R408" s="41"/>
      <c r="S408" s="41"/>
      <c r="T408" s="41"/>
      <c r="U408" s="41"/>
      <c r="V408" s="41"/>
      <c r="W408" s="41"/>
      <c r="X408" s="41"/>
      <c r="Y408" s="41"/>
      <c r="Z408" s="41"/>
    </row>
    <row r="409" ht="19.5" customHeight="1">
      <c r="A409" s="41"/>
      <c r="B409" s="187" t="s">
        <v>1543</v>
      </c>
      <c r="C409" s="110" t="str">
        <f>CONCATENATE(sample_child_dns_zone,",",sample_parent_dns_zone)</f>
        <v>lax.rainpole.io,rainpole.io</v>
      </c>
      <c r="D409" s="18" t="str">
        <f>CONCATENATE(child_dns_zone,",",parent_dns_zone)</f>
        <v>Value Missing,Value Missing</v>
      </c>
      <c r="E409" s="84"/>
      <c r="F409" s="41"/>
      <c r="G409" s="41"/>
      <c r="H409" s="41"/>
      <c r="I409" s="41"/>
      <c r="J409" s="41"/>
      <c r="K409" s="41"/>
      <c r="L409" s="41"/>
      <c r="M409" s="41"/>
      <c r="N409" s="41"/>
      <c r="O409" s="41"/>
      <c r="P409" s="41"/>
      <c r="Q409" s="41"/>
      <c r="R409" s="41"/>
      <c r="S409" s="41"/>
      <c r="T409" s="41"/>
      <c r="U409" s="41"/>
      <c r="V409" s="41"/>
      <c r="W409" s="41"/>
      <c r="X409" s="41"/>
      <c r="Y409" s="41"/>
      <c r="Z409" s="41"/>
    </row>
    <row r="410" ht="19.5" customHeight="1">
      <c r="A410" s="41"/>
      <c r="B410" s="187" t="s">
        <v>1544</v>
      </c>
      <c r="C410" s="110" t="str">
        <f>IF(AND((NOT(ISBLANK(sample_region_ntp2_server))),(sample_region_ntp2_server &lt;&gt; "n/a")),CONCATENATE(sample_region_ntp1_server,",",sample_region_ntp2_server),sample_region_ntp1_server)</f>
        <v>ntp0.lax.rainpole.io,ntp1.lax.rainpole.io</v>
      </c>
      <c r="D410" s="18" t="str">
        <f>IF(AND((NOT(ISBLANK(region_ntp2_server))),(region_ntp2_server &lt;&gt; "n/a")),CONCATENATE(region_ntp1_server,",",region_ntp2_server),region_ntp1_server)</f>
        <v>Value Missing,Value Missing</v>
      </c>
      <c r="E410" s="84"/>
      <c r="F410" s="41"/>
      <c r="G410" s="41"/>
      <c r="H410" s="41"/>
      <c r="I410" s="41"/>
      <c r="J410" s="41"/>
      <c r="K410" s="41"/>
      <c r="L410" s="41"/>
      <c r="M410" s="41"/>
      <c r="N410" s="41"/>
      <c r="O410" s="41"/>
      <c r="P410" s="41"/>
      <c r="Q410" s="41"/>
      <c r="R410" s="41"/>
      <c r="S410" s="41"/>
      <c r="T410" s="41"/>
      <c r="U410" s="41"/>
      <c r="V410" s="41"/>
      <c r="W410" s="41"/>
      <c r="X410" s="41"/>
      <c r="Y410" s="41"/>
      <c r="Z410" s="41"/>
    </row>
    <row r="411" ht="19.5" customHeight="1">
      <c r="A411" s="41"/>
      <c r="B411" s="187" t="s">
        <v>879</v>
      </c>
      <c r="C411" s="111" t="str">
        <f>CONCATENATE(sample_wld_nsxt_global_mgra_hostname,".",sample_child_dns_zone)</f>
        <v>lax-w01-nsx-gm01a.lax.rainpole.io</v>
      </c>
      <c r="D411" s="18" t="str">
        <f>wld_nsxt_global_mgra_fqdn</f>
        <v>Value Missing</v>
      </c>
      <c r="E411" s="84"/>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1"/>
      <c r="C412" s="1"/>
      <c r="D412" s="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9.5" customHeight="1">
      <c r="A413" s="41"/>
      <c r="B413" s="17" t="s">
        <v>880</v>
      </c>
      <c r="C413" s="13"/>
      <c r="D413" s="13"/>
      <c r="E413" s="14"/>
      <c r="F413" s="41"/>
      <c r="G413" s="41"/>
      <c r="H413" s="41"/>
      <c r="I413" s="41"/>
      <c r="J413" s="41"/>
      <c r="K413" s="41"/>
      <c r="L413" s="41"/>
      <c r="M413" s="41"/>
      <c r="N413" s="41"/>
      <c r="O413" s="41"/>
      <c r="P413" s="41"/>
      <c r="Q413" s="41"/>
      <c r="R413" s="41"/>
      <c r="S413" s="41"/>
      <c r="T413" s="41"/>
      <c r="U413" s="41"/>
      <c r="V413" s="41"/>
      <c r="W413" s="41"/>
      <c r="X413" s="41"/>
      <c r="Y413" s="41"/>
      <c r="Z413" s="41"/>
    </row>
    <row r="414" ht="19.5" customHeight="1">
      <c r="A414" s="41"/>
      <c r="B414" s="49" t="s">
        <v>37</v>
      </c>
      <c r="C414" s="49" t="s">
        <v>273</v>
      </c>
      <c r="D414" s="49" t="s">
        <v>274</v>
      </c>
      <c r="E414" s="49" t="s">
        <v>5</v>
      </c>
      <c r="F414" s="41"/>
      <c r="G414" s="41"/>
      <c r="H414" s="41"/>
      <c r="I414" s="41"/>
      <c r="J414" s="41"/>
      <c r="K414" s="41"/>
      <c r="L414" s="41"/>
      <c r="M414" s="41"/>
      <c r="N414" s="41"/>
      <c r="O414" s="41"/>
      <c r="P414" s="41"/>
      <c r="Q414" s="41"/>
      <c r="R414" s="41"/>
      <c r="S414" s="41"/>
      <c r="T414" s="41"/>
      <c r="U414" s="41"/>
      <c r="V414" s="41"/>
      <c r="W414" s="41"/>
      <c r="X414" s="41"/>
      <c r="Y414" s="41"/>
      <c r="Z414" s="41"/>
    </row>
    <row r="415" ht="19.5" customHeight="1">
      <c r="A415" s="41"/>
      <c r="B415" s="173" t="s">
        <v>826</v>
      </c>
      <c r="C415" s="111" t="str">
        <f>sample_mgmt_vc_fqdn</f>
        <v>lax-m01-vc01.lax.rainpole.io</v>
      </c>
      <c r="D415" s="18" t="str">
        <f>mgmt_vc_fqdn</f>
        <v>Value Missing</v>
      </c>
      <c r="E415" s="84"/>
      <c r="F415" s="41"/>
      <c r="G415" s="41"/>
      <c r="H415" s="41"/>
      <c r="I415" s="41"/>
      <c r="J415" s="41"/>
      <c r="K415" s="41"/>
      <c r="L415" s="41"/>
      <c r="M415" s="41"/>
      <c r="N415" s="41"/>
      <c r="O415" s="41"/>
      <c r="P415" s="41"/>
      <c r="Q415" s="41"/>
      <c r="R415" s="41"/>
      <c r="S415" s="41"/>
      <c r="T415" s="41"/>
      <c r="U415" s="41"/>
      <c r="V415" s="41"/>
      <c r="W415" s="41"/>
      <c r="X415" s="41"/>
      <c r="Y415" s="41"/>
      <c r="Z415" s="41"/>
    </row>
    <row r="416" ht="19.5" customHeight="1">
      <c r="A416" s="41"/>
      <c r="B416" s="173" t="s">
        <v>881</v>
      </c>
      <c r="C416" s="203" t="s">
        <v>1545</v>
      </c>
      <c r="D416" s="18"/>
      <c r="E416" s="153"/>
      <c r="F416" s="41"/>
      <c r="G416" s="41"/>
      <c r="H416" s="41"/>
      <c r="I416" s="41"/>
      <c r="J416" s="41"/>
      <c r="K416" s="41"/>
      <c r="L416" s="41"/>
      <c r="M416" s="41"/>
      <c r="N416" s="41"/>
      <c r="O416" s="41"/>
      <c r="P416" s="41"/>
      <c r="Q416" s="41"/>
      <c r="R416" s="41"/>
      <c r="S416" s="41"/>
      <c r="T416" s="41"/>
      <c r="U416" s="41"/>
      <c r="V416" s="41"/>
      <c r="W416" s="41"/>
      <c r="X416" s="41"/>
      <c r="Y416" s="41"/>
      <c r="Z416" s="41"/>
    </row>
    <row r="417" ht="19.5" customHeight="1">
      <c r="A417" s="41"/>
      <c r="B417" s="173" t="s">
        <v>1546</v>
      </c>
      <c r="C417" s="203" t="s">
        <v>1547</v>
      </c>
      <c r="D417" s="18"/>
      <c r="E417" s="153"/>
      <c r="F417" s="41"/>
      <c r="G417" s="41"/>
      <c r="H417" s="41"/>
      <c r="I417" s="41"/>
      <c r="J417" s="41"/>
      <c r="K417" s="41"/>
      <c r="L417" s="41"/>
      <c r="M417" s="41"/>
      <c r="N417" s="41"/>
      <c r="O417" s="41"/>
      <c r="P417" s="41"/>
      <c r="Q417" s="41"/>
      <c r="R417" s="41"/>
      <c r="S417" s="41"/>
      <c r="T417" s="41"/>
      <c r="U417" s="41"/>
      <c r="V417" s="41"/>
      <c r="W417" s="41"/>
      <c r="X417" s="41"/>
      <c r="Y417" s="41"/>
      <c r="Z417" s="41"/>
    </row>
    <row r="418" ht="19.5" customHeight="1">
      <c r="A418" s="41"/>
      <c r="B418" s="173" t="s">
        <v>1548</v>
      </c>
      <c r="C418" s="111" t="str">
        <f>CONCATENATE(sample_wld_nsxt_global_mgrb_hostname,".",sample_child_dns_zone)</f>
        <v>lax-w01-nsx-gm01b.lax.rainpole.io</v>
      </c>
      <c r="D418" s="18" t="str">
        <f>wld_nsxt_global_mgrb_fqdn</f>
        <v>Value Missing</v>
      </c>
      <c r="E418" s="153"/>
      <c r="F418" s="41"/>
      <c r="G418" s="41"/>
      <c r="H418" s="41"/>
      <c r="I418" s="41"/>
      <c r="J418" s="41"/>
      <c r="K418" s="41"/>
      <c r="L418" s="41"/>
      <c r="M418" s="41"/>
      <c r="N418" s="41"/>
      <c r="O418" s="41"/>
      <c r="P418" s="41"/>
      <c r="Q418" s="41"/>
      <c r="R418" s="41"/>
      <c r="S418" s="41"/>
      <c r="T418" s="41"/>
      <c r="U418" s="41"/>
      <c r="V418" s="41"/>
      <c r="W418" s="41"/>
      <c r="X418" s="41"/>
      <c r="Y418" s="41"/>
      <c r="Z418" s="41"/>
    </row>
    <row r="419" ht="19.5" customHeight="1">
      <c r="A419" s="41"/>
      <c r="B419" s="173" t="s">
        <v>1549</v>
      </c>
      <c r="C419" s="110" t="str">
        <f>sample_wld_nsxt_global_mgra_ip</f>
        <v>10.21.10.142</v>
      </c>
      <c r="D419" s="18" t="str">
        <f>wld_nsxt_global_mgra_ip</f>
        <v>Value Missing</v>
      </c>
      <c r="E419" s="153"/>
      <c r="F419" s="41"/>
      <c r="G419" s="41"/>
      <c r="H419" s="41"/>
      <c r="I419" s="41"/>
      <c r="J419" s="41"/>
      <c r="K419" s="41"/>
      <c r="L419" s="41"/>
      <c r="M419" s="41"/>
      <c r="N419" s="41"/>
      <c r="O419" s="41"/>
      <c r="P419" s="41"/>
      <c r="Q419" s="41"/>
      <c r="R419" s="41"/>
      <c r="S419" s="41"/>
      <c r="T419" s="41"/>
      <c r="U419" s="41"/>
      <c r="V419" s="41"/>
      <c r="W419" s="41"/>
      <c r="X419" s="41"/>
      <c r="Y419" s="41"/>
      <c r="Z419" s="41"/>
    </row>
    <row r="420" ht="19.5" customHeight="1">
      <c r="A420" s="41"/>
      <c r="B420" s="173" t="s">
        <v>1550</v>
      </c>
      <c r="C420" s="110" t="str">
        <f>sample_wld_nsxt_global_mgr_cluster_id</f>
        <v>da3bd7dc-aa06-4f2d-a9e1-0c4999354c9b</v>
      </c>
      <c r="D420" s="18" t="str">
        <f>wld_nsxt_global_mgr_cluster_id</f>
        <v>Value Missing</v>
      </c>
      <c r="E420" s="153"/>
      <c r="F420" s="41"/>
      <c r="G420" s="41"/>
      <c r="H420" s="41"/>
      <c r="I420" s="41"/>
      <c r="J420" s="41"/>
      <c r="K420" s="41"/>
      <c r="L420" s="41"/>
      <c r="M420" s="41"/>
      <c r="N420" s="41"/>
      <c r="O420" s="41"/>
      <c r="P420" s="41"/>
      <c r="Q420" s="41"/>
      <c r="R420" s="41"/>
      <c r="S420" s="41"/>
      <c r="T420" s="41"/>
      <c r="U420" s="41"/>
      <c r="V420" s="41"/>
      <c r="W420" s="41"/>
      <c r="X420" s="41"/>
      <c r="Y420" s="41"/>
      <c r="Z420" s="41"/>
    </row>
    <row r="421" ht="19.5" customHeight="1">
      <c r="A421" s="41"/>
      <c r="B421" s="173" t="s">
        <v>1551</v>
      </c>
      <c r="C421" s="110" t="s">
        <v>889</v>
      </c>
      <c r="D421" s="18"/>
      <c r="E421" s="153"/>
      <c r="F421" s="41"/>
      <c r="G421" s="41"/>
      <c r="H421" s="41"/>
      <c r="I421" s="41"/>
      <c r="J421" s="41"/>
      <c r="K421" s="41"/>
      <c r="L421" s="41"/>
      <c r="M421" s="41"/>
      <c r="N421" s="41"/>
      <c r="O421" s="41"/>
      <c r="P421" s="41"/>
      <c r="Q421" s="41"/>
      <c r="R421" s="41"/>
      <c r="S421" s="41"/>
      <c r="T421" s="41"/>
      <c r="U421" s="41"/>
      <c r="V421" s="41"/>
      <c r="W421" s="41"/>
      <c r="X421" s="41"/>
      <c r="Y421" s="41"/>
      <c r="Z421" s="41"/>
    </row>
    <row r="422" ht="19.5" customHeight="1">
      <c r="A422" s="41"/>
      <c r="B422" s="173" t="s">
        <v>1552</v>
      </c>
      <c r="C422" s="110" t="str">
        <f>sample_nsxt_gm_admin_password</f>
        <v>VMw@re1!VMw@re1!</v>
      </c>
      <c r="D422" s="18" t="str">
        <f>nsxt_gm_admin_password</f>
        <v>Value Missing</v>
      </c>
      <c r="E422" s="153"/>
      <c r="F422" s="41"/>
      <c r="G422" s="41"/>
      <c r="H422" s="41"/>
      <c r="I422" s="41"/>
      <c r="J422" s="41"/>
      <c r="K422" s="41"/>
      <c r="L422" s="41"/>
      <c r="M422" s="41"/>
      <c r="N422" s="41"/>
      <c r="O422" s="41"/>
      <c r="P422" s="41"/>
      <c r="Q422" s="41"/>
      <c r="R422" s="41"/>
      <c r="S422" s="41"/>
      <c r="T422" s="41"/>
      <c r="U422" s="41"/>
      <c r="V422" s="41"/>
      <c r="W422" s="41"/>
      <c r="X422" s="41"/>
      <c r="Y422" s="41"/>
      <c r="Z422" s="41"/>
    </row>
    <row r="423" ht="19.5" customHeight="1">
      <c r="A423" s="41"/>
      <c r="B423" s="173" t="s">
        <v>1553</v>
      </c>
      <c r="C423" s="110" t="str">
        <f>sample_wld_nsxt_global_mgr_vmca_signed_thumbprint</f>
        <v>d7a6264cd8f74033e851944a205110afdeb046386af42ce47240939c417acb93</v>
      </c>
      <c r="D423" s="18" t="str">
        <f>wld_nsxt_global_mgr_vmca_signed_thumbprint</f>
        <v>Value Missing</v>
      </c>
      <c r="E423" s="153"/>
      <c r="F423" s="41"/>
      <c r="G423" s="41"/>
      <c r="H423" s="41"/>
      <c r="I423" s="41"/>
      <c r="J423" s="41"/>
      <c r="K423" s="41"/>
      <c r="L423" s="41"/>
      <c r="M423" s="41"/>
      <c r="N423" s="41"/>
      <c r="O423" s="41"/>
      <c r="P423" s="41"/>
      <c r="Q423" s="41"/>
      <c r="R423" s="41"/>
      <c r="S423" s="41"/>
      <c r="T423" s="41"/>
      <c r="U423" s="41"/>
      <c r="V423" s="41"/>
      <c r="W423" s="41"/>
      <c r="X423" s="41"/>
      <c r="Y423" s="41"/>
      <c r="Z423" s="41"/>
    </row>
    <row r="424" ht="19.5" customHeight="1">
      <c r="A424" s="41"/>
      <c r="B424" s="173" t="s">
        <v>1554</v>
      </c>
      <c r="C424" s="111" t="str">
        <f>CONCATENATE(sample_wld_nsxt_global_mgrc_hostname,".",sample_child_dns_zone)</f>
        <v>lax-w01-nsx-gm01c.lax.rainpole.io</v>
      </c>
      <c r="D424" s="18" t="str">
        <f>wld_nsxt_global_mgrc_fqdn</f>
        <v>Value Missing</v>
      </c>
      <c r="E424" s="153"/>
      <c r="F424" s="41"/>
      <c r="G424" s="41"/>
      <c r="H424" s="41"/>
      <c r="I424" s="41"/>
      <c r="J424" s="41"/>
      <c r="K424" s="41"/>
      <c r="L424" s="41"/>
      <c r="M424" s="41"/>
      <c r="N424" s="41"/>
      <c r="O424" s="41"/>
      <c r="P424" s="41"/>
      <c r="Q424" s="41"/>
      <c r="R424" s="41"/>
      <c r="S424" s="41"/>
      <c r="T424" s="41"/>
      <c r="U424" s="41"/>
      <c r="V424" s="41"/>
      <c r="W424" s="41"/>
      <c r="X424" s="41"/>
      <c r="Y424" s="41"/>
      <c r="Z424" s="41"/>
    </row>
    <row r="425" ht="19.5" customHeight="1">
      <c r="A425" s="41"/>
      <c r="B425" s="173" t="s">
        <v>1555</v>
      </c>
      <c r="C425" s="110" t="str">
        <f>sample_wld_nsxt_global_mgra_ip</f>
        <v>10.21.10.142</v>
      </c>
      <c r="D425" s="18" t="str">
        <f>wld_nsxt_global_mgra_ip</f>
        <v>Value Missing</v>
      </c>
      <c r="E425" s="153"/>
      <c r="F425" s="41"/>
      <c r="G425" s="41"/>
      <c r="H425" s="41"/>
      <c r="I425" s="41"/>
      <c r="J425" s="41"/>
      <c r="K425" s="41"/>
      <c r="L425" s="41"/>
      <c r="M425" s="41"/>
      <c r="N425" s="41"/>
      <c r="O425" s="41"/>
      <c r="P425" s="41"/>
      <c r="Q425" s="41"/>
      <c r="R425" s="41"/>
      <c r="S425" s="41"/>
      <c r="T425" s="41"/>
      <c r="U425" s="41"/>
      <c r="V425" s="41"/>
      <c r="W425" s="41"/>
      <c r="X425" s="41"/>
      <c r="Y425" s="41"/>
      <c r="Z425" s="41"/>
    </row>
    <row r="426" ht="19.5" customHeight="1">
      <c r="A426" s="41"/>
      <c r="B426" s="173" t="s">
        <v>1556</v>
      </c>
      <c r="C426" s="110" t="str">
        <f>sample_wld_nsxt_global_mgr_cluster_id</f>
        <v>da3bd7dc-aa06-4f2d-a9e1-0c4999354c9b</v>
      </c>
      <c r="D426" s="18" t="str">
        <f>wld_nsxt_global_mgr_cluster_id</f>
        <v>Value Missing</v>
      </c>
      <c r="E426" s="153"/>
      <c r="F426" s="41"/>
      <c r="G426" s="41"/>
      <c r="H426" s="41"/>
      <c r="I426" s="41"/>
      <c r="J426" s="41"/>
      <c r="K426" s="41"/>
      <c r="L426" s="41"/>
      <c r="M426" s="41"/>
      <c r="N426" s="41"/>
      <c r="O426" s="41"/>
      <c r="P426" s="41"/>
      <c r="Q426" s="41"/>
      <c r="R426" s="41"/>
      <c r="S426" s="41"/>
      <c r="T426" s="41"/>
      <c r="U426" s="41"/>
      <c r="V426" s="41"/>
      <c r="W426" s="41"/>
      <c r="X426" s="41"/>
      <c r="Y426" s="41"/>
      <c r="Z426" s="41"/>
    </row>
    <row r="427" ht="19.5" customHeight="1">
      <c r="A427" s="41"/>
      <c r="B427" s="173" t="s">
        <v>1557</v>
      </c>
      <c r="C427" s="110" t="s">
        <v>889</v>
      </c>
      <c r="D427" s="18"/>
      <c r="E427" s="153"/>
      <c r="F427" s="41"/>
      <c r="G427" s="41"/>
      <c r="H427" s="41"/>
      <c r="I427" s="41"/>
      <c r="J427" s="41"/>
      <c r="K427" s="41"/>
      <c r="L427" s="41"/>
      <c r="M427" s="41"/>
      <c r="N427" s="41"/>
      <c r="O427" s="41"/>
      <c r="P427" s="41"/>
      <c r="Q427" s="41"/>
      <c r="R427" s="41"/>
      <c r="S427" s="41"/>
      <c r="T427" s="41"/>
      <c r="U427" s="41"/>
      <c r="V427" s="41"/>
      <c r="W427" s="41"/>
      <c r="X427" s="41"/>
      <c r="Y427" s="41"/>
      <c r="Z427" s="41"/>
    </row>
    <row r="428" ht="19.5" customHeight="1">
      <c r="A428" s="41"/>
      <c r="B428" s="173" t="s">
        <v>1558</v>
      </c>
      <c r="C428" s="110" t="str">
        <f>sample_nsxt_gm_admin_password</f>
        <v>VMw@re1!VMw@re1!</v>
      </c>
      <c r="D428" s="18" t="str">
        <f>nsxt_gm_admin_password</f>
        <v>Value Missing</v>
      </c>
      <c r="E428" s="153"/>
      <c r="F428" s="41"/>
      <c r="G428" s="41"/>
      <c r="H428" s="41"/>
      <c r="I428" s="41"/>
      <c r="J428" s="41"/>
      <c r="K428" s="41"/>
      <c r="L428" s="41"/>
      <c r="M428" s="41"/>
      <c r="N428" s="41"/>
      <c r="O428" s="41"/>
      <c r="P428" s="41"/>
      <c r="Q428" s="41"/>
      <c r="R428" s="41"/>
      <c r="S428" s="41"/>
      <c r="T428" s="41"/>
      <c r="U428" s="41"/>
      <c r="V428" s="41"/>
      <c r="W428" s="41"/>
      <c r="X428" s="41"/>
      <c r="Y428" s="41"/>
      <c r="Z428" s="41"/>
    </row>
    <row r="429" ht="19.5" customHeight="1">
      <c r="A429" s="41"/>
      <c r="B429" s="173" t="s">
        <v>1559</v>
      </c>
      <c r="C429" s="110" t="str">
        <f>sample_wld_nsxt_global_mgr_vmca_signed_thumbprint</f>
        <v>d7a6264cd8f74033e851944a205110afdeb046386af42ce47240939c417acb93</v>
      </c>
      <c r="D429" s="18" t="str">
        <f>wld_nsxt_global_mgr_vmca_signed_thumbprint</f>
        <v>Value Missing</v>
      </c>
      <c r="E429" s="153"/>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1"/>
      <c r="C430" s="1"/>
      <c r="D430" s="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9.5" customHeight="1">
      <c r="A431" s="41"/>
      <c r="B431" s="17" t="s">
        <v>898</v>
      </c>
      <c r="C431" s="13"/>
      <c r="D431" s="13"/>
      <c r="E431" s="14"/>
      <c r="F431" s="41"/>
      <c r="G431" s="41"/>
      <c r="H431" s="41"/>
      <c r="I431" s="41"/>
      <c r="J431" s="41"/>
      <c r="K431" s="41"/>
      <c r="L431" s="41"/>
      <c r="M431" s="41"/>
      <c r="N431" s="41"/>
      <c r="O431" s="41"/>
      <c r="P431" s="41"/>
      <c r="Q431" s="41"/>
      <c r="R431" s="41"/>
      <c r="S431" s="41"/>
      <c r="T431" s="41"/>
      <c r="U431" s="41"/>
      <c r="V431" s="41"/>
      <c r="W431" s="41"/>
      <c r="X431" s="41"/>
      <c r="Y431" s="41"/>
      <c r="Z431" s="41"/>
    </row>
    <row r="432" ht="19.5" customHeight="1">
      <c r="A432" s="41"/>
      <c r="B432" s="49" t="s">
        <v>37</v>
      </c>
      <c r="C432" s="49" t="s">
        <v>273</v>
      </c>
      <c r="D432" s="49" t="s">
        <v>274</v>
      </c>
      <c r="E432" s="49" t="s">
        <v>5</v>
      </c>
      <c r="F432" s="41"/>
      <c r="G432" s="41"/>
      <c r="H432" s="41"/>
      <c r="I432" s="41"/>
      <c r="J432" s="41"/>
      <c r="K432" s="41"/>
      <c r="L432" s="41"/>
      <c r="M432" s="41"/>
      <c r="N432" s="41"/>
      <c r="O432" s="41"/>
      <c r="P432" s="41"/>
      <c r="Q432" s="41"/>
      <c r="R432" s="41"/>
      <c r="S432" s="41"/>
      <c r="T432" s="41"/>
      <c r="U432" s="41"/>
      <c r="V432" s="41"/>
      <c r="W432" s="41"/>
      <c r="X432" s="41"/>
      <c r="Y432" s="41"/>
      <c r="Z432" s="41"/>
    </row>
    <row r="433" ht="19.5" customHeight="1">
      <c r="A433" s="41"/>
      <c r="B433" s="84" t="s">
        <v>826</v>
      </c>
      <c r="C433" s="111" t="str">
        <f>sample_mgmt_vc_fqdn</f>
        <v>lax-m01-vc01.lax.rainpole.io</v>
      </c>
      <c r="D433" s="18" t="str">
        <f>mgmt_vc_fqdn</f>
        <v>Value Missing</v>
      </c>
      <c r="E433" s="84"/>
      <c r="F433" s="41"/>
      <c r="G433" s="41"/>
      <c r="H433" s="41"/>
      <c r="I433" s="41"/>
      <c r="J433" s="41"/>
      <c r="K433" s="41"/>
      <c r="L433" s="41"/>
      <c r="M433" s="41"/>
      <c r="N433" s="41"/>
      <c r="O433" s="41"/>
      <c r="P433" s="41"/>
      <c r="Q433" s="41"/>
      <c r="R433" s="41"/>
      <c r="S433" s="41"/>
      <c r="T433" s="41"/>
      <c r="U433" s="41"/>
      <c r="V433" s="41"/>
      <c r="W433" s="41"/>
      <c r="X433" s="41"/>
      <c r="Y433" s="41"/>
      <c r="Z433" s="41"/>
    </row>
    <row r="434" ht="19.5" customHeight="1">
      <c r="A434" s="41"/>
      <c r="B434" s="84" t="s">
        <v>256</v>
      </c>
      <c r="C434" s="110" t="str">
        <f>CONCATENATE(sample_wld_sddc_domain,"-anti-affinity-rule-nsx-global-managers")</f>
        <v>lax-w01-anti-affinity-rule-nsx-global-managers</v>
      </c>
      <c r="D434" s="18"/>
      <c r="E434" s="84"/>
      <c r="F434" s="41"/>
      <c r="G434" s="41"/>
      <c r="H434" s="41"/>
      <c r="I434" s="41"/>
      <c r="J434" s="41"/>
      <c r="K434" s="41"/>
      <c r="L434" s="41"/>
      <c r="M434" s="41"/>
      <c r="N434" s="41"/>
      <c r="O434" s="41"/>
      <c r="P434" s="41"/>
      <c r="Q434" s="41"/>
      <c r="R434" s="41"/>
      <c r="S434" s="41"/>
      <c r="T434" s="41"/>
      <c r="U434" s="41"/>
      <c r="V434" s="41"/>
      <c r="W434" s="41"/>
      <c r="X434" s="41"/>
      <c r="Y434" s="41"/>
      <c r="Z434" s="41"/>
    </row>
    <row r="435" ht="19.5" customHeight="1">
      <c r="A435" s="41"/>
      <c r="B435" s="84" t="s">
        <v>899</v>
      </c>
      <c r="C435" s="110" t="str">
        <f>sample_wld_nsxt_global_mgra_hostname</f>
        <v>lax-w01-nsx-gm01a</v>
      </c>
      <c r="D435" s="18" t="str">
        <f>wld_nsxt_global_mgra_hostname</f>
        <v>Value Missing</v>
      </c>
      <c r="E435" s="84"/>
      <c r="F435" s="41"/>
      <c r="G435" s="41"/>
      <c r="H435" s="41"/>
      <c r="I435" s="41"/>
      <c r="J435" s="41"/>
      <c r="K435" s="41"/>
      <c r="L435" s="41"/>
      <c r="M435" s="41"/>
      <c r="N435" s="41"/>
      <c r="O435" s="41"/>
      <c r="P435" s="41"/>
      <c r="Q435" s="41"/>
      <c r="R435" s="41"/>
      <c r="S435" s="41"/>
      <c r="T435" s="41"/>
      <c r="U435" s="41"/>
      <c r="V435" s="41"/>
      <c r="W435" s="41"/>
      <c r="X435" s="41"/>
      <c r="Y435" s="41"/>
      <c r="Z435" s="41"/>
    </row>
    <row r="436" ht="19.5" customHeight="1">
      <c r="A436" s="41"/>
      <c r="B436" s="84" t="s">
        <v>900</v>
      </c>
      <c r="C436" s="110" t="str">
        <f>sample_wld_nsxt_global_mgrb_hostname</f>
        <v>lax-w01-nsx-gm01b</v>
      </c>
      <c r="D436" s="18" t="str">
        <f>wld_nsxt_global_mgrb_hostname</f>
        <v>Value Missing</v>
      </c>
      <c r="E436" s="84"/>
      <c r="F436" s="41"/>
      <c r="G436" s="41"/>
      <c r="H436" s="41"/>
      <c r="I436" s="41"/>
      <c r="J436" s="41"/>
      <c r="K436" s="41"/>
      <c r="L436" s="41"/>
      <c r="M436" s="41"/>
      <c r="N436" s="41"/>
      <c r="O436" s="41"/>
      <c r="P436" s="41"/>
      <c r="Q436" s="41"/>
      <c r="R436" s="41"/>
      <c r="S436" s="41"/>
      <c r="T436" s="41"/>
      <c r="U436" s="41"/>
      <c r="V436" s="41"/>
      <c r="W436" s="41"/>
      <c r="X436" s="41"/>
      <c r="Y436" s="41"/>
      <c r="Z436" s="41"/>
    </row>
    <row r="437" ht="19.5" customHeight="1">
      <c r="A437" s="41"/>
      <c r="B437" s="84" t="s">
        <v>901</v>
      </c>
      <c r="C437" s="110" t="str">
        <f>sample_wld_nsxt_global_mgrc_hostname</f>
        <v>lax-w01-nsx-gm01c</v>
      </c>
      <c r="D437" s="18" t="str">
        <f>wld_nsxt_global_mgrc_hostname</f>
        <v>Value Missing</v>
      </c>
      <c r="E437" s="84"/>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1"/>
      <c r="C438" s="1"/>
      <c r="D438" s="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9.5" customHeight="1">
      <c r="A439" s="41"/>
      <c r="B439" s="17" t="s">
        <v>902</v>
      </c>
      <c r="C439" s="13"/>
      <c r="D439" s="13"/>
      <c r="E439" s="14"/>
      <c r="F439" s="41"/>
      <c r="G439" s="41"/>
      <c r="H439" s="41"/>
      <c r="I439" s="41"/>
      <c r="J439" s="41"/>
      <c r="K439" s="41"/>
      <c r="L439" s="41"/>
      <c r="M439" s="41"/>
      <c r="N439" s="41"/>
      <c r="O439" s="41"/>
      <c r="P439" s="41"/>
      <c r="Q439" s="41"/>
      <c r="R439" s="41"/>
      <c r="S439" s="41"/>
      <c r="T439" s="41"/>
      <c r="U439" s="41"/>
      <c r="V439" s="41"/>
      <c r="W439" s="41"/>
      <c r="X439" s="41"/>
      <c r="Y439" s="41"/>
      <c r="Z439" s="41"/>
    </row>
    <row r="440" ht="19.5" customHeight="1">
      <c r="A440" s="41"/>
      <c r="B440" s="49" t="s">
        <v>37</v>
      </c>
      <c r="C440" s="49" t="s">
        <v>273</v>
      </c>
      <c r="D440" s="49" t="s">
        <v>274</v>
      </c>
      <c r="E440" s="49" t="s">
        <v>5</v>
      </c>
      <c r="F440" s="41"/>
      <c r="G440" s="41"/>
      <c r="H440" s="41"/>
      <c r="I440" s="41"/>
      <c r="J440" s="41"/>
      <c r="K440" s="41"/>
      <c r="L440" s="41"/>
      <c r="M440" s="41"/>
      <c r="N440" s="41"/>
      <c r="O440" s="41"/>
      <c r="P440" s="41"/>
      <c r="Q440" s="41"/>
      <c r="R440" s="41"/>
      <c r="S440" s="41"/>
      <c r="T440" s="41"/>
      <c r="U440" s="41"/>
      <c r="V440" s="41"/>
      <c r="W440" s="41"/>
      <c r="X440" s="41"/>
      <c r="Y440" s="41"/>
      <c r="Z440" s="41"/>
    </row>
    <row r="441" ht="19.5" customHeight="1">
      <c r="A441" s="41"/>
      <c r="B441" s="84" t="s">
        <v>903</v>
      </c>
      <c r="C441" s="111" t="str">
        <f>CONCATENATE(sample_wld_nsxt_global_mgra_hostname,".",sample_child_dns_zone)</f>
        <v>lax-w01-nsx-gm01a.lax.rainpole.io</v>
      </c>
      <c r="D441" s="18" t="str">
        <f>wld_nsxt_global_mgra_fqdn</f>
        <v>Value Missing</v>
      </c>
      <c r="E441" s="84"/>
      <c r="F441" s="41"/>
      <c r="G441" s="41"/>
      <c r="H441" s="41"/>
      <c r="I441" s="41"/>
      <c r="J441" s="41"/>
      <c r="K441" s="41"/>
      <c r="L441" s="41"/>
      <c r="M441" s="41"/>
      <c r="N441" s="41"/>
      <c r="O441" s="41"/>
      <c r="P441" s="41"/>
      <c r="Q441" s="41"/>
      <c r="R441" s="41"/>
      <c r="S441" s="41"/>
      <c r="T441" s="41"/>
      <c r="U441" s="41"/>
      <c r="V441" s="41"/>
      <c r="W441" s="41"/>
      <c r="X441" s="41"/>
      <c r="Y441" s="41"/>
      <c r="Z441" s="41"/>
    </row>
    <row r="442" ht="19.5" customHeight="1">
      <c r="A442" s="41"/>
      <c r="B442" s="84" t="s">
        <v>904</v>
      </c>
      <c r="C442" s="163" t="str">
        <f>IF(mgmt_dpg_reuse_result="Included",CONCATENATE(prefix_mgmt_az1_cidr,"10.",(141 + (30*(wld_domain_number_chosen - 1)))),CONCATENATE(prefix_mgmt_az1_cidr,"11.",(141 + (30*(wld_domain_number_chosen - 1)))))</f>
        <v>10.21.10.141</v>
      </c>
      <c r="D442" s="18"/>
      <c r="E442" s="84"/>
      <c r="F442" s="41"/>
      <c r="G442" s="41"/>
      <c r="H442" s="41"/>
      <c r="I442" s="41"/>
      <c r="J442" s="41"/>
      <c r="K442" s="41"/>
      <c r="L442" s="41"/>
      <c r="M442" s="41"/>
      <c r="N442" s="41"/>
      <c r="O442" s="41"/>
      <c r="P442" s="41"/>
      <c r="Q442" s="41"/>
      <c r="R442" s="41"/>
      <c r="S442" s="41"/>
      <c r="T442" s="41"/>
      <c r="U442" s="41"/>
      <c r="V442" s="41"/>
      <c r="W442" s="41"/>
      <c r="X442" s="41"/>
      <c r="Y442" s="41"/>
      <c r="Z442" s="41"/>
    </row>
    <row r="443" ht="19.5" customHeight="1">
      <c r="A443" s="41"/>
      <c r="B443" s="84" t="s">
        <v>905</v>
      </c>
      <c r="C443" s="160" t="str">
        <f>CONCATENATE(this_instance,"-w0",wld_domain_number_chosen,"-nsx-gm01",".",sample_child_dns_zone)</f>
        <v>lax-w01-nsx-gm01.lax.rainpole.io</v>
      </c>
      <c r="D443" s="18"/>
      <c r="E443" s="153"/>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1"/>
      <c r="C444" s="1"/>
      <c r="D444" s="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9.5" customHeight="1">
      <c r="A445" s="41"/>
      <c r="B445" s="17" t="s">
        <v>906</v>
      </c>
      <c r="C445" s="13"/>
      <c r="D445" s="13"/>
      <c r="E445" s="14"/>
      <c r="F445" s="41"/>
      <c r="G445" s="41"/>
      <c r="H445" s="41"/>
      <c r="I445" s="41"/>
      <c r="J445" s="41"/>
      <c r="K445" s="41"/>
      <c r="L445" s="41"/>
      <c r="M445" s="41"/>
      <c r="N445" s="41"/>
      <c r="O445" s="41"/>
      <c r="P445" s="41"/>
      <c r="Q445" s="41"/>
      <c r="R445" s="41"/>
      <c r="S445" s="41"/>
      <c r="T445" s="41"/>
      <c r="U445" s="41"/>
      <c r="V445" s="41"/>
      <c r="W445" s="41"/>
      <c r="X445" s="41"/>
      <c r="Y445" s="41"/>
      <c r="Z445" s="41"/>
    </row>
    <row r="446" ht="19.5" customHeight="1">
      <c r="A446" s="41"/>
      <c r="B446" s="49" t="s">
        <v>37</v>
      </c>
      <c r="C446" s="49" t="s">
        <v>273</v>
      </c>
      <c r="D446" s="49" t="s">
        <v>274</v>
      </c>
      <c r="E446" s="49" t="s">
        <v>5</v>
      </c>
      <c r="F446" s="41"/>
      <c r="G446" s="41"/>
      <c r="H446" s="41"/>
      <c r="I446" s="41"/>
      <c r="J446" s="41"/>
      <c r="K446" s="41"/>
      <c r="L446" s="41"/>
      <c r="M446" s="41"/>
      <c r="N446" s="41"/>
      <c r="O446" s="41"/>
      <c r="P446" s="41"/>
      <c r="Q446" s="41"/>
      <c r="R446" s="41"/>
      <c r="S446" s="41"/>
      <c r="T446" s="41"/>
      <c r="U446" s="41"/>
      <c r="V446" s="41"/>
      <c r="W446" s="41"/>
      <c r="X446" s="41"/>
      <c r="Y446" s="41"/>
      <c r="Z446" s="41"/>
    </row>
    <row r="447" ht="19.5" customHeight="1">
      <c r="A447" s="41"/>
      <c r="B447" s="84" t="s">
        <v>905</v>
      </c>
      <c r="C447" s="111" t="str">
        <f>sample_wld_nsxt_gm_vip_fqdn</f>
        <v>lax-w01-nsx-gm01.lax.rainpole.io</v>
      </c>
      <c r="D447" s="18" t="str">
        <f>wld_nsxt_gm_vip_fqdn</f>
        <v>Value Missing</v>
      </c>
      <c r="E447" s="153"/>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1"/>
      <c r="C448" s="1"/>
      <c r="D448" s="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9.5" customHeight="1">
      <c r="A449" s="41"/>
      <c r="B449" s="17" t="s">
        <v>907</v>
      </c>
      <c r="C449" s="13"/>
      <c r="D449" s="13"/>
      <c r="E449" s="14"/>
      <c r="F449" s="41"/>
      <c r="G449" s="41"/>
      <c r="H449" s="41"/>
      <c r="I449" s="41"/>
      <c r="J449" s="41"/>
      <c r="K449" s="41"/>
      <c r="L449" s="41"/>
      <c r="M449" s="41"/>
      <c r="N449" s="41"/>
      <c r="O449" s="41"/>
      <c r="P449" s="41"/>
      <c r="Q449" s="41"/>
      <c r="R449" s="41"/>
      <c r="S449" s="41"/>
      <c r="T449" s="41"/>
      <c r="U449" s="41"/>
      <c r="V449" s="41"/>
      <c r="W449" s="41"/>
      <c r="X449" s="41"/>
      <c r="Y449" s="41"/>
      <c r="Z449" s="41"/>
    </row>
    <row r="450" ht="19.5" customHeight="1">
      <c r="A450" s="41"/>
      <c r="B450" s="49" t="s">
        <v>37</v>
      </c>
      <c r="C450" s="49" t="s">
        <v>273</v>
      </c>
      <c r="D450" s="49" t="s">
        <v>274</v>
      </c>
      <c r="E450" s="49" t="s">
        <v>5</v>
      </c>
      <c r="F450" s="41"/>
      <c r="G450" s="41"/>
      <c r="H450" s="41"/>
      <c r="I450" s="41"/>
      <c r="J450" s="41"/>
      <c r="K450" s="41"/>
      <c r="L450" s="41"/>
      <c r="M450" s="41"/>
      <c r="N450" s="41"/>
      <c r="O450" s="41"/>
      <c r="P450" s="41"/>
      <c r="Q450" s="41"/>
      <c r="R450" s="41"/>
      <c r="S450" s="41"/>
      <c r="T450" s="41"/>
      <c r="U450" s="41"/>
      <c r="V450" s="41"/>
      <c r="W450" s="41"/>
      <c r="X450" s="41"/>
      <c r="Y450" s="41"/>
      <c r="Z450" s="41"/>
    </row>
    <row r="451" ht="19.5" customHeight="1">
      <c r="A451" s="41"/>
      <c r="B451" s="84" t="s">
        <v>905</v>
      </c>
      <c r="C451" s="111" t="str">
        <f>sample_wld_nsxt_gm_vip_fqdn</f>
        <v>lax-w01-nsx-gm01.lax.rainpole.io</v>
      </c>
      <c r="D451" s="18" t="str">
        <f>wld_nsxt_gm_vip_fqdn</f>
        <v>Value Missing</v>
      </c>
      <c r="E451" s="153"/>
      <c r="F451" s="41"/>
      <c r="G451" s="41"/>
      <c r="H451" s="41"/>
      <c r="I451" s="41"/>
      <c r="J451" s="41"/>
      <c r="K451" s="41"/>
      <c r="L451" s="41"/>
      <c r="M451" s="41"/>
      <c r="N451" s="41"/>
      <c r="O451" s="41"/>
      <c r="P451" s="41"/>
      <c r="Q451" s="41"/>
      <c r="R451" s="41"/>
      <c r="S451" s="41"/>
      <c r="T451" s="41"/>
      <c r="U451" s="41"/>
      <c r="V451" s="41"/>
      <c r="W451" s="41"/>
      <c r="X451" s="41"/>
      <c r="Y451" s="41"/>
      <c r="Z451" s="41"/>
    </row>
    <row r="452" ht="19.5" customHeight="1">
      <c r="A452" s="41"/>
      <c r="B452" s="84" t="s">
        <v>908</v>
      </c>
      <c r="C452" s="203" t="s">
        <v>1560</v>
      </c>
      <c r="D452" s="18"/>
      <c r="E452" s="153"/>
      <c r="F452" s="41"/>
      <c r="G452" s="41"/>
      <c r="H452" s="41"/>
      <c r="I452" s="41"/>
      <c r="J452" s="41"/>
      <c r="K452" s="41"/>
      <c r="L452" s="41"/>
      <c r="M452" s="41"/>
      <c r="N452" s="41"/>
      <c r="O452" s="41"/>
      <c r="P452" s="41"/>
      <c r="Q452" s="41"/>
      <c r="R452" s="41"/>
      <c r="S452" s="41"/>
      <c r="T452" s="41"/>
      <c r="U452" s="41"/>
      <c r="V452" s="41"/>
      <c r="W452" s="41"/>
      <c r="X452" s="41"/>
      <c r="Y452" s="41"/>
      <c r="Z452" s="41"/>
    </row>
    <row r="453" ht="19.5" customHeight="1">
      <c r="A453" s="41"/>
      <c r="B453" s="84" t="s">
        <v>903</v>
      </c>
      <c r="C453" s="111" t="str">
        <f>CONCATENATE(sample_wld_nsxt_global_mgra_hostname,".",sample_child_dns_zone)</f>
        <v>lax-w01-nsx-gm01a.lax.rainpole.io</v>
      </c>
      <c r="D453" s="18" t="str">
        <f>wld_nsxt_global_mgra_fqdn</f>
        <v>Value Missing</v>
      </c>
      <c r="E453" s="84"/>
      <c r="F453" s="41"/>
      <c r="G453" s="41"/>
      <c r="H453" s="41"/>
      <c r="I453" s="41"/>
      <c r="J453" s="41"/>
      <c r="K453" s="41"/>
      <c r="L453" s="41"/>
      <c r="M453" s="41"/>
      <c r="N453" s="41"/>
      <c r="O453" s="41"/>
      <c r="P453" s="41"/>
      <c r="Q453" s="41"/>
      <c r="R453" s="41"/>
      <c r="S453" s="41"/>
      <c r="T453" s="41"/>
      <c r="U453" s="41"/>
      <c r="V453" s="41"/>
      <c r="W453" s="41"/>
      <c r="X453" s="41"/>
      <c r="Y453" s="41"/>
      <c r="Z453" s="41"/>
    </row>
    <row r="454" ht="19.5" customHeight="1">
      <c r="A454" s="41"/>
      <c r="B454" s="84" t="s">
        <v>910</v>
      </c>
      <c r="C454" s="110" t="str">
        <f>sample_wld_nsxt_global_mgr_certificate_id</f>
        <v>b900065b-aeb5-457e-aca6-4612b17d06d9</v>
      </c>
      <c r="D454" s="18" t="str">
        <f>wld_nsxt_global_mgr_certificate_id</f>
        <v>Value Missing</v>
      </c>
      <c r="E454" s="153"/>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1"/>
      <c r="C455" s="1"/>
      <c r="D455" s="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9.5" customHeight="1">
      <c r="A456" s="41"/>
      <c r="B456" s="17" t="s">
        <v>911</v>
      </c>
      <c r="C456" s="13"/>
      <c r="D456" s="13"/>
      <c r="E456" s="14"/>
      <c r="F456" s="41"/>
      <c r="G456" s="41"/>
      <c r="H456" s="41"/>
      <c r="I456" s="41"/>
      <c r="J456" s="41"/>
      <c r="K456" s="41"/>
      <c r="L456" s="41"/>
      <c r="M456" s="41"/>
      <c r="N456" s="41"/>
      <c r="O456" s="41"/>
      <c r="P456" s="41"/>
      <c r="Q456" s="41"/>
      <c r="R456" s="41"/>
      <c r="S456" s="41"/>
      <c r="T456" s="41"/>
      <c r="U456" s="41"/>
      <c r="V456" s="41"/>
      <c r="W456" s="41"/>
      <c r="X456" s="41"/>
      <c r="Y456" s="41"/>
      <c r="Z456" s="41"/>
    </row>
    <row r="457" ht="19.5" customHeight="1">
      <c r="A457" s="41"/>
      <c r="B457" s="49" t="s">
        <v>37</v>
      </c>
      <c r="C457" s="49" t="s">
        <v>273</v>
      </c>
      <c r="D457" s="49" t="s">
        <v>274</v>
      </c>
      <c r="E457" s="49" t="s">
        <v>5</v>
      </c>
      <c r="F457" s="41"/>
      <c r="G457" s="41"/>
      <c r="H457" s="41"/>
      <c r="I457" s="41"/>
      <c r="J457" s="41"/>
      <c r="K457" s="41"/>
      <c r="L457" s="41"/>
      <c r="M457" s="41"/>
      <c r="N457" s="41"/>
      <c r="O457" s="41"/>
      <c r="P457" s="41"/>
      <c r="Q457" s="41"/>
      <c r="R457" s="41"/>
      <c r="S457" s="41"/>
      <c r="T457" s="41"/>
      <c r="U457" s="41"/>
      <c r="V457" s="41"/>
      <c r="W457" s="41"/>
      <c r="X457" s="41"/>
      <c r="Y457" s="41"/>
      <c r="Z457" s="41"/>
    </row>
    <row r="458" ht="19.5" customHeight="1">
      <c r="A458" s="41"/>
      <c r="B458" s="84" t="s">
        <v>905</v>
      </c>
      <c r="C458" s="111" t="str">
        <f>sample_wld_nsxt_gm_vip_fqdn</f>
        <v>lax-w01-nsx-gm01.lax.rainpole.io</v>
      </c>
      <c r="D458" s="18" t="str">
        <f>wld_nsxt_gm_vip_fqdn</f>
        <v>Value Missing</v>
      </c>
      <c r="E458" s="153"/>
      <c r="F458" s="41"/>
      <c r="G458" s="41"/>
      <c r="H458" s="41"/>
      <c r="I458" s="41"/>
      <c r="J458" s="41"/>
      <c r="K458" s="41"/>
      <c r="L458" s="41"/>
      <c r="M458" s="41"/>
      <c r="N458" s="41"/>
      <c r="O458" s="41"/>
      <c r="P458" s="41"/>
      <c r="Q458" s="41"/>
      <c r="R458" s="41"/>
      <c r="S458" s="41"/>
      <c r="T458" s="41"/>
      <c r="U458" s="41"/>
      <c r="V458" s="41"/>
      <c r="W458" s="41"/>
      <c r="X458" s="41"/>
      <c r="Y458" s="41"/>
      <c r="Z458" s="41"/>
    </row>
    <row r="459" ht="19.5" customHeight="1">
      <c r="A459" s="41"/>
      <c r="B459" s="84" t="s">
        <v>912</v>
      </c>
      <c r="C459" s="111" t="str">
        <f>CONCATENATE(sample_wld_nsxt_global_mgrb_hostname,".",sample_child_dns_zone)</f>
        <v>lax-w01-nsx-gm01b.lax.rainpole.io</v>
      </c>
      <c r="D459" s="18" t="str">
        <f>wld_nsxt_global_mgrb_fqdn</f>
        <v>Value Missing</v>
      </c>
      <c r="E459" s="84"/>
      <c r="F459" s="41"/>
      <c r="G459" s="41"/>
      <c r="H459" s="41"/>
      <c r="I459" s="41"/>
      <c r="J459" s="41"/>
      <c r="K459" s="41"/>
      <c r="L459" s="41"/>
      <c r="M459" s="41"/>
      <c r="N459" s="41"/>
      <c r="O459" s="41"/>
      <c r="P459" s="41"/>
      <c r="Q459" s="41"/>
      <c r="R459" s="41"/>
      <c r="S459" s="41"/>
      <c r="T459" s="41"/>
      <c r="U459" s="41"/>
      <c r="V459" s="41"/>
      <c r="W459" s="41"/>
      <c r="X459" s="41"/>
      <c r="Y459" s="41"/>
      <c r="Z459" s="41"/>
    </row>
    <row r="460" ht="19.5" customHeight="1">
      <c r="A460" s="41"/>
      <c r="B460" s="84" t="s">
        <v>913</v>
      </c>
      <c r="C460" s="111" t="str">
        <f>CONCATENATE(sample_wld_nsxt_global_mgrc_hostname,".",sample_child_dns_zone)</f>
        <v>lax-w01-nsx-gm01c.lax.rainpole.io</v>
      </c>
      <c r="D460" s="18" t="str">
        <f>wld_nsxt_global_mgrc_fqdn</f>
        <v>Value Missing</v>
      </c>
      <c r="E460" s="84"/>
      <c r="F460" s="41"/>
      <c r="G460" s="41"/>
      <c r="H460" s="41"/>
      <c r="I460" s="41"/>
      <c r="J460" s="41"/>
      <c r="K460" s="41"/>
      <c r="L460" s="41"/>
      <c r="M460" s="41"/>
      <c r="N460" s="41"/>
      <c r="O460" s="41"/>
      <c r="P460" s="41"/>
      <c r="Q460" s="41"/>
      <c r="R460" s="41"/>
      <c r="S460" s="41"/>
      <c r="T460" s="41"/>
      <c r="U460" s="41"/>
      <c r="V460" s="41"/>
      <c r="W460" s="41"/>
      <c r="X460" s="41"/>
      <c r="Y460" s="41"/>
      <c r="Z460" s="41"/>
    </row>
    <row r="461" ht="19.5" customHeight="1">
      <c r="A461" s="41"/>
      <c r="B461" s="84" t="s">
        <v>910</v>
      </c>
      <c r="C461" s="110" t="str">
        <f>sample_wld_nsxt_global_mgr_certificate_id</f>
        <v>b900065b-aeb5-457e-aca6-4612b17d06d9</v>
      </c>
      <c r="D461" s="18" t="str">
        <f>wld_nsxt_global_mgr_certificate_id</f>
        <v>Value Missing</v>
      </c>
      <c r="E461" s="153"/>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1"/>
      <c r="C462" s="1"/>
      <c r="D462" s="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9.5" customHeight="1">
      <c r="A463" s="41"/>
      <c r="B463" s="17" t="s">
        <v>914</v>
      </c>
      <c r="C463" s="13"/>
      <c r="D463" s="13"/>
      <c r="E463" s="14"/>
      <c r="F463" s="41"/>
      <c r="G463" s="41"/>
      <c r="H463" s="41"/>
      <c r="I463" s="41"/>
      <c r="J463" s="41"/>
      <c r="K463" s="41"/>
      <c r="L463" s="41"/>
      <c r="M463" s="41"/>
      <c r="N463" s="41"/>
      <c r="O463" s="41"/>
      <c r="P463" s="41"/>
      <c r="Q463" s="41"/>
      <c r="R463" s="41"/>
      <c r="S463" s="41"/>
      <c r="T463" s="41"/>
      <c r="U463" s="41"/>
      <c r="V463" s="41"/>
      <c r="W463" s="41"/>
      <c r="X463" s="41"/>
      <c r="Y463" s="41"/>
      <c r="Z463" s="41"/>
    </row>
    <row r="464" ht="19.5" customHeight="1">
      <c r="A464" s="41"/>
      <c r="B464" s="49" t="s">
        <v>256</v>
      </c>
      <c r="C464" s="49" t="s">
        <v>722</v>
      </c>
      <c r="D464" s="49" t="s">
        <v>274</v>
      </c>
      <c r="E464" s="49" t="s">
        <v>462</v>
      </c>
      <c r="F464" s="41"/>
      <c r="G464" s="41"/>
      <c r="H464" s="41"/>
      <c r="I464" s="41"/>
      <c r="J464" s="41"/>
      <c r="K464" s="41"/>
      <c r="L464" s="41"/>
      <c r="M464" s="41"/>
      <c r="N464" s="41"/>
      <c r="O464" s="41"/>
      <c r="P464" s="41"/>
      <c r="Q464" s="41"/>
      <c r="R464" s="41"/>
      <c r="S464" s="41"/>
      <c r="T464" s="41"/>
      <c r="U464" s="41"/>
      <c r="V464" s="41"/>
      <c r="W464" s="41"/>
      <c r="X464" s="41"/>
      <c r="Y464" s="41"/>
      <c r="Z464" s="41"/>
    </row>
    <row r="465" ht="19.5" customHeight="1">
      <c r="A465" s="41"/>
      <c r="B465" s="84" t="s">
        <v>915</v>
      </c>
      <c r="C465" s="111" t="str">
        <f>sample_wld_nsxt_vip_fqdn</f>
        <v>lax-w01-nsx01.lax.rainpole.io</v>
      </c>
      <c r="D465" s="18" t="str">
        <f>wld_nsxt_vip_fqdn</f>
        <v>Value Missing</v>
      </c>
      <c r="E465" s="84"/>
      <c r="F465" s="41"/>
      <c r="G465" s="41"/>
      <c r="H465" s="41"/>
      <c r="I465" s="41"/>
      <c r="J465" s="41"/>
      <c r="K465" s="41"/>
      <c r="L465" s="41"/>
      <c r="M465" s="41"/>
      <c r="N465" s="41"/>
      <c r="O465" s="41"/>
      <c r="P465" s="41"/>
      <c r="Q465" s="41"/>
      <c r="R465" s="41"/>
      <c r="S465" s="41"/>
      <c r="T465" s="41"/>
      <c r="U465" s="41"/>
      <c r="V465" s="41"/>
      <c r="W465" s="41"/>
      <c r="X465" s="41"/>
      <c r="Y465" s="41"/>
      <c r="Z465" s="41"/>
    </row>
    <row r="466" ht="19.5" customHeight="1">
      <c r="A466" s="41"/>
      <c r="B466" s="84" t="s">
        <v>256</v>
      </c>
      <c r="C466" s="156" t="str">
        <f>CONCATENATE(this_instance,"-w0",wld_domain_number_chosen,"-r01-ip-pool-rtep")</f>
        <v>lax-w01-r01-ip-pool-rtep</v>
      </c>
      <c r="D466" s="18"/>
      <c r="E466" s="84"/>
      <c r="F466" s="41"/>
      <c r="G466" s="41"/>
      <c r="H466" s="41"/>
      <c r="I466" s="41"/>
      <c r="J466" s="41"/>
      <c r="K466" s="41"/>
      <c r="L466" s="41"/>
      <c r="M466" s="41"/>
      <c r="N466" s="41"/>
      <c r="O466" s="41"/>
      <c r="P466" s="41"/>
      <c r="Q466" s="41"/>
      <c r="R466" s="41"/>
      <c r="S466" s="41"/>
      <c r="T466" s="41"/>
      <c r="U466" s="41"/>
      <c r="V466" s="41"/>
      <c r="W466" s="41"/>
      <c r="X466" s="41"/>
      <c r="Y466" s="41"/>
      <c r="Z466" s="41"/>
    </row>
    <row r="467" ht="19.5" customHeight="1">
      <c r="A467" s="41"/>
      <c r="B467" s="173" t="s">
        <v>916</v>
      </c>
      <c r="C467" s="156" t="str">
        <f>CONCATENATE(prefix_wld_az1_cidr,"20.101")</f>
        <v>10.23.20.101</v>
      </c>
      <c r="D467" s="18"/>
      <c r="E467" s="84"/>
      <c r="F467" s="41"/>
      <c r="G467" s="41"/>
      <c r="H467" s="41"/>
      <c r="I467" s="41"/>
      <c r="J467" s="41"/>
      <c r="K467" s="41"/>
      <c r="L467" s="41"/>
      <c r="M467" s="41"/>
      <c r="N467" s="41"/>
      <c r="O467" s="41"/>
      <c r="P467" s="41"/>
      <c r="Q467" s="41"/>
      <c r="R467" s="41"/>
      <c r="S467" s="41"/>
      <c r="T467" s="41"/>
      <c r="U467" s="41"/>
      <c r="V467" s="41"/>
      <c r="W467" s="41"/>
      <c r="X467" s="41"/>
      <c r="Y467" s="41"/>
      <c r="Z467" s="41"/>
    </row>
    <row r="468" ht="19.5" customHeight="1">
      <c r="A468" s="41"/>
      <c r="B468" s="187" t="s">
        <v>917</v>
      </c>
      <c r="C468" s="156" t="str">
        <f>IF(wld_stretched_cluster_result="Excluded",CONCATENATE(prefix_wld_az1_cidr,"20.116"),CONCATENATE(prefix_wld_az1_cidr,"20.132"))</f>
        <v>10.23.20.116</v>
      </c>
      <c r="D468" s="18"/>
      <c r="E468" s="84"/>
      <c r="F468" s="41"/>
      <c r="G468" s="41"/>
      <c r="H468" s="41"/>
      <c r="I468" s="41"/>
      <c r="J468" s="41"/>
      <c r="K468" s="41"/>
      <c r="L468" s="41"/>
      <c r="M468" s="41"/>
      <c r="N468" s="41"/>
      <c r="O468" s="41"/>
      <c r="P468" s="41"/>
      <c r="Q468" s="41"/>
      <c r="R468" s="41"/>
      <c r="S468" s="41"/>
      <c r="T468" s="41"/>
      <c r="U468" s="41"/>
      <c r="V468" s="41"/>
      <c r="W468" s="41"/>
      <c r="X468" s="41"/>
      <c r="Y468" s="41"/>
      <c r="Z468" s="41"/>
    </row>
    <row r="469" ht="19.5" customHeight="1">
      <c r="A469" s="41"/>
      <c r="B469" s="84" t="s">
        <v>464</v>
      </c>
      <c r="C469" s="156" t="str">
        <f>CONCATENATE(prefix_wld_az1_cidr,"20.0/24")</f>
        <v>10.23.20.0/24</v>
      </c>
      <c r="D469" s="18"/>
      <c r="E469" s="84"/>
      <c r="F469" s="41"/>
      <c r="G469" s="41"/>
      <c r="H469" s="41"/>
      <c r="I469" s="41"/>
      <c r="J469" s="41"/>
      <c r="K469" s="41"/>
      <c r="L469" s="41"/>
      <c r="M469" s="41"/>
      <c r="N469" s="41"/>
      <c r="O469" s="41"/>
      <c r="P469" s="41"/>
      <c r="Q469" s="41"/>
      <c r="R469" s="41"/>
      <c r="S469" s="41"/>
      <c r="T469" s="41"/>
      <c r="U469" s="41"/>
      <c r="V469" s="41"/>
      <c r="W469" s="41"/>
      <c r="X469" s="41"/>
      <c r="Y469" s="41"/>
      <c r="Z469" s="41"/>
    </row>
    <row r="470" ht="19.5" customHeight="1">
      <c r="A470" s="41"/>
      <c r="B470" s="84" t="s">
        <v>918</v>
      </c>
      <c r="C470" s="156" t="str">
        <f>CONCATENATE(prefix_wld_az1_cidr,"20.1")</f>
        <v>10.23.20.1</v>
      </c>
      <c r="D470" s="18"/>
      <c r="E470" s="84"/>
      <c r="F470" s="41"/>
      <c r="G470" s="41"/>
      <c r="H470" s="41"/>
      <c r="I470" s="41"/>
      <c r="J470" s="41"/>
      <c r="K470" s="41"/>
      <c r="L470" s="41"/>
      <c r="M470" s="41"/>
      <c r="N470" s="41"/>
      <c r="O470" s="41"/>
      <c r="P470" s="41"/>
      <c r="Q470" s="41"/>
      <c r="R470" s="41"/>
      <c r="S470" s="41"/>
      <c r="T470" s="41"/>
      <c r="U470" s="41"/>
      <c r="V470" s="41"/>
      <c r="W470" s="41"/>
      <c r="X470" s="41"/>
      <c r="Y470" s="41"/>
      <c r="Z470" s="41"/>
    </row>
    <row r="471" ht="19.5" customHeight="1">
      <c r="A471" s="41"/>
      <c r="B471" s="1"/>
      <c r="C471" s="1"/>
      <c r="D471" s="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9.5" customHeight="1">
      <c r="A472" s="41"/>
      <c r="B472" s="17" t="s">
        <v>919</v>
      </c>
      <c r="C472" s="13"/>
      <c r="D472" s="13"/>
      <c r="E472" s="14"/>
      <c r="F472" s="41"/>
      <c r="G472" s="41"/>
      <c r="H472" s="41"/>
      <c r="I472" s="41"/>
      <c r="J472" s="41"/>
      <c r="K472" s="41"/>
      <c r="L472" s="41"/>
      <c r="M472" s="41"/>
      <c r="N472" s="41"/>
      <c r="O472" s="41"/>
      <c r="P472" s="41"/>
      <c r="Q472" s="41"/>
      <c r="R472" s="41"/>
      <c r="S472" s="41"/>
      <c r="T472" s="41"/>
      <c r="U472" s="41"/>
      <c r="V472" s="41"/>
      <c r="W472" s="41"/>
      <c r="X472" s="41"/>
      <c r="Y472" s="41"/>
      <c r="Z472" s="41"/>
    </row>
    <row r="473" ht="19.5" customHeight="1">
      <c r="A473" s="41"/>
      <c r="B473" s="49" t="s">
        <v>37</v>
      </c>
      <c r="C473" s="49" t="s">
        <v>273</v>
      </c>
      <c r="D473" s="49" t="s">
        <v>274</v>
      </c>
      <c r="E473" s="49" t="s">
        <v>5</v>
      </c>
      <c r="F473" s="41"/>
      <c r="G473" s="41"/>
      <c r="H473" s="41"/>
      <c r="I473" s="41"/>
      <c r="J473" s="41"/>
      <c r="K473" s="41"/>
      <c r="L473" s="41"/>
      <c r="M473" s="41"/>
      <c r="N473" s="41"/>
      <c r="O473" s="41"/>
      <c r="P473" s="41"/>
      <c r="Q473" s="41"/>
      <c r="R473" s="41"/>
      <c r="S473" s="41"/>
      <c r="T473" s="41"/>
      <c r="U473" s="41"/>
      <c r="V473" s="41"/>
      <c r="W473" s="41"/>
      <c r="X473" s="41"/>
      <c r="Y473" s="41"/>
      <c r="Z473" s="41"/>
    </row>
    <row r="474" ht="19.5" customHeight="1">
      <c r="A474" s="41"/>
      <c r="B474" s="84" t="s">
        <v>920</v>
      </c>
      <c r="C474" s="111" t="str">
        <f>sample_wld_nsxt_gm_vip_fqdn</f>
        <v>lax-w01-nsx-gm01.lax.rainpole.io</v>
      </c>
      <c r="D474" s="18" t="str">
        <f>wld_nsxt_gm_vip_fqdn</f>
        <v>Value Missing</v>
      </c>
      <c r="E474" s="153"/>
      <c r="F474" s="41"/>
      <c r="G474" s="41"/>
      <c r="H474" s="41"/>
      <c r="I474" s="41"/>
      <c r="J474" s="41"/>
      <c r="K474" s="41"/>
      <c r="L474" s="41"/>
      <c r="M474" s="41"/>
      <c r="N474" s="41"/>
      <c r="O474" s="41"/>
      <c r="P474" s="41"/>
      <c r="Q474" s="41"/>
      <c r="R474" s="41"/>
      <c r="S474" s="41"/>
      <c r="T474" s="41"/>
      <c r="U474" s="41"/>
      <c r="V474" s="41"/>
      <c r="W474" s="41"/>
      <c r="X474" s="41"/>
      <c r="Y474" s="41"/>
      <c r="Z474" s="41"/>
    </row>
    <row r="475" ht="19.5" customHeight="1">
      <c r="A475" s="41"/>
      <c r="B475" s="84" t="s">
        <v>921</v>
      </c>
      <c r="C475" s="110" t="str">
        <f>sample_wld_nsxt_federation_global_manager_name</f>
        <v>lax-w01-nsx-gm01</v>
      </c>
      <c r="D475" s="18"/>
      <c r="E475" s="153"/>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1"/>
      <c r="C476" s="1"/>
      <c r="D476" s="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9.5" customHeight="1">
      <c r="A477" s="41"/>
      <c r="B477" s="17" t="s">
        <v>922</v>
      </c>
      <c r="C477" s="13"/>
      <c r="D477" s="13"/>
      <c r="E477" s="14"/>
      <c r="F477" s="41"/>
      <c r="G477" s="41"/>
      <c r="H477" s="41"/>
      <c r="I477" s="41"/>
      <c r="J477" s="41"/>
      <c r="K477" s="41"/>
      <c r="L477" s="41"/>
      <c r="M477" s="41"/>
      <c r="N477" s="41"/>
      <c r="O477" s="41"/>
      <c r="P477" s="41"/>
      <c r="Q477" s="41"/>
      <c r="R477" s="41"/>
      <c r="S477" s="41"/>
      <c r="T477" s="41"/>
      <c r="U477" s="41"/>
      <c r="V477" s="41"/>
      <c r="W477" s="41"/>
      <c r="X477" s="41"/>
      <c r="Y477" s="41"/>
      <c r="Z477" s="41"/>
    </row>
    <row r="478" ht="19.5" customHeight="1">
      <c r="A478" s="41"/>
      <c r="B478" s="49" t="s">
        <v>37</v>
      </c>
      <c r="C478" s="49" t="s">
        <v>273</v>
      </c>
      <c r="D478" s="49" t="s">
        <v>274</v>
      </c>
      <c r="E478" s="49" t="s">
        <v>5</v>
      </c>
      <c r="F478" s="41"/>
      <c r="G478" s="41"/>
      <c r="H478" s="41"/>
      <c r="I478" s="41"/>
      <c r="J478" s="41"/>
      <c r="K478" s="41"/>
      <c r="L478" s="41"/>
      <c r="M478" s="41"/>
      <c r="N478" s="41"/>
      <c r="O478" s="41"/>
      <c r="P478" s="41"/>
      <c r="Q478" s="41"/>
      <c r="R478" s="41"/>
      <c r="S478" s="41"/>
      <c r="T478" s="41"/>
      <c r="U478" s="41"/>
      <c r="V478" s="41"/>
      <c r="W478" s="41"/>
      <c r="X478" s="41"/>
      <c r="Y478" s="41"/>
      <c r="Z478" s="41"/>
    </row>
    <row r="479" ht="19.5" customHeight="1">
      <c r="A479" s="41"/>
      <c r="B479" s="84" t="s">
        <v>923</v>
      </c>
      <c r="C479" s="111" t="str">
        <f>sample_wld_nsxt_gm_vip_fqdn</f>
        <v>lax-w01-nsx-gm01.lax.rainpole.io</v>
      </c>
      <c r="D479" s="18" t="str">
        <f>wld_nsxt_gm_vip_fqdn</f>
        <v>Value Missing</v>
      </c>
      <c r="E479" s="153"/>
      <c r="F479" s="41"/>
      <c r="G479" s="41"/>
      <c r="H479" s="41"/>
      <c r="I479" s="41"/>
      <c r="J479" s="41"/>
      <c r="K479" s="41"/>
      <c r="L479" s="41"/>
      <c r="M479" s="41"/>
      <c r="N479" s="41"/>
      <c r="O479" s="41"/>
      <c r="P479" s="41"/>
      <c r="Q479" s="41"/>
      <c r="R479" s="41"/>
      <c r="S479" s="41"/>
      <c r="T479" s="41"/>
      <c r="U479" s="41"/>
      <c r="V479" s="41"/>
      <c r="W479" s="41"/>
      <c r="X479" s="41"/>
      <c r="Y479" s="41"/>
      <c r="Z479" s="41"/>
    </row>
    <row r="480" ht="19.5" customHeight="1">
      <c r="A480" s="41"/>
      <c r="B480" s="84" t="s">
        <v>924</v>
      </c>
      <c r="C480" s="110" t="s">
        <v>930</v>
      </c>
      <c r="D480" s="18"/>
      <c r="E480" s="153" t="s">
        <v>1561</v>
      </c>
      <c r="F480" s="41"/>
      <c r="G480" s="41"/>
      <c r="H480" s="41"/>
      <c r="I480" s="41"/>
      <c r="J480" s="41"/>
      <c r="K480" s="41"/>
      <c r="L480" s="41"/>
      <c r="M480" s="41"/>
      <c r="N480" s="41"/>
      <c r="O480" s="41"/>
      <c r="P480" s="41"/>
      <c r="Q480" s="41"/>
      <c r="R480" s="41"/>
      <c r="S480" s="41"/>
      <c r="T480" s="41"/>
      <c r="U480" s="41"/>
      <c r="V480" s="41"/>
      <c r="W480" s="41"/>
      <c r="X480" s="41"/>
      <c r="Y480" s="41"/>
      <c r="Z480" s="41"/>
    </row>
    <row r="481" ht="19.5" customHeight="1">
      <c r="A481" s="41"/>
      <c r="B481" s="84" t="s">
        <v>926</v>
      </c>
      <c r="C481" s="111" t="str">
        <f t="array" ref="C481">IF(mgmt_domain_chosen="Initial VCF Instance",CONCATENATE(sample_wld_nsxt_gm_hostname,".",sample_child_dns_zone),sample_wld_existing_active_nsx_gm)</f>
        <v>sfo-w01-nsx-gm01.sfo.rainpole.io</v>
      </c>
      <c r="D481" s="18" t="str">
        <f>IF(mgmt_domain_chosen="First Domain",wld_nsxt_gm_vip_fqdn,wld_existing_active_nsx_gm)</f>
        <v>Value Missing</v>
      </c>
      <c r="E481" s="153"/>
      <c r="F481" s="41"/>
      <c r="G481" s="41"/>
      <c r="H481" s="41"/>
      <c r="I481" s="41"/>
      <c r="J481" s="41"/>
      <c r="K481" s="41"/>
      <c r="L481" s="41"/>
      <c r="M481" s="41"/>
      <c r="N481" s="41"/>
      <c r="O481" s="41"/>
      <c r="P481" s="41"/>
      <c r="Q481" s="41"/>
      <c r="R481" s="41"/>
      <c r="S481" s="41"/>
      <c r="T481" s="41"/>
      <c r="U481" s="41"/>
      <c r="V481" s="41"/>
      <c r="W481" s="41"/>
      <c r="X481" s="41"/>
      <c r="Y481" s="41"/>
      <c r="Z481" s="41"/>
    </row>
    <row r="482" ht="19.5" customHeight="1">
      <c r="A482" s="41"/>
      <c r="B482" s="84" t="s">
        <v>927</v>
      </c>
      <c r="C482" s="203" t="str">
        <f>CONCATENATE(this_instance,"-w0",wld_domain_number_chosen,"-nsx-gm01")</f>
        <v>lax-w01-nsx-gm01</v>
      </c>
      <c r="D482" s="18" t="str">
        <f>wld_nsxt_federation_global_manager_name</f>
        <v>Value Missing</v>
      </c>
      <c r="E482" s="153"/>
      <c r="F482" s="41"/>
      <c r="G482" s="41"/>
      <c r="H482" s="41"/>
      <c r="I482" s="41"/>
      <c r="J482" s="41"/>
      <c r="K482" s="41"/>
      <c r="L482" s="41"/>
      <c r="M482" s="41"/>
      <c r="N482" s="41"/>
      <c r="O482" s="41"/>
      <c r="P482" s="41"/>
      <c r="Q482" s="41"/>
      <c r="R482" s="41"/>
      <c r="S482" s="41"/>
      <c r="T482" s="41"/>
      <c r="U482" s="41"/>
      <c r="V482" s="41"/>
      <c r="W482" s="41"/>
      <c r="X482" s="41"/>
      <c r="Y482" s="41"/>
      <c r="Z482" s="41"/>
    </row>
    <row r="483" ht="19.5" customHeight="1">
      <c r="A483" s="41"/>
      <c r="B483" s="84" t="s">
        <v>928</v>
      </c>
      <c r="C483" s="111" t="str">
        <f>sample_wld_nsxt_gm_vip_fqdn</f>
        <v>lax-w01-nsx-gm01.lax.rainpole.io</v>
      </c>
      <c r="D483" s="18" t="str">
        <f>wld_nsxt_gm_vip_fqdn</f>
        <v>Value Missing</v>
      </c>
      <c r="E483" s="153"/>
      <c r="F483" s="41"/>
      <c r="G483" s="41"/>
      <c r="H483" s="41"/>
      <c r="I483" s="41"/>
      <c r="J483" s="41"/>
      <c r="K483" s="41"/>
      <c r="L483" s="41"/>
      <c r="M483" s="41"/>
      <c r="N483" s="41"/>
      <c r="O483" s="41"/>
      <c r="P483" s="41"/>
      <c r="Q483" s="41"/>
      <c r="R483" s="41"/>
      <c r="S483" s="41"/>
      <c r="T483" s="41"/>
      <c r="U483" s="41"/>
      <c r="V483" s="41"/>
      <c r="W483" s="41"/>
      <c r="X483" s="41"/>
      <c r="Y483" s="41"/>
      <c r="Z483" s="41"/>
    </row>
    <row r="484" ht="19.5" customHeight="1">
      <c r="A484" s="41"/>
      <c r="B484" s="84" t="s">
        <v>294</v>
      </c>
      <c r="C484" s="110" t="s">
        <v>889</v>
      </c>
      <c r="D484" s="18" t="str">
        <f>C484</f>
        <v>admin</v>
      </c>
      <c r="E484" s="153"/>
      <c r="F484" s="41"/>
      <c r="G484" s="41"/>
      <c r="H484" s="41"/>
      <c r="I484" s="41"/>
      <c r="J484" s="41"/>
      <c r="K484" s="41"/>
      <c r="L484" s="41"/>
      <c r="M484" s="41"/>
      <c r="N484" s="41"/>
      <c r="O484" s="41"/>
      <c r="P484" s="41"/>
      <c r="Q484" s="41"/>
      <c r="R484" s="41"/>
      <c r="S484" s="41"/>
      <c r="T484" s="41"/>
      <c r="U484" s="41"/>
      <c r="V484" s="41"/>
      <c r="W484" s="41"/>
      <c r="X484" s="41"/>
      <c r="Y484" s="41"/>
      <c r="Z484" s="41"/>
    </row>
    <row r="485" ht="19.5" customHeight="1">
      <c r="A485" s="41"/>
      <c r="B485" s="84" t="s">
        <v>296</v>
      </c>
      <c r="C485" s="110" t="str">
        <f>sample_wld_nsxt_gm_admin_password</f>
        <v>VMw@re1!VMw@re1!</v>
      </c>
      <c r="D485" s="18" t="str">
        <f>wld_nsxt_gm_admin_password</f>
        <v>Value Missing</v>
      </c>
      <c r="E485" s="153"/>
      <c r="F485" s="41"/>
      <c r="G485" s="41"/>
      <c r="H485" s="41"/>
      <c r="I485" s="41"/>
      <c r="J485" s="41"/>
      <c r="K485" s="41"/>
      <c r="L485" s="41"/>
      <c r="M485" s="41"/>
      <c r="N485" s="41"/>
      <c r="O485" s="41"/>
      <c r="P485" s="41"/>
      <c r="Q485" s="41"/>
      <c r="R485" s="41"/>
      <c r="S485" s="41"/>
      <c r="T485" s="41"/>
      <c r="U485" s="41"/>
      <c r="V485" s="41"/>
      <c r="W485" s="41"/>
      <c r="X485" s="41"/>
      <c r="Y485" s="41"/>
      <c r="Z485" s="41"/>
    </row>
    <row r="486" ht="19.5" customHeight="1">
      <c r="A486" s="41"/>
      <c r="B486" s="84" t="s">
        <v>924</v>
      </c>
      <c r="C486" s="110" t="str">
        <f>sample_wld_nsxt_gm_fingerprint</f>
        <v>676edbc9b8c639d9311aaea32a357c7c81226856ad4f8c73a68dd760652d6b5d</v>
      </c>
      <c r="D486" s="18" t="str">
        <f>wld_nsxt_gm_fingerprint</f>
        <v>Value Missing</v>
      </c>
      <c r="E486" s="153"/>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1"/>
      <c r="C487" s="1"/>
      <c r="D487" s="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9.5" customHeight="1">
      <c r="A488" s="41"/>
      <c r="B488" s="17" t="s">
        <v>929</v>
      </c>
      <c r="C488" s="13"/>
      <c r="D488" s="13"/>
      <c r="E488" s="14"/>
      <c r="F488" s="41"/>
      <c r="G488" s="41"/>
      <c r="H488" s="41"/>
      <c r="I488" s="41"/>
      <c r="J488" s="41"/>
      <c r="K488" s="41"/>
      <c r="L488" s="41"/>
      <c r="M488" s="41"/>
      <c r="N488" s="41"/>
      <c r="O488" s="41"/>
      <c r="P488" s="41"/>
      <c r="Q488" s="41"/>
      <c r="R488" s="41"/>
      <c r="S488" s="41"/>
      <c r="T488" s="41"/>
      <c r="U488" s="41"/>
      <c r="V488" s="41"/>
      <c r="W488" s="41"/>
      <c r="X488" s="41"/>
      <c r="Y488" s="41"/>
      <c r="Z488" s="41"/>
    </row>
    <row r="489" ht="19.5" customHeight="1">
      <c r="A489" s="41"/>
      <c r="B489" s="49" t="s">
        <v>37</v>
      </c>
      <c r="C489" s="49" t="s">
        <v>273</v>
      </c>
      <c r="D489" s="49" t="s">
        <v>274</v>
      </c>
      <c r="E489" s="49" t="s">
        <v>5</v>
      </c>
      <c r="F489" s="41"/>
      <c r="G489" s="41"/>
      <c r="H489" s="41"/>
      <c r="I489" s="41"/>
      <c r="J489" s="41"/>
      <c r="K489" s="41"/>
      <c r="L489" s="41"/>
      <c r="M489" s="41"/>
      <c r="N489" s="41"/>
      <c r="O489" s="41"/>
      <c r="P489" s="41"/>
      <c r="Q489" s="41"/>
      <c r="R489" s="41"/>
      <c r="S489" s="41"/>
      <c r="T489" s="41"/>
      <c r="U489" s="41"/>
      <c r="V489" s="41"/>
      <c r="W489" s="41"/>
      <c r="X489" s="41"/>
      <c r="Y489" s="41"/>
      <c r="Z489" s="41"/>
    </row>
    <row r="490" ht="19.5" customHeight="1">
      <c r="A490" s="41"/>
      <c r="B490" s="84" t="s">
        <v>915</v>
      </c>
      <c r="C490" s="111" t="str">
        <f>sample_wld_nsxt_vip_fqdn</f>
        <v>lax-w01-nsx01.lax.rainpole.io</v>
      </c>
      <c r="D490" s="18" t="str">
        <f>wld_nsxt_vip_fqdn</f>
        <v>Value Missing</v>
      </c>
      <c r="E490" s="84"/>
      <c r="F490" s="41"/>
      <c r="G490" s="41"/>
      <c r="H490" s="41"/>
      <c r="I490" s="41"/>
      <c r="J490" s="41"/>
      <c r="K490" s="41"/>
      <c r="L490" s="41"/>
      <c r="M490" s="41"/>
      <c r="N490" s="41"/>
      <c r="O490" s="41"/>
      <c r="P490" s="41"/>
      <c r="Q490" s="41"/>
      <c r="R490" s="41"/>
      <c r="S490" s="41"/>
      <c r="T490" s="41"/>
      <c r="U490" s="41"/>
      <c r="V490" s="41"/>
      <c r="W490" s="41"/>
      <c r="X490" s="41"/>
      <c r="Y490" s="41"/>
      <c r="Z490" s="41"/>
    </row>
    <row r="491" ht="19.5" customHeight="1">
      <c r="A491" s="41"/>
      <c r="B491" s="84" t="s">
        <v>924</v>
      </c>
      <c r="C491" s="110" t="s">
        <v>925</v>
      </c>
      <c r="D491" s="18"/>
      <c r="E491" s="153" t="s">
        <v>1561</v>
      </c>
      <c r="F491" s="41"/>
      <c r="G491" s="41"/>
      <c r="H491" s="41"/>
      <c r="I491" s="41"/>
      <c r="J491" s="41"/>
      <c r="K491" s="41"/>
      <c r="L491" s="41"/>
      <c r="M491" s="41"/>
      <c r="N491" s="41"/>
      <c r="O491" s="41"/>
      <c r="P491" s="41"/>
      <c r="Q491" s="41"/>
      <c r="R491" s="41"/>
      <c r="S491" s="41"/>
      <c r="T491" s="41"/>
      <c r="U491" s="41"/>
      <c r="V491" s="41"/>
      <c r="W491" s="41"/>
      <c r="X491" s="41"/>
      <c r="Y491" s="41"/>
      <c r="Z491" s="41"/>
    </row>
    <row r="492" ht="19.5" customHeight="1">
      <c r="A492" s="41"/>
      <c r="B492" s="84" t="s">
        <v>926</v>
      </c>
      <c r="C492" s="111" t="str">
        <f t="array" ref="C492">IF(mgmt_domain_chosen="Initial VCF Instance",CONCATENATE(sample_wld_nsxt_gm_hostname,".",sample_child_dns_zone),sample_wld_existing_active_nsx_gm)</f>
        <v>sfo-w01-nsx-gm01.sfo.rainpole.io</v>
      </c>
      <c r="D492" s="18" t="str">
        <f>IF(mgmt_domain_chosen="First Instance",wld_nsxt_gm_vip_fqdn,wld_existing_active_nsx_gm)</f>
        <v>Value Missing</v>
      </c>
      <c r="E492" s="153"/>
      <c r="F492" s="41"/>
      <c r="G492" s="41"/>
      <c r="H492" s="41"/>
      <c r="I492" s="41"/>
      <c r="J492" s="41"/>
      <c r="K492" s="41"/>
      <c r="L492" s="41"/>
      <c r="M492" s="41"/>
      <c r="N492" s="41"/>
      <c r="O492" s="41"/>
      <c r="P492" s="41"/>
      <c r="Q492" s="41"/>
      <c r="R492" s="41"/>
      <c r="S492" s="41"/>
      <c r="T492" s="41"/>
      <c r="U492" s="41"/>
      <c r="V492" s="41"/>
      <c r="W492" s="41"/>
      <c r="X492" s="41"/>
      <c r="Y492" s="41"/>
      <c r="Z492" s="41"/>
    </row>
    <row r="493" ht="19.5" customHeight="1">
      <c r="A493" s="41"/>
      <c r="B493" s="84" t="s">
        <v>931</v>
      </c>
      <c r="C493" s="203" t="str">
        <f>CONCATENATE(this_instance,"-w0",wld_domain_number_chosen,)</f>
        <v>lax-w01</v>
      </c>
      <c r="D493" s="18"/>
      <c r="E493" s="153"/>
      <c r="F493" s="41"/>
      <c r="G493" s="41"/>
      <c r="H493" s="41"/>
      <c r="I493" s="41"/>
      <c r="J493" s="41"/>
      <c r="K493" s="41"/>
      <c r="L493" s="41"/>
      <c r="M493" s="41"/>
      <c r="N493" s="41"/>
      <c r="O493" s="41"/>
      <c r="P493" s="41"/>
      <c r="Q493" s="41"/>
      <c r="R493" s="41"/>
      <c r="S493" s="41"/>
      <c r="T493" s="41"/>
      <c r="U493" s="41"/>
      <c r="V493" s="41"/>
      <c r="W493" s="41"/>
      <c r="X493" s="41"/>
      <c r="Y493" s="41"/>
      <c r="Z493" s="41"/>
    </row>
    <row r="494" ht="19.5" customHeight="1">
      <c r="A494" s="41"/>
      <c r="B494" s="84" t="s">
        <v>928</v>
      </c>
      <c r="C494" s="111" t="str">
        <f>sample_wld_nsxt_vip_fqdn</f>
        <v>lax-w01-nsx01.lax.rainpole.io</v>
      </c>
      <c r="D494" s="18" t="str">
        <f>wld_nsxt_vip_fqdn</f>
        <v>Value Missing</v>
      </c>
      <c r="E494" s="153"/>
      <c r="F494" s="41"/>
      <c r="G494" s="41"/>
      <c r="H494" s="41"/>
      <c r="I494" s="41"/>
      <c r="J494" s="41"/>
      <c r="K494" s="41"/>
      <c r="L494" s="41"/>
      <c r="M494" s="41"/>
      <c r="N494" s="41"/>
      <c r="O494" s="41"/>
      <c r="P494" s="41"/>
      <c r="Q494" s="41"/>
      <c r="R494" s="41"/>
      <c r="S494" s="41"/>
      <c r="T494" s="41"/>
      <c r="U494" s="41"/>
      <c r="V494" s="41"/>
      <c r="W494" s="41"/>
      <c r="X494" s="41"/>
      <c r="Y494" s="41"/>
      <c r="Z494" s="41"/>
    </row>
    <row r="495" ht="19.5" customHeight="1">
      <c r="A495" s="41"/>
      <c r="B495" s="84" t="s">
        <v>294</v>
      </c>
      <c r="C495" s="110" t="s">
        <v>889</v>
      </c>
      <c r="D495" s="18"/>
      <c r="E495" s="153"/>
      <c r="F495" s="41"/>
      <c r="G495" s="41"/>
      <c r="H495" s="41"/>
      <c r="I495" s="41"/>
      <c r="J495" s="41"/>
      <c r="K495" s="41"/>
      <c r="L495" s="41"/>
      <c r="M495" s="41"/>
      <c r="N495" s="41"/>
      <c r="O495" s="41"/>
      <c r="P495" s="41"/>
      <c r="Q495" s="41"/>
      <c r="R495" s="41"/>
      <c r="S495" s="41"/>
      <c r="T495" s="41"/>
      <c r="U495" s="41"/>
      <c r="V495" s="41"/>
      <c r="W495" s="41"/>
      <c r="X495" s="41"/>
      <c r="Y495" s="41"/>
      <c r="Z495" s="41"/>
    </row>
    <row r="496" ht="19.5" customHeight="1">
      <c r="A496" s="41"/>
      <c r="B496" s="84" t="s">
        <v>296</v>
      </c>
      <c r="C496" s="110" t="str">
        <f>sample_wld_nsxt_lm_admin_password</f>
        <v>VMw@re1!VMw@re1!</v>
      </c>
      <c r="D496" s="18" t="str">
        <f>wld_nsxt_lm_admin_password</f>
        <v>Value Missing</v>
      </c>
      <c r="E496" s="153"/>
      <c r="F496" s="41"/>
      <c r="G496" s="41"/>
      <c r="H496" s="41"/>
      <c r="I496" s="41"/>
      <c r="J496" s="41"/>
      <c r="K496" s="41"/>
      <c r="L496" s="41"/>
      <c r="M496" s="41"/>
      <c r="N496" s="41"/>
      <c r="O496" s="41"/>
      <c r="P496" s="41"/>
      <c r="Q496" s="41"/>
      <c r="R496" s="41"/>
      <c r="S496" s="41"/>
      <c r="T496" s="41"/>
      <c r="U496" s="41"/>
      <c r="V496" s="41"/>
      <c r="W496" s="41"/>
      <c r="X496" s="41"/>
      <c r="Y496" s="41"/>
      <c r="Z496" s="41"/>
    </row>
    <row r="497" ht="19.5" customHeight="1">
      <c r="A497" s="41"/>
      <c r="B497" s="84" t="s">
        <v>924</v>
      </c>
      <c r="C497" s="110" t="str">
        <f>sample_wld_nsxt_lm_fingerprint</f>
        <v>0d472de0d92da89f2b469d4d10ab23505ad4edb90cd7e68f84497008f6c89ff1</v>
      </c>
      <c r="D497" s="18" t="str">
        <f>wld_nsxt_lm_fingerprint</f>
        <v>Value Missing</v>
      </c>
      <c r="E497" s="153"/>
      <c r="F497" s="41"/>
      <c r="G497" s="41"/>
      <c r="H497" s="41"/>
      <c r="I497" s="41"/>
      <c r="J497" s="41"/>
      <c r="K497" s="41"/>
      <c r="L497" s="41"/>
      <c r="M497" s="41"/>
      <c r="N497" s="41"/>
      <c r="O497" s="41"/>
      <c r="P497" s="41"/>
      <c r="Q497" s="41"/>
      <c r="R497" s="41"/>
      <c r="S497" s="41"/>
      <c r="T497" s="41"/>
      <c r="U497" s="41"/>
      <c r="V497" s="41"/>
      <c r="W497" s="41"/>
      <c r="X497" s="41"/>
      <c r="Y497" s="41"/>
      <c r="Z497" s="41"/>
    </row>
    <row r="498" ht="19.5" customHeight="1">
      <c r="A498" s="41"/>
      <c r="B498" s="84" t="s">
        <v>932</v>
      </c>
      <c r="C498" s="110" t="s">
        <v>933</v>
      </c>
      <c r="D498" s="18" t="str">
        <f>C498</f>
        <v>nsxDefaultHostSwitch</v>
      </c>
      <c r="E498" s="18"/>
      <c r="F498" s="41"/>
      <c r="G498" s="41"/>
      <c r="H498" s="41"/>
      <c r="I498" s="41"/>
      <c r="J498" s="41"/>
      <c r="K498" s="41"/>
      <c r="L498" s="41"/>
      <c r="M498" s="41"/>
      <c r="N498" s="41"/>
      <c r="O498" s="41"/>
      <c r="P498" s="41"/>
      <c r="Q498" s="41"/>
      <c r="R498" s="41"/>
      <c r="S498" s="41"/>
      <c r="T498" s="41"/>
      <c r="U498" s="41"/>
      <c r="V498" s="41"/>
      <c r="W498" s="41"/>
      <c r="X498" s="41"/>
      <c r="Y498" s="41"/>
      <c r="Z498" s="41"/>
    </row>
    <row r="499" ht="19.5" customHeight="1">
      <c r="A499" s="41"/>
      <c r="B499" s="84" t="s">
        <v>934</v>
      </c>
      <c r="C499" s="156" t="str">
        <f>CONCATENATE(prefix_wld_az1_vlan,"20")</f>
        <v>2320</v>
      </c>
      <c r="D499" s="18"/>
      <c r="E499" s="153"/>
      <c r="F499" s="41"/>
      <c r="G499" s="41"/>
      <c r="H499" s="41"/>
      <c r="I499" s="41"/>
      <c r="J499" s="41"/>
      <c r="K499" s="41"/>
      <c r="L499" s="41"/>
      <c r="M499" s="41"/>
      <c r="N499" s="41"/>
      <c r="O499" s="41"/>
      <c r="P499" s="41"/>
      <c r="Q499" s="41"/>
      <c r="R499" s="41"/>
      <c r="S499" s="41"/>
      <c r="T499" s="41"/>
      <c r="U499" s="41"/>
      <c r="V499" s="41"/>
      <c r="W499" s="41"/>
      <c r="X499" s="41"/>
      <c r="Y499" s="41"/>
      <c r="Z499" s="41"/>
    </row>
    <row r="500" ht="19.5" customHeight="1">
      <c r="A500" s="41"/>
      <c r="B500" s="84" t="s">
        <v>935</v>
      </c>
      <c r="C500" s="110" t="str">
        <f>sample_wld_az1_rtep_ip_pool_name</f>
        <v>lax-w01-r01-ip-pool-rtep</v>
      </c>
      <c r="D500" s="18" t="str">
        <f>wld_az1_rtep_ip_pool_name</f>
        <v>Value Missing</v>
      </c>
      <c r="E500" s="153"/>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1"/>
      <c r="C501" s="1"/>
      <c r="D501" s="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9.5" customHeight="1">
      <c r="A502" s="41"/>
      <c r="B502" s="17" t="s">
        <v>936</v>
      </c>
      <c r="C502" s="13"/>
      <c r="D502" s="13"/>
      <c r="E502" s="14"/>
      <c r="F502" s="41"/>
      <c r="G502" s="41"/>
      <c r="H502" s="41"/>
      <c r="I502" s="41"/>
      <c r="J502" s="41"/>
      <c r="K502" s="41"/>
      <c r="L502" s="41"/>
      <c r="M502" s="41"/>
      <c r="N502" s="41"/>
      <c r="O502" s="41"/>
      <c r="P502" s="41"/>
      <c r="Q502" s="41"/>
      <c r="R502" s="41"/>
      <c r="S502" s="41"/>
      <c r="T502" s="41"/>
      <c r="U502" s="41"/>
      <c r="V502" s="41"/>
      <c r="W502" s="41"/>
      <c r="X502" s="41"/>
      <c r="Y502" s="41"/>
      <c r="Z502" s="41"/>
    </row>
    <row r="503" ht="19.5" customHeight="1">
      <c r="A503" s="41"/>
      <c r="B503" s="49" t="s">
        <v>37</v>
      </c>
      <c r="C503" s="49" t="s">
        <v>273</v>
      </c>
      <c r="D503" s="49" t="s">
        <v>274</v>
      </c>
      <c r="E503" s="49" t="s">
        <v>5</v>
      </c>
      <c r="F503" s="41"/>
      <c r="G503" s="41"/>
      <c r="H503" s="41"/>
      <c r="I503" s="41"/>
      <c r="J503" s="41"/>
      <c r="K503" s="41"/>
      <c r="L503" s="41"/>
      <c r="M503" s="41"/>
      <c r="N503" s="41"/>
      <c r="O503" s="41"/>
      <c r="P503" s="41"/>
      <c r="Q503" s="41"/>
      <c r="R503" s="41"/>
      <c r="S503" s="41"/>
      <c r="T503" s="41"/>
      <c r="U503" s="41"/>
      <c r="V503" s="41"/>
      <c r="W503" s="41"/>
      <c r="X503" s="41"/>
      <c r="Y503" s="41"/>
      <c r="Z503" s="41"/>
    </row>
    <row r="504" ht="19.5" customHeight="1">
      <c r="A504" s="41"/>
      <c r="B504" s="84" t="s">
        <v>905</v>
      </c>
      <c r="C504" s="111" t="str">
        <f>sample_wld_nsxt_gm_vip_fqdn</f>
        <v>lax-w01-nsx-gm01.lax.rainpole.io</v>
      </c>
      <c r="D504" s="18" t="str">
        <f>wld_nsxt_gm_vip_fqdn</f>
        <v>Value Missing</v>
      </c>
      <c r="E504" s="153"/>
      <c r="F504" s="41"/>
      <c r="G504" s="41"/>
      <c r="H504" s="41"/>
      <c r="I504" s="41"/>
      <c r="J504" s="41"/>
      <c r="K504" s="41"/>
      <c r="L504" s="41"/>
      <c r="M504" s="41"/>
      <c r="N504" s="41"/>
      <c r="O504" s="41"/>
      <c r="P504" s="41"/>
      <c r="Q504" s="41"/>
      <c r="R504" s="41"/>
      <c r="S504" s="41"/>
      <c r="T504" s="41"/>
      <c r="U504" s="41"/>
      <c r="V504" s="41"/>
      <c r="W504" s="41"/>
      <c r="X504" s="41"/>
      <c r="Y504" s="41"/>
      <c r="Z504" s="41"/>
    </row>
    <row r="505" ht="19.5" customHeight="1">
      <c r="A505" s="41"/>
      <c r="B505" s="84" t="s">
        <v>937</v>
      </c>
      <c r="C505" s="203" t="str">
        <f>CONCATENATE(prefix_portable_component,"-w0",wld_domain_number_chosen,"-ec01-t1-gw01")</f>
        <v>flt-w01-ec01-t1-gw01</v>
      </c>
      <c r="D505" s="18"/>
      <c r="E505" s="153"/>
      <c r="F505" s="41"/>
      <c r="G505" s="41"/>
      <c r="H505" s="41"/>
      <c r="I505" s="41"/>
      <c r="J505" s="41"/>
      <c r="K505" s="41"/>
      <c r="L505" s="41"/>
      <c r="M505" s="41"/>
      <c r="N505" s="41"/>
      <c r="O505" s="41"/>
      <c r="P505" s="41"/>
      <c r="Q505" s="41"/>
      <c r="R505" s="41"/>
      <c r="S505" s="41"/>
      <c r="T505" s="41"/>
      <c r="U505" s="41"/>
      <c r="V505" s="41"/>
      <c r="W505" s="41"/>
      <c r="X505" s="41"/>
      <c r="Y505" s="41"/>
      <c r="Z505" s="41"/>
    </row>
    <row r="506" ht="19.5" customHeight="1">
      <c r="A506" s="41"/>
      <c r="B506" s="84" t="s">
        <v>938</v>
      </c>
      <c r="C506" s="110" t="str">
        <f>sample_wld_tier0_name</f>
        <v>lax-w01-ec01-t0-gw01</v>
      </c>
      <c r="D506" s="18" t="str">
        <f>wld_tier0_name</f>
        <v>Value Missing</v>
      </c>
      <c r="E506" s="153"/>
      <c r="F506" s="41"/>
      <c r="G506" s="41"/>
      <c r="H506" s="41"/>
      <c r="I506" s="41"/>
      <c r="J506" s="41"/>
      <c r="K506" s="41"/>
      <c r="L506" s="41"/>
      <c r="M506" s="41"/>
      <c r="N506" s="41"/>
      <c r="O506" s="41"/>
      <c r="P506" s="41"/>
      <c r="Q506" s="41"/>
      <c r="R506" s="41"/>
      <c r="S506" s="41"/>
      <c r="T506" s="41"/>
      <c r="U506" s="41"/>
      <c r="V506" s="41"/>
      <c r="W506" s="41"/>
      <c r="X506" s="41"/>
      <c r="Y506" s="41"/>
      <c r="Z506" s="41"/>
    </row>
    <row r="507" ht="19.5" customHeight="1">
      <c r="A507" s="41"/>
      <c r="B507" s="84" t="s">
        <v>939</v>
      </c>
      <c r="C507" s="110" t="str">
        <f>sample_wld_nsxt_federation_location_name</f>
        <v>lax-w01</v>
      </c>
      <c r="D507" s="18" t="str">
        <f>wld_nsxt_federation_location_name</f>
        <v>Value Missing</v>
      </c>
      <c r="E507" s="213"/>
      <c r="F507" s="41"/>
      <c r="G507" s="41"/>
      <c r="H507" s="41"/>
      <c r="I507" s="41"/>
      <c r="J507" s="41"/>
      <c r="K507" s="41"/>
      <c r="L507" s="41"/>
      <c r="M507" s="41"/>
      <c r="N507" s="41"/>
      <c r="O507" s="41"/>
      <c r="P507" s="41"/>
      <c r="Q507" s="41"/>
      <c r="R507" s="41"/>
      <c r="S507" s="41"/>
      <c r="T507" s="41"/>
      <c r="U507" s="41"/>
      <c r="V507" s="41"/>
      <c r="W507" s="41"/>
      <c r="X507" s="41"/>
      <c r="Y507" s="41"/>
      <c r="Z507" s="41"/>
    </row>
    <row r="508" ht="19.5" customHeight="1">
      <c r="A508" s="41"/>
      <c r="B508" s="84" t="s">
        <v>583</v>
      </c>
      <c r="C508" s="110" t="str">
        <f>sample_wld_ec_name</f>
        <v>lax-w01-ec01</v>
      </c>
      <c r="D508" s="18" t="str">
        <f>wld_ec_name</f>
        <v>Value Missing</v>
      </c>
      <c r="E508" s="153"/>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1"/>
      <c r="C509" s="1"/>
      <c r="D509" s="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9.5" customHeight="1">
      <c r="A510" s="41"/>
      <c r="B510" s="17" t="s">
        <v>943</v>
      </c>
      <c r="C510" s="13"/>
      <c r="D510" s="13"/>
      <c r="E510" s="14"/>
      <c r="F510" s="41"/>
      <c r="G510" s="41"/>
      <c r="H510" s="41"/>
      <c r="I510" s="41"/>
      <c r="J510" s="41"/>
      <c r="K510" s="41"/>
      <c r="L510" s="41"/>
      <c r="M510" s="41"/>
      <c r="N510" s="41"/>
      <c r="O510" s="41"/>
      <c r="P510" s="41"/>
      <c r="Q510" s="41"/>
      <c r="R510" s="41"/>
      <c r="S510" s="41"/>
      <c r="T510" s="41"/>
      <c r="U510" s="41"/>
      <c r="V510" s="41"/>
      <c r="W510" s="41"/>
      <c r="X510" s="41"/>
      <c r="Y510" s="41"/>
      <c r="Z510" s="41"/>
    </row>
    <row r="511" ht="19.5" customHeight="1">
      <c r="A511" s="41"/>
      <c r="B511" s="49" t="s">
        <v>37</v>
      </c>
      <c r="C511" s="49" t="s">
        <v>273</v>
      </c>
      <c r="D511" s="49" t="s">
        <v>274</v>
      </c>
      <c r="E511" s="49" t="s">
        <v>5</v>
      </c>
      <c r="F511" s="41"/>
      <c r="G511" s="41"/>
      <c r="H511" s="41"/>
      <c r="I511" s="41"/>
      <c r="J511" s="41"/>
      <c r="K511" s="41"/>
      <c r="L511" s="41"/>
      <c r="M511" s="41"/>
      <c r="N511" s="41"/>
      <c r="O511" s="41"/>
      <c r="P511" s="41"/>
      <c r="Q511" s="41"/>
      <c r="R511" s="41"/>
      <c r="S511" s="41"/>
      <c r="T511" s="41"/>
      <c r="U511" s="41"/>
      <c r="V511" s="41"/>
      <c r="W511" s="41"/>
      <c r="X511" s="41"/>
      <c r="Y511" s="41"/>
      <c r="Z511" s="41"/>
    </row>
    <row r="512" ht="19.5" customHeight="1">
      <c r="A512" s="41"/>
      <c r="B512" s="84" t="s">
        <v>926</v>
      </c>
      <c r="C512" s="111" t="str">
        <f>IF(mgmt_domain_chosen="First Domain",CONCATENATE(this_instance,"-w01-nsx-gm01.",this_instance,".",sample_parent_dns_zone),CONCATENATE(other_instance,"-w01-nsx-gm01.",other_instance,".",sample_parent_dns_zone))</f>
        <v>sfo-w01-nsx-gm01.sfo.rainpole.io</v>
      </c>
      <c r="D512" s="18"/>
      <c r="E512" s="153"/>
      <c r="F512" s="41"/>
      <c r="G512" s="41"/>
      <c r="H512" s="41"/>
      <c r="I512" s="41"/>
      <c r="J512" s="41"/>
      <c r="K512" s="41"/>
      <c r="L512" s="41"/>
      <c r="M512" s="41"/>
      <c r="N512" s="41"/>
      <c r="O512" s="41"/>
      <c r="P512" s="41"/>
      <c r="Q512" s="41"/>
      <c r="R512" s="41"/>
      <c r="S512" s="41"/>
      <c r="T512" s="41"/>
      <c r="U512" s="41"/>
      <c r="V512" s="41"/>
      <c r="W512" s="41"/>
      <c r="X512" s="41"/>
      <c r="Y512" s="41"/>
      <c r="Z512" s="41"/>
    </row>
    <row r="513" ht="19.5" customHeight="1">
      <c r="A513" s="41"/>
      <c r="B513" s="84" t="s">
        <v>944</v>
      </c>
      <c r="C513" s="110" t="str">
        <f>CONCATENATE(this_instance,"-w01-ec01-t0-gw01")</f>
        <v>lax-w01-ec01-t0-gw01</v>
      </c>
      <c r="D513" s="18"/>
      <c r="E513" s="153"/>
      <c r="F513" s="41"/>
      <c r="G513" s="41"/>
      <c r="H513" s="41"/>
      <c r="I513" s="41"/>
      <c r="J513" s="41"/>
      <c r="K513" s="41"/>
      <c r="L513" s="41"/>
      <c r="M513" s="41"/>
      <c r="N513" s="41"/>
      <c r="O513" s="41"/>
      <c r="P513" s="41"/>
      <c r="Q513" s="41"/>
      <c r="R513" s="41"/>
      <c r="S513" s="41"/>
      <c r="T513" s="41"/>
      <c r="U513" s="41"/>
      <c r="V513" s="41"/>
      <c r="W513" s="41"/>
      <c r="X513" s="41"/>
      <c r="Y513" s="41"/>
      <c r="Z513" s="41"/>
    </row>
    <row r="514" ht="19.5" customHeight="1">
      <c r="A514" s="41"/>
      <c r="B514" s="84" t="s">
        <v>939</v>
      </c>
      <c r="C514" s="110" t="str">
        <f>sample_wld_nsxt_federation_location_name</f>
        <v>lax-w01</v>
      </c>
      <c r="D514" s="18" t="str">
        <f>wld_nsxt_federation_location_name</f>
        <v>Value Missing</v>
      </c>
      <c r="E514" s="213"/>
      <c r="F514" s="41"/>
      <c r="G514" s="41"/>
      <c r="H514" s="41"/>
      <c r="I514" s="41"/>
      <c r="J514" s="41"/>
      <c r="K514" s="41"/>
      <c r="L514" s="41"/>
      <c r="M514" s="41"/>
      <c r="N514" s="41"/>
      <c r="O514" s="41"/>
      <c r="P514" s="41"/>
      <c r="Q514" s="41"/>
      <c r="R514" s="41"/>
      <c r="S514" s="41"/>
      <c r="T514" s="41"/>
      <c r="U514" s="41"/>
      <c r="V514" s="41"/>
      <c r="W514" s="41"/>
      <c r="X514" s="41"/>
      <c r="Y514" s="41"/>
      <c r="Z514" s="41"/>
    </row>
    <row r="515" ht="19.5" customHeight="1">
      <c r="A515" s="41"/>
      <c r="B515" s="84" t="s">
        <v>583</v>
      </c>
      <c r="C515" s="110" t="str">
        <f>sample_wld_ec_name</f>
        <v>lax-w01-ec01</v>
      </c>
      <c r="D515" s="18" t="str">
        <f>wld_ec_name</f>
        <v>Value Missing</v>
      </c>
      <c r="E515" s="153"/>
      <c r="F515" s="41"/>
      <c r="G515" s="41"/>
      <c r="H515" s="41"/>
      <c r="I515" s="41"/>
      <c r="J515" s="41"/>
      <c r="K515" s="41"/>
      <c r="L515" s="41"/>
      <c r="M515" s="41"/>
      <c r="N515" s="41"/>
      <c r="O515" s="41"/>
      <c r="P515" s="41"/>
      <c r="Q515" s="41"/>
      <c r="R515" s="41"/>
      <c r="S515" s="41"/>
      <c r="T515" s="41"/>
      <c r="U515" s="41"/>
      <c r="V515" s="41"/>
      <c r="W515" s="41"/>
      <c r="X515" s="41"/>
      <c r="Y515" s="41"/>
      <c r="Z515" s="41"/>
    </row>
    <row r="516" ht="19.5" customHeight="1">
      <c r="A516" s="41"/>
      <c r="B516" s="84" t="s">
        <v>1562</v>
      </c>
      <c r="C516" s="110" t="str">
        <f>CONCATENATE(sample_wld_az1_en1_hostname,"_VCF-edge_",sample_wld_ec_name,"_segment_",sample_wld_az1_uplink01_vlan,"_",sample_wld_az1_en1_uplink01_interface_cidr)</f>
        <v>lax-w01-r01-en01_VCF-edge_lax-w01-ec01_segment_2317_10.23.17.2/24</v>
      </c>
      <c r="D516" s="18" t="str">
        <f>CONCATENATE(wld_az1_en1_hostname,"_VCF-edge_",wld_ec_name,"_segment_",wld_az1_uplink01_vlan,"_",wld_az1_en1_uplink01_interface_cidr)</f>
        <v>Value Missing_VCF-edge_Value Missing_segment_Value Missing_Value Missing</v>
      </c>
      <c r="E516" s="153"/>
      <c r="F516" s="41"/>
      <c r="G516" s="41"/>
      <c r="H516" s="41"/>
      <c r="I516" s="41"/>
      <c r="J516" s="41"/>
      <c r="K516" s="41"/>
      <c r="L516" s="41"/>
      <c r="M516" s="41"/>
      <c r="N516" s="41"/>
      <c r="O516" s="41"/>
      <c r="P516" s="41"/>
      <c r="Q516" s="41"/>
      <c r="R516" s="41"/>
      <c r="S516" s="41"/>
      <c r="T516" s="41"/>
      <c r="U516" s="41"/>
      <c r="V516" s="41"/>
      <c r="W516" s="41"/>
      <c r="X516" s="41"/>
      <c r="Y516" s="41"/>
      <c r="Z516" s="41"/>
    </row>
    <row r="517" ht="19.5" customHeight="1">
      <c r="A517" s="41"/>
      <c r="B517" s="84" t="s">
        <v>1563</v>
      </c>
      <c r="C517" s="110" t="str">
        <f>sample_wld_nsxt_federation_location_name</f>
        <v>lax-w01</v>
      </c>
      <c r="D517" s="18" t="str">
        <f>wld_nsxt_federation_location_name</f>
        <v>Value Missing</v>
      </c>
      <c r="E517" s="153"/>
      <c r="F517" s="41"/>
      <c r="G517" s="41"/>
      <c r="H517" s="41"/>
      <c r="I517" s="41"/>
      <c r="J517" s="41"/>
      <c r="K517" s="41"/>
      <c r="L517" s="41"/>
      <c r="M517" s="41"/>
      <c r="N517" s="41"/>
      <c r="O517" s="41"/>
      <c r="P517" s="41"/>
      <c r="Q517" s="41"/>
      <c r="R517" s="41"/>
      <c r="S517" s="41"/>
      <c r="T517" s="41"/>
      <c r="U517" s="41"/>
      <c r="V517" s="41"/>
      <c r="W517" s="41"/>
      <c r="X517" s="41"/>
      <c r="Y517" s="41"/>
      <c r="Z517" s="41"/>
    </row>
    <row r="518" ht="19.5" customHeight="1">
      <c r="A518" s="41"/>
      <c r="B518" s="84" t="s">
        <v>1564</v>
      </c>
      <c r="C518" s="110" t="str">
        <f>sample_wld_az1_en1_uplink01_interface_cidr</f>
        <v>10.23.17.2/24</v>
      </c>
      <c r="D518" s="18" t="str">
        <f>wld_az1_en1_uplink01_interface_cidr</f>
        <v>Value Missing</v>
      </c>
      <c r="E518" s="153"/>
      <c r="F518" s="41"/>
      <c r="G518" s="41"/>
      <c r="H518" s="41"/>
      <c r="I518" s="41"/>
      <c r="J518" s="41"/>
      <c r="K518" s="41"/>
      <c r="L518" s="41"/>
      <c r="M518" s="41"/>
      <c r="N518" s="41"/>
      <c r="O518" s="41"/>
      <c r="P518" s="41"/>
      <c r="Q518" s="41"/>
      <c r="R518" s="41"/>
      <c r="S518" s="41"/>
      <c r="T518" s="41"/>
      <c r="U518" s="41"/>
      <c r="V518" s="41"/>
      <c r="W518" s="41"/>
      <c r="X518" s="41"/>
      <c r="Y518" s="41"/>
      <c r="Z518" s="41"/>
    </row>
    <row r="519" ht="19.5" customHeight="1">
      <c r="A519" s="41"/>
      <c r="B519" s="84" t="s">
        <v>1565</v>
      </c>
      <c r="C519" s="110" t="str">
        <f>CONCATENATE("VCF-edge_",sample_wld_ec_name,"_segment_uplink1_",sample_wld_az1_uplink01_vlan)</f>
        <v>VCF-edge_lax-w01-ec01_segment_uplink1_2317</v>
      </c>
      <c r="D519" s="18" t="str">
        <f>CONCATENATE("VCF-edge_",wld_ec_name,"_segment_uplink1_",wld_az1_uplink01_vlan)</f>
        <v>VCF-edge_Value Missing_segment_uplink1_Value Missing</v>
      </c>
      <c r="E519" s="153"/>
      <c r="F519" s="41"/>
      <c r="G519" s="41"/>
      <c r="H519" s="41"/>
      <c r="I519" s="41"/>
      <c r="J519" s="41"/>
      <c r="K519" s="41"/>
      <c r="L519" s="41"/>
      <c r="M519" s="41"/>
      <c r="N519" s="41"/>
      <c r="O519" s="41"/>
      <c r="P519" s="41"/>
      <c r="Q519" s="41"/>
      <c r="R519" s="41"/>
      <c r="S519" s="41"/>
      <c r="T519" s="41"/>
      <c r="U519" s="41"/>
      <c r="V519" s="41"/>
      <c r="W519" s="41"/>
      <c r="X519" s="41"/>
      <c r="Y519" s="41"/>
      <c r="Z519" s="41"/>
    </row>
    <row r="520" ht="19.5" customHeight="1">
      <c r="A520" s="41"/>
      <c r="B520" s="84" t="s">
        <v>1566</v>
      </c>
      <c r="C520" s="110" t="str">
        <f>CONCATENATE(this_instance,"-w0",wld_domain_number_chosen,"-r01-en01")</f>
        <v>lax-w01-r01-en01</v>
      </c>
      <c r="D520" s="18" t="str">
        <f>wld_az1_en1_hostname</f>
        <v>Value Missing</v>
      </c>
      <c r="E520" s="153"/>
      <c r="F520" s="41"/>
      <c r="G520" s="41"/>
      <c r="H520" s="41"/>
      <c r="I520" s="41"/>
      <c r="J520" s="41"/>
      <c r="K520" s="41"/>
      <c r="L520" s="41"/>
      <c r="M520" s="41"/>
      <c r="N520" s="41"/>
      <c r="O520" s="41"/>
      <c r="P520" s="41"/>
      <c r="Q520" s="41"/>
      <c r="R520" s="41"/>
      <c r="S520" s="41"/>
      <c r="T520" s="41"/>
      <c r="U520" s="41"/>
      <c r="V520" s="41"/>
      <c r="W520" s="41"/>
      <c r="X520" s="41"/>
      <c r="Y520" s="41"/>
      <c r="Z520" s="41"/>
    </row>
    <row r="521" ht="19.5" customHeight="1">
      <c r="A521" s="41"/>
      <c r="B521" s="84" t="s">
        <v>1567</v>
      </c>
      <c r="C521" s="110">
        <f>sample_wld_az1_uplink01_mtu</f>
        <v>9000</v>
      </c>
      <c r="D521" s="18" t="str">
        <f>wld_az1_uplink01_mtu</f>
        <v>Value Missing</v>
      </c>
      <c r="E521" s="153"/>
      <c r="F521" s="41"/>
      <c r="G521" s="41"/>
      <c r="H521" s="41"/>
      <c r="I521" s="41"/>
      <c r="J521" s="41"/>
      <c r="K521" s="41"/>
      <c r="L521" s="41"/>
      <c r="M521" s="41"/>
      <c r="N521" s="41"/>
      <c r="O521" s="41"/>
      <c r="P521" s="41"/>
      <c r="Q521" s="41"/>
      <c r="R521" s="41"/>
      <c r="S521" s="41"/>
      <c r="T521" s="41"/>
      <c r="U521" s="41"/>
      <c r="V521" s="41"/>
      <c r="W521" s="41"/>
      <c r="X521" s="41"/>
      <c r="Y521" s="41"/>
      <c r="Z521" s="41"/>
    </row>
    <row r="522" ht="19.5" customHeight="1">
      <c r="A522" s="41"/>
      <c r="B522" s="84" t="s">
        <v>1568</v>
      </c>
      <c r="C522" s="110" t="str">
        <f>CONCATENATE(sample_wld_az1_en1_hostname,"_VCF-edge_",sample_wld_ec_name,"_segment_",sample_wld_az1_uplink02_vlan,"_",sample_wld_az1_en1_uplink02_interface_cidr)</f>
        <v>lax-w01-r01-en01_VCF-edge_lax-w01-ec01_segment_2318_10.23.18.2/24</v>
      </c>
      <c r="D522" s="18" t="str">
        <f>CONCATENATE(wld_az1_en1_hostname,"_VCF-edge_",wld_ec_name,"_segment_",wld_az1_uplink02_vlan,"_",wld_az1_en1_uplink02_interface_cidr)</f>
        <v>Value Missing_VCF-edge_Value Missing_segment_Value Missing_Value Missing</v>
      </c>
      <c r="E522" s="153"/>
      <c r="F522" s="41"/>
      <c r="G522" s="41"/>
      <c r="H522" s="41"/>
      <c r="I522" s="41"/>
      <c r="J522" s="41"/>
      <c r="K522" s="41"/>
      <c r="L522" s="41"/>
      <c r="M522" s="41"/>
      <c r="N522" s="41"/>
      <c r="O522" s="41"/>
      <c r="P522" s="41"/>
      <c r="Q522" s="41"/>
      <c r="R522" s="41"/>
      <c r="S522" s="41"/>
      <c r="T522" s="41"/>
      <c r="U522" s="41"/>
      <c r="V522" s="41"/>
      <c r="W522" s="41"/>
      <c r="X522" s="41"/>
      <c r="Y522" s="41"/>
      <c r="Z522" s="41"/>
    </row>
    <row r="523" ht="19.5" customHeight="1">
      <c r="A523" s="41"/>
      <c r="B523" s="84" t="s">
        <v>1569</v>
      </c>
      <c r="C523" s="110" t="str">
        <f>sample_wld_nsxt_federation_location_name</f>
        <v>lax-w01</v>
      </c>
      <c r="D523" s="18" t="str">
        <f>wld_nsxt_federation_location_name</f>
        <v>Value Missing</v>
      </c>
      <c r="E523" s="153"/>
      <c r="F523" s="41"/>
      <c r="G523" s="41"/>
      <c r="H523" s="41"/>
      <c r="I523" s="41"/>
      <c r="J523" s="41"/>
      <c r="K523" s="41"/>
      <c r="L523" s="41"/>
      <c r="M523" s="41"/>
      <c r="N523" s="41"/>
      <c r="O523" s="41"/>
      <c r="P523" s="41"/>
      <c r="Q523" s="41"/>
      <c r="R523" s="41"/>
      <c r="S523" s="41"/>
      <c r="T523" s="41"/>
      <c r="U523" s="41"/>
      <c r="V523" s="41"/>
      <c r="W523" s="41"/>
      <c r="X523" s="41"/>
      <c r="Y523" s="41"/>
      <c r="Z523" s="41"/>
    </row>
    <row r="524" ht="19.5" customHeight="1">
      <c r="A524" s="41"/>
      <c r="B524" s="84" t="s">
        <v>1570</v>
      </c>
      <c r="C524" s="110" t="str">
        <f>sample_wld_az1_en1_uplink02_interface_cidr</f>
        <v>10.23.18.2/24</v>
      </c>
      <c r="D524" s="18" t="str">
        <f>wld_az1_en1_uplink02_interface_cidr</f>
        <v>Value Missing</v>
      </c>
      <c r="E524" s="153"/>
      <c r="F524" s="41"/>
      <c r="G524" s="41"/>
      <c r="H524" s="41"/>
      <c r="I524" s="41"/>
      <c r="J524" s="41"/>
      <c r="K524" s="41"/>
      <c r="L524" s="41"/>
      <c r="M524" s="41"/>
      <c r="N524" s="41"/>
      <c r="O524" s="41"/>
      <c r="P524" s="41"/>
      <c r="Q524" s="41"/>
      <c r="R524" s="41"/>
      <c r="S524" s="41"/>
      <c r="T524" s="41"/>
      <c r="U524" s="41"/>
      <c r="V524" s="41"/>
      <c r="W524" s="41"/>
      <c r="X524" s="41"/>
      <c r="Y524" s="41"/>
      <c r="Z524" s="41"/>
    </row>
    <row r="525" ht="19.5" customHeight="1">
      <c r="A525" s="41"/>
      <c r="B525" s="173" t="s">
        <v>1571</v>
      </c>
      <c r="C525" s="110" t="str">
        <f>CONCATENATE("VCF-edge_",sample_wld_ec_name,"_segment_uplink2_",sample_wld_az1_uplink02_vlan)</f>
        <v>VCF-edge_lax-w01-ec01_segment_uplink2_2318</v>
      </c>
      <c r="D525" s="18" t="str">
        <f>CONCATENATE("VCF-edge_",wld_ec_name,"_segment_uplink2_",wld_az1_uplink02_vlan)</f>
        <v>VCF-edge_Value Missing_segment_uplink2_Value Missing</v>
      </c>
      <c r="E525" s="153"/>
      <c r="F525" s="41"/>
      <c r="G525" s="41"/>
      <c r="H525" s="41"/>
      <c r="I525" s="41"/>
      <c r="J525" s="41"/>
      <c r="K525" s="41"/>
      <c r="L525" s="41"/>
      <c r="M525" s="41"/>
      <c r="N525" s="41"/>
      <c r="O525" s="41"/>
      <c r="P525" s="41"/>
      <c r="Q525" s="41"/>
      <c r="R525" s="41"/>
      <c r="S525" s="41"/>
      <c r="T525" s="41"/>
      <c r="U525" s="41"/>
      <c r="V525" s="41"/>
      <c r="W525" s="41"/>
      <c r="X525" s="41"/>
      <c r="Y525" s="41"/>
      <c r="Z525" s="41"/>
    </row>
    <row r="526" ht="19.5" customHeight="1">
      <c r="A526" s="41"/>
      <c r="B526" s="84" t="s">
        <v>1572</v>
      </c>
      <c r="C526" s="110" t="str">
        <f>sample_wld_az1_en1_hostname</f>
        <v>lax-w01-r01-en01</v>
      </c>
      <c r="D526" s="18" t="str">
        <f>wld_az1_en1_hostname</f>
        <v>Value Missing</v>
      </c>
      <c r="E526" s="153"/>
      <c r="F526" s="41"/>
      <c r="G526" s="41"/>
      <c r="H526" s="41"/>
      <c r="I526" s="41"/>
      <c r="J526" s="41"/>
      <c r="K526" s="41"/>
      <c r="L526" s="41"/>
      <c r="M526" s="41"/>
      <c r="N526" s="41"/>
      <c r="O526" s="41"/>
      <c r="P526" s="41"/>
      <c r="Q526" s="41"/>
      <c r="R526" s="41"/>
      <c r="S526" s="41"/>
      <c r="T526" s="41"/>
      <c r="U526" s="41"/>
      <c r="V526" s="41"/>
      <c r="W526" s="41"/>
      <c r="X526" s="41"/>
      <c r="Y526" s="41"/>
      <c r="Z526" s="41"/>
    </row>
    <row r="527" ht="19.5" customHeight="1">
      <c r="A527" s="41"/>
      <c r="B527" s="84" t="s">
        <v>1573</v>
      </c>
      <c r="C527" s="110">
        <f>sample_wld_az1_uplink01_mtu</f>
        <v>9000</v>
      </c>
      <c r="D527" s="18" t="str">
        <f>wld_az1_uplink02_mtu</f>
        <v>Value Missing</v>
      </c>
      <c r="E527" s="153"/>
      <c r="F527" s="41"/>
      <c r="G527" s="41"/>
      <c r="H527" s="41"/>
      <c r="I527" s="41"/>
      <c r="J527" s="41"/>
      <c r="K527" s="41"/>
      <c r="L527" s="41"/>
      <c r="M527" s="41"/>
      <c r="N527" s="41"/>
      <c r="O527" s="41"/>
      <c r="P527" s="41"/>
      <c r="Q527" s="41"/>
      <c r="R527" s="41"/>
      <c r="S527" s="41"/>
      <c r="T527" s="41"/>
      <c r="U527" s="41"/>
      <c r="V527" s="41"/>
      <c r="W527" s="41"/>
      <c r="X527" s="41"/>
      <c r="Y527" s="41"/>
      <c r="Z527" s="41"/>
    </row>
    <row r="528" ht="19.5" customHeight="1">
      <c r="A528" s="41"/>
      <c r="B528" s="84" t="s">
        <v>1574</v>
      </c>
      <c r="C528" s="110" t="str">
        <f>CONCATENATE(sample_wld_az1_en2_hostname,"_VCF-edge_",sample_wld_ec_name,"_segment_",sample_wld_az1_uplink01_vlan,"_",sample_wld_az1_en2_uplink01_interface_cidr)</f>
        <v>lax-w01-r01-en02_VCF-edge_lax-w01-ec01_segment_2317_10.23.17.3/24</v>
      </c>
      <c r="D528" s="18" t="str">
        <f>CONCATENATE(wld_az1_en2_hostname,"_VCF-edge_",wld_ec_name,"_segment_",wld_az1_uplink01_vlan,"_",wld_az1_en2_uplink01_interface_cidr)</f>
        <v>Value Missing_VCF-edge_Value Missing_segment_Value Missing_Value Missing</v>
      </c>
      <c r="E528" s="153"/>
      <c r="F528" s="41"/>
      <c r="G528" s="41"/>
      <c r="H528" s="41"/>
      <c r="I528" s="41"/>
      <c r="J528" s="41"/>
      <c r="K528" s="41"/>
      <c r="L528" s="41"/>
      <c r="M528" s="41"/>
      <c r="N528" s="41"/>
      <c r="O528" s="41"/>
      <c r="P528" s="41"/>
      <c r="Q528" s="41"/>
      <c r="R528" s="41"/>
      <c r="S528" s="41"/>
      <c r="T528" s="41"/>
      <c r="U528" s="41"/>
      <c r="V528" s="41"/>
      <c r="W528" s="41"/>
      <c r="X528" s="41"/>
      <c r="Y528" s="41"/>
      <c r="Z528" s="41"/>
    </row>
    <row r="529" ht="19.5" customHeight="1">
      <c r="A529" s="41"/>
      <c r="B529" s="84" t="s">
        <v>1575</v>
      </c>
      <c r="C529" s="110" t="str">
        <f>sample_wld_nsxt_federation_location_name</f>
        <v>lax-w01</v>
      </c>
      <c r="D529" s="18" t="str">
        <f>wld_nsxt_federation_location_name</f>
        <v>Value Missing</v>
      </c>
      <c r="E529" s="153"/>
      <c r="F529" s="41"/>
      <c r="G529" s="41"/>
      <c r="H529" s="41"/>
      <c r="I529" s="41"/>
      <c r="J529" s="41"/>
      <c r="K529" s="41"/>
      <c r="L529" s="41"/>
      <c r="M529" s="41"/>
      <c r="N529" s="41"/>
      <c r="O529" s="41"/>
      <c r="P529" s="41"/>
      <c r="Q529" s="41"/>
      <c r="R529" s="41"/>
      <c r="S529" s="41"/>
      <c r="T529" s="41"/>
      <c r="U529" s="41"/>
      <c r="V529" s="41"/>
      <c r="W529" s="41"/>
      <c r="X529" s="41"/>
      <c r="Y529" s="41"/>
      <c r="Z529" s="41"/>
    </row>
    <row r="530" ht="19.5" customHeight="1">
      <c r="A530" s="41"/>
      <c r="B530" s="84" t="s">
        <v>1576</v>
      </c>
      <c r="C530" s="110" t="str">
        <f>sample_wld_az1_en2_uplink01_interface_cidr</f>
        <v>10.23.17.3/24</v>
      </c>
      <c r="D530" s="18" t="str">
        <f>wld_az1_en2_uplink01_interface_cidr</f>
        <v>Value Missing</v>
      </c>
      <c r="E530" s="153"/>
      <c r="F530" s="41"/>
      <c r="G530" s="41"/>
      <c r="H530" s="41"/>
      <c r="I530" s="41"/>
      <c r="J530" s="41"/>
      <c r="K530" s="41"/>
      <c r="L530" s="41"/>
      <c r="M530" s="41"/>
      <c r="N530" s="41"/>
      <c r="O530" s="41"/>
      <c r="P530" s="41"/>
      <c r="Q530" s="41"/>
      <c r="R530" s="41"/>
      <c r="S530" s="41"/>
      <c r="T530" s="41"/>
      <c r="U530" s="41"/>
      <c r="V530" s="41"/>
      <c r="W530" s="41"/>
      <c r="X530" s="41"/>
      <c r="Y530" s="41"/>
      <c r="Z530" s="41"/>
    </row>
    <row r="531" ht="19.5" customHeight="1">
      <c r="A531" s="41"/>
      <c r="B531" s="173" t="s">
        <v>1577</v>
      </c>
      <c r="C531" s="110" t="str">
        <f>CONCATENATE("VCF-edge_",sample_wld_ec_name,"_segment_uplink1_",sample_wld_az1_uplink01_vlan)</f>
        <v>VCF-edge_lax-w01-ec01_segment_uplink1_2317</v>
      </c>
      <c r="D531" s="18" t="str">
        <f>CONCATENATE("VCF-edge_",wld_ec_name,"_segment_uplink1_",wld_az1_uplink01_vlan)</f>
        <v>VCF-edge_Value Missing_segment_uplink1_Value Missing</v>
      </c>
      <c r="E531" s="153"/>
      <c r="F531" s="41"/>
      <c r="G531" s="41"/>
      <c r="H531" s="41"/>
      <c r="I531" s="41"/>
      <c r="J531" s="41"/>
      <c r="K531" s="41"/>
      <c r="L531" s="41"/>
      <c r="M531" s="41"/>
      <c r="N531" s="41"/>
      <c r="O531" s="41"/>
      <c r="P531" s="41"/>
      <c r="Q531" s="41"/>
      <c r="R531" s="41"/>
      <c r="S531" s="41"/>
      <c r="T531" s="41"/>
      <c r="U531" s="41"/>
      <c r="V531" s="41"/>
      <c r="W531" s="41"/>
      <c r="X531" s="41"/>
      <c r="Y531" s="41"/>
      <c r="Z531" s="41"/>
    </row>
    <row r="532" ht="19.5" customHeight="1">
      <c r="A532" s="41"/>
      <c r="B532" s="84" t="s">
        <v>1578</v>
      </c>
      <c r="C532" s="110" t="str">
        <f>CONCATENATE(this_instance,"-w0",wld_domain_number_chosen,"-r01-en02")</f>
        <v>lax-w01-r01-en02</v>
      </c>
      <c r="D532" s="18" t="str">
        <f>wld_az1_en2_hostname</f>
        <v>Value Missing</v>
      </c>
      <c r="E532" s="153"/>
      <c r="F532" s="41"/>
      <c r="G532" s="41"/>
      <c r="H532" s="41"/>
      <c r="I532" s="41"/>
      <c r="J532" s="41"/>
      <c r="K532" s="41"/>
      <c r="L532" s="41"/>
      <c r="M532" s="41"/>
      <c r="N532" s="41"/>
      <c r="O532" s="41"/>
      <c r="P532" s="41"/>
      <c r="Q532" s="41"/>
      <c r="R532" s="41"/>
      <c r="S532" s="41"/>
      <c r="T532" s="41"/>
      <c r="U532" s="41"/>
      <c r="V532" s="41"/>
      <c r="W532" s="41"/>
      <c r="X532" s="41"/>
      <c r="Y532" s="41"/>
      <c r="Z532" s="41"/>
    </row>
    <row r="533" ht="19.5" customHeight="1">
      <c r="A533" s="41"/>
      <c r="B533" s="84" t="s">
        <v>1579</v>
      </c>
      <c r="C533" s="110">
        <f>sample_wld_az1_uplink01_mtu</f>
        <v>9000</v>
      </c>
      <c r="D533" s="18" t="str">
        <f>wld_az1_uplink01_mtu</f>
        <v>Value Missing</v>
      </c>
      <c r="E533" s="153"/>
      <c r="F533" s="41"/>
      <c r="G533" s="41"/>
      <c r="H533" s="41"/>
      <c r="I533" s="41"/>
      <c r="J533" s="41"/>
      <c r="K533" s="41"/>
      <c r="L533" s="41"/>
      <c r="M533" s="41"/>
      <c r="N533" s="41"/>
      <c r="O533" s="41"/>
      <c r="P533" s="41"/>
      <c r="Q533" s="41"/>
      <c r="R533" s="41"/>
      <c r="S533" s="41"/>
      <c r="T533" s="41"/>
      <c r="U533" s="41"/>
      <c r="V533" s="41"/>
      <c r="W533" s="41"/>
      <c r="X533" s="41"/>
      <c r="Y533" s="41"/>
      <c r="Z533" s="41"/>
    </row>
    <row r="534" ht="19.5" customHeight="1">
      <c r="A534" s="41"/>
      <c r="B534" s="84" t="s">
        <v>1580</v>
      </c>
      <c r="C534" s="110" t="str">
        <f>CONCATENATE(sample_wld_az1_en2_hostname,"_VCF-edge_",sample_wld_ec_name,"_segment_",sample_wld_az1_uplink02_vlan,"_",sample_wld_az1_en2_uplink02_interface_cidr)</f>
        <v>lax-w01-r01-en02_VCF-edge_lax-w01-ec01_segment_2318_10.23.18.3/24</v>
      </c>
      <c r="D534" s="18" t="str">
        <f>CONCATENATE(wld_az1_en2_hostname,"_VCF-edge_",wld_ec_name,"_segment_",wld_az1_uplink02_vlan,"_",wld_az1_en2_uplink02_interface_cidr)</f>
        <v>Value Missing_VCF-edge_Value Missing_segment_Value Missing_Value Missing</v>
      </c>
      <c r="E534" s="153"/>
      <c r="F534" s="41"/>
      <c r="G534" s="41"/>
      <c r="H534" s="41"/>
      <c r="I534" s="41"/>
      <c r="J534" s="41"/>
      <c r="K534" s="41"/>
      <c r="L534" s="41"/>
      <c r="M534" s="41"/>
      <c r="N534" s="41"/>
      <c r="O534" s="41"/>
      <c r="P534" s="41"/>
      <c r="Q534" s="41"/>
      <c r="R534" s="41"/>
      <c r="S534" s="41"/>
      <c r="T534" s="41"/>
      <c r="U534" s="41"/>
      <c r="V534" s="41"/>
      <c r="W534" s="41"/>
      <c r="X534" s="41"/>
      <c r="Y534" s="41"/>
      <c r="Z534" s="41"/>
    </row>
    <row r="535" ht="19.5" customHeight="1">
      <c r="A535" s="41"/>
      <c r="B535" s="84" t="s">
        <v>1581</v>
      </c>
      <c r="C535" s="110" t="str">
        <f>sample_wld_nsxt_federation_location_name</f>
        <v>lax-w01</v>
      </c>
      <c r="D535" s="18" t="str">
        <f>wld_nsxt_federation_location_name</f>
        <v>Value Missing</v>
      </c>
      <c r="E535" s="153"/>
      <c r="F535" s="41"/>
      <c r="G535" s="41"/>
      <c r="H535" s="41"/>
      <c r="I535" s="41"/>
      <c r="J535" s="41"/>
      <c r="K535" s="41"/>
      <c r="L535" s="41"/>
      <c r="M535" s="41"/>
      <c r="N535" s="41"/>
      <c r="O535" s="41"/>
      <c r="P535" s="41"/>
      <c r="Q535" s="41"/>
      <c r="R535" s="41"/>
      <c r="S535" s="41"/>
      <c r="T535" s="41"/>
      <c r="U535" s="41"/>
      <c r="V535" s="41"/>
      <c r="W535" s="41"/>
      <c r="X535" s="41"/>
      <c r="Y535" s="41"/>
      <c r="Z535" s="41"/>
    </row>
    <row r="536" ht="19.5" customHeight="1">
      <c r="A536" s="41"/>
      <c r="B536" s="84" t="s">
        <v>1582</v>
      </c>
      <c r="C536" s="110" t="str">
        <f>sample_wld_az1_en2_uplink02_interface_cidr</f>
        <v>10.23.18.3/24</v>
      </c>
      <c r="D536" s="18" t="str">
        <f>wld_az1_en2_uplink02_interface_cidr</f>
        <v>Value Missing</v>
      </c>
      <c r="E536" s="153"/>
      <c r="F536" s="41"/>
      <c r="G536" s="41"/>
      <c r="H536" s="41"/>
      <c r="I536" s="41"/>
      <c r="J536" s="41"/>
      <c r="K536" s="41"/>
      <c r="L536" s="41"/>
      <c r="M536" s="41"/>
      <c r="N536" s="41"/>
      <c r="O536" s="41"/>
      <c r="P536" s="41"/>
      <c r="Q536" s="41"/>
      <c r="R536" s="41"/>
      <c r="S536" s="41"/>
      <c r="T536" s="41"/>
      <c r="U536" s="41"/>
      <c r="V536" s="41"/>
      <c r="W536" s="41"/>
      <c r="X536" s="41"/>
      <c r="Y536" s="41"/>
      <c r="Z536" s="41"/>
    </row>
    <row r="537" ht="19.5" customHeight="1">
      <c r="A537" s="41"/>
      <c r="B537" s="173" t="s">
        <v>1583</v>
      </c>
      <c r="C537" s="110" t="str">
        <f>CONCATENATE("VCF-edge_",sample_wld_ec_name,"_segment_uplink2_",sample_wld_az1_uplink02_vlan)</f>
        <v>VCF-edge_lax-w01-ec01_segment_uplink2_2318</v>
      </c>
      <c r="D537" s="18" t="str">
        <f>CONCATENATE("VCF-edge_",wld_ec_name,"_segment_uplink2_",wld_az1_uplink02_vlan)</f>
        <v>VCF-edge_Value Missing_segment_uplink2_Value Missing</v>
      </c>
      <c r="E537" s="153"/>
      <c r="F537" s="41"/>
      <c r="G537" s="41"/>
      <c r="H537" s="41"/>
      <c r="I537" s="41"/>
      <c r="J537" s="41"/>
      <c r="K537" s="41"/>
      <c r="L537" s="41"/>
      <c r="M537" s="41"/>
      <c r="N537" s="41"/>
      <c r="O537" s="41"/>
      <c r="P537" s="41"/>
      <c r="Q537" s="41"/>
      <c r="R537" s="41"/>
      <c r="S537" s="41"/>
      <c r="T537" s="41"/>
      <c r="U537" s="41"/>
      <c r="V537" s="41"/>
      <c r="W537" s="41"/>
      <c r="X537" s="41"/>
      <c r="Y537" s="41"/>
      <c r="Z537" s="41"/>
    </row>
    <row r="538" ht="19.5" customHeight="1">
      <c r="A538" s="41"/>
      <c r="B538" s="84" t="s">
        <v>1584</v>
      </c>
      <c r="C538" s="110" t="str">
        <f>sample_wld_az1_en2_hostname</f>
        <v>lax-w01-r01-en02</v>
      </c>
      <c r="D538" s="18" t="str">
        <f>wld_az1_en2_hostname</f>
        <v>Value Missing</v>
      </c>
      <c r="E538" s="153"/>
      <c r="F538" s="41"/>
      <c r="G538" s="41"/>
      <c r="H538" s="41"/>
      <c r="I538" s="41"/>
      <c r="J538" s="41"/>
      <c r="K538" s="41"/>
      <c r="L538" s="41"/>
      <c r="M538" s="41"/>
      <c r="N538" s="41"/>
      <c r="O538" s="41"/>
      <c r="P538" s="41"/>
      <c r="Q538" s="41"/>
      <c r="R538" s="41"/>
      <c r="S538" s="41"/>
      <c r="T538" s="41"/>
      <c r="U538" s="41"/>
      <c r="V538" s="41"/>
      <c r="W538" s="41"/>
      <c r="X538" s="41"/>
      <c r="Y538" s="41"/>
      <c r="Z538" s="41"/>
    </row>
    <row r="539" ht="19.5" customHeight="1">
      <c r="A539" s="41"/>
      <c r="B539" s="84" t="s">
        <v>1585</v>
      </c>
      <c r="C539" s="110">
        <f>sample_wld_az1_uplink01_mtu</f>
        <v>9000</v>
      </c>
      <c r="D539" s="18" t="str">
        <f>wld_az1_uplink02_mtu</f>
        <v>Value Missing</v>
      </c>
      <c r="E539" s="153"/>
      <c r="F539" s="41"/>
      <c r="G539" s="41"/>
      <c r="H539" s="41"/>
      <c r="I539" s="41"/>
      <c r="J539" s="41"/>
      <c r="K539" s="41"/>
      <c r="L539" s="41"/>
      <c r="M539" s="41"/>
      <c r="N539" s="41"/>
      <c r="O539" s="41"/>
      <c r="P539" s="41"/>
      <c r="Q539" s="41"/>
      <c r="R539" s="41"/>
      <c r="S539" s="41"/>
      <c r="T539" s="41"/>
      <c r="U539" s="41"/>
      <c r="V539" s="41"/>
      <c r="W539" s="41"/>
      <c r="X539" s="41"/>
      <c r="Y539" s="41"/>
      <c r="Z539" s="41"/>
    </row>
    <row r="540" ht="19.5" customHeight="1">
      <c r="A540" s="41"/>
      <c r="B540" s="84" t="s">
        <v>1586</v>
      </c>
      <c r="C540" s="110" t="str">
        <f>sample_wld_az1_tor1_peer_ip</f>
        <v>10.23.17.10</v>
      </c>
      <c r="D540" s="18" t="str">
        <f>wld_az1_tor1_peer_ip</f>
        <v>Value Missing</v>
      </c>
      <c r="E540" s="153"/>
      <c r="F540" s="41"/>
      <c r="G540" s="41"/>
      <c r="H540" s="41"/>
      <c r="I540" s="41"/>
      <c r="J540" s="41"/>
      <c r="K540" s="41"/>
      <c r="L540" s="41"/>
      <c r="M540" s="41"/>
      <c r="N540" s="41"/>
      <c r="O540" s="41"/>
      <c r="P540" s="41"/>
      <c r="Q540" s="41"/>
      <c r="R540" s="41"/>
      <c r="S540" s="41"/>
      <c r="T540" s="41"/>
      <c r="U540" s="41"/>
      <c r="V540" s="41"/>
      <c r="W540" s="41"/>
      <c r="X540" s="41"/>
      <c r="Y540" s="41"/>
      <c r="Z540" s="41"/>
    </row>
    <row r="541" ht="19.5" customHeight="1">
      <c r="A541" s="41"/>
      <c r="B541" s="84" t="s">
        <v>1587</v>
      </c>
      <c r="C541" s="110" t="str">
        <f>sample_wld_nsxt_federation_location_name</f>
        <v>lax-w01</v>
      </c>
      <c r="D541" s="18" t="str">
        <f>wld_nsxt_federation_location_name</f>
        <v>Value Missing</v>
      </c>
      <c r="E541" s="153"/>
      <c r="F541" s="41"/>
      <c r="G541" s="41"/>
      <c r="H541" s="41"/>
      <c r="I541" s="41"/>
      <c r="J541" s="41"/>
      <c r="K541" s="41"/>
      <c r="L541" s="41"/>
      <c r="M541" s="41"/>
      <c r="N541" s="41"/>
      <c r="O541" s="41"/>
      <c r="P541" s="41"/>
      <c r="Q541" s="41"/>
      <c r="R541" s="41"/>
      <c r="S541" s="41"/>
      <c r="T541" s="41"/>
      <c r="U541" s="41"/>
      <c r="V541" s="41"/>
      <c r="W541" s="41"/>
      <c r="X541" s="41"/>
      <c r="Y541" s="41"/>
      <c r="Z541" s="41"/>
    </row>
    <row r="542" ht="19.5" customHeight="1">
      <c r="A542" s="41"/>
      <c r="B542" s="84" t="s">
        <v>1588</v>
      </c>
      <c r="C542" s="110" t="str">
        <f>sample_wld_az1_tor1_peer_asn</f>
        <v>231</v>
      </c>
      <c r="D542" s="18" t="str">
        <f>wld_az1_tor1_peer_asn</f>
        <v>Value Missing</v>
      </c>
      <c r="E542" s="153"/>
      <c r="F542" s="41"/>
      <c r="G542" s="41"/>
      <c r="H542" s="41"/>
      <c r="I542" s="41"/>
      <c r="J542" s="41"/>
      <c r="K542" s="41"/>
      <c r="L542" s="41"/>
      <c r="M542" s="41"/>
      <c r="N542" s="41"/>
      <c r="O542" s="41"/>
      <c r="P542" s="41"/>
      <c r="Q542" s="41"/>
      <c r="R542" s="41"/>
      <c r="S542" s="41"/>
      <c r="T542" s="41"/>
      <c r="U542" s="41"/>
      <c r="V542" s="41"/>
      <c r="W542" s="41"/>
      <c r="X542" s="41"/>
      <c r="Y542" s="41"/>
      <c r="Z542" s="41"/>
    </row>
    <row r="543" ht="19.5" customHeight="1">
      <c r="A543" s="41"/>
      <c r="B543" s="84" t="s">
        <v>1589</v>
      </c>
      <c r="C543" s="110" t="str">
        <f>sample_wld_az1_en1_uplink01_interface_cidr</f>
        <v>10.23.17.2/24</v>
      </c>
      <c r="D543" s="18" t="str">
        <f>wld_az1_en1_uplink01_interface_cidr</f>
        <v>Value Missing</v>
      </c>
      <c r="E543" s="153"/>
      <c r="F543" s="41"/>
      <c r="G543" s="41"/>
      <c r="H543" s="41"/>
      <c r="I543" s="41"/>
      <c r="J543" s="41"/>
      <c r="K543" s="41"/>
      <c r="L543" s="41"/>
      <c r="M543" s="41"/>
      <c r="N543" s="41"/>
      <c r="O543" s="41"/>
      <c r="P543" s="41"/>
      <c r="Q543" s="41"/>
      <c r="R543" s="41"/>
      <c r="S543" s="41"/>
      <c r="T543" s="41"/>
      <c r="U543" s="41"/>
      <c r="V543" s="41"/>
      <c r="W543" s="41"/>
      <c r="X543" s="41"/>
      <c r="Y543" s="41"/>
      <c r="Z543" s="41"/>
    </row>
    <row r="544" ht="19.5" customHeight="1">
      <c r="A544" s="41"/>
      <c r="B544" s="84" t="s">
        <v>1590</v>
      </c>
      <c r="C544" s="110" t="str">
        <f>sample_wld_az1_en2_uplink01_interface_cidr</f>
        <v>10.23.17.3/24</v>
      </c>
      <c r="D544" s="18" t="str">
        <f>wld_az1_en2_uplink01_interface_cidr</f>
        <v>Value Missing</v>
      </c>
      <c r="E544" s="153"/>
      <c r="F544" s="41"/>
      <c r="G544" s="41"/>
      <c r="H544" s="41"/>
      <c r="I544" s="41"/>
      <c r="J544" s="41"/>
      <c r="K544" s="41"/>
      <c r="L544" s="41"/>
      <c r="M544" s="41"/>
      <c r="N544" s="41"/>
      <c r="O544" s="41"/>
      <c r="P544" s="41"/>
      <c r="Q544" s="41"/>
      <c r="R544" s="41"/>
      <c r="S544" s="41"/>
      <c r="T544" s="41"/>
      <c r="U544" s="41"/>
      <c r="V544" s="41"/>
      <c r="W544" s="41"/>
      <c r="X544" s="41"/>
      <c r="Y544" s="41"/>
      <c r="Z544" s="41"/>
    </row>
    <row r="545" ht="19.5" customHeight="1">
      <c r="A545" s="41"/>
      <c r="B545" s="84" t="s">
        <v>1591</v>
      </c>
      <c r="C545" s="110" t="str">
        <f>sample_wld_az1_tor1_peer_bgp_password</f>
        <v>VMw@re1!</v>
      </c>
      <c r="D545" s="18" t="str">
        <f>wld_az1_tor1_peer_bgp_password</f>
        <v>Value Missing</v>
      </c>
      <c r="E545" s="153"/>
      <c r="F545" s="41"/>
      <c r="G545" s="41"/>
      <c r="H545" s="41"/>
      <c r="I545" s="41"/>
      <c r="J545" s="41"/>
      <c r="K545" s="41"/>
      <c r="L545" s="41"/>
      <c r="M545" s="41"/>
      <c r="N545" s="41"/>
      <c r="O545" s="41"/>
      <c r="P545" s="41"/>
      <c r="Q545" s="41"/>
      <c r="R545" s="41"/>
      <c r="S545" s="41"/>
      <c r="T545" s="41"/>
      <c r="U545" s="41"/>
      <c r="V545" s="41"/>
      <c r="W545" s="41"/>
      <c r="X545" s="41"/>
      <c r="Y545" s="41"/>
      <c r="Z545" s="41"/>
    </row>
    <row r="546" ht="19.5" customHeight="1">
      <c r="A546" s="41"/>
      <c r="B546" s="84" t="s">
        <v>1592</v>
      </c>
      <c r="C546" s="110" t="str">
        <f>sample_wld_az1_tor2_peer_ip</f>
        <v>10.23.18.10</v>
      </c>
      <c r="D546" s="18" t="str">
        <f>wld_az1_tor2_peer_ip</f>
        <v>Value Missing</v>
      </c>
      <c r="E546" s="153"/>
      <c r="F546" s="41"/>
      <c r="G546" s="41"/>
      <c r="H546" s="41"/>
      <c r="I546" s="41"/>
      <c r="J546" s="41"/>
      <c r="K546" s="41"/>
      <c r="L546" s="41"/>
      <c r="M546" s="41"/>
      <c r="N546" s="41"/>
      <c r="O546" s="41"/>
      <c r="P546" s="41"/>
      <c r="Q546" s="41"/>
      <c r="R546" s="41"/>
      <c r="S546" s="41"/>
      <c r="T546" s="41"/>
      <c r="U546" s="41"/>
      <c r="V546" s="41"/>
      <c r="W546" s="41"/>
      <c r="X546" s="41"/>
      <c r="Y546" s="41"/>
      <c r="Z546" s="41"/>
    </row>
    <row r="547" ht="19.5" customHeight="1">
      <c r="A547" s="41"/>
      <c r="B547" s="84" t="s">
        <v>1593</v>
      </c>
      <c r="C547" s="110" t="str">
        <f>sample_wld_nsxt_federation_location_name</f>
        <v>lax-w01</v>
      </c>
      <c r="D547" s="18" t="str">
        <f>wld_nsxt_federation_location_name</f>
        <v>Value Missing</v>
      </c>
      <c r="E547" s="153"/>
      <c r="F547" s="41"/>
      <c r="G547" s="41"/>
      <c r="H547" s="41"/>
      <c r="I547" s="41"/>
      <c r="J547" s="41"/>
      <c r="K547" s="41"/>
      <c r="L547" s="41"/>
      <c r="M547" s="41"/>
      <c r="N547" s="41"/>
      <c r="O547" s="41"/>
      <c r="P547" s="41"/>
      <c r="Q547" s="41"/>
      <c r="R547" s="41"/>
      <c r="S547" s="41"/>
      <c r="T547" s="41"/>
      <c r="U547" s="41"/>
      <c r="V547" s="41"/>
      <c r="W547" s="41"/>
      <c r="X547" s="41"/>
      <c r="Y547" s="41"/>
      <c r="Z547" s="41"/>
    </row>
    <row r="548" ht="19.5" customHeight="1">
      <c r="A548" s="41"/>
      <c r="B548" s="84" t="s">
        <v>1594</v>
      </c>
      <c r="C548" s="110" t="str">
        <f>sample_wld_az1_tor1_peer_asn</f>
        <v>231</v>
      </c>
      <c r="D548" s="18" t="str">
        <f>wld_az1_tor1_peer_asn</f>
        <v>Value Missing</v>
      </c>
      <c r="E548" s="153"/>
      <c r="F548" s="41"/>
      <c r="G548" s="41"/>
      <c r="H548" s="41"/>
      <c r="I548" s="41"/>
      <c r="J548" s="41"/>
      <c r="K548" s="41"/>
      <c r="L548" s="41"/>
      <c r="M548" s="41"/>
      <c r="N548" s="41"/>
      <c r="O548" s="41"/>
      <c r="P548" s="41"/>
      <c r="Q548" s="41"/>
      <c r="R548" s="41"/>
      <c r="S548" s="41"/>
      <c r="T548" s="41"/>
      <c r="U548" s="41"/>
      <c r="V548" s="41"/>
      <c r="W548" s="41"/>
      <c r="X548" s="41"/>
      <c r="Y548" s="41"/>
      <c r="Z548" s="41"/>
    </row>
    <row r="549" ht="19.5" customHeight="1">
      <c r="A549" s="41"/>
      <c r="B549" s="84" t="s">
        <v>1595</v>
      </c>
      <c r="C549" s="110" t="str">
        <f>sample_wld_az1_en1_uplink02_interface_cidr</f>
        <v>10.23.18.2/24</v>
      </c>
      <c r="D549" s="18" t="str">
        <f>wld_az1_en1_uplink02_interface_cidr</f>
        <v>Value Missing</v>
      </c>
      <c r="E549" s="153"/>
      <c r="F549" s="41"/>
      <c r="G549" s="41"/>
      <c r="H549" s="41"/>
      <c r="I549" s="41"/>
      <c r="J549" s="41"/>
      <c r="K549" s="41"/>
      <c r="L549" s="41"/>
      <c r="M549" s="41"/>
      <c r="N549" s="41"/>
      <c r="O549" s="41"/>
      <c r="P549" s="41"/>
      <c r="Q549" s="41"/>
      <c r="R549" s="41"/>
      <c r="S549" s="41"/>
      <c r="T549" s="41"/>
      <c r="U549" s="41"/>
      <c r="V549" s="41"/>
      <c r="W549" s="41"/>
      <c r="X549" s="41"/>
      <c r="Y549" s="41"/>
      <c r="Z549" s="41"/>
    </row>
    <row r="550" ht="19.5" customHeight="1">
      <c r="A550" s="41"/>
      <c r="B550" s="84" t="s">
        <v>1596</v>
      </c>
      <c r="C550" s="110" t="str">
        <f>sample_wld_az1_en2_uplink02_interface_cidr</f>
        <v>10.23.18.3/24</v>
      </c>
      <c r="D550" s="18" t="str">
        <f>wld_az1_en2_uplink02_interface_cidr</f>
        <v>Value Missing</v>
      </c>
      <c r="E550" s="153"/>
      <c r="F550" s="41"/>
      <c r="G550" s="41"/>
      <c r="H550" s="41"/>
      <c r="I550" s="41"/>
      <c r="J550" s="41"/>
      <c r="K550" s="41"/>
      <c r="L550" s="41"/>
      <c r="M550" s="41"/>
      <c r="N550" s="41"/>
      <c r="O550" s="41"/>
      <c r="P550" s="41"/>
      <c r="Q550" s="41"/>
      <c r="R550" s="41"/>
      <c r="S550" s="41"/>
      <c r="T550" s="41"/>
      <c r="U550" s="41"/>
      <c r="V550" s="41"/>
      <c r="W550" s="41"/>
      <c r="X550" s="41"/>
      <c r="Y550" s="41"/>
      <c r="Z550" s="41"/>
    </row>
    <row r="551" ht="19.5" customHeight="1">
      <c r="A551" s="41"/>
      <c r="B551" s="84" t="s">
        <v>1597</v>
      </c>
      <c r="C551" s="110" t="str">
        <f>sample_wld_az1_tor2_peer_bgp_password</f>
        <v>VMw@re1!</v>
      </c>
      <c r="D551" s="18" t="str">
        <f>wld_az1_tor2_peer_bgp_password</f>
        <v>Value Missing</v>
      </c>
      <c r="E551" s="153"/>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1"/>
      <c r="C552" s="1"/>
      <c r="D552" s="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9.5" customHeight="1">
      <c r="A553" s="41"/>
      <c r="B553" s="17" t="s">
        <v>984</v>
      </c>
      <c r="C553" s="13"/>
      <c r="D553" s="13"/>
      <c r="E553" s="14"/>
      <c r="F553" s="41"/>
      <c r="G553" s="41"/>
      <c r="H553" s="41"/>
      <c r="I553" s="41"/>
      <c r="J553" s="41"/>
      <c r="K553" s="41"/>
      <c r="L553" s="41"/>
      <c r="M553" s="41"/>
      <c r="N553" s="41"/>
      <c r="O553" s="41"/>
      <c r="P553" s="41"/>
      <c r="Q553" s="41"/>
      <c r="R553" s="41"/>
      <c r="S553" s="41"/>
      <c r="T553" s="41"/>
      <c r="U553" s="41"/>
      <c r="V553" s="41"/>
      <c r="W553" s="41"/>
      <c r="X553" s="41"/>
      <c r="Y553" s="41"/>
      <c r="Z553" s="41"/>
    </row>
    <row r="554" ht="19.5" customHeight="1">
      <c r="A554" s="41"/>
      <c r="B554" s="49" t="s">
        <v>37</v>
      </c>
      <c r="C554" s="49" t="s">
        <v>273</v>
      </c>
      <c r="D554" s="49" t="s">
        <v>274</v>
      </c>
      <c r="E554" s="49" t="s">
        <v>5</v>
      </c>
      <c r="F554" s="41"/>
      <c r="G554" s="41"/>
      <c r="H554" s="41"/>
      <c r="I554" s="41"/>
      <c r="J554" s="41"/>
      <c r="K554" s="41"/>
      <c r="L554" s="41"/>
      <c r="M554" s="41"/>
      <c r="N554" s="41"/>
      <c r="O554" s="41"/>
      <c r="P554" s="41"/>
      <c r="Q554" s="41"/>
      <c r="R554" s="41"/>
      <c r="S554" s="41"/>
      <c r="T554" s="41"/>
      <c r="U554" s="41"/>
      <c r="V554" s="41"/>
      <c r="W554" s="41"/>
      <c r="X554" s="41"/>
      <c r="Y554" s="41"/>
      <c r="Z554" s="41"/>
    </row>
    <row r="555" ht="19.5" customHeight="1">
      <c r="A555" s="41"/>
      <c r="B555" s="84" t="s">
        <v>926</v>
      </c>
      <c r="C555" s="111" t="str">
        <f>sample_wld_existing_active_nsx_gm</f>
        <v>sfo-w01-nsx-gm01.sfo.rainpole.io</v>
      </c>
      <c r="D555" s="18" t="str">
        <f>IF(mgmt_domain_chosen="First Domain",wld_nsxt_gm_vip_fqdn,wld_existing_active_nsx_gm)</f>
        <v>Value Missing</v>
      </c>
      <c r="E555" s="153"/>
      <c r="F555" s="41"/>
      <c r="G555" s="41"/>
      <c r="H555" s="41"/>
      <c r="I555" s="41"/>
      <c r="J555" s="41"/>
      <c r="K555" s="41"/>
      <c r="L555" s="41"/>
      <c r="M555" s="41"/>
      <c r="N555" s="41"/>
      <c r="O555" s="41"/>
      <c r="P555" s="41"/>
      <c r="Q555" s="41"/>
      <c r="R555" s="41"/>
      <c r="S555" s="41"/>
      <c r="T555" s="41"/>
      <c r="U555" s="41"/>
      <c r="V555" s="41"/>
      <c r="W555" s="41"/>
      <c r="X555" s="41"/>
      <c r="Y555" s="41"/>
      <c r="Z555" s="41"/>
    </row>
    <row r="556" ht="19.5" customHeight="1">
      <c r="A556" s="41"/>
      <c r="B556" s="84" t="s">
        <v>942</v>
      </c>
      <c r="C556" s="110" t="str">
        <f>sample_wld_nsxt_xreg_t1_name</f>
        <v>flt-w01-ec01-t1-gw01</v>
      </c>
      <c r="D556" s="18" t="str">
        <f>IF(mgmt_domain_chosen="First Domain",wld_nsxt_xreg_t1_name,wld_existing_cross_instance_t0_name)</f>
        <v>Value Missing</v>
      </c>
      <c r="E556" s="153"/>
      <c r="F556" s="41"/>
      <c r="G556" s="41"/>
      <c r="H556" s="41"/>
      <c r="I556" s="41"/>
      <c r="J556" s="41"/>
      <c r="K556" s="41"/>
      <c r="L556" s="41"/>
      <c r="M556" s="41"/>
      <c r="N556" s="41"/>
      <c r="O556" s="41"/>
      <c r="P556" s="41"/>
      <c r="Q556" s="41"/>
      <c r="R556" s="41"/>
      <c r="S556" s="41"/>
      <c r="T556" s="41"/>
      <c r="U556" s="41"/>
      <c r="V556" s="41"/>
      <c r="W556" s="41"/>
      <c r="X556" s="41"/>
      <c r="Y556" s="41"/>
      <c r="Z556" s="41"/>
    </row>
    <row r="557" ht="19.5" customHeight="1">
      <c r="A557" s="41"/>
      <c r="B557" s="84" t="s">
        <v>939</v>
      </c>
      <c r="C557" s="110" t="str">
        <f>sample_wld_nsxt_federation_location_name</f>
        <v>lax-w01</v>
      </c>
      <c r="D557" s="18" t="str">
        <f>wld_nsxt_federation_location_name</f>
        <v>Value Missing</v>
      </c>
      <c r="E557" s="213"/>
      <c r="F557" s="41"/>
      <c r="G557" s="41"/>
      <c r="H557" s="41"/>
      <c r="I557" s="41"/>
      <c r="J557" s="41"/>
      <c r="K557" s="41"/>
      <c r="L557" s="41"/>
      <c r="M557" s="41"/>
      <c r="N557" s="41"/>
      <c r="O557" s="41"/>
      <c r="P557" s="41"/>
      <c r="Q557" s="41"/>
      <c r="R557" s="41"/>
      <c r="S557" s="41"/>
      <c r="T557" s="41"/>
      <c r="U557" s="41"/>
      <c r="V557" s="41"/>
      <c r="W557" s="41"/>
      <c r="X557" s="41"/>
      <c r="Y557" s="41"/>
      <c r="Z557" s="41"/>
    </row>
    <row r="558" ht="19.5" customHeight="1">
      <c r="A558" s="41"/>
      <c r="B558" s="84" t="s">
        <v>583</v>
      </c>
      <c r="C558" s="110" t="str">
        <f>sample_wld_ec_name</f>
        <v>lax-w01-ec01</v>
      </c>
      <c r="D558" s="18" t="str">
        <f>wld_ec_name</f>
        <v>Value Missing</v>
      </c>
      <c r="E558" s="153"/>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1"/>
      <c r="C559" s="1"/>
      <c r="D559" s="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1"/>
      <c r="C560" s="1"/>
      <c r="D560" s="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1"/>
      <c r="C561" s="1"/>
      <c r="D561" s="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1"/>
      <c r="C562" s="1"/>
      <c r="D562" s="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1"/>
      <c r="C563" s="1"/>
      <c r="D563" s="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1"/>
      <c r="C564" s="1"/>
      <c r="D564" s="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1"/>
      <c r="C565" s="1"/>
      <c r="D565" s="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1"/>
      <c r="C566" s="1"/>
      <c r="D566" s="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1"/>
      <c r="C567" s="1"/>
      <c r="D567" s="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1"/>
      <c r="C568" s="1"/>
      <c r="D568" s="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1"/>
      <c r="C569" s="1"/>
      <c r="D569" s="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1"/>
      <c r="C570" s="1"/>
      <c r="D570" s="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1"/>
      <c r="C571" s="1"/>
      <c r="D571" s="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1"/>
      <c r="C572" s="1"/>
      <c r="D572" s="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1"/>
      <c r="C573" s="1"/>
      <c r="D573" s="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1"/>
      <c r="C574" s="1"/>
      <c r="D574" s="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1"/>
      <c r="C575" s="1"/>
      <c r="D575" s="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1"/>
      <c r="C576" s="1"/>
      <c r="D576" s="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1"/>
      <c r="C577" s="1"/>
      <c r="D577" s="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1"/>
      <c r="C578" s="1"/>
      <c r="D578" s="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1"/>
      <c r="C579" s="1"/>
      <c r="D579" s="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1"/>
      <c r="C580" s="1"/>
      <c r="D580" s="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1"/>
      <c r="C581" s="1"/>
      <c r="D581" s="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1"/>
      <c r="C582" s="1"/>
      <c r="D582" s="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1"/>
      <c r="C583" s="1"/>
      <c r="D583" s="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1"/>
      <c r="C584" s="1"/>
      <c r="D584" s="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1"/>
      <c r="C585" s="1"/>
      <c r="D585" s="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1"/>
      <c r="C586" s="1"/>
      <c r="D586" s="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1"/>
      <c r="C587" s="1"/>
      <c r="D587" s="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1"/>
      <c r="C588" s="1"/>
      <c r="D588" s="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1"/>
      <c r="C589" s="1"/>
      <c r="D589" s="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1"/>
      <c r="C590" s="1"/>
      <c r="D590" s="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1"/>
      <c r="C591" s="1"/>
      <c r="D591" s="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1"/>
      <c r="C592" s="1"/>
      <c r="D592" s="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1"/>
      <c r="C593" s="1"/>
      <c r="D593" s="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1"/>
      <c r="C594" s="1"/>
      <c r="D594" s="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1"/>
      <c r="C595" s="1"/>
      <c r="D595" s="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1"/>
      <c r="C596" s="1"/>
      <c r="D596" s="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1"/>
      <c r="C597" s="1"/>
      <c r="D597" s="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1"/>
      <c r="C598" s="1"/>
      <c r="D598" s="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1"/>
      <c r="C599" s="1"/>
      <c r="D599" s="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1"/>
      <c r="C600" s="1"/>
      <c r="D600" s="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1"/>
      <c r="C601" s="1"/>
      <c r="D601" s="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1"/>
      <c r="C602" s="1"/>
      <c r="D602" s="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1"/>
      <c r="C603" s="1"/>
      <c r="D603" s="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1"/>
      <c r="C604" s="1"/>
      <c r="D604" s="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1"/>
      <c r="C605" s="1"/>
      <c r="D605" s="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1"/>
      <c r="C606" s="1"/>
      <c r="D606" s="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1"/>
      <c r="C607" s="1"/>
      <c r="D607" s="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1"/>
      <c r="C608" s="1"/>
      <c r="D608" s="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1"/>
      <c r="C609" s="1"/>
      <c r="D609" s="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1"/>
      <c r="C610" s="1"/>
      <c r="D610" s="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1"/>
      <c r="C611" s="1"/>
      <c r="D611" s="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1"/>
      <c r="C612" s="1"/>
      <c r="D612" s="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1"/>
      <c r="C613" s="1"/>
      <c r="D613" s="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1"/>
      <c r="C614" s="1"/>
      <c r="D614" s="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1"/>
      <c r="C615" s="1"/>
      <c r="D615" s="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1"/>
      <c r="C616" s="1"/>
      <c r="D616" s="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1"/>
      <c r="C617" s="1"/>
      <c r="D617" s="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1"/>
      <c r="C618" s="1"/>
      <c r="D618" s="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1"/>
      <c r="C619" s="1"/>
      <c r="D619" s="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1"/>
      <c r="C620" s="1"/>
      <c r="D620" s="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1"/>
      <c r="C621" s="1"/>
      <c r="D621" s="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1"/>
      <c r="C622" s="1"/>
      <c r="D622" s="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1"/>
      <c r="C623" s="1"/>
      <c r="D623" s="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1"/>
      <c r="C624" s="1"/>
      <c r="D624" s="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1"/>
      <c r="C625" s="1"/>
      <c r="D625" s="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1"/>
      <c r="C626" s="1"/>
      <c r="D626" s="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1"/>
      <c r="C627" s="1"/>
      <c r="D627" s="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1"/>
      <c r="C628" s="1"/>
      <c r="D628" s="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1"/>
      <c r="C629" s="1"/>
      <c r="D629" s="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1"/>
      <c r="C630" s="1"/>
      <c r="D630" s="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1"/>
      <c r="C631" s="1"/>
      <c r="D631" s="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1"/>
      <c r="C632" s="1"/>
      <c r="D632" s="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1"/>
      <c r="C633" s="1"/>
      <c r="D633" s="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1"/>
      <c r="C634" s="1"/>
      <c r="D634" s="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1"/>
      <c r="C635" s="1"/>
      <c r="D635" s="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1"/>
      <c r="C636" s="1"/>
      <c r="D636" s="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1"/>
      <c r="C637" s="1"/>
      <c r="D637" s="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1"/>
      <c r="C638" s="1"/>
      <c r="D638" s="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1"/>
      <c r="C639" s="1"/>
      <c r="D639" s="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1"/>
      <c r="C640" s="1"/>
      <c r="D640" s="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1"/>
      <c r="C641" s="1"/>
      <c r="D641" s="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1"/>
      <c r="C642" s="1"/>
      <c r="D642" s="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1"/>
      <c r="C643" s="1"/>
      <c r="D643" s="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1"/>
      <c r="C644" s="1"/>
      <c r="D644" s="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1"/>
      <c r="C645" s="1"/>
      <c r="D645" s="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1"/>
      <c r="C646" s="1"/>
      <c r="D646" s="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1"/>
      <c r="C647" s="1"/>
      <c r="D647" s="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1"/>
      <c r="C648" s="1"/>
      <c r="D648" s="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1"/>
      <c r="C649" s="1"/>
      <c r="D649" s="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1"/>
      <c r="C650" s="1"/>
      <c r="D650" s="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1"/>
      <c r="C651" s="1"/>
      <c r="D651" s="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1"/>
      <c r="C652" s="1"/>
      <c r="D652" s="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1"/>
      <c r="C653" s="1"/>
      <c r="D653" s="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1"/>
      <c r="C654" s="1"/>
      <c r="D654" s="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1"/>
      <c r="C655" s="1"/>
      <c r="D655" s="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1"/>
      <c r="C656" s="1"/>
      <c r="D656" s="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1"/>
      <c r="C657" s="1"/>
      <c r="D657" s="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1"/>
      <c r="C658" s="1"/>
      <c r="D658" s="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1"/>
      <c r="C659" s="1"/>
      <c r="D659" s="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1"/>
      <c r="C660" s="1"/>
      <c r="D660" s="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1"/>
      <c r="C661" s="1"/>
      <c r="D661" s="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1"/>
      <c r="C662" s="1"/>
      <c r="D662" s="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1"/>
      <c r="C663" s="1"/>
      <c r="D663" s="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1"/>
      <c r="C664" s="1"/>
      <c r="D664" s="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1"/>
      <c r="C665" s="1"/>
      <c r="D665" s="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1"/>
      <c r="C666" s="1"/>
      <c r="D666" s="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1"/>
      <c r="C667" s="1"/>
      <c r="D667" s="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1"/>
      <c r="C668" s="1"/>
      <c r="D668" s="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1"/>
      <c r="C669" s="1"/>
      <c r="D669" s="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1"/>
      <c r="C670" s="1"/>
      <c r="D670" s="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1"/>
      <c r="C671" s="1"/>
      <c r="D671" s="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1"/>
      <c r="C672" s="1"/>
      <c r="D672" s="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1"/>
      <c r="C673" s="1"/>
      <c r="D673" s="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1"/>
      <c r="C674" s="1"/>
      <c r="D674" s="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1"/>
      <c r="C675" s="1"/>
      <c r="D675" s="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1"/>
      <c r="C676" s="1"/>
      <c r="D676" s="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1"/>
      <c r="C677" s="1"/>
      <c r="D677" s="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1"/>
      <c r="C678" s="1"/>
      <c r="D678" s="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1"/>
      <c r="C679" s="1"/>
      <c r="D679" s="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1"/>
      <c r="C680" s="1"/>
      <c r="D680" s="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1"/>
      <c r="C681" s="1"/>
      <c r="D681" s="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1"/>
      <c r="C682" s="1"/>
      <c r="D682" s="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1"/>
      <c r="C683" s="1"/>
      <c r="D683" s="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1"/>
      <c r="C684" s="1"/>
      <c r="D684" s="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1"/>
      <c r="C685" s="1"/>
      <c r="D685" s="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1"/>
      <c r="C686" s="1"/>
      <c r="D686" s="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1"/>
      <c r="C687" s="1"/>
      <c r="D687" s="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1"/>
      <c r="C688" s="1"/>
      <c r="D688" s="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1"/>
      <c r="C689" s="1"/>
      <c r="D689" s="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1"/>
      <c r="C690" s="1"/>
      <c r="D690" s="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1"/>
      <c r="C691" s="1"/>
      <c r="D691" s="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1"/>
      <c r="C692" s="1"/>
      <c r="D692" s="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1"/>
      <c r="C693" s="1"/>
      <c r="D693" s="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1"/>
      <c r="C694" s="1"/>
      <c r="D694" s="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1"/>
      <c r="C695" s="1"/>
      <c r="D695" s="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1"/>
      <c r="C696" s="1"/>
      <c r="D696" s="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1"/>
      <c r="C697" s="1"/>
      <c r="D697" s="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1"/>
      <c r="C698" s="1"/>
      <c r="D698" s="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1"/>
      <c r="C699" s="1"/>
      <c r="D699" s="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1"/>
      <c r="C700" s="1"/>
      <c r="D700" s="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1"/>
      <c r="C701" s="1"/>
      <c r="D701" s="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1"/>
      <c r="C702" s="1"/>
      <c r="D702" s="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1"/>
      <c r="C703" s="1"/>
      <c r="D703" s="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1"/>
      <c r="C704" s="1"/>
      <c r="D704" s="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1"/>
      <c r="C705" s="1"/>
      <c r="D705" s="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1"/>
      <c r="C706" s="1"/>
      <c r="D706" s="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1"/>
      <c r="C707" s="1"/>
      <c r="D707" s="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1"/>
      <c r="C708" s="1"/>
      <c r="D708" s="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1"/>
      <c r="C709" s="1"/>
      <c r="D709" s="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1"/>
      <c r="C710" s="1"/>
      <c r="D710" s="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1"/>
      <c r="C711" s="1"/>
      <c r="D711" s="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1"/>
      <c r="C712" s="1"/>
      <c r="D712" s="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1"/>
      <c r="C713" s="1"/>
      <c r="D713" s="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1"/>
      <c r="C714" s="1"/>
      <c r="D714" s="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1"/>
      <c r="C715" s="1"/>
      <c r="D715" s="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1"/>
      <c r="C716" s="1"/>
      <c r="D716" s="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1"/>
      <c r="C717" s="1"/>
      <c r="D717" s="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1"/>
      <c r="C718" s="1"/>
      <c r="D718" s="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1"/>
      <c r="C719" s="1"/>
      <c r="D719" s="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1"/>
      <c r="C720" s="1"/>
      <c r="D720" s="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1"/>
      <c r="C721" s="1"/>
      <c r="D721" s="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1"/>
      <c r="C722" s="1"/>
      <c r="D722" s="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1"/>
      <c r="C723" s="1"/>
      <c r="D723" s="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1"/>
      <c r="C724" s="1"/>
      <c r="D724" s="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1"/>
      <c r="C725" s="1"/>
      <c r="D725" s="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1"/>
      <c r="C726" s="1"/>
      <c r="D726" s="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1"/>
      <c r="C727" s="1"/>
      <c r="D727" s="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1"/>
      <c r="C728" s="1"/>
      <c r="D728" s="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1"/>
      <c r="C729" s="1"/>
      <c r="D729" s="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1"/>
      <c r="C730" s="1"/>
      <c r="D730" s="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1"/>
      <c r="C731" s="1"/>
      <c r="D731" s="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1"/>
      <c r="C732" s="1"/>
      <c r="D732" s="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1"/>
      <c r="C733" s="1"/>
      <c r="D733" s="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1"/>
      <c r="C734" s="1"/>
      <c r="D734" s="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1"/>
      <c r="C735" s="1"/>
      <c r="D735" s="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1"/>
      <c r="C736" s="1"/>
      <c r="D736" s="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1"/>
      <c r="C737" s="1"/>
      <c r="D737" s="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1"/>
      <c r="C738" s="1"/>
      <c r="D738" s="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1"/>
      <c r="C739" s="1"/>
      <c r="D739" s="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1"/>
      <c r="C740" s="1"/>
      <c r="D740" s="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1"/>
      <c r="C741" s="1"/>
      <c r="D741" s="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1"/>
      <c r="C742" s="1"/>
      <c r="D742" s="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1"/>
      <c r="C743" s="1"/>
      <c r="D743" s="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1"/>
      <c r="C744" s="1"/>
      <c r="D744" s="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1"/>
      <c r="C745" s="1"/>
      <c r="D745" s="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1"/>
      <c r="C746" s="1"/>
      <c r="D746" s="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1"/>
      <c r="C747" s="1"/>
      <c r="D747" s="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1"/>
      <c r="C748" s="1"/>
      <c r="D748" s="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1"/>
      <c r="C749" s="1"/>
      <c r="D749" s="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1"/>
      <c r="C750" s="1"/>
      <c r="D750" s="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1"/>
      <c r="C751" s="1"/>
      <c r="D751" s="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1"/>
      <c r="C752" s="1"/>
      <c r="D752" s="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1"/>
      <c r="C753" s="1"/>
      <c r="D753" s="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1"/>
      <c r="C754" s="1"/>
      <c r="D754" s="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1"/>
      <c r="C755" s="1"/>
      <c r="D755" s="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1"/>
      <c r="C756" s="1"/>
      <c r="D756" s="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1"/>
      <c r="C757" s="1"/>
      <c r="D757" s="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1"/>
      <c r="C758" s="1"/>
      <c r="D758" s="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1"/>
      <c r="C759" s="1"/>
      <c r="D759" s="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1"/>
      <c r="C760" s="1"/>
      <c r="D760" s="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1"/>
      <c r="C761" s="1"/>
      <c r="D761" s="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1"/>
      <c r="C762" s="1"/>
      <c r="D762" s="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1"/>
      <c r="C763" s="1"/>
      <c r="D763" s="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1"/>
      <c r="C764" s="1"/>
      <c r="D764" s="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1"/>
      <c r="C765" s="1"/>
      <c r="D765" s="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1"/>
      <c r="C766" s="1"/>
      <c r="D766" s="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1"/>
      <c r="C767" s="1"/>
      <c r="D767" s="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1"/>
      <c r="C768" s="1"/>
      <c r="D768" s="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1"/>
      <c r="C769" s="1"/>
      <c r="D769" s="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1"/>
      <c r="C770" s="1"/>
      <c r="D770" s="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1"/>
      <c r="C771" s="1"/>
      <c r="D771" s="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1"/>
      <c r="C772" s="1"/>
      <c r="D772" s="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1"/>
      <c r="C773" s="1"/>
      <c r="D773" s="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1"/>
      <c r="C774" s="1"/>
      <c r="D774" s="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1"/>
      <c r="C775" s="1"/>
      <c r="D775" s="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1"/>
      <c r="C776" s="1"/>
      <c r="D776" s="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1"/>
      <c r="C777" s="1"/>
      <c r="D777" s="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1"/>
      <c r="C778" s="1"/>
      <c r="D778" s="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1"/>
      <c r="C779" s="1"/>
      <c r="D779" s="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1"/>
      <c r="C780" s="1"/>
      <c r="D780" s="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1"/>
      <c r="C781" s="1"/>
      <c r="D781" s="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1"/>
      <c r="C782" s="1"/>
      <c r="D782" s="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1"/>
      <c r="C783" s="1"/>
      <c r="D783" s="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1"/>
      <c r="C784" s="1"/>
      <c r="D784" s="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1"/>
      <c r="C785" s="1"/>
      <c r="D785" s="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1"/>
      <c r="C786" s="1"/>
      <c r="D786" s="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1"/>
      <c r="C787" s="1"/>
      <c r="D787" s="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1"/>
      <c r="C788" s="1"/>
      <c r="D788" s="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1"/>
      <c r="C789" s="1"/>
      <c r="D789" s="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1"/>
      <c r="C790" s="1"/>
      <c r="D790" s="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1"/>
      <c r="C791" s="1"/>
      <c r="D791" s="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1"/>
      <c r="C792" s="1"/>
      <c r="D792" s="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1"/>
      <c r="C793" s="1"/>
      <c r="D793" s="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1"/>
      <c r="C794" s="1"/>
      <c r="D794" s="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1"/>
      <c r="C795" s="1"/>
      <c r="D795" s="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1"/>
      <c r="C796" s="1"/>
      <c r="D796" s="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1"/>
      <c r="C797" s="1"/>
      <c r="D797" s="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1"/>
      <c r="C798" s="1"/>
      <c r="D798" s="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1"/>
      <c r="C799" s="1"/>
      <c r="D799" s="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1"/>
      <c r="C800" s="1"/>
      <c r="D800" s="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1"/>
      <c r="C801" s="1"/>
      <c r="D801" s="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1"/>
      <c r="C802" s="1"/>
      <c r="D802" s="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1"/>
      <c r="C803" s="1"/>
      <c r="D803" s="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1"/>
      <c r="C804" s="1"/>
      <c r="D804" s="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1"/>
      <c r="C805" s="1"/>
      <c r="D805" s="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1"/>
      <c r="C806" s="1"/>
      <c r="D806" s="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1"/>
      <c r="C807" s="1"/>
      <c r="D807" s="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1"/>
      <c r="C808" s="1"/>
      <c r="D808" s="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1"/>
      <c r="C809" s="1"/>
      <c r="D809" s="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1"/>
      <c r="C810" s="1"/>
      <c r="D810" s="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1"/>
      <c r="C811" s="1"/>
      <c r="D811" s="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1"/>
      <c r="C812" s="1"/>
      <c r="D812" s="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1"/>
      <c r="C813" s="1"/>
      <c r="D813" s="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1"/>
      <c r="C814" s="1"/>
      <c r="D814" s="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1"/>
      <c r="C815" s="1"/>
      <c r="D815" s="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1"/>
      <c r="C816" s="1"/>
      <c r="D816" s="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1"/>
      <c r="C817" s="1"/>
      <c r="D817" s="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1"/>
      <c r="C818" s="1"/>
      <c r="D818" s="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1"/>
      <c r="C819" s="1"/>
      <c r="D819" s="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1"/>
      <c r="C820" s="1"/>
      <c r="D820" s="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1"/>
      <c r="C821" s="1"/>
      <c r="D821" s="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1"/>
      <c r="C822" s="1"/>
      <c r="D822" s="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1"/>
      <c r="C823" s="1"/>
      <c r="D823" s="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1"/>
      <c r="C824" s="1"/>
      <c r="D824" s="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1"/>
      <c r="C825" s="1"/>
      <c r="D825" s="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1"/>
      <c r="C826" s="1"/>
      <c r="D826" s="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1"/>
      <c r="C827" s="1"/>
      <c r="D827" s="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1"/>
      <c r="C828" s="1"/>
      <c r="D828" s="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1"/>
      <c r="C829" s="1"/>
      <c r="D829" s="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1"/>
      <c r="C830" s="1"/>
      <c r="D830" s="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1"/>
      <c r="C831" s="1"/>
      <c r="D831" s="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1"/>
      <c r="C832" s="1"/>
      <c r="D832" s="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1"/>
      <c r="C833" s="1"/>
      <c r="D833" s="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1"/>
      <c r="C834" s="1"/>
      <c r="D834" s="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1"/>
      <c r="C835" s="1"/>
      <c r="D835" s="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1"/>
      <c r="C836" s="1"/>
      <c r="D836" s="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1"/>
      <c r="C837" s="1"/>
      <c r="D837" s="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1"/>
      <c r="C838" s="1"/>
      <c r="D838" s="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1"/>
      <c r="C839" s="1"/>
      <c r="D839" s="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1"/>
      <c r="C840" s="1"/>
      <c r="D840" s="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1"/>
      <c r="C841" s="1"/>
      <c r="D841" s="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1"/>
      <c r="C842" s="1"/>
      <c r="D842" s="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1"/>
      <c r="C843" s="1"/>
      <c r="D843" s="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1"/>
      <c r="C844" s="1"/>
      <c r="D844" s="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1"/>
      <c r="C845" s="1"/>
      <c r="D845" s="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1"/>
      <c r="C846" s="1"/>
      <c r="D846" s="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1"/>
      <c r="C847" s="1"/>
      <c r="D847" s="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1"/>
      <c r="C848" s="1"/>
      <c r="D848" s="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1"/>
      <c r="C849" s="1"/>
      <c r="D849" s="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1"/>
      <c r="C850" s="1"/>
      <c r="D850" s="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1"/>
      <c r="C851" s="1"/>
      <c r="D851" s="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1"/>
      <c r="C852" s="1"/>
      <c r="D852" s="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1"/>
      <c r="C853" s="1"/>
      <c r="D853" s="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1"/>
      <c r="C854" s="1"/>
      <c r="D854" s="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1"/>
      <c r="C855" s="1"/>
      <c r="D855" s="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1"/>
      <c r="C856" s="1"/>
      <c r="D856" s="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1"/>
      <c r="C857" s="1"/>
      <c r="D857" s="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1"/>
      <c r="C858" s="1"/>
      <c r="D858" s="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1"/>
      <c r="C859" s="1"/>
      <c r="D859" s="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1"/>
      <c r="C860" s="1"/>
      <c r="D860" s="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1"/>
      <c r="C861" s="1"/>
      <c r="D861" s="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1"/>
      <c r="C862" s="1"/>
      <c r="D862" s="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1"/>
      <c r="C863" s="1"/>
      <c r="D863" s="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1"/>
      <c r="C864" s="1"/>
      <c r="D864" s="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1"/>
      <c r="C865" s="1"/>
      <c r="D865" s="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1"/>
      <c r="C866" s="1"/>
      <c r="D866" s="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1"/>
      <c r="C867" s="1"/>
      <c r="D867" s="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1"/>
      <c r="C868" s="1"/>
      <c r="D868" s="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1"/>
      <c r="C869" s="1"/>
      <c r="D869" s="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1"/>
      <c r="C870" s="1"/>
      <c r="D870" s="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1"/>
      <c r="C871" s="1"/>
      <c r="D871" s="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1"/>
      <c r="C872" s="1"/>
      <c r="D872" s="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1"/>
      <c r="C873" s="1"/>
      <c r="D873" s="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1"/>
      <c r="C874" s="1"/>
      <c r="D874" s="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1"/>
      <c r="C875" s="1"/>
      <c r="D875" s="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1"/>
      <c r="C876" s="1"/>
      <c r="D876" s="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1"/>
      <c r="C877" s="1"/>
      <c r="D877" s="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1"/>
      <c r="C878" s="1"/>
      <c r="D878" s="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1"/>
      <c r="C879" s="1"/>
      <c r="D879" s="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1"/>
      <c r="C880" s="1"/>
      <c r="D880" s="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1"/>
      <c r="C881" s="1"/>
      <c r="D881" s="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1"/>
      <c r="C882" s="1"/>
      <c r="D882" s="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1"/>
      <c r="C883" s="1"/>
      <c r="D883" s="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1"/>
      <c r="C884" s="1"/>
      <c r="D884" s="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1"/>
      <c r="C885" s="1"/>
      <c r="D885" s="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1"/>
      <c r="C886" s="1"/>
      <c r="D886" s="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1"/>
      <c r="C887" s="1"/>
      <c r="D887" s="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1"/>
      <c r="C888" s="1"/>
      <c r="D888" s="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1"/>
      <c r="C889" s="1"/>
      <c r="D889" s="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1"/>
      <c r="C890" s="1"/>
      <c r="D890" s="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1"/>
      <c r="C891" s="1"/>
      <c r="D891" s="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1"/>
      <c r="C892" s="1"/>
      <c r="D892" s="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1"/>
      <c r="C893" s="1"/>
      <c r="D893" s="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1"/>
      <c r="C894" s="1"/>
      <c r="D894" s="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1"/>
      <c r="C895" s="1"/>
      <c r="D895" s="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1"/>
      <c r="C896" s="1"/>
      <c r="D896" s="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1"/>
      <c r="C897" s="1"/>
      <c r="D897" s="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1"/>
      <c r="C898" s="1"/>
      <c r="D898" s="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1"/>
      <c r="C899" s="1"/>
      <c r="D899" s="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1"/>
      <c r="C900" s="1"/>
      <c r="D900" s="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1"/>
      <c r="C901" s="1"/>
      <c r="D901" s="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1"/>
      <c r="C902" s="1"/>
      <c r="D902" s="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1"/>
      <c r="C903" s="1"/>
      <c r="D903" s="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1"/>
      <c r="C904" s="1"/>
      <c r="D904" s="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1"/>
      <c r="C905" s="1"/>
      <c r="D905" s="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1"/>
      <c r="C906" s="1"/>
      <c r="D906" s="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1"/>
      <c r="C907" s="1"/>
      <c r="D907" s="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1"/>
      <c r="C908" s="1"/>
      <c r="D908" s="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1"/>
      <c r="C909" s="1"/>
      <c r="D909" s="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1"/>
      <c r="C910" s="1"/>
      <c r="D910" s="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1"/>
      <c r="C911" s="1"/>
      <c r="D911" s="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1"/>
      <c r="C912" s="1"/>
      <c r="D912" s="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1"/>
      <c r="C913" s="1"/>
      <c r="D913" s="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1"/>
      <c r="C914" s="1"/>
      <c r="D914" s="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1"/>
      <c r="C915" s="1"/>
      <c r="D915" s="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1"/>
      <c r="C916" s="1"/>
      <c r="D916" s="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1"/>
      <c r="C917" s="1"/>
      <c r="D917" s="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1"/>
      <c r="C918" s="1"/>
      <c r="D918" s="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1"/>
      <c r="C919" s="1"/>
      <c r="D919" s="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1"/>
      <c r="C920" s="1"/>
      <c r="D920" s="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1"/>
      <c r="C921" s="1"/>
      <c r="D921" s="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1"/>
      <c r="C922" s="1"/>
      <c r="D922" s="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1"/>
      <c r="C923" s="1"/>
      <c r="D923" s="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1"/>
      <c r="C924" s="1"/>
      <c r="D924" s="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1"/>
      <c r="C925" s="1"/>
      <c r="D925" s="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1"/>
      <c r="C926" s="1"/>
      <c r="D926" s="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1"/>
      <c r="C927" s="1"/>
      <c r="D927" s="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1"/>
      <c r="C928" s="1"/>
      <c r="D928" s="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1"/>
      <c r="C929" s="1"/>
      <c r="D929" s="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1"/>
      <c r="C930" s="1"/>
      <c r="D930" s="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1"/>
      <c r="C931" s="1"/>
      <c r="D931" s="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1"/>
      <c r="C932" s="1"/>
      <c r="D932" s="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1"/>
      <c r="C933" s="1"/>
      <c r="D933" s="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1"/>
      <c r="C934" s="1"/>
      <c r="D934" s="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1"/>
      <c r="C935" s="1"/>
      <c r="D935" s="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1"/>
      <c r="C936" s="1"/>
      <c r="D936" s="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1"/>
      <c r="C937" s="1"/>
      <c r="D937" s="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1"/>
      <c r="C938" s="1"/>
      <c r="D938" s="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1"/>
      <c r="C939" s="1"/>
      <c r="D939" s="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1"/>
      <c r="C940" s="1"/>
      <c r="D940" s="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1"/>
      <c r="C941" s="1"/>
      <c r="D941" s="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1"/>
      <c r="C942" s="1"/>
      <c r="D942" s="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1"/>
      <c r="C943" s="1"/>
      <c r="D943" s="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1"/>
      <c r="C944" s="1"/>
      <c r="D944" s="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1"/>
      <c r="C945" s="1"/>
      <c r="D945" s="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1"/>
      <c r="C946" s="1"/>
      <c r="D946" s="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1"/>
      <c r="C947" s="1"/>
      <c r="D947" s="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1"/>
      <c r="C948" s="1"/>
      <c r="D948" s="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1"/>
      <c r="C949" s="1"/>
      <c r="D949" s="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1"/>
      <c r="C950" s="1"/>
      <c r="D950" s="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1"/>
      <c r="C951" s="1"/>
      <c r="D951" s="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1"/>
      <c r="C952" s="1"/>
      <c r="D952" s="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1"/>
      <c r="C953" s="1"/>
      <c r="D953" s="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1"/>
      <c r="C954" s="1"/>
      <c r="D954" s="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1"/>
      <c r="C955" s="1"/>
      <c r="D955" s="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1"/>
      <c r="C956" s="1"/>
      <c r="D956" s="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1"/>
      <c r="C957" s="1"/>
      <c r="D957" s="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1"/>
      <c r="C958" s="1"/>
      <c r="D958" s="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1"/>
      <c r="C959" s="1"/>
      <c r="D959" s="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1"/>
      <c r="C960" s="1"/>
      <c r="D960" s="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1"/>
      <c r="C961" s="1"/>
      <c r="D961" s="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1"/>
      <c r="C962" s="1"/>
      <c r="D962" s="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1"/>
      <c r="C963" s="1"/>
      <c r="D963" s="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1"/>
      <c r="C964" s="1"/>
      <c r="D964" s="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1"/>
      <c r="C965" s="1"/>
      <c r="D965" s="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1"/>
      <c r="C966" s="1"/>
      <c r="D966" s="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1"/>
      <c r="C967" s="1"/>
      <c r="D967" s="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1"/>
      <c r="C968" s="1"/>
      <c r="D968" s="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1"/>
      <c r="C969" s="1"/>
      <c r="D969" s="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1"/>
      <c r="C970" s="1"/>
      <c r="D970" s="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1"/>
      <c r="C971" s="1"/>
      <c r="D971" s="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1"/>
      <c r="C972" s="1"/>
      <c r="D972" s="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1"/>
      <c r="C973" s="1"/>
      <c r="D973" s="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1"/>
      <c r="C974" s="1"/>
      <c r="D974" s="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1"/>
      <c r="C975" s="1"/>
      <c r="D975" s="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1"/>
      <c r="C976" s="1"/>
      <c r="D976" s="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1"/>
      <c r="C977" s="1"/>
      <c r="D977" s="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1"/>
      <c r="C978" s="1"/>
      <c r="D978" s="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1"/>
      <c r="C979" s="1"/>
      <c r="D979" s="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1"/>
      <c r="C980" s="1"/>
      <c r="D980" s="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1"/>
      <c r="C981" s="1"/>
      <c r="D981" s="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1"/>
      <c r="C982" s="1"/>
      <c r="D982" s="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1"/>
      <c r="C983" s="1"/>
      <c r="D983" s="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1"/>
      <c r="C984" s="1"/>
      <c r="D984" s="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1"/>
      <c r="C985" s="1"/>
      <c r="D985" s="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1"/>
      <c r="C986" s="1"/>
      <c r="D986" s="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1"/>
      <c r="C987" s="1"/>
      <c r="D987" s="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1"/>
      <c r="C988" s="1"/>
      <c r="D988" s="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1"/>
      <c r="C989" s="1"/>
      <c r="D989" s="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1"/>
      <c r="C990" s="1"/>
      <c r="D990" s="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1"/>
      <c r="C991" s="1"/>
      <c r="D991" s="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1"/>
      <c r="C992" s="1"/>
      <c r="D992" s="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1"/>
      <c r="C993" s="1"/>
      <c r="D993" s="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1"/>
      <c r="C994" s="1"/>
      <c r="D994" s="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1"/>
      <c r="C995" s="1"/>
      <c r="D995" s="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1"/>
      <c r="C996" s="1"/>
      <c r="D996" s="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1"/>
      <c r="C997" s="1"/>
      <c r="D997" s="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1"/>
      <c r="C998" s="1"/>
      <c r="D998" s="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1"/>
      <c r="C999" s="1"/>
      <c r="D999" s="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1"/>
      <c r="C1000" s="1"/>
      <c r="D1000" s="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68">
    <mergeCell ref="B283:E283"/>
    <mergeCell ref="B289:E289"/>
    <mergeCell ref="B294:E294"/>
    <mergeCell ref="B300:E300"/>
    <mergeCell ref="B333:E333"/>
    <mergeCell ref="B334:E334"/>
    <mergeCell ref="B338:E338"/>
    <mergeCell ref="B342:E342"/>
    <mergeCell ref="B356:E356"/>
    <mergeCell ref="B357:E357"/>
    <mergeCell ref="B360:E360"/>
    <mergeCell ref="B377:E377"/>
    <mergeCell ref="B394:E394"/>
    <mergeCell ref="B413:E413"/>
    <mergeCell ref="B2:E2"/>
    <mergeCell ref="B3:E3"/>
    <mergeCell ref="B9:E9"/>
    <mergeCell ref="B17:E17"/>
    <mergeCell ref="B18:E18"/>
    <mergeCell ref="B29:E29"/>
    <mergeCell ref="B30:E30"/>
    <mergeCell ref="B32:E32"/>
    <mergeCell ref="B34:E34"/>
    <mergeCell ref="B37:E37"/>
    <mergeCell ref="B41:E41"/>
    <mergeCell ref="B53:E53"/>
    <mergeCell ref="B67:E67"/>
    <mergeCell ref="B79:E79"/>
    <mergeCell ref="B94:E94"/>
    <mergeCell ref="B100:E100"/>
    <mergeCell ref="B115:E115"/>
    <mergeCell ref="B130:E130"/>
    <mergeCell ref="B133:E133"/>
    <mergeCell ref="B135:E135"/>
    <mergeCell ref="B139:E139"/>
    <mergeCell ref="B143:E143"/>
    <mergeCell ref="B147:E147"/>
    <mergeCell ref="B148:E148"/>
    <mergeCell ref="B150:E150"/>
    <mergeCell ref="B152:E152"/>
    <mergeCell ref="B154:E154"/>
    <mergeCell ref="B163:E163"/>
    <mergeCell ref="B165:E165"/>
    <mergeCell ref="B166:E166"/>
    <mergeCell ref="B168:E168"/>
    <mergeCell ref="B173:E173"/>
    <mergeCell ref="B191:E191"/>
    <mergeCell ref="B192:E192"/>
    <mergeCell ref="B196:E196"/>
    <mergeCell ref="B204:E204"/>
    <mergeCell ref="B212:E212"/>
    <mergeCell ref="B220:E220"/>
    <mergeCell ref="B229:E229"/>
    <mergeCell ref="B230:E230"/>
    <mergeCell ref="B255:E255"/>
    <mergeCell ref="B262:E262"/>
    <mergeCell ref="B477:E477"/>
    <mergeCell ref="B488:E488"/>
    <mergeCell ref="B502:E502"/>
    <mergeCell ref="B510:E510"/>
    <mergeCell ref="B553:E553"/>
    <mergeCell ref="B431:E431"/>
    <mergeCell ref="B439:E439"/>
    <mergeCell ref="B445:E445"/>
    <mergeCell ref="B449:E449"/>
    <mergeCell ref="B456:E456"/>
    <mergeCell ref="B463:E463"/>
    <mergeCell ref="B472:E472"/>
  </mergeCells>
  <conditionalFormatting 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
    <cfRule type="notContainsBlanks" dxfId="23" priority="1">
      <formula>LEN(TRIM(D20))&gt;0</formula>
    </cfRule>
  </conditionalFormatting>
  <conditionalFormatting sqref="D20:D27 D33 D35:D36 D38:D40 D42:D52 D54:D66 D68:D78 D80:D93 D95:D99 D101:D114 D116:D129 D131:D132 D134 D136:D138 D140:D142 D144:D145 D151 D153 D155:D161 D169:D172 D174:D189 D194:D195 D197:D203 D205:D211 D213:D219 D221:D227 D232:D253 D257:D260 D265:D282 D285:D288 D291:D293 D296:D298 D303:D332 D337 D340:D341 D344:D354 D359 D361:D376 D378:D393 D395:D411 D415:D429 D433:D437 D441:D443 D447 D451:D454 D465:D470 D474:D475 D479:D486 D490:D500 D504:D508 D512:D551 D555:D558">
    <cfRule type="containsBlanks" dxfId="10" priority="2">
      <formula>LEN(TRIM(D20))=0</formula>
    </cfRule>
  </conditionalFormatting>
  <conditionalFormatting sqref="D35:D36">
    <cfRule type="expression" dxfId="6" priority="3" stopIfTrue="1">
      <formula>input_wld_ec_gateway_type="Centralized Connectivity"</formula>
    </cfRule>
  </conditionalFormatting>
  <conditionalFormatting sqref="D86">
    <cfRule type="expression" dxfId="17" priority="4" stopIfTrue="1">
      <formula>wld_az1_en2_edge_overlay_network_ip_allocation_chosen&lt;&gt;"IP Pool"</formula>
    </cfRule>
  </conditionalFormatting>
  <conditionalFormatting sqref="D87:D90">
    <cfRule type="expression" dxfId="17" priority="5">
      <formula>wld_az1_en2_edge_overlay_network_ip_allocation_chosen&lt;&gt;"Static IP List"</formula>
    </cfRule>
  </conditionalFormatting>
  <conditionalFormatting sqref="D134">
    <cfRule type="expression" dxfId="24" priority="6">
      <formula>$D$134="Exclude"</formula>
    </cfRule>
  </conditionalFormatting>
  <conditionalFormatting sqref="D143">
    <cfRule type="expression" dxfId="3" priority="7">
      <formula>input_mgmt_principal_storage_chosen="VMFS on Fibre Channel (FC)"</formula>
    </cfRule>
  </conditionalFormatting>
  <conditionalFormatting sqref="D143">
    <cfRule type="notContainsBlanks" dxfId="0" priority="8">
      <formula>LEN(TRIM(D143))&gt;0</formula>
    </cfRule>
  </conditionalFormatting>
  <conditionalFormatting sqref="D143">
    <cfRule type="containsBlanks" dxfId="7" priority="9">
      <formula>LEN(TRIM(D143))=0</formula>
    </cfRule>
  </conditionalFormatting>
  <conditionalFormatting sqref="D204">
    <cfRule type="expression" dxfId="3" priority="10">
      <formula>input_mgmt_principal_storage_chosen="VMFS on Fibre Channel (FC)"</formula>
    </cfRule>
  </conditionalFormatting>
  <conditionalFormatting sqref="D204">
    <cfRule type="containsBlanks" dxfId="7" priority="11">
      <formula>LEN(TRIM(D204))=0</formula>
    </cfRule>
  </conditionalFormatting>
  <conditionalFormatting sqref="D204">
    <cfRule type="notContainsBlanks" dxfId="0" priority="12">
      <formula>LEN(TRIM(D204))&gt;0</formula>
    </cfRule>
  </conditionalFormatting>
  <conditionalFormatting sqref="D458:D461">
    <cfRule type="containsBlanks" dxfId="10" priority="13">
      <formula>LEN(TRIM(D458))=0</formula>
    </cfRule>
  </conditionalFormatting>
  <conditionalFormatting sqref="D458:D461">
    <cfRule type="notContainsBlanks" dxfId="23" priority="14">
      <formula>LEN(TRIM(D458))&gt;0</formula>
    </cfRule>
  </conditionalFormatting>
  <conditionalFormatting sqref="E14:E15">
    <cfRule type="containsText" dxfId="21" priority="15" operator="containsText" text="Note:">
      <formula>NOT(ISERROR(SEARCH(("Note:"),(E14))))</formula>
    </cfRule>
  </conditionalFormatting>
  <dataValidations>
    <dataValidation type="list" allowBlank="1" showErrorMessage="1" sqref="D153">
      <formula1>"Excluded,Small,Medium,Large"</formula1>
    </dataValidation>
    <dataValidation type="list" allowBlank="1" showErrorMessage="1" sqref="D66 D200 D208 D216 D224">
      <formula1>table_masks</formula1>
    </dataValidation>
    <dataValidation type="list" allowBlank="1" showErrorMessage="1" sqref="D364">
      <formula1>"Small,Medium,Large,X-Large"</formula1>
    </dataValidation>
    <dataValidation type="list" allowBlank="1" showErrorMessage="1" sqref="D52 D91">
      <formula1>"Selected,Unselected"</formula1>
    </dataValidation>
    <dataValidation type="list" allowBlank="1" showErrorMessage="1" sqref="D40">
      <formula1>"Small,Medium,Large,Extra Large"</formula1>
    </dataValidation>
    <dataValidation type="list" allowBlank="1" showErrorMessage="1" sqref="D45">
      <formula1>"Yes,No"</formula1>
    </dataValidation>
    <dataValidation type="list" allowBlank="1" showErrorMessage="1" sqref="B12">
      <formula1>"Exclude,Centralized Connectivity,Distributed Connectivity"</formula1>
    </dataValidation>
    <dataValidation type="list" allowBlank="1" showErrorMessage="1" sqref="D48 D74">
      <formula1>"DHCP,Static"</formula1>
    </dataValidation>
    <dataValidation type="list" allowBlank="1" showErrorMessage="1" sqref="B11 B13:B14 D134">
      <formula1>"Include,Exclude"</formula1>
    </dataValidation>
    <dataValidation type="list" allowBlank="1" showErrorMessage="1" sqref="B15">
      <formula1>"Exclude,Active Global Manager,Standby Global Manager,Connect Instance"</formula1>
    </dataValidation>
    <dataValidation type="list" allowBlank="1" showErrorMessage="1" sqref="D95 D104 D119">
      <formula1>"Unselected,Selected"</formula1>
    </dataValidation>
    <dataValidation type="list" allowBlank="1" showErrorMessage="1" sqref="D97">
      <formula1>"Active Active,Active Standby"</formula1>
    </dataValidation>
    <dataValidation type="list" allowBlank="1" showErrorMessage="1" sqref="D194">
      <formula1>"Re-use an existing VCF Network Pool,Create a new VCF Network Pool"</formula1>
    </dataValidation>
    <dataValidation type="list" allowBlank="1" showErrorMessage="1" sqref="D320">
      <formula1>"Re-use an existing Pool,Create New Static IP Pool"</formula1>
    </dataValidation>
    <dataValidation type="list" allowBlank="1" showErrorMessage="1" sqref="D59">
      <formula1>"DHCP,IP Pool,Static IP List"</formula1>
    </dataValidation>
    <dataValidation type="list" allowBlank="1" showErrorMessage="1" sqref="D98">
      <formula1>"BGP,STATIC"</formula1>
    </dataValidation>
  </dataValidations>
  <hyperlinks>
    <hyperlink display="Apply Signed Certificates" location="'Configure Workload Domain'!navigation_apply_signed_certs_wld_domain" ref="B5"/>
    <hyperlink display="NSX Network Connectivity for the Workload Domain" location="'Configure Workload Domain'!navigation_nsx_routing_wld_domain" ref="C5"/>
    <hyperlink display="Deploy AVI Loadbalancer " location="'Configure Workload Domain'!navigation_avi_lb_wld_domain" ref="D5"/>
    <hyperlink display="Stretched Cluster" location="'Configure Workload Domain'!navigation_stretched_cluster_wld_domain" ref="E5"/>
    <hyperlink display="NSX Federation for Workload Domain" location="'Configure Workload Domain'!navigation_nsx_federation_for_wld_domain" ref="B7"/>
    <hyperlink display="" location="'Configure Workload Domain'!navigation_apply_signed_certs_mgmt_domain" ref="E20"/>
    <hyperlink display="Values are set based on vSphere Cluster configuration in the Deploy Workload Domain Tab. Click to Redirect" location="'Deploy Workload Domain'!D163" ref="E43"/>
    <hyperlink display="Values are set based on Datastore configuration in the Deploy Workload Domain Tab. Click to Redirect" location="'Deploy Workload Domain'!D199" ref="E47"/>
    <hyperlink display="Must be precreated in vCenter, Value is deterimined based on input in Deploy Workload Domain Tab." location="'Deploy Workload Domain'!D250" ref="E49"/>
    <hyperlink display="Value is deterimined based on input in Deploy Workload Domain Tab. Click to Redirect" location="'Deploy Workload Domain'!D332" ref="E51"/>
    <hyperlink display="Values are set based on vSphere Cluster configuration in the Deploy Workload Domain Tab. Click to Redirect" location="'Deploy Workload Domain'!D163" ref="E69"/>
    <hyperlink display="Values are set based on vSphere Cluster configuration in the Deploy Workload Domain Tab" location="'Deploy Workload Domain'!L94" ref="E70"/>
    <hyperlink display="Values are set based on Datastore configuration in the Deploy Workload Domain Tab. Click to Redirect" location="'Deploy Workload Domain'!D199" ref="E73"/>
    <hyperlink display="Must be precreated in vCenter, Value is deterimined based on input in Deploy Workload Domain Tab." location="'Deploy Workload Domain'!D250" ref="E75"/>
    <hyperlink display="Value is deterimined based on input in Deploy Workload Domain Tab. Click to Redirect" location="'Deploy Workload Domain'!D332" ref="E77"/>
    <hyperlink display="Note: Click this cell to redirect to the location for storing this output" location="null!input_wld_nsxt_gm_fingerprint" ref="E480"/>
    <hyperlink display="Note: Click this cell to redirect to the location for storing this output" location="null!input_wld_nsxt_lm_fingerprint" ref="E491"/>
  </hyperlink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4" width="75.78"/>
    <col customWidth="1" min="5" max="5" width="125.78"/>
    <col customWidth="1" min="6" max="26" width="10.78"/>
  </cols>
  <sheetData>
    <row r="1" ht="15.75" customHeight="1">
      <c r="A1" s="1"/>
      <c r="B1" s="1"/>
      <c r="C1" s="1"/>
      <c r="D1" s="1"/>
      <c r="E1" s="1"/>
      <c r="F1" s="41"/>
      <c r="G1" s="41"/>
      <c r="H1" s="41"/>
      <c r="I1" s="41"/>
      <c r="J1" s="41"/>
      <c r="K1" s="1"/>
      <c r="L1" s="1"/>
      <c r="M1" s="1"/>
      <c r="N1" s="1"/>
      <c r="O1" s="1"/>
      <c r="P1" s="1"/>
      <c r="Q1" s="1"/>
      <c r="R1" s="1"/>
      <c r="S1" s="1"/>
      <c r="T1" s="1"/>
      <c r="U1" s="1"/>
      <c r="V1" s="1"/>
      <c r="W1" s="1"/>
      <c r="X1" s="1"/>
      <c r="Y1" s="1"/>
      <c r="Z1" s="1"/>
    </row>
    <row r="2" ht="54.0" customHeight="1">
      <c r="A2" s="1"/>
      <c r="B2" s="179" t="s">
        <v>1598</v>
      </c>
      <c r="C2" s="13"/>
      <c r="D2" s="13"/>
      <c r="E2" s="14"/>
      <c r="F2" s="41"/>
      <c r="G2" s="41"/>
      <c r="H2" s="41"/>
      <c r="I2" s="41"/>
      <c r="J2" s="41"/>
      <c r="K2" s="1"/>
      <c r="L2" s="1"/>
      <c r="M2" s="1"/>
      <c r="N2" s="1"/>
      <c r="O2" s="1"/>
      <c r="P2" s="1"/>
      <c r="Q2" s="1"/>
      <c r="R2" s="1"/>
      <c r="S2" s="1"/>
      <c r="T2" s="1"/>
      <c r="U2" s="1"/>
      <c r="V2" s="1"/>
      <c r="W2" s="1"/>
      <c r="X2" s="1"/>
      <c r="Y2" s="1"/>
      <c r="Z2" s="1"/>
    </row>
    <row r="3" ht="19.5" customHeight="1">
      <c r="A3" s="1"/>
      <c r="B3" s="234" t="s">
        <v>1201</v>
      </c>
      <c r="C3" s="13"/>
      <c r="D3" s="13"/>
      <c r="E3" s="14"/>
      <c r="F3" s="41"/>
      <c r="G3" s="41"/>
      <c r="H3" s="41"/>
      <c r="I3" s="41"/>
      <c r="J3" s="41"/>
      <c r="K3" s="1"/>
      <c r="L3" s="1"/>
      <c r="M3" s="1"/>
      <c r="N3" s="1"/>
      <c r="O3" s="1"/>
      <c r="P3" s="1"/>
      <c r="Q3" s="1"/>
      <c r="R3" s="1"/>
      <c r="S3" s="1"/>
      <c r="T3" s="1"/>
      <c r="U3" s="1"/>
      <c r="V3" s="1"/>
      <c r="W3" s="1"/>
      <c r="X3" s="1"/>
      <c r="Y3" s="1"/>
      <c r="Z3" s="1"/>
    </row>
    <row r="4" ht="15.75" customHeight="1">
      <c r="A4" s="1"/>
      <c r="B4" s="1" t="s">
        <v>1441</v>
      </c>
      <c r="C4" s="1"/>
      <c r="D4" s="9"/>
      <c r="E4" s="10"/>
      <c r="F4" s="10"/>
      <c r="G4" s="1"/>
      <c r="H4" s="1"/>
      <c r="I4" s="1"/>
      <c r="J4" s="1"/>
      <c r="K4" s="1"/>
      <c r="L4" s="1"/>
      <c r="M4" s="1"/>
      <c r="N4" s="1"/>
      <c r="O4" s="1"/>
      <c r="P4" s="1"/>
      <c r="Q4" s="1"/>
      <c r="R4" s="1"/>
      <c r="S4" s="1"/>
      <c r="T4" s="1"/>
      <c r="U4" s="1"/>
      <c r="V4" s="1"/>
      <c r="W4" s="1"/>
      <c r="X4" s="1"/>
      <c r="Y4" s="1"/>
      <c r="Z4" s="1"/>
    </row>
    <row r="5" ht="15.75" customHeight="1">
      <c r="A5" s="41"/>
      <c r="B5" s="41"/>
      <c r="C5" s="1"/>
      <c r="D5" s="1"/>
      <c r="E5" s="1"/>
      <c r="F5" s="41"/>
      <c r="G5" s="41"/>
      <c r="H5" s="41"/>
      <c r="I5" s="41"/>
      <c r="J5" s="41"/>
      <c r="K5" s="41"/>
      <c r="L5" s="41"/>
      <c r="M5" s="41"/>
      <c r="N5" s="41"/>
      <c r="O5" s="41"/>
      <c r="P5" s="41"/>
      <c r="Q5" s="41"/>
      <c r="R5" s="41"/>
      <c r="S5" s="41"/>
      <c r="T5" s="41"/>
      <c r="U5" s="41"/>
      <c r="V5" s="41"/>
      <c r="W5" s="41"/>
      <c r="X5" s="41"/>
      <c r="Y5" s="41"/>
      <c r="Z5" s="41"/>
    </row>
    <row r="6" ht="33.75" customHeight="1">
      <c r="A6" s="41"/>
      <c r="B6" s="284" t="s">
        <v>1599</v>
      </c>
      <c r="C6" s="285"/>
      <c r="D6" s="285"/>
      <c r="E6" s="286"/>
      <c r="F6" s="41"/>
      <c r="G6" s="41"/>
      <c r="H6" s="41"/>
      <c r="I6" s="41"/>
      <c r="J6" s="41"/>
      <c r="K6" s="41"/>
      <c r="L6" s="41"/>
      <c r="M6" s="41"/>
      <c r="N6" s="41"/>
      <c r="O6" s="41"/>
      <c r="P6" s="41"/>
      <c r="Q6" s="41"/>
      <c r="R6" s="41"/>
      <c r="S6" s="41"/>
      <c r="T6" s="41"/>
      <c r="U6" s="41"/>
      <c r="V6" s="41"/>
      <c r="W6" s="41"/>
      <c r="X6" s="41"/>
      <c r="Y6" s="41"/>
      <c r="Z6" s="41"/>
    </row>
    <row r="7" ht="19.5" customHeight="1">
      <c r="A7" s="41"/>
      <c r="B7" s="252" t="s">
        <v>1600</v>
      </c>
      <c r="C7" s="253" t="s">
        <v>38</v>
      </c>
      <c r="D7" s="253" t="s">
        <v>124</v>
      </c>
      <c r="E7" s="253" t="s">
        <v>125</v>
      </c>
      <c r="F7" s="41"/>
      <c r="G7" s="41"/>
      <c r="H7" s="41"/>
      <c r="I7" s="41"/>
      <c r="J7" s="41"/>
      <c r="K7" s="41"/>
      <c r="L7" s="41"/>
      <c r="M7" s="41"/>
      <c r="N7" s="41"/>
      <c r="O7" s="41"/>
      <c r="P7" s="41"/>
      <c r="Q7" s="41"/>
      <c r="R7" s="41"/>
      <c r="S7" s="41"/>
      <c r="T7" s="41"/>
      <c r="U7" s="41"/>
      <c r="V7" s="41"/>
      <c r="W7" s="41"/>
      <c r="X7" s="41"/>
      <c r="Y7" s="41"/>
      <c r="Z7" s="41"/>
    </row>
    <row r="8" ht="19.5" customHeight="1">
      <c r="A8" s="41"/>
      <c r="B8" s="148" t="s">
        <v>1601</v>
      </c>
      <c r="C8" s="217" t="s">
        <v>1602</v>
      </c>
      <c r="D8" s="82"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51"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c r="F8" s="41"/>
      <c r="G8" s="41"/>
      <c r="H8" s="41"/>
      <c r="I8" s="41"/>
      <c r="J8" s="41"/>
      <c r="K8" s="41"/>
      <c r="L8" s="41"/>
      <c r="M8" s="41"/>
      <c r="N8" s="41"/>
      <c r="O8" s="41"/>
      <c r="P8" s="41"/>
      <c r="Q8" s="41"/>
      <c r="R8" s="41"/>
      <c r="S8" s="41"/>
      <c r="T8" s="41"/>
      <c r="U8" s="41"/>
      <c r="V8" s="41"/>
      <c r="W8" s="41"/>
      <c r="X8" s="41"/>
      <c r="Y8" s="41"/>
      <c r="Z8" s="41"/>
    </row>
    <row r="9" ht="19.5" customHeight="1">
      <c r="A9" s="55"/>
      <c r="B9" s="238" t="s">
        <v>184</v>
      </c>
      <c r="C9" s="217" t="s">
        <v>1204</v>
      </c>
      <c r="D9" s="18"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18"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IF(AND(wld_multirack_calc="Include",cluster_multi_rack_count_chosen="Exclude"),"Cause: Number of Additional Racks not selected",
IF(AND(cluster_chosen="Deploy a Multi-Rack Layer 3 Cluster",wld_multirack_calc="Exclude"),"Cause: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c r="F9" s="41"/>
      <c r="G9" s="41"/>
      <c r="H9" s="41"/>
      <c r="I9" s="41"/>
      <c r="J9" s="41"/>
      <c r="K9" s="41"/>
      <c r="L9" s="41"/>
      <c r="M9" s="41"/>
      <c r="N9" s="41"/>
      <c r="O9" s="41"/>
      <c r="P9" s="41"/>
      <c r="Q9" s="41"/>
      <c r="R9" s="41"/>
      <c r="S9" s="41"/>
      <c r="T9" s="41"/>
      <c r="U9" s="41"/>
      <c r="V9" s="41"/>
      <c r="W9" s="41"/>
      <c r="X9" s="41"/>
      <c r="Y9" s="41"/>
      <c r="Z9" s="41"/>
    </row>
    <row r="10" ht="19.5" customHeight="1">
      <c r="A10" s="41"/>
      <c r="B10" s="238" t="s">
        <v>184</v>
      </c>
      <c r="C10" s="110" t="s">
        <v>1205</v>
      </c>
      <c r="D10" s="18"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18"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c r="F10" s="41"/>
      <c r="G10" s="41"/>
      <c r="H10" s="41"/>
      <c r="I10" s="41"/>
      <c r="J10" s="41"/>
      <c r="K10" s="41"/>
      <c r="L10" s="41"/>
      <c r="M10" s="41"/>
      <c r="N10" s="41"/>
      <c r="O10" s="41"/>
      <c r="P10" s="41"/>
      <c r="Q10" s="41"/>
      <c r="R10" s="41"/>
      <c r="S10" s="41"/>
      <c r="T10" s="41"/>
      <c r="U10" s="41"/>
      <c r="V10" s="41"/>
      <c r="W10" s="41"/>
      <c r="X10" s="41"/>
      <c r="Y10" s="41"/>
      <c r="Z10" s="41"/>
    </row>
    <row r="11" ht="19.5" customHeight="1">
      <c r="A11" s="41"/>
      <c r="B11" s="148" t="s">
        <v>370</v>
      </c>
      <c r="C11" s="217" t="s">
        <v>1207</v>
      </c>
      <c r="D11" s="148" t="str">
        <f>IF((cluster_result="Excluded"),"Excluded",
IF(AND(cluster_chosen="Deploy a Multi-Rack Layer 3 Cluster",AND(cluster_principal_storage_chosen&lt;&gt;"vSAN-ESA",cluster_principal_storage_chosen&lt;&gt;"vSAN-OSA",cluster_principal_storage_chosen&lt;&gt;"vSAN Compute Cluster")),"Excluded","Included"))</f>
        <v>Excluded</v>
      </c>
      <c r="E11" s="274"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c r="F11" s="41"/>
      <c r="G11" s="41"/>
      <c r="H11" s="41"/>
      <c r="I11" s="41"/>
      <c r="J11" s="41"/>
      <c r="K11" s="41"/>
      <c r="L11" s="41"/>
      <c r="M11" s="41"/>
      <c r="N11" s="41"/>
      <c r="O11" s="41"/>
      <c r="P11" s="41"/>
      <c r="Q11" s="41"/>
      <c r="R11" s="41"/>
      <c r="S11" s="41"/>
      <c r="T11" s="41"/>
      <c r="U11" s="41"/>
      <c r="V11" s="41"/>
      <c r="W11" s="41"/>
      <c r="X11" s="41"/>
      <c r="Y11" s="41"/>
      <c r="Z11" s="41"/>
    </row>
    <row r="12" ht="19.5" customHeight="1">
      <c r="A12" s="41"/>
      <c r="B12" s="148" t="s">
        <v>184</v>
      </c>
      <c r="C12" s="110" t="s">
        <v>1603</v>
      </c>
      <c r="D12" s="148" t="str">
        <f>IF(mgmt_domain_deployment_type_chosen="VMware vSphere Foundation","Excluded",
IF(OR(AND(cluster_principal_storage_chosen="NFSv3",cluster_secondary_storage_chosen="Secondary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8" t="str">
        <f>IF(mgmt_domain_deployment_type_chosen="VMware vSphere Foundation","Cannot be performed on a VMware vSphere Foundation deployment",
IF(vcf_granular_option_chosen&lt;&gt;"Create Cluster","Option Not Required for current deployment type",
IF(wld_domain_chosen="Import VI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c r="F12" s="41"/>
      <c r="G12" s="41"/>
      <c r="H12" s="41"/>
      <c r="I12" s="41"/>
      <c r="J12" s="41"/>
      <c r="K12" s="41"/>
      <c r="L12" s="41"/>
      <c r="M12" s="41"/>
      <c r="N12" s="41"/>
      <c r="O12" s="41"/>
      <c r="P12" s="41"/>
      <c r="Q12" s="41"/>
      <c r="R12" s="41"/>
      <c r="S12" s="41"/>
      <c r="T12" s="41"/>
      <c r="U12" s="41"/>
      <c r="V12" s="41"/>
      <c r="W12" s="41"/>
      <c r="X12" s="41"/>
      <c r="Y12" s="41"/>
      <c r="Z12" s="41"/>
    </row>
    <row r="13" ht="19.5" customHeight="1">
      <c r="A13" s="41"/>
      <c r="B13" s="148" t="s">
        <v>715</v>
      </c>
      <c r="C13" s="110" t="s">
        <v>1208</v>
      </c>
      <c r="D13" s="148" t="str">
        <f>IF((cluster_result="Excluded"),"Excluded","Included")</f>
        <v>Excluded</v>
      </c>
      <c r="E13" s="18"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c r="F13" s="41"/>
      <c r="G13" s="41"/>
      <c r="H13" s="41"/>
      <c r="I13" s="41"/>
      <c r="J13" s="41"/>
      <c r="K13" s="41"/>
      <c r="L13" s="41"/>
      <c r="M13" s="41"/>
      <c r="N13" s="41"/>
      <c r="O13" s="41"/>
      <c r="P13" s="41"/>
      <c r="Q13" s="41"/>
      <c r="R13" s="41"/>
      <c r="S13" s="41"/>
      <c r="T13" s="41"/>
      <c r="U13" s="41"/>
      <c r="V13" s="41"/>
      <c r="W13" s="41"/>
      <c r="X13" s="41"/>
      <c r="Y13" s="41"/>
      <c r="Z13" s="41"/>
    </row>
    <row r="14" ht="19.5" customHeight="1">
      <c r="A14" s="41"/>
      <c r="B14" s="82" t="s">
        <v>184</v>
      </c>
      <c r="C14" s="110" t="s">
        <v>519</v>
      </c>
      <c r="D14" s="287" t="str">
        <f>IF(cluster_chosen="Deploy a Multi-Rack Layer 3 Cluster","Excluded",
IF(cluster_stretched_cluster_chosen="Exclude","Excluded","Included"))</f>
        <v>Excluded</v>
      </c>
      <c r="E14" s="288"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c r="F14" s="41"/>
      <c r="G14" s="41"/>
      <c r="H14" s="41"/>
      <c r="I14" s="41"/>
      <c r="J14" s="41"/>
      <c r="K14" s="41"/>
      <c r="L14" s="41"/>
      <c r="M14" s="41"/>
      <c r="N14" s="41"/>
      <c r="O14" s="41"/>
      <c r="P14" s="41"/>
      <c r="Q14" s="41"/>
      <c r="R14" s="41"/>
      <c r="S14" s="41"/>
      <c r="T14" s="41"/>
      <c r="U14" s="41"/>
      <c r="V14" s="41"/>
      <c r="W14" s="41"/>
      <c r="X14" s="41"/>
      <c r="Y14" s="41"/>
      <c r="Z14" s="41"/>
    </row>
    <row r="15" ht="15.75" customHeight="1">
      <c r="A15" s="41"/>
      <c r="B15" s="41"/>
      <c r="C15" s="1"/>
      <c r="D15" s="1"/>
      <c r="E15" s="1"/>
      <c r="F15" s="41"/>
      <c r="G15" s="41"/>
      <c r="H15" s="41"/>
      <c r="I15" s="41"/>
      <c r="J15" s="41"/>
      <c r="K15" s="41"/>
      <c r="L15" s="41"/>
      <c r="M15" s="41"/>
      <c r="N15" s="41"/>
      <c r="O15" s="41"/>
      <c r="P15" s="41"/>
      <c r="Q15" s="41"/>
      <c r="R15" s="41"/>
      <c r="S15" s="41"/>
      <c r="T15" s="41"/>
      <c r="U15" s="41"/>
      <c r="V15" s="41"/>
      <c r="W15" s="41"/>
      <c r="X15" s="41"/>
      <c r="Y15" s="41"/>
      <c r="Z15" s="41"/>
    </row>
    <row r="16" ht="33.75" customHeight="1">
      <c r="A16" s="41"/>
      <c r="B16" s="197" t="s">
        <v>1212</v>
      </c>
      <c r="C16" s="13"/>
      <c r="D16" s="13"/>
      <c r="E16" s="14"/>
      <c r="F16" s="41"/>
      <c r="G16" s="41"/>
      <c r="H16" s="41"/>
      <c r="I16" s="41"/>
      <c r="J16" s="41"/>
      <c r="K16" s="41"/>
      <c r="L16" s="41"/>
      <c r="M16" s="41"/>
      <c r="N16" s="41"/>
      <c r="O16" s="41"/>
      <c r="P16" s="41"/>
      <c r="Q16" s="41"/>
      <c r="R16" s="41"/>
      <c r="S16" s="41"/>
      <c r="T16" s="41"/>
      <c r="U16" s="41"/>
      <c r="V16" s="41"/>
      <c r="W16" s="41"/>
      <c r="X16" s="41"/>
      <c r="Y16" s="41"/>
      <c r="Z16" s="41"/>
    </row>
    <row r="17" ht="19.5" customHeight="1">
      <c r="A17" s="41"/>
      <c r="B17" s="49" t="s">
        <v>37</v>
      </c>
      <c r="C17" s="49" t="s">
        <v>273</v>
      </c>
      <c r="D17" s="49" t="s">
        <v>274</v>
      </c>
      <c r="E17" s="49" t="s">
        <v>5</v>
      </c>
      <c r="F17" s="41"/>
      <c r="G17" s="41"/>
      <c r="H17" s="41"/>
      <c r="I17" s="41"/>
      <c r="J17" s="41"/>
      <c r="K17" s="41"/>
      <c r="L17" s="41"/>
      <c r="M17" s="41"/>
      <c r="N17" s="41"/>
      <c r="O17" s="41"/>
      <c r="P17" s="41"/>
      <c r="Q17" s="41"/>
      <c r="R17" s="41"/>
      <c r="S17" s="41"/>
      <c r="T17" s="41"/>
      <c r="U17" s="41"/>
      <c r="V17" s="41"/>
      <c r="W17" s="41"/>
      <c r="X17" s="41"/>
      <c r="Y17" s="41"/>
      <c r="Z17" s="41"/>
    </row>
    <row r="18" ht="19.5" customHeight="1">
      <c r="A18" s="41"/>
      <c r="B18" s="102" t="s">
        <v>356</v>
      </c>
      <c r="C18" s="13"/>
      <c r="D18" s="13"/>
      <c r="E18" s="14"/>
      <c r="F18" s="41"/>
      <c r="G18" s="41"/>
      <c r="H18" s="41"/>
      <c r="I18" s="41"/>
      <c r="J18" s="41"/>
      <c r="K18" s="41"/>
      <c r="L18" s="41"/>
      <c r="M18" s="41"/>
      <c r="N18" s="41"/>
      <c r="O18" s="41"/>
      <c r="P18" s="41"/>
      <c r="Q18" s="41"/>
      <c r="R18" s="41"/>
      <c r="S18" s="41"/>
      <c r="T18" s="41"/>
      <c r="U18" s="41"/>
      <c r="V18" s="41"/>
      <c r="W18" s="41"/>
      <c r="X18" s="41"/>
      <c r="Y18" s="41"/>
      <c r="Z18" s="41"/>
    </row>
    <row r="19" ht="19.5" customHeight="1">
      <c r="A19" s="41"/>
      <c r="B19" s="84" t="s">
        <v>256</v>
      </c>
      <c r="C19" s="156" t="str">
        <f>IF(cluster_wld_domain_chosen="VI 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sfo-w01</v>
      </c>
      <c r="D19" s="18"/>
      <c r="E19" s="84"/>
      <c r="F19" s="41"/>
      <c r="G19" s="41"/>
      <c r="H19" s="41"/>
      <c r="I19" s="41"/>
      <c r="J19" s="41"/>
      <c r="K19" s="41"/>
      <c r="L19" s="41"/>
      <c r="M19" s="41"/>
      <c r="N19" s="41"/>
      <c r="O19" s="41"/>
      <c r="P19" s="41"/>
      <c r="Q19" s="41"/>
      <c r="R19" s="41"/>
      <c r="S19" s="41"/>
      <c r="T19" s="41"/>
      <c r="U19" s="41"/>
      <c r="V19" s="41"/>
      <c r="W19" s="41"/>
      <c r="X19" s="41"/>
      <c r="Y19" s="41"/>
      <c r="Z19" s="41"/>
    </row>
    <row r="20" ht="15.75" customHeight="1">
      <c r="A20" s="41"/>
      <c r="B20" s="41"/>
      <c r="C20" s="1"/>
      <c r="D20" s="1"/>
      <c r="E20" s="1"/>
      <c r="F20" s="41"/>
      <c r="G20" s="41"/>
      <c r="H20" s="41"/>
      <c r="I20" s="41"/>
      <c r="J20" s="41"/>
      <c r="K20" s="41"/>
      <c r="L20" s="41"/>
      <c r="M20" s="41"/>
      <c r="N20" s="41"/>
      <c r="O20" s="41"/>
      <c r="P20" s="41"/>
      <c r="Q20" s="41"/>
      <c r="R20" s="41"/>
      <c r="S20" s="41"/>
      <c r="T20" s="41"/>
      <c r="U20" s="41"/>
      <c r="V20" s="41"/>
      <c r="W20" s="41"/>
      <c r="X20" s="41"/>
      <c r="Y20" s="41"/>
      <c r="Z20" s="41"/>
    </row>
    <row r="21" ht="33.75" customHeight="1">
      <c r="A21" s="41"/>
      <c r="B21" s="197" t="s">
        <v>1241</v>
      </c>
      <c r="C21" s="13"/>
      <c r="D21" s="13"/>
      <c r="E21" s="14"/>
      <c r="F21" s="41"/>
      <c r="G21" s="41"/>
      <c r="H21" s="41"/>
      <c r="I21" s="41"/>
      <c r="J21" s="41"/>
      <c r="K21" s="41"/>
      <c r="L21" s="41"/>
      <c r="M21" s="41"/>
      <c r="N21" s="41"/>
      <c r="O21" s="41"/>
      <c r="P21" s="41"/>
      <c r="Q21" s="41"/>
      <c r="R21" s="41"/>
      <c r="S21" s="41"/>
      <c r="T21" s="41"/>
      <c r="U21" s="41"/>
      <c r="V21" s="41"/>
      <c r="W21" s="41"/>
      <c r="X21" s="41"/>
      <c r="Y21" s="41"/>
      <c r="Z21" s="41"/>
    </row>
    <row r="22" ht="19.5" customHeight="1">
      <c r="A22" s="41"/>
      <c r="B22" s="49" t="s">
        <v>37</v>
      </c>
      <c r="C22" s="49" t="s">
        <v>273</v>
      </c>
      <c r="D22" s="49" t="s">
        <v>274</v>
      </c>
      <c r="E22" s="49" t="s">
        <v>5</v>
      </c>
      <c r="F22" s="41"/>
      <c r="G22" s="41"/>
      <c r="H22" s="41"/>
      <c r="I22" s="41"/>
      <c r="J22" s="41"/>
      <c r="K22" s="41"/>
      <c r="L22" s="41"/>
      <c r="M22" s="41"/>
      <c r="N22" s="41"/>
      <c r="O22" s="41"/>
      <c r="P22" s="41"/>
      <c r="Q22" s="41"/>
      <c r="R22" s="41"/>
      <c r="S22" s="41"/>
      <c r="T22" s="41"/>
      <c r="U22" s="41"/>
      <c r="V22" s="41"/>
      <c r="W22" s="41"/>
      <c r="X22" s="41"/>
      <c r="Y22" s="41"/>
      <c r="Z22" s="41"/>
    </row>
    <row r="23" ht="19.5" customHeight="1">
      <c r="A23" s="41"/>
      <c r="B23" s="102" t="s">
        <v>400</v>
      </c>
      <c r="C23" s="13"/>
      <c r="D23" s="13"/>
      <c r="E23" s="14"/>
      <c r="F23" s="41"/>
      <c r="G23" s="41"/>
      <c r="H23" s="41"/>
      <c r="I23" s="41"/>
      <c r="J23" s="41"/>
      <c r="K23" s="41"/>
      <c r="L23" s="41"/>
      <c r="M23" s="41"/>
      <c r="N23" s="41"/>
      <c r="O23" s="41"/>
      <c r="P23" s="41"/>
      <c r="Q23" s="41"/>
      <c r="R23" s="41"/>
      <c r="S23" s="41"/>
      <c r="T23" s="41"/>
      <c r="U23" s="41"/>
      <c r="V23" s="41"/>
      <c r="W23" s="41"/>
      <c r="X23" s="41"/>
      <c r="Y23" s="41"/>
      <c r="Z23" s="41"/>
    </row>
    <row r="24" ht="19.5" customHeight="1">
      <c r="A24" s="41"/>
      <c r="B24" s="84" t="s">
        <v>401</v>
      </c>
      <c r="C24" s="156" t="str">
        <f>IF(cluster_wld_domain_chosen="VI Workload Domain",CONCATENATE(prefix_wld_az1_vlan,"11"),CONCATENATE(prefix_mgmt_az1_vlan,"11"))</f>
        <v>2311</v>
      </c>
      <c r="D24" s="18"/>
      <c r="E24" s="84"/>
      <c r="F24" s="41"/>
      <c r="G24" s="41"/>
      <c r="H24" s="41"/>
      <c r="I24" s="41"/>
      <c r="J24" s="41"/>
      <c r="K24" s="41"/>
      <c r="L24" s="41"/>
      <c r="M24" s="41"/>
      <c r="N24" s="41"/>
      <c r="O24" s="41"/>
      <c r="P24" s="41"/>
      <c r="Q24" s="41"/>
      <c r="R24" s="41"/>
      <c r="S24" s="41"/>
      <c r="T24" s="41"/>
      <c r="U24" s="41"/>
      <c r="V24" s="41"/>
      <c r="W24" s="41"/>
      <c r="X24" s="41"/>
      <c r="Y24" s="41"/>
      <c r="Z24" s="41"/>
    </row>
    <row r="25" ht="19.5" customHeight="1">
      <c r="A25" s="41"/>
      <c r="B25" s="84" t="s">
        <v>402</v>
      </c>
      <c r="C25" s="156" t="str">
        <f>IF(cluster_wld_domain_chosen="VI Workload Domain",CONCATENATE(prefix_wld_az1_cidr,"11.1"),CONCATENATE(prefix_mgmt_az1_cidr,"11.1"))</f>
        <v>10.23.11.1</v>
      </c>
      <c r="D25" s="18"/>
      <c r="E25" s="18"/>
      <c r="F25" s="41"/>
      <c r="G25" s="41"/>
      <c r="H25" s="41"/>
      <c r="I25" s="41"/>
      <c r="J25" s="41"/>
      <c r="K25" s="41"/>
      <c r="L25" s="41"/>
      <c r="M25" s="41"/>
      <c r="N25" s="41"/>
      <c r="O25" s="41"/>
      <c r="P25" s="41"/>
      <c r="Q25" s="41"/>
      <c r="R25" s="41"/>
      <c r="S25" s="41"/>
      <c r="T25" s="41"/>
      <c r="U25" s="41"/>
      <c r="V25" s="41"/>
      <c r="W25" s="41"/>
      <c r="X25" s="41"/>
      <c r="Y25" s="41"/>
      <c r="Z25" s="41"/>
    </row>
    <row r="26" ht="19.5" customHeight="1">
      <c r="A26" s="41"/>
      <c r="B26" s="84" t="s">
        <v>403</v>
      </c>
      <c r="C26" s="156" t="str">
        <f>IF(cluster_wld_domain_chosen="VI Workload Domain",CONCATENATE(prefix_wld_az1_cidr,"11.0/24"),CONCATENATE(prefix_mgmt_az1_cidr,"11.0/24"))</f>
        <v>10.23.11.0/24</v>
      </c>
      <c r="D26" s="18"/>
      <c r="E26" s="18"/>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84" t="s">
        <v>404</v>
      </c>
      <c r="C27" s="156">
        <v>1500.0</v>
      </c>
      <c r="D27" s="18"/>
      <c r="E27" s="18"/>
      <c r="F27" s="41"/>
      <c r="G27" s="41"/>
      <c r="H27" s="41"/>
      <c r="I27" s="41"/>
      <c r="J27" s="41"/>
      <c r="K27" s="41"/>
      <c r="L27" s="41"/>
      <c r="M27" s="41"/>
      <c r="N27" s="41"/>
      <c r="O27" s="41"/>
      <c r="P27" s="41"/>
      <c r="Q27" s="41"/>
      <c r="R27" s="41"/>
      <c r="S27" s="41"/>
      <c r="T27" s="41"/>
      <c r="U27" s="41"/>
      <c r="V27" s="41"/>
      <c r="W27" s="41"/>
      <c r="X27" s="41"/>
      <c r="Y27" s="41"/>
      <c r="Z27" s="41"/>
    </row>
    <row r="28" ht="19.5" customHeight="1">
      <c r="A28" s="41"/>
      <c r="B28" s="17" t="s">
        <v>481</v>
      </c>
      <c r="C28" s="13"/>
      <c r="D28" s="13"/>
      <c r="E28" s="14"/>
      <c r="F28" s="41"/>
      <c r="G28" s="41"/>
      <c r="H28" s="41"/>
      <c r="I28" s="41"/>
      <c r="J28" s="41"/>
      <c r="K28" s="41"/>
      <c r="L28" s="41"/>
      <c r="M28" s="41"/>
      <c r="N28" s="41"/>
      <c r="O28" s="41"/>
      <c r="P28" s="41"/>
      <c r="Q28" s="41"/>
      <c r="R28" s="41"/>
      <c r="S28" s="41"/>
      <c r="T28" s="41"/>
      <c r="U28" s="41"/>
      <c r="V28" s="41"/>
      <c r="W28" s="41"/>
      <c r="X28" s="41"/>
      <c r="Y28" s="41"/>
      <c r="Z28" s="41"/>
    </row>
    <row r="29" ht="19.5" customHeight="1">
      <c r="A29" s="41"/>
      <c r="B29" s="173" t="s">
        <v>697</v>
      </c>
      <c r="C29" s="163" t="str">
        <f>IF(cluster_wld_domain_chosen="VI Workload Domain",CONCATENATE(prefix_wld_az1_cidr,"11.101"),CONCATENATE(prefix_mgmt_az1_cidr,"11.101"))</f>
        <v>10.23.11.101</v>
      </c>
      <c r="D29" s="18"/>
      <c r="E29" s="199" t="s">
        <v>482</v>
      </c>
      <c r="F29" s="41"/>
      <c r="G29" s="41"/>
      <c r="H29" s="41"/>
      <c r="I29" s="41"/>
      <c r="J29" s="41"/>
      <c r="K29" s="41"/>
      <c r="L29" s="41"/>
      <c r="M29" s="41"/>
      <c r="N29" s="41"/>
      <c r="O29" s="41"/>
      <c r="P29" s="41"/>
      <c r="Q29" s="41"/>
      <c r="R29" s="41"/>
      <c r="S29" s="41"/>
      <c r="T29" s="41"/>
      <c r="U29" s="41"/>
      <c r="V29" s="41"/>
      <c r="W29" s="41"/>
      <c r="X29" s="41"/>
      <c r="Y29" s="41"/>
      <c r="Z29" s="41"/>
    </row>
    <row r="30" ht="19.5" customHeight="1">
      <c r="A30" s="41"/>
      <c r="B30" s="173" t="s">
        <v>698</v>
      </c>
      <c r="C30" s="163" t="str">
        <f>IF(cluster_wld_domain_chosen="VI Workload Domain",CONCATENATE(prefix_wld_az1_cidr,"11.102"),CONCATENATE(prefix_mgmt_az1_cidr,"11.102"))</f>
        <v>10.23.11.102</v>
      </c>
      <c r="D30" s="18"/>
      <c r="E30" s="199" t="s">
        <v>484</v>
      </c>
      <c r="F30" s="41"/>
      <c r="G30" s="41"/>
      <c r="H30" s="41"/>
      <c r="I30" s="41"/>
      <c r="J30" s="41"/>
      <c r="K30" s="41"/>
      <c r="L30" s="41"/>
      <c r="M30" s="41"/>
      <c r="N30" s="41"/>
      <c r="O30" s="41"/>
      <c r="P30" s="41"/>
      <c r="Q30" s="41"/>
      <c r="R30" s="41"/>
      <c r="S30" s="41"/>
      <c r="T30" s="41"/>
      <c r="U30" s="41"/>
      <c r="V30" s="41"/>
      <c r="W30" s="41"/>
      <c r="X30" s="41"/>
      <c r="Y30" s="41"/>
      <c r="Z30" s="41"/>
    </row>
    <row r="31" ht="19.5" customHeight="1">
      <c r="A31" s="41"/>
      <c r="B31" s="173" t="s">
        <v>699</v>
      </c>
      <c r="C31" s="163" t="str">
        <f>IF(cluster_wld_domain_chosen="VI Workload Domain",CONCATENATE(prefix_wld_az1_cidr,"11.103"),CONCATENATE(prefix_mgmt_az1_cidr,"11.103"))</f>
        <v>10.23.11.103</v>
      </c>
      <c r="D31" s="18"/>
      <c r="E31" s="199" t="s">
        <v>485</v>
      </c>
      <c r="F31" s="41"/>
      <c r="G31" s="41"/>
      <c r="H31" s="41"/>
      <c r="I31" s="41"/>
      <c r="J31" s="41"/>
      <c r="K31" s="41"/>
      <c r="L31" s="41"/>
      <c r="M31" s="41"/>
      <c r="N31" s="41"/>
      <c r="O31" s="41"/>
      <c r="P31" s="41"/>
      <c r="Q31" s="41"/>
      <c r="R31" s="41"/>
      <c r="S31" s="41"/>
      <c r="T31" s="41"/>
      <c r="U31" s="41"/>
      <c r="V31" s="41"/>
      <c r="W31" s="41"/>
      <c r="X31" s="41"/>
      <c r="Y31" s="41"/>
      <c r="Z31" s="41"/>
    </row>
    <row r="32" ht="19.5" customHeight="1">
      <c r="A32" s="41"/>
      <c r="B32" s="173" t="s">
        <v>700</v>
      </c>
      <c r="C32" s="163" t="str">
        <f>IF(cluster_wld_domain_chosen="VI Workload Domain",CONCATENATE(prefix_wld_az1_cidr,"11.104"),CONCATENATE(prefix_mgmt_az1_cidr,"11.104"))</f>
        <v>10.23.11.104</v>
      </c>
      <c r="D32" s="18"/>
      <c r="E32" s="199" t="s">
        <v>486</v>
      </c>
      <c r="F32" s="41"/>
      <c r="G32" s="41"/>
      <c r="H32" s="41"/>
      <c r="I32" s="41"/>
      <c r="J32" s="41"/>
      <c r="K32" s="41"/>
      <c r="L32" s="41"/>
      <c r="M32" s="41"/>
      <c r="N32" s="41"/>
      <c r="O32" s="41"/>
      <c r="P32" s="41"/>
      <c r="Q32" s="41"/>
      <c r="R32" s="41"/>
      <c r="S32" s="41"/>
      <c r="T32" s="41"/>
      <c r="U32" s="41"/>
      <c r="V32" s="41"/>
      <c r="W32" s="41"/>
      <c r="X32" s="41"/>
      <c r="Y32" s="41"/>
      <c r="Z32" s="41"/>
    </row>
    <row r="33" ht="19.5" customHeight="1">
      <c r="A33" s="41"/>
      <c r="B33" s="173" t="s">
        <v>701</v>
      </c>
      <c r="C33" s="163" t="str">
        <f>IF(cluster_wld_domain_chosen="VI Workload Domain",CONCATENATE(prefix_wld_az1_cidr,"11.105"),CONCATENATE(prefix_mgmt_az1_cidr,"11.105"))</f>
        <v>10.23.11.105</v>
      </c>
      <c r="D33" s="18"/>
      <c r="E33" s="199" t="s">
        <v>487</v>
      </c>
      <c r="F33" s="41"/>
      <c r="G33" s="41"/>
      <c r="H33" s="41"/>
      <c r="I33" s="41"/>
      <c r="J33" s="41"/>
      <c r="K33" s="41"/>
      <c r="L33" s="41"/>
      <c r="M33" s="41"/>
      <c r="N33" s="41"/>
      <c r="O33" s="41"/>
      <c r="P33" s="41"/>
      <c r="Q33" s="41"/>
      <c r="R33" s="41"/>
      <c r="S33" s="41"/>
      <c r="T33" s="41"/>
      <c r="U33" s="41"/>
      <c r="V33" s="41"/>
      <c r="W33" s="41"/>
      <c r="X33" s="41"/>
      <c r="Y33" s="41"/>
      <c r="Z33" s="41"/>
    </row>
    <row r="34" ht="19.5" customHeight="1">
      <c r="A34" s="41"/>
      <c r="B34" s="173" t="s">
        <v>702</v>
      </c>
      <c r="C34" s="163" t="str">
        <f>IF(cluster_wld_domain_chosen="VI Workload Domain",CONCATENATE(prefix_wld_az1_cidr,"11.106"),CONCATENATE(prefix_mgmt_az1_cidr,"11.106"))</f>
        <v>10.23.11.106</v>
      </c>
      <c r="D34" s="18"/>
      <c r="E34" s="199" t="s">
        <v>488</v>
      </c>
      <c r="F34" s="41"/>
      <c r="G34" s="41"/>
      <c r="H34" s="41"/>
      <c r="I34" s="41"/>
      <c r="J34" s="41"/>
      <c r="K34" s="41"/>
      <c r="L34" s="41"/>
      <c r="M34" s="41"/>
      <c r="N34" s="41"/>
      <c r="O34" s="41"/>
      <c r="P34" s="41"/>
      <c r="Q34" s="41"/>
      <c r="R34" s="41"/>
      <c r="S34" s="41"/>
      <c r="T34" s="41"/>
      <c r="U34" s="41"/>
      <c r="V34" s="41"/>
      <c r="W34" s="41"/>
      <c r="X34" s="41"/>
      <c r="Y34" s="41"/>
      <c r="Z34" s="41"/>
    </row>
    <row r="35" ht="19.5" customHeight="1">
      <c r="A35" s="41"/>
      <c r="B35" s="173" t="s">
        <v>703</v>
      </c>
      <c r="C35" s="163" t="str">
        <f>IF(cluster_wld_domain_chosen="VI Workload Domain",CONCATENATE(prefix_wld_az1_cidr,"11.107"),CONCATENATE(prefix_mgmt_az1_cidr,"11.107"))</f>
        <v>10.23.11.107</v>
      </c>
      <c r="D35" s="18"/>
      <c r="E35" s="199" t="s">
        <v>489</v>
      </c>
      <c r="F35" s="41"/>
      <c r="G35" s="41"/>
      <c r="H35" s="41"/>
      <c r="I35" s="41"/>
      <c r="J35" s="41"/>
      <c r="K35" s="41"/>
      <c r="L35" s="41"/>
      <c r="M35" s="41"/>
      <c r="N35" s="41"/>
      <c r="O35" s="41"/>
      <c r="P35" s="41"/>
      <c r="Q35" s="41"/>
      <c r="R35" s="41"/>
      <c r="S35" s="41"/>
      <c r="T35" s="41"/>
      <c r="U35" s="41"/>
      <c r="V35" s="41"/>
      <c r="W35" s="41"/>
      <c r="X35" s="41"/>
      <c r="Y35" s="41"/>
      <c r="Z35" s="41"/>
    </row>
    <row r="36" ht="19.5" customHeight="1">
      <c r="A36" s="41"/>
      <c r="B36" s="173" t="s">
        <v>704</v>
      </c>
      <c r="C36" s="163" t="str">
        <f>IF(cluster_wld_domain_chosen="VI Workload Domain",CONCATENATE(prefix_wld_az1_cidr,"11.108"),CONCATENATE(prefix_mgmt_az1_cidr,"11.108"))</f>
        <v>10.23.11.108</v>
      </c>
      <c r="D36" s="18"/>
      <c r="E36" s="199" t="s">
        <v>490</v>
      </c>
      <c r="F36" s="41"/>
      <c r="G36" s="41"/>
      <c r="H36" s="41"/>
      <c r="I36" s="41"/>
      <c r="J36" s="41"/>
      <c r="K36" s="41"/>
      <c r="L36" s="41"/>
      <c r="M36" s="41"/>
      <c r="N36" s="41"/>
      <c r="O36" s="41"/>
      <c r="P36" s="41"/>
      <c r="Q36" s="41"/>
      <c r="R36" s="41"/>
      <c r="S36" s="41"/>
      <c r="T36" s="41"/>
      <c r="U36" s="41"/>
      <c r="V36" s="41"/>
      <c r="W36" s="41"/>
      <c r="X36" s="41"/>
      <c r="Y36" s="41"/>
      <c r="Z36" s="41"/>
    </row>
    <row r="37" ht="19.5" customHeight="1">
      <c r="A37" s="41"/>
      <c r="B37" s="173" t="s">
        <v>705</v>
      </c>
      <c r="C37" s="163" t="str">
        <f>IF(cluster_wld_domain_chosen="VI Workload Domain",CONCATENATE(prefix_wld_az1_cidr,"11.109"),CONCATENATE(prefix_mgmt_az1_cidr,"11.109"))</f>
        <v>10.23.11.109</v>
      </c>
      <c r="D37" s="18"/>
      <c r="E37" s="199" t="s">
        <v>491</v>
      </c>
      <c r="F37" s="41"/>
      <c r="G37" s="41"/>
      <c r="H37" s="41"/>
      <c r="I37" s="41"/>
      <c r="J37" s="41"/>
      <c r="K37" s="41"/>
      <c r="L37" s="41"/>
      <c r="M37" s="41"/>
      <c r="N37" s="41"/>
      <c r="O37" s="41"/>
      <c r="P37" s="41"/>
      <c r="Q37" s="41"/>
      <c r="R37" s="41"/>
      <c r="S37" s="41"/>
      <c r="T37" s="41"/>
      <c r="U37" s="41"/>
      <c r="V37" s="41"/>
      <c r="W37" s="41"/>
      <c r="X37" s="41"/>
      <c r="Y37" s="41"/>
      <c r="Z37" s="41"/>
    </row>
    <row r="38" ht="19.5" customHeight="1">
      <c r="A38" s="41"/>
      <c r="B38" s="173" t="s">
        <v>706</v>
      </c>
      <c r="C38" s="163" t="str">
        <f>IF(cluster_wld_domain_chosen="VI Workload Domain",CONCATENATE(prefix_wld_az1_cidr,"11.110"),CONCATENATE(prefix_mgmt_az1_cidr,"11.110"))</f>
        <v>10.23.11.110</v>
      </c>
      <c r="D38" s="18"/>
      <c r="E38" s="199" t="s">
        <v>492</v>
      </c>
      <c r="F38" s="41"/>
      <c r="G38" s="41"/>
      <c r="H38" s="41"/>
      <c r="I38" s="41"/>
      <c r="J38" s="41"/>
      <c r="K38" s="41"/>
      <c r="L38" s="41"/>
      <c r="M38" s="41"/>
      <c r="N38" s="41"/>
      <c r="O38" s="41"/>
      <c r="P38" s="41"/>
      <c r="Q38" s="41"/>
      <c r="R38" s="41"/>
      <c r="S38" s="41"/>
      <c r="T38" s="41"/>
      <c r="U38" s="41"/>
      <c r="V38" s="41"/>
      <c r="W38" s="41"/>
      <c r="X38" s="41"/>
      <c r="Y38" s="41"/>
      <c r="Z38" s="41"/>
    </row>
    <row r="39" ht="19.5" customHeight="1">
      <c r="A39" s="41"/>
      <c r="B39" s="173" t="s">
        <v>707</v>
      </c>
      <c r="C39" s="163" t="str">
        <f>IF(cluster_wld_domain_chosen="VI Workload Domain",CONCATENATE(prefix_wld_az1_cidr,"11.111"),CONCATENATE(prefix_mgmt_az1_cidr,"11.111"))</f>
        <v>10.23.11.111</v>
      </c>
      <c r="D39" s="18"/>
      <c r="E39" s="199" t="s">
        <v>493</v>
      </c>
      <c r="F39" s="41"/>
      <c r="G39" s="41"/>
      <c r="H39" s="41"/>
      <c r="I39" s="41"/>
      <c r="J39" s="41"/>
      <c r="K39" s="41"/>
      <c r="L39" s="41"/>
      <c r="M39" s="41"/>
      <c r="N39" s="41"/>
      <c r="O39" s="41"/>
      <c r="P39" s="41"/>
      <c r="Q39" s="41"/>
      <c r="R39" s="41"/>
      <c r="S39" s="41"/>
      <c r="T39" s="41"/>
      <c r="U39" s="41"/>
      <c r="V39" s="41"/>
      <c r="W39" s="41"/>
      <c r="X39" s="41"/>
      <c r="Y39" s="41"/>
      <c r="Z39" s="41"/>
    </row>
    <row r="40" ht="19.5" customHeight="1">
      <c r="A40" s="41"/>
      <c r="B40" s="173" t="s">
        <v>708</v>
      </c>
      <c r="C40" s="163" t="str">
        <f>IF(cluster_wld_domain_chosen="VI Workload Domain",CONCATENATE(prefix_wld_az1_cidr,"11.112"),CONCATENATE(prefix_mgmt_az1_cidr,"11.112"))</f>
        <v>10.23.11.112</v>
      </c>
      <c r="D40" s="18"/>
      <c r="E40" s="199" t="s">
        <v>494</v>
      </c>
      <c r="F40" s="41"/>
      <c r="G40" s="41"/>
      <c r="H40" s="41"/>
      <c r="I40" s="41"/>
      <c r="J40" s="41"/>
      <c r="K40" s="41"/>
      <c r="L40" s="41"/>
      <c r="M40" s="41"/>
      <c r="N40" s="41"/>
      <c r="O40" s="41"/>
      <c r="P40" s="41"/>
      <c r="Q40" s="41"/>
      <c r="R40" s="41"/>
      <c r="S40" s="41"/>
      <c r="T40" s="41"/>
      <c r="U40" s="41"/>
      <c r="V40" s="41"/>
      <c r="W40" s="41"/>
      <c r="X40" s="41"/>
      <c r="Y40" s="41"/>
      <c r="Z40" s="41"/>
    </row>
    <row r="41" ht="19.5" customHeight="1">
      <c r="A41" s="41"/>
      <c r="B41" s="173" t="s">
        <v>709</v>
      </c>
      <c r="C41" s="163" t="str">
        <f>IF(cluster_wld_domain_chosen="VI Workload Domain",CONCATENATE(prefix_wld_az1_cidr,"11.113"),CONCATENATE(prefix_mgmt_az1_cidr,"11.113"))</f>
        <v>10.23.11.113</v>
      </c>
      <c r="D41" s="18"/>
      <c r="E41" s="199" t="s">
        <v>495</v>
      </c>
      <c r="F41" s="41"/>
      <c r="G41" s="41"/>
      <c r="H41" s="41"/>
      <c r="I41" s="41"/>
      <c r="J41" s="41"/>
      <c r="K41" s="41"/>
      <c r="L41" s="41"/>
      <c r="M41" s="41"/>
      <c r="N41" s="41"/>
      <c r="O41" s="41"/>
      <c r="P41" s="41"/>
      <c r="Q41" s="41"/>
      <c r="R41" s="41"/>
      <c r="S41" s="41"/>
      <c r="T41" s="41"/>
      <c r="U41" s="41"/>
      <c r="V41" s="41"/>
      <c r="W41" s="41"/>
      <c r="X41" s="41"/>
      <c r="Y41" s="41"/>
      <c r="Z41" s="41"/>
    </row>
    <row r="42" ht="19.5" customHeight="1">
      <c r="A42" s="41"/>
      <c r="B42" s="173" t="s">
        <v>710</v>
      </c>
      <c r="C42" s="163" t="str">
        <f>IF(cluster_wld_domain_chosen="VI Workload Domain",CONCATENATE(prefix_wld_az1_cidr,"11.114"),CONCATENATE(prefix_mgmt_az1_cidr,"11.114"))</f>
        <v>10.23.11.114</v>
      </c>
      <c r="D42" s="18"/>
      <c r="E42" s="199" t="s">
        <v>496</v>
      </c>
      <c r="F42" s="41"/>
      <c r="G42" s="41"/>
      <c r="H42" s="41"/>
      <c r="I42" s="41"/>
      <c r="J42" s="41"/>
      <c r="K42" s="41"/>
      <c r="L42" s="41"/>
      <c r="M42" s="41"/>
      <c r="N42" s="41"/>
      <c r="O42" s="41"/>
      <c r="P42" s="41"/>
      <c r="Q42" s="41"/>
      <c r="R42" s="41"/>
      <c r="S42" s="41"/>
      <c r="T42" s="41"/>
      <c r="U42" s="41"/>
      <c r="V42" s="41"/>
      <c r="W42" s="41"/>
      <c r="X42" s="41"/>
      <c r="Y42" s="41"/>
      <c r="Z42" s="41"/>
    </row>
    <row r="43" ht="19.5" customHeight="1">
      <c r="A43" s="41"/>
      <c r="B43" s="173" t="s">
        <v>711</v>
      </c>
      <c r="C43" s="163" t="str">
        <f>IF(cluster_wld_domain_chosen="VI Workload Domain",CONCATENATE(prefix_wld_az1_cidr,"11.115"),CONCATENATE(prefix_mgmt_az1_cidr,"11.115"))</f>
        <v>10.23.11.115</v>
      </c>
      <c r="D43" s="18"/>
      <c r="E43" s="199" t="s">
        <v>497</v>
      </c>
      <c r="F43" s="41"/>
      <c r="G43" s="41"/>
      <c r="H43" s="41"/>
      <c r="I43" s="41"/>
      <c r="J43" s="41"/>
      <c r="K43" s="41"/>
      <c r="L43" s="41"/>
      <c r="M43" s="41"/>
      <c r="N43" s="41"/>
      <c r="O43" s="41"/>
      <c r="P43" s="41"/>
      <c r="Q43" s="41"/>
      <c r="R43" s="41"/>
      <c r="S43" s="41"/>
      <c r="T43" s="41"/>
      <c r="U43" s="41"/>
      <c r="V43" s="41"/>
      <c r="W43" s="41"/>
      <c r="X43" s="41"/>
      <c r="Y43" s="41"/>
      <c r="Z43" s="41"/>
    </row>
    <row r="44" ht="19.5" customHeight="1">
      <c r="A44" s="41"/>
      <c r="B44" s="173" t="s">
        <v>712</v>
      </c>
      <c r="C44" s="163" t="str">
        <f>IF(cluster_wld_domain_chosen="VI Workload Domain",CONCATENATE(prefix_wld_az1_cidr,"11.116"),CONCATENATE(prefix_mgmt_az1_cidr,"11.116"))</f>
        <v>10.23.11.116</v>
      </c>
      <c r="D44" s="18"/>
      <c r="E44" s="199" t="s">
        <v>498</v>
      </c>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1"/>
      <c r="D45" s="1"/>
      <c r="E45" s="1"/>
      <c r="F45" s="41"/>
      <c r="G45" s="41"/>
      <c r="H45" s="41"/>
      <c r="I45" s="41"/>
      <c r="J45" s="41"/>
      <c r="K45" s="41"/>
      <c r="L45" s="41"/>
      <c r="M45" s="41"/>
      <c r="N45" s="41"/>
      <c r="O45" s="41"/>
      <c r="P45" s="41"/>
      <c r="Q45" s="41"/>
      <c r="R45" s="41"/>
      <c r="S45" s="41"/>
      <c r="T45" s="41"/>
      <c r="U45" s="41"/>
      <c r="V45" s="41"/>
      <c r="W45" s="41"/>
      <c r="X45" s="41"/>
      <c r="Y45" s="41"/>
      <c r="Z45" s="41"/>
    </row>
    <row r="46" ht="33.75" customHeight="1">
      <c r="A46" s="41"/>
      <c r="B46" s="197" t="str">
        <f>IF(cluster_az1_reuse_vcf_networkpool_result="Excluded","Create Network Pool","Current Network Pool")</f>
        <v>Create Network Pool</v>
      </c>
      <c r="C46" s="13"/>
      <c r="D46" s="13"/>
      <c r="E46" s="14"/>
      <c r="F46" s="41"/>
      <c r="G46" s="41"/>
      <c r="H46" s="41"/>
      <c r="I46" s="41"/>
      <c r="J46" s="41"/>
      <c r="K46" s="41"/>
      <c r="L46" s="41"/>
      <c r="M46" s="41"/>
      <c r="N46" s="41"/>
      <c r="O46" s="41"/>
      <c r="P46" s="41"/>
      <c r="Q46" s="41"/>
      <c r="R46" s="41"/>
      <c r="S46" s="41"/>
      <c r="T46" s="41"/>
      <c r="U46" s="41"/>
      <c r="V46" s="41"/>
      <c r="W46" s="41"/>
      <c r="X46" s="41"/>
      <c r="Y46" s="41"/>
      <c r="Z46" s="41"/>
    </row>
    <row r="47" ht="19.5" customHeight="1">
      <c r="A47" s="41"/>
      <c r="B47" s="49" t="s">
        <v>37</v>
      </c>
      <c r="C47" s="49" t="s">
        <v>273</v>
      </c>
      <c r="D47" s="49" t="s">
        <v>274</v>
      </c>
      <c r="E47" s="49" t="s">
        <v>5</v>
      </c>
      <c r="F47" s="41"/>
      <c r="G47" s="41"/>
      <c r="H47" s="41"/>
      <c r="I47" s="41"/>
      <c r="J47" s="41"/>
      <c r="K47" s="41"/>
      <c r="L47" s="41"/>
      <c r="M47" s="41"/>
      <c r="N47" s="41"/>
      <c r="O47" s="41"/>
      <c r="P47" s="41"/>
      <c r="Q47" s="41"/>
      <c r="R47" s="41"/>
      <c r="S47" s="41"/>
      <c r="T47" s="41"/>
      <c r="U47" s="41"/>
      <c r="V47" s="41"/>
      <c r="W47" s="41"/>
      <c r="X47" s="41"/>
      <c r="Y47" s="41"/>
      <c r="Z47" s="41"/>
    </row>
    <row r="48" ht="19.5" customHeight="1">
      <c r="A48" s="41"/>
      <c r="B48" s="173" t="s">
        <v>716</v>
      </c>
      <c r="C48" s="156" t="str">
        <f>IF(cluster_wld_domain_chosen="VI Workload Domain",CONCATENATE(this_instance,"01-w0",wld_domain_number_chosen,"-r01-network-pool-01"),CONCATENATE(this_instance,"01-m01","-r01-network-pool-01"))</f>
        <v>lax01-w01-r01-network-pool-01</v>
      </c>
      <c r="D48" s="18"/>
      <c r="E48" s="18"/>
      <c r="F48" s="41"/>
      <c r="G48" s="41"/>
      <c r="H48" s="41"/>
      <c r="I48" s="41"/>
      <c r="J48" s="41"/>
      <c r="K48" s="41"/>
      <c r="L48" s="41"/>
      <c r="M48" s="41"/>
      <c r="N48" s="41"/>
      <c r="O48" s="41"/>
      <c r="P48" s="41"/>
      <c r="Q48" s="41"/>
      <c r="R48" s="41"/>
      <c r="S48" s="41"/>
      <c r="T48" s="41"/>
      <c r="U48" s="41"/>
      <c r="V48" s="41"/>
      <c r="W48" s="41"/>
      <c r="X48" s="41"/>
      <c r="Y48" s="41"/>
      <c r="Z48" s="41"/>
    </row>
    <row r="49" ht="19.5" customHeight="1">
      <c r="A49" s="41"/>
      <c r="B49" s="102" t="s">
        <v>407</v>
      </c>
      <c r="C49" s="13"/>
      <c r="D49" s="13"/>
      <c r="E49" s="14"/>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84" t="s">
        <v>401</v>
      </c>
      <c r="C50" s="156" t="str">
        <f>IF(cluster_wld_domain_chosen="VI Workload Domain",CONCATENATE(prefix_wld_az1_vlan,"12"),CONCATENATE(prefix_mgmt_az1_vlan,"12"))</f>
        <v>2312</v>
      </c>
      <c r="D50" s="18"/>
      <c r="E50" s="84"/>
      <c r="F50" s="41"/>
      <c r="G50" s="41"/>
      <c r="H50" s="41"/>
      <c r="I50" s="41"/>
      <c r="J50" s="41"/>
      <c r="K50" s="41"/>
      <c r="L50" s="41"/>
      <c r="M50" s="41"/>
      <c r="N50" s="41"/>
      <c r="O50" s="41"/>
      <c r="P50" s="41"/>
      <c r="Q50" s="41"/>
      <c r="R50" s="41"/>
      <c r="S50" s="41"/>
      <c r="T50" s="41"/>
      <c r="U50" s="41"/>
      <c r="V50" s="41"/>
      <c r="W50" s="41"/>
      <c r="X50" s="41"/>
      <c r="Y50" s="41"/>
      <c r="Z50" s="41"/>
    </row>
    <row r="51" ht="19.5" customHeight="1">
      <c r="A51" s="41"/>
      <c r="B51" s="84" t="s">
        <v>404</v>
      </c>
      <c r="C51" s="156">
        <v>9000.0</v>
      </c>
      <c r="D51" s="18"/>
      <c r="E51" s="18"/>
      <c r="F51" s="41"/>
      <c r="G51" s="41"/>
      <c r="H51" s="41"/>
      <c r="I51" s="41"/>
      <c r="J51" s="41"/>
      <c r="K51" s="41"/>
      <c r="L51" s="41"/>
      <c r="M51" s="41"/>
      <c r="N51" s="41"/>
      <c r="O51" s="41"/>
      <c r="P51" s="41"/>
      <c r="Q51" s="41"/>
      <c r="R51" s="41"/>
      <c r="S51" s="41"/>
      <c r="T51" s="41"/>
      <c r="U51" s="41"/>
      <c r="V51" s="41"/>
      <c r="W51" s="41"/>
      <c r="X51" s="41"/>
      <c r="Y51" s="41"/>
      <c r="Z51" s="41"/>
    </row>
    <row r="52" ht="19.5" customHeight="1">
      <c r="A52" s="41"/>
      <c r="B52" s="84" t="s">
        <v>403</v>
      </c>
      <c r="C52" s="156" t="str">
        <f>IF(cluster_wld_domain_chosen="VI Workload Domain",CONCATENATE(prefix_wld_az1_cidr,"12.0"),CONCATENATE(prefix_mgmt_az1_cidr,"12.0"))</f>
        <v>10.23.12.0</v>
      </c>
      <c r="D52" s="18"/>
      <c r="E52" s="18"/>
      <c r="F52" s="41"/>
      <c r="G52" s="41"/>
      <c r="H52" s="41"/>
      <c r="I52" s="41"/>
      <c r="J52" s="41"/>
      <c r="K52" s="41"/>
      <c r="L52" s="41"/>
      <c r="M52" s="41"/>
      <c r="N52" s="41"/>
      <c r="O52" s="41"/>
      <c r="P52" s="41"/>
      <c r="Q52" s="41"/>
      <c r="R52" s="41"/>
      <c r="S52" s="41"/>
      <c r="T52" s="41"/>
      <c r="U52" s="41"/>
      <c r="V52" s="41"/>
      <c r="W52" s="41"/>
      <c r="X52" s="41"/>
      <c r="Y52" s="41"/>
      <c r="Z52" s="41"/>
    </row>
    <row r="53" ht="19.5" customHeight="1">
      <c r="A53" s="41"/>
      <c r="B53" s="84" t="s">
        <v>743</v>
      </c>
      <c r="C53" s="156" t="s">
        <v>622</v>
      </c>
      <c r="D53" s="18"/>
      <c r="E53" s="18"/>
      <c r="F53" s="41"/>
      <c r="G53" s="41"/>
      <c r="H53" s="41"/>
      <c r="I53" s="41"/>
      <c r="J53" s="41"/>
      <c r="K53" s="41"/>
      <c r="L53" s="41"/>
      <c r="M53" s="41"/>
      <c r="N53" s="41"/>
      <c r="O53" s="41"/>
      <c r="P53" s="41"/>
      <c r="Q53" s="41"/>
      <c r="R53" s="41"/>
      <c r="S53" s="41"/>
      <c r="T53" s="41"/>
      <c r="U53" s="41"/>
      <c r="V53" s="41"/>
      <c r="W53" s="41"/>
      <c r="X53" s="41"/>
      <c r="Y53" s="41"/>
      <c r="Z53" s="41"/>
    </row>
    <row r="54" ht="19.5" customHeight="1">
      <c r="A54" s="41"/>
      <c r="B54" s="84" t="s">
        <v>402</v>
      </c>
      <c r="C54" s="156" t="str">
        <f>IF(cluster_wld_domain_chosen="VI Workload Domain",CONCATENATE(prefix_wld_az1_cidr,"12.1"),CONCATENATE(prefix_mgmt_az1_cidr,"12.1"))</f>
        <v>10.23.12.1</v>
      </c>
      <c r="D54" s="18"/>
      <c r="E54" s="18"/>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173" t="s">
        <v>465</v>
      </c>
      <c r="C55" s="156" t="str">
        <f>IF(cluster_wld_domain_chosen="VI Workload Domain",CONCATENATE(prefix_wld_az1_cidr,"12.101"),CONCATENATE(prefix_mgmt_az1_cidr,"12.101"))</f>
        <v>10.23.12.101</v>
      </c>
      <c r="D55" s="18"/>
      <c r="E55" s="18"/>
      <c r="F55" s="41"/>
      <c r="G55" s="41"/>
      <c r="H55" s="41"/>
      <c r="I55" s="41"/>
      <c r="J55" s="41"/>
      <c r="K55" s="41"/>
      <c r="L55" s="41"/>
      <c r="M55" s="41"/>
      <c r="N55" s="41"/>
      <c r="O55" s="41"/>
      <c r="P55" s="41"/>
      <c r="Q55" s="41"/>
      <c r="R55" s="41"/>
      <c r="S55" s="41"/>
      <c r="T55" s="41"/>
      <c r="U55" s="41"/>
      <c r="V55" s="41"/>
      <c r="W55" s="41"/>
      <c r="X55" s="41"/>
      <c r="Y55" s="41"/>
      <c r="Z55" s="41"/>
    </row>
    <row r="56" ht="19.5" customHeight="1">
      <c r="A56" s="41"/>
      <c r="B56" s="173" t="s">
        <v>466</v>
      </c>
      <c r="C56" s="156" t="str">
        <f>IF(cluster_wld_domain_chosen="VI Workload Domain",CONCATENATE(prefix_wld_az1_cidr,"12.116"),CONCATENATE(prefix_mgmt_az1_cidr,"12.116"))</f>
        <v>10.23.12.116</v>
      </c>
      <c r="D56" s="18"/>
      <c r="E56" s="18"/>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102" t="str">
        <f>IF(cluster_principal_storage_chosen="NFSv3","NFS Network","vSAN Network")</f>
        <v>vSAN Network</v>
      </c>
      <c r="C57" s="13"/>
      <c r="D57" s="13"/>
      <c r="E57" s="14"/>
      <c r="F57" s="41"/>
      <c r="G57" s="41"/>
      <c r="H57" s="41"/>
      <c r="I57" s="41"/>
      <c r="J57" s="41"/>
      <c r="K57" s="41"/>
      <c r="L57" s="41"/>
      <c r="M57" s="41"/>
      <c r="N57" s="41"/>
      <c r="O57" s="41"/>
      <c r="P57" s="41"/>
      <c r="Q57" s="41"/>
      <c r="R57" s="41"/>
      <c r="S57" s="41"/>
      <c r="T57" s="41"/>
      <c r="U57" s="41"/>
      <c r="V57" s="41"/>
      <c r="W57" s="41"/>
      <c r="X57" s="41"/>
      <c r="Y57" s="41"/>
      <c r="Z57" s="41"/>
    </row>
    <row r="58" ht="19.5" customHeight="1">
      <c r="A58" s="41"/>
      <c r="B58" s="84" t="s">
        <v>401</v>
      </c>
      <c r="C58" s="156" t="str">
        <f>IF(cluster_wld_domain_chosen="VI Workload Domain",CONCATENATE(prefix_wld_az1_vlan,"13"),CONCATENATE(prefix_mgmt_az1_vlan,"13"))</f>
        <v>2313</v>
      </c>
      <c r="D58" s="241"/>
      <c r="E58" s="18"/>
      <c r="F58" s="41"/>
      <c r="G58" s="41"/>
      <c r="H58" s="41"/>
      <c r="I58" s="41"/>
      <c r="J58" s="41"/>
      <c r="K58" s="41"/>
      <c r="L58" s="41"/>
      <c r="M58" s="41"/>
      <c r="N58" s="41"/>
      <c r="O58" s="41"/>
      <c r="P58" s="41"/>
      <c r="Q58" s="41"/>
      <c r="R58" s="41"/>
      <c r="S58" s="41"/>
      <c r="T58" s="41"/>
      <c r="U58" s="41"/>
      <c r="V58" s="41"/>
      <c r="W58" s="41"/>
      <c r="X58" s="41"/>
      <c r="Y58" s="41"/>
      <c r="Z58" s="41"/>
    </row>
    <row r="59" ht="19.5" customHeight="1">
      <c r="A59" s="41"/>
      <c r="B59" s="84" t="s">
        <v>404</v>
      </c>
      <c r="C59" s="156">
        <v>9000.0</v>
      </c>
      <c r="D59" s="18"/>
      <c r="E59" s="18"/>
      <c r="F59" s="41"/>
      <c r="G59" s="41"/>
      <c r="H59" s="41"/>
      <c r="I59" s="41"/>
      <c r="J59" s="41"/>
      <c r="K59" s="41"/>
      <c r="L59" s="41"/>
      <c r="M59" s="41"/>
      <c r="N59" s="41"/>
      <c r="O59" s="41"/>
      <c r="P59" s="41"/>
      <c r="Q59" s="41"/>
      <c r="R59" s="41"/>
      <c r="S59" s="41"/>
      <c r="T59" s="41"/>
      <c r="U59" s="41"/>
      <c r="V59" s="41"/>
      <c r="W59" s="41"/>
      <c r="X59" s="41"/>
      <c r="Y59" s="41"/>
      <c r="Z59" s="41"/>
    </row>
    <row r="60" ht="19.5" customHeight="1">
      <c r="A60" s="41"/>
      <c r="B60" s="84" t="s">
        <v>403</v>
      </c>
      <c r="C60" s="156" t="str">
        <f>IF(cluster_wld_domain_chosen="VI Workload Domain",CONCATENATE(prefix_wld_az1_cidr,"13.0"),CONCATENATE(prefix_mgmt_az1_cidr,"13.0"))</f>
        <v>10.23.13.0</v>
      </c>
      <c r="D60" s="18"/>
      <c r="E60" s="68"/>
      <c r="F60" s="41"/>
      <c r="G60" s="41"/>
      <c r="H60" s="41"/>
      <c r="I60" s="41"/>
      <c r="J60" s="41"/>
      <c r="K60" s="41"/>
      <c r="L60" s="41"/>
      <c r="M60" s="41"/>
      <c r="N60" s="41"/>
      <c r="O60" s="41"/>
      <c r="P60" s="41"/>
      <c r="Q60" s="41"/>
      <c r="R60" s="41"/>
      <c r="S60" s="41"/>
      <c r="T60" s="41"/>
      <c r="U60" s="41"/>
      <c r="V60" s="41"/>
      <c r="W60" s="41"/>
      <c r="X60" s="41"/>
      <c r="Y60" s="41"/>
      <c r="Z60" s="41"/>
    </row>
    <row r="61" ht="19.5" customHeight="1">
      <c r="A61" s="41"/>
      <c r="B61" s="84" t="s">
        <v>743</v>
      </c>
      <c r="C61" s="156" t="s">
        <v>622</v>
      </c>
      <c r="D61" s="18"/>
      <c r="E61" s="18"/>
      <c r="F61" s="41"/>
      <c r="G61" s="41"/>
      <c r="H61" s="41"/>
      <c r="I61" s="41"/>
      <c r="J61" s="41"/>
      <c r="K61" s="41"/>
      <c r="L61" s="41"/>
      <c r="M61" s="41"/>
      <c r="N61" s="41"/>
      <c r="O61" s="41"/>
      <c r="P61" s="41"/>
      <c r="Q61" s="41"/>
      <c r="R61" s="41"/>
      <c r="S61" s="41"/>
      <c r="T61" s="41"/>
      <c r="U61" s="41"/>
      <c r="V61" s="41"/>
      <c r="W61" s="41"/>
      <c r="X61" s="41"/>
      <c r="Y61" s="41"/>
      <c r="Z61" s="41"/>
    </row>
    <row r="62" ht="19.5" customHeight="1">
      <c r="A62" s="41"/>
      <c r="B62" s="84" t="s">
        <v>402</v>
      </c>
      <c r="C62" s="156" t="str">
        <f>IF(cluster_wld_domain_chosen="VI Workload Domain",CONCATENATE(prefix_wld_az1_cidr,"13.1"),CONCATENATE(prefix_mgmt_az1_cidr,"13.1"))</f>
        <v>10.23.13.1</v>
      </c>
      <c r="D62" s="18"/>
      <c r="E62" s="18" t="str">
        <f>IF(AND(mgmt_stretched_cluster_result="Included",mgmt_dpg_reuse_result="Excluded"),"Stretched L2","")</f>
        <v/>
      </c>
      <c r="F62" s="41"/>
      <c r="G62" s="41"/>
      <c r="H62" s="41"/>
      <c r="I62" s="41"/>
      <c r="J62" s="41"/>
      <c r="K62" s="41"/>
      <c r="L62" s="41"/>
      <c r="M62" s="41"/>
      <c r="N62" s="41"/>
      <c r="O62" s="41"/>
      <c r="P62" s="41"/>
      <c r="Q62" s="41"/>
      <c r="R62" s="41"/>
      <c r="S62" s="41"/>
      <c r="T62" s="41"/>
      <c r="U62" s="41"/>
      <c r="V62" s="41"/>
      <c r="W62" s="41"/>
      <c r="X62" s="41"/>
      <c r="Y62" s="41"/>
      <c r="Z62" s="41"/>
    </row>
    <row r="63" ht="19.5" customHeight="1">
      <c r="A63" s="41"/>
      <c r="B63" s="173" t="s">
        <v>465</v>
      </c>
      <c r="C63" s="156" t="str">
        <f>IF(cluster_wld_domain_chosen="VI Workload Domain",CONCATENATE(prefix_wld_az1_cidr,"13.101"),CONCATENATE(prefix_mgmt_az1_cidr,"13.101"))</f>
        <v>10.23.13.101</v>
      </c>
      <c r="D63" s="18"/>
      <c r="E63" s="68"/>
      <c r="F63" s="41"/>
      <c r="G63" s="41"/>
      <c r="H63" s="41"/>
      <c r="I63" s="41"/>
      <c r="J63" s="41"/>
      <c r="K63" s="41"/>
      <c r="L63" s="41"/>
      <c r="M63" s="41"/>
      <c r="N63" s="41"/>
      <c r="O63" s="41"/>
      <c r="P63" s="41"/>
      <c r="Q63" s="41"/>
      <c r="R63" s="41"/>
      <c r="S63" s="41"/>
      <c r="T63" s="41"/>
      <c r="U63" s="41"/>
      <c r="V63" s="41"/>
      <c r="W63" s="41"/>
      <c r="X63" s="41"/>
      <c r="Y63" s="41"/>
      <c r="Z63" s="41"/>
    </row>
    <row r="64" ht="19.5" customHeight="1">
      <c r="A64" s="41"/>
      <c r="B64" s="173" t="s">
        <v>466</v>
      </c>
      <c r="C64" s="156" t="str">
        <f>IF(cluster_wld_domain_chosen="VI Workload Domain",CONCATENATE(prefix_wld_az1_cidr,"13.116"),CONCATENATE(prefix_mgmt_az1_cidr,"13.116"))</f>
        <v>10.23.13.116</v>
      </c>
      <c r="D64" s="18"/>
      <c r="E64" s="68"/>
      <c r="F64" s="41"/>
      <c r="G64" s="41"/>
      <c r="H64" s="41"/>
      <c r="I64" s="41"/>
      <c r="J64" s="41"/>
      <c r="K64" s="41"/>
      <c r="L64" s="41"/>
      <c r="M64" s="41"/>
      <c r="N64" s="41"/>
      <c r="O64" s="41"/>
      <c r="P64" s="41"/>
      <c r="Q64" s="41"/>
      <c r="R64" s="41"/>
      <c r="S64" s="41"/>
      <c r="T64" s="41"/>
      <c r="U64" s="41"/>
      <c r="V64" s="41"/>
      <c r="W64" s="41"/>
      <c r="X64" s="41"/>
      <c r="Y64" s="41"/>
      <c r="Z64" s="41"/>
    </row>
    <row r="65" ht="19.5" customHeight="1">
      <c r="A65" s="41"/>
      <c r="B65" s="102" t="str">
        <f>IF(cluster_secondary_storage_chosen="Secondary NFS Storage Network","NFS Storage Network","vSAN Storage Client")</f>
        <v>vSAN Storage Client</v>
      </c>
      <c r="C65" s="13"/>
      <c r="D65" s="13"/>
      <c r="E65" s="14"/>
      <c r="F65" s="41"/>
      <c r="G65" s="41"/>
      <c r="H65" s="41"/>
      <c r="I65" s="41"/>
      <c r="J65" s="41"/>
      <c r="K65" s="41"/>
      <c r="L65" s="41"/>
      <c r="M65" s="41"/>
      <c r="N65" s="41"/>
      <c r="O65" s="41"/>
      <c r="P65" s="41"/>
      <c r="Q65" s="41"/>
      <c r="R65" s="41"/>
      <c r="S65" s="41"/>
      <c r="T65" s="41"/>
      <c r="U65" s="41"/>
      <c r="V65" s="41"/>
      <c r="W65" s="41"/>
      <c r="X65" s="41"/>
      <c r="Y65" s="41"/>
      <c r="Z65" s="41"/>
    </row>
    <row r="66" ht="19.5" customHeight="1">
      <c r="A66" s="41"/>
      <c r="B66" s="84" t="s">
        <v>401</v>
      </c>
      <c r="C66" s="156" t="str">
        <f>IF(cluster_wld_domain_chosen="VI Workload Domain",CONCATENATE(prefix_wld_az1_vlan,"15"),CONCATENATE(prefix_mgmt_az1_vlan,"15"))</f>
        <v>2315</v>
      </c>
      <c r="D66" s="18"/>
      <c r="E66" s="18"/>
      <c r="F66" s="41"/>
      <c r="G66" s="41"/>
      <c r="H66" s="41"/>
      <c r="I66" s="41"/>
      <c r="J66" s="41"/>
      <c r="K66" s="41"/>
      <c r="L66" s="41"/>
      <c r="M66" s="41"/>
      <c r="N66" s="41"/>
      <c r="O66" s="41"/>
      <c r="P66" s="41"/>
      <c r="Q66" s="41"/>
      <c r="R66" s="41"/>
      <c r="S66" s="41"/>
      <c r="T66" s="41"/>
      <c r="U66" s="41"/>
      <c r="V66" s="41"/>
      <c r="W66" s="41"/>
      <c r="X66" s="41"/>
      <c r="Y66" s="41"/>
      <c r="Z66" s="41"/>
    </row>
    <row r="67" ht="19.5" customHeight="1">
      <c r="A67" s="41"/>
      <c r="B67" s="84" t="s">
        <v>404</v>
      </c>
      <c r="C67" s="156">
        <v>9000.0</v>
      </c>
      <c r="D67" s="18"/>
      <c r="E67" s="68"/>
      <c r="F67" s="41"/>
      <c r="G67" s="41"/>
      <c r="H67" s="41"/>
      <c r="I67" s="41"/>
      <c r="J67" s="41"/>
      <c r="K67" s="41"/>
      <c r="L67" s="41"/>
      <c r="M67" s="41"/>
      <c r="N67" s="41"/>
      <c r="O67" s="41"/>
      <c r="P67" s="41"/>
      <c r="Q67" s="41"/>
      <c r="R67" s="41"/>
      <c r="S67" s="41"/>
      <c r="T67" s="41"/>
      <c r="U67" s="41"/>
      <c r="V67" s="41"/>
      <c r="W67" s="41"/>
      <c r="X67" s="41"/>
      <c r="Y67" s="41"/>
      <c r="Z67" s="41"/>
    </row>
    <row r="68" ht="19.5" customHeight="1">
      <c r="A68" s="41"/>
      <c r="B68" s="84" t="s">
        <v>403</v>
      </c>
      <c r="C68" s="156" t="str">
        <f>IF(cluster_wld_domain_chosen="VI Workload Domain",CONCATENATE(prefix_wld_az1_cidr,"15.0"),CONCATENATE(prefix_mgmt_az1_cidr,"15.0"))</f>
        <v>10.23.15.0</v>
      </c>
      <c r="D68" s="18"/>
      <c r="E68" s="18"/>
      <c r="F68" s="41"/>
      <c r="G68" s="41"/>
      <c r="H68" s="41"/>
      <c r="I68" s="41"/>
      <c r="J68" s="41"/>
      <c r="K68" s="41"/>
      <c r="L68" s="41"/>
      <c r="M68" s="41"/>
      <c r="N68" s="41"/>
      <c r="O68" s="41"/>
      <c r="P68" s="41"/>
      <c r="Q68" s="41"/>
      <c r="R68" s="41"/>
      <c r="S68" s="41"/>
      <c r="T68" s="41"/>
      <c r="U68" s="41"/>
      <c r="V68" s="41"/>
      <c r="W68" s="41"/>
      <c r="X68" s="41"/>
      <c r="Y68" s="41"/>
      <c r="Z68" s="41"/>
    </row>
    <row r="69" ht="19.5" customHeight="1">
      <c r="A69" s="41"/>
      <c r="B69" s="84" t="s">
        <v>743</v>
      </c>
      <c r="C69" s="156" t="s">
        <v>622</v>
      </c>
      <c r="D69" s="18"/>
      <c r="E69" s="18"/>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84" t="s">
        <v>402</v>
      </c>
      <c r="C70" s="156" t="str">
        <f>IF(cluster_wld_domain_chosen="VI Workload Domain",CONCATENATE(prefix_wld_az1_cidr,"15.1"),CONCATENATE(prefix_mgmt_az1_cidr,"15.1"))</f>
        <v>10.23.15.1</v>
      </c>
      <c r="D70" s="18"/>
      <c r="E70" s="18" t="str">
        <f>IF(AND(mgmt_stretched_cluster_result="Included",mgmt_dpg_reuse_result="Excluded"),"Stretched L2","")</f>
        <v/>
      </c>
      <c r="F70" s="41"/>
      <c r="G70" s="41"/>
      <c r="H70" s="41"/>
      <c r="I70" s="41"/>
      <c r="J70" s="41"/>
      <c r="K70" s="41"/>
      <c r="L70" s="41"/>
      <c r="M70" s="41"/>
      <c r="N70" s="41"/>
      <c r="O70" s="41"/>
      <c r="P70" s="41"/>
      <c r="Q70" s="41"/>
      <c r="R70" s="41"/>
      <c r="S70" s="41"/>
      <c r="T70" s="41"/>
      <c r="U70" s="41"/>
      <c r="V70" s="41"/>
      <c r="W70" s="41"/>
      <c r="X70" s="41"/>
      <c r="Y70" s="41"/>
      <c r="Z70" s="41"/>
    </row>
    <row r="71" ht="19.5" customHeight="1">
      <c r="A71" s="41"/>
      <c r="B71" s="173" t="s">
        <v>465</v>
      </c>
      <c r="C71" s="156" t="str">
        <f>IF(cluster_wld_domain_chosen="VI Workload Domain",CONCATENATE(prefix_wld_az1_cidr,"15.101"),CONCATENATE(prefix_mgmt_az1_cidr,"15.101"))</f>
        <v>10.23.15.101</v>
      </c>
      <c r="D71" s="18"/>
      <c r="E71" s="68"/>
      <c r="F71" s="41"/>
      <c r="G71" s="41"/>
      <c r="H71" s="41"/>
      <c r="I71" s="41"/>
      <c r="J71" s="41"/>
      <c r="K71" s="41"/>
      <c r="L71" s="41"/>
      <c r="M71" s="41"/>
      <c r="N71" s="41"/>
      <c r="O71" s="41"/>
      <c r="P71" s="41"/>
      <c r="Q71" s="41"/>
      <c r="R71" s="41"/>
      <c r="S71" s="41"/>
      <c r="T71" s="41"/>
      <c r="U71" s="41"/>
      <c r="V71" s="41"/>
      <c r="W71" s="41"/>
      <c r="X71" s="41"/>
      <c r="Y71" s="41"/>
      <c r="Z71" s="41"/>
    </row>
    <row r="72" ht="19.5" customHeight="1">
      <c r="A72" s="41"/>
      <c r="B72" s="173" t="s">
        <v>466</v>
      </c>
      <c r="C72" s="156" t="str">
        <f>IF(cluster_wld_domain_chosen="VI Workload Domain",CONCATENATE(prefix_wld_az1_cidr,"15.116"),CONCATENATE(prefix_mgmt_az1_cidr,"15.116"))</f>
        <v>10.23.15.116</v>
      </c>
      <c r="D72" s="18"/>
      <c r="E72" s="68"/>
      <c r="F72" s="41"/>
      <c r="G72" s="41"/>
      <c r="H72" s="41"/>
      <c r="I72" s="41"/>
      <c r="J72" s="41"/>
      <c r="K72" s="41"/>
      <c r="L72" s="41"/>
      <c r="M72" s="41"/>
      <c r="N72" s="41"/>
      <c r="O72" s="41"/>
      <c r="P72" s="41"/>
      <c r="Q72" s="41"/>
      <c r="R72" s="41"/>
      <c r="S72" s="41"/>
      <c r="T72" s="41"/>
      <c r="U72" s="41"/>
      <c r="V72" s="41"/>
      <c r="W72" s="41"/>
      <c r="X72" s="41"/>
      <c r="Y72" s="41"/>
      <c r="Z72" s="41"/>
    </row>
    <row r="73" ht="19.5" customHeight="1">
      <c r="A73" s="41"/>
      <c r="B73" s="102" t="s">
        <v>1244</v>
      </c>
      <c r="C73" s="13"/>
      <c r="D73" s="13"/>
      <c r="E73" s="14"/>
      <c r="F73" s="41"/>
      <c r="G73" s="41"/>
      <c r="H73" s="41"/>
      <c r="I73" s="41"/>
      <c r="J73" s="41"/>
      <c r="K73" s="41"/>
      <c r="L73" s="41"/>
      <c r="M73" s="41"/>
      <c r="N73" s="41"/>
      <c r="O73" s="41"/>
      <c r="P73" s="41"/>
      <c r="Q73" s="41"/>
      <c r="R73" s="41"/>
      <c r="S73" s="41"/>
      <c r="T73" s="41"/>
      <c r="U73" s="41"/>
      <c r="V73" s="41"/>
      <c r="W73" s="41"/>
      <c r="X73" s="41"/>
      <c r="Y73" s="41"/>
      <c r="Z73" s="41"/>
    </row>
    <row r="74" ht="19.5" customHeight="1">
      <c r="A74" s="41"/>
      <c r="B74" s="84" t="s">
        <v>401</v>
      </c>
      <c r="C74" s="156" t="str">
        <f>IF(cluster_wld_domain_chosen="VI Workload Domain",CONCATENATE(prefix_wld_az1_vlan,"16"),CONCATENATE(prefix_mgmt_az1_vlan,"16"))</f>
        <v>2316</v>
      </c>
      <c r="D74" s="18"/>
      <c r="E74" s="18"/>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84" t="s">
        <v>404</v>
      </c>
      <c r="C75" s="156">
        <v>9000.0</v>
      </c>
      <c r="D75" s="18"/>
      <c r="E75" s="68"/>
      <c r="F75" s="41"/>
      <c r="G75" s="41"/>
      <c r="H75" s="41"/>
      <c r="I75" s="41"/>
      <c r="J75" s="41"/>
      <c r="K75" s="41"/>
      <c r="L75" s="41"/>
      <c r="M75" s="41"/>
      <c r="N75" s="41"/>
      <c r="O75" s="41"/>
      <c r="P75" s="41"/>
      <c r="Q75" s="41"/>
      <c r="R75" s="41"/>
      <c r="S75" s="41"/>
      <c r="T75" s="41"/>
      <c r="U75" s="41"/>
      <c r="V75" s="41"/>
      <c r="W75" s="41"/>
      <c r="X75" s="41"/>
      <c r="Y75" s="41"/>
      <c r="Z75" s="41"/>
    </row>
    <row r="76" ht="19.5" customHeight="1">
      <c r="A76" s="41"/>
      <c r="B76" s="84" t="s">
        <v>403</v>
      </c>
      <c r="C76" s="156" t="str">
        <f>IF(cluster_wld_domain_chosen="VI Workload Domain",CONCATENATE(prefix_wld_az1_cidr,"16.0"),CONCATENATE(prefix_mgmt_az1_cidr,"16.0"))</f>
        <v>10.23.16.0</v>
      </c>
      <c r="D76" s="18"/>
      <c r="E76" s="18"/>
      <c r="F76" s="41"/>
      <c r="G76" s="41"/>
      <c r="H76" s="41"/>
      <c r="I76" s="41"/>
      <c r="J76" s="41"/>
      <c r="K76" s="41"/>
      <c r="L76" s="41"/>
      <c r="M76" s="41"/>
      <c r="N76" s="41"/>
      <c r="O76" s="41"/>
      <c r="P76" s="41"/>
      <c r="Q76" s="41"/>
      <c r="R76" s="41"/>
      <c r="S76" s="41"/>
      <c r="T76" s="41"/>
      <c r="U76" s="41"/>
      <c r="V76" s="41"/>
      <c r="W76" s="41"/>
      <c r="X76" s="41"/>
      <c r="Y76" s="41"/>
      <c r="Z76" s="41"/>
    </row>
    <row r="77" ht="19.5" customHeight="1">
      <c r="A77" s="41"/>
      <c r="B77" s="84" t="s">
        <v>743</v>
      </c>
      <c r="C77" s="156" t="s">
        <v>622</v>
      </c>
      <c r="D77" s="18"/>
      <c r="E77" s="18"/>
      <c r="F77" s="41"/>
      <c r="G77" s="41"/>
      <c r="H77" s="41"/>
      <c r="I77" s="41"/>
      <c r="J77" s="41"/>
      <c r="K77" s="41"/>
      <c r="L77" s="41"/>
      <c r="M77" s="41"/>
      <c r="N77" s="41"/>
      <c r="O77" s="41"/>
      <c r="P77" s="41"/>
      <c r="Q77" s="41"/>
      <c r="R77" s="41"/>
      <c r="S77" s="41"/>
      <c r="T77" s="41"/>
      <c r="U77" s="41"/>
      <c r="V77" s="41"/>
      <c r="W77" s="41"/>
      <c r="X77" s="41"/>
      <c r="Y77" s="41"/>
      <c r="Z77" s="41"/>
    </row>
    <row r="78" ht="19.5" customHeight="1">
      <c r="A78" s="41"/>
      <c r="B78" s="84" t="s">
        <v>402</v>
      </c>
      <c r="C78" s="156" t="str">
        <f>IF(cluster_wld_domain_chosen="VI Workload Domain",CONCATENATE(prefix_wld_az1_cidr,"16.1"),CONCATENATE(prefix_mgmt_az1_cidr,"16.1"))</f>
        <v>10.23.16.1</v>
      </c>
      <c r="D78" s="18"/>
      <c r="E78" s="18" t="str">
        <f>IF(AND(mgmt_stretched_cluster_result="Included",mgmt_dpg_reuse_result="Excluded"),"Stretched L2","")</f>
        <v/>
      </c>
      <c r="F78" s="41"/>
      <c r="G78" s="41"/>
      <c r="H78" s="41"/>
      <c r="I78" s="41"/>
      <c r="J78" s="41"/>
      <c r="K78" s="41"/>
      <c r="L78" s="41"/>
      <c r="M78" s="41"/>
      <c r="N78" s="41"/>
      <c r="O78" s="41"/>
      <c r="P78" s="41"/>
      <c r="Q78" s="41"/>
      <c r="R78" s="41"/>
      <c r="S78" s="41"/>
      <c r="T78" s="41"/>
      <c r="U78" s="41"/>
      <c r="V78" s="41"/>
      <c r="W78" s="41"/>
      <c r="X78" s="41"/>
      <c r="Y78" s="41"/>
      <c r="Z78" s="41"/>
    </row>
    <row r="79" ht="19.5" customHeight="1">
      <c r="A79" s="41"/>
      <c r="B79" s="173" t="s">
        <v>465</v>
      </c>
      <c r="C79" s="156" t="str">
        <f>IF(cluster_wld_domain_chosen="VI Workload Domain",CONCATENATE(prefix_wld_az1_cidr,"16.101"),CONCATENATE(prefix_mgmt_az1_cidr,"16.101"))</f>
        <v>10.23.16.101</v>
      </c>
      <c r="D79" s="18"/>
      <c r="E79" s="68"/>
      <c r="F79" s="41"/>
      <c r="G79" s="41"/>
      <c r="H79" s="41"/>
      <c r="I79" s="41"/>
      <c r="J79" s="41"/>
      <c r="K79" s="41"/>
      <c r="L79" s="41"/>
      <c r="M79" s="41"/>
      <c r="N79" s="41"/>
      <c r="O79" s="41"/>
      <c r="P79" s="41"/>
      <c r="Q79" s="41"/>
      <c r="R79" s="41"/>
      <c r="S79" s="41"/>
      <c r="T79" s="41"/>
      <c r="U79" s="41"/>
      <c r="V79" s="41"/>
      <c r="W79" s="41"/>
      <c r="X79" s="41"/>
      <c r="Y79" s="41"/>
      <c r="Z79" s="41"/>
    </row>
    <row r="80" ht="19.5" customHeight="1">
      <c r="A80" s="41"/>
      <c r="B80" s="173" t="s">
        <v>466</v>
      </c>
      <c r="C80" s="156" t="str">
        <f>IF(cluster_wld_domain_chosen="VI Workload Domain",CONCATENATE(prefix_wld_az1_cidr,"16.116"),CONCATENATE(prefix_mgmt_az1_cidr,"16.116"))</f>
        <v>10.23.16.116</v>
      </c>
      <c r="D80" s="18"/>
      <c r="E80" s="68"/>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1"/>
      <c r="D81" s="1"/>
      <c r="E81" s="1"/>
      <c r="F81" s="41"/>
      <c r="G81" s="41"/>
      <c r="H81" s="41"/>
      <c r="I81" s="41"/>
      <c r="J81" s="41"/>
      <c r="K81" s="41"/>
      <c r="L81" s="41"/>
      <c r="M81" s="41"/>
      <c r="N81" s="41"/>
      <c r="O81" s="41"/>
      <c r="P81" s="41"/>
      <c r="Q81" s="41"/>
      <c r="R81" s="41"/>
      <c r="S81" s="41"/>
      <c r="T81" s="41"/>
      <c r="U81" s="41"/>
      <c r="V81" s="41"/>
      <c r="W81" s="41"/>
      <c r="X81" s="41"/>
      <c r="Y81" s="41"/>
      <c r="Z81" s="41"/>
    </row>
    <row r="82" ht="33.75" customHeight="1">
      <c r="A82" s="41"/>
      <c r="B82" s="197" t="s">
        <v>1245</v>
      </c>
      <c r="C82" s="13"/>
      <c r="D82" s="13"/>
      <c r="E82" s="14"/>
      <c r="F82" s="41"/>
      <c r="G82" s="41"/>
      <c r="H82" s="41"/>
      <c r="I82" s="41"/>
      <c r="J82" s="41"/>
      <c r="K82" s="41"/>
      <c r="L82" s="41"/>
      <c r="M82" s="41"/>
      <c r="N82" s="41"/>
      <c r="O82" s="41"/>
      <c r="P82" s="41"/>
      <c r="Q82" s="41"/>
      <c r="R82" s="41"/>
      <c r="S82" s="41"/>
      <c r="T82" s="41"/>
      <c r="U82" s="41"/>
      <c r="V82" s="41"/>
      <c r="W82" s="41"/>
      <c r="X82" s="41"/>
      <c r="Y82" s="41"/>
      <c r="Z82" s="41"/>
    </row>
    <row r="83" ht="19.5" customHeight="1">
      <c r="A83" s="41"/>
      <c r="B83" s="49" t="s">
        <v>37</v>
      </c>
      <c r="C83" s="49" t="s">
        <v>273</v>
      </c>
      <c r="D83" s="49" t="s">
        <v>274</v>
      </c>
      <c r="E83" s="49" t="s">
        <v>5</v>
      </c>
      <c r="F83" s="41"/>
      <c r="G83" s="41"/>
      <c r="H83" s="41"/>
      <c r="I83" s="41"/>
      <c r="J83" s="41"/>
      <c r="K83" s="41"/>
      <c r="L83" s="41"/>
      <c r="M83" s="41"/>
      <c r="N83" s="41"/>
      <c r="O83" s="41"/>
      <c r="P83" s="41"/>
      <c r="Q83" s="41"/>
      <c r="R83" s="41"/>
      <c r="S83" s="41"/>
      <c r="T83" s="41"/>
      <c r="U83" s="41"/>
      <c r="V83" s="41"/>
      <c r="W83" s="41"/>
      <c r="X83" s="41"/>
      <c r="Y83" s="41"/>
      <c r="Z83" s="41"/>
    </row>
    <row r="84" ht="19.5" customHeight="1">
      <c r="A84" s="41"/>
      <c r="B84" s="173" t="s">
        <v>697</v>
      </c>
      <c r="C84" s="160" t="str">
        <f>IF(cluster_wld_domain_chosen="VI Workload Domain",CONCATENATE(this_instance,"01-w0",wld_domain_number_chosen,"-r01-esx01",".",sample_child_dns_zone),CONCATENATE(this_instance,"01-m01","-r01-esx01",".",sample_child_dns_zone))</f>
        <v>lax01-w01-r01-esx01.lax.rainpole.io</v>
      </c>
      <c r="D84" s="18"/>
      <c r="E84" s="18"/>
      <c r="F84" s="41"/>
      <c r="G84" s="41"/>
      <c r="H84" s="41"/>
      <c r="I84" s="41"/>
      <c r="J84" s="41"/>
      <c r="K84" s="41"/>
      <c r="L84" s="41"/>
      <c r="M84" s="41"/>
      <c r="N84" s="41"/>
      <c r="O84" s="41"/>
      <c r="P84" s="41"/>
      <c r="Q84" s="41"/>
      <c r="R84" s="41"/>
      <c r="S84" s="41"/>
      <c r="T84" s="41"/>
      <c r="U84" s="41"/>
      <c r="V84" s="41"/>
      <c r="W84" s="41"/>
      <c r="X84" s="41"/>
      <c r="Y84" s="41"/>
      <c r="Z84" s="41"/>
    </row>
    <row r="85" ht="19.5" customHeight="1">
      <c r="A85" s="41"/>
      <c r="B85" s="173" t="s">
        <v>698</v>
      </c>
      <c r="C85" s="160" t="str">
        <f>IF(cluster_wld_domain_chosen="VI Workload Domain",CONCATENATE(this_instance,"01-w0",wld_domain_number_chosen,"-r01-esx02",".",sample_child_dns_zone),CONCATENATE(this_instance,"01-m01","-r01-esx02",".",sample_child_dns_zone))</f>
        <v>lax01-w01-r01-esx02.lax.rainpole.io</v>
      </c>
      <c r="D85" s="18"/>
      <c r="E85" s="18"/>
      <c r="F85" s="41"/>
      <c r="G85" s="41"/>
      <c r="H85" s="41"/>
      <c r="I85" s="41"/>
      <c r="J85" s="41"/>
      <c r="K85" s="41"/>
      <c r="L85" s="41"/>
      <c r="M85" s="41"/>
      <c r="N85" s="41"/>
      <c r="O85" s="41"/>
      <c r="P85" s="41"/>
      <c r="Q85" s="41"/>
      <c r="R85" s="41"/>
      <c r="S85" s="41"/>
      <c r="T85" s="41"/>
      <c r="U85" s="41"/>
      <c r="V85" s="41"/>
      <c r="W85" s="41"/>
      <c r="X85" s="41"/>
      <c r="Y85" s="41"/>
      <c r="Z85" s="41"/>
    </row>
    <row r="86" ht="19.5" customHeight="1">
      <c r="A86" s="41"/>
      <c r="B86" s="173" t="s">
        <v>699</v>
      </c>
      <c r="C86" s="160" t="str">
        <f>IF(cluster_wld_domain_chosen="VI Workload Domain",CONCATENATE(this_instance,"01-w0",wld_domain_number_chosen,"-r01-esx03",".",sample_child_dns_zone),CONCATENATE(this_instance,"01-m01","-r01-esx03",".",sample_child_dns_zone))</f>
        <v>lax01-w01-r01-esx03.lax.rainpole.io</v>
      </c>
      <c r="D86" s="18"/>
      <c r="E86" s="18"/>
      <c r="F86" s="41"/>
      <c r="G86" s="41"/>
      <c r="H86" s="41"/>
      <c r="I86" s="41"/>
      <c r="J86" s="41"/>
      <c r="K86" s="41"/>
      <c r="L86" s="41"/>
      <c r="M86" s="41"/>
      <c r="N86" s="41"/>
      <c r="O86" s="41"/>
      <c r="P86" s="41"/>
      <c r="Q86" s="41"/>
      <c r="R86" s="41"/>
      <c r="S86" s="41"/>
      <c r="T86" s="41"/>
      <c r="U86" s="41"/>
      <c r="V86" s="41"/>
      <c r="W86" s="41"/>
      <c r="X86" s="41"/>
      <c r="Y86" s="41"/>
      <c r="Z86" s="41"/>
    </row>
    <row r="87" ht="19.5" customHeight="1">
      <c r="A87" s="41"/>
      <c r="B87" s="173" t="s">
        <v>700</v>
      </c>
      <c r="C87" s="160" t="str">
        <f>IF(cluster_wld_domain_chosen="VI Workload Domain",CONCATENATE(this_instance,"01-w0",wld_domain_number_chosen,"-r01-esx04",".",sample_child_dns_zone),CONCATENATE(this_instance,"01-m01","-r01-esx04",".",sample_child_dns_zone))</f>
        <v>lax01-w01-r01-esx04.lax.rainpole.io</v>
      </c>
      <c r="D87" s="18"/>
      <c r="E87" s="18"/>
      <c r="F87" s="41"/>
      <c r="G87" s="41"/>
      <c r="H87" s="41"/>
      <c r="I87" s="41"/>
      <c r="J87" s="41"/>
      <c r="K87" s="41"/>
      <c r="L87" s="41"/>
      <c r="M87" s="41"/>
      <c r="N87" s="41"/>
      <c r="O87" s="41"/>
      <c r="P87" s="41"/>
      <c r="Q87" s="41"/>
      <c r="R87" s="41"/>
      <c r="S87" s="41"/>
      <c r="T87" s="41"/>
      <c r="U87" s="41"/>
      <c r="V87" s="41"/>
      <c r="W87" s="41"/>
      <c r="X87" s="41"/>
      <c r="Y87" s="41"/>
      <c r="Z87" s="41"/>
    </row>
    <row r="88" ht="19.5" customHeight="1">
      <c r="A88" s="41"/>
      <c r="B88" s="173" t="s">
        <v>701</v>
      </c>
      <c r="C88" s="160" t="str">
        <f>IF(cluster_wld_domain_chosen="VI Workload Domain",CONCATENATE(this_instance,"01-w0",wld_domain_number_chosen,"-r01-esx05",".",sample_child_dns_zone),CONCATENATE(this_instance,"01-m01","-r01-esx05",".",sample_child_dns_zone))</f>
        <v>lax01-w01-r01-esx05.lax.rainpole.io</v>
      </c>
      <c r="D88" s="18"/>
      <c r="E88" s="18"/>
      <c r="F88" s="41"/>
      <c r="G88" s="41"/>
      <c r="H88" s="41"/>
      <c r="I88" s="41"/>
      <c r="J88" s="41"/>
      <c r="K88" s="41"/>
      <c r="L88" s="41"/>
      <c r="M88" s="41"/>
      <c r="N88" s="41"/>
      <c r="O88" s="41"/>
      <c r="P88" s="41"/>
      <c r="Q88" s="41"/>
      <c r="R88" s="41"/>
      <c r="S88" s="41"/>
      <c r="T88" s="41"/>
      <c r="U88" s="41"/>
      <c r="V88" s="41"/>
      <c r="W88" s="41"/>
      <c r="X88" s="41"/>
      <c r="Y88" s="41"/>
      <c r="Z88" s="41"/>
    </row>
    <row r="89" ht="19.5" customHeight="1">
      <c r="A89" s="41"/>
      <c r="B89" s="173" t="s">
        <v>702</v>
      </c>
      <c r="C89" s="160" t="str">
        <f>IF(cluster_wld_domain_chosen="VI Workload Domain",CONCATENATE(this_instance,"01-w0",wld_domain_number_chosen,"-r01-esx06",".",sample_child_dns_zone),CONCATENATE(this_instance,"01-m01","-r01-esx06",".",sample_child_dns_zone))</f>
        <v>lax01-w01-r01-esx06.lax.rainpole.io</v>
      </c>
      <c r="D89" s="18"/>
      <c r="E89" s="18"/>
      <c r="F89" s="41"/>
      <c r="G89" s="41"/>
      <c r="H89" s="41"/>
      <c r="I89" s="41"/>
      <c r="J89" s="41"/>
      <c r="K89" s="41"/>
      <c r="L89" s="41"/>
      <c r="M89" s="41"/>
      <c r="N89" s="41"/>
      <c r="O89" s="41"/>
      <c r="P89" s="41"/>
      <c r="Q89" s="41"/>
      <c r="R89" s="41"/>
      <c r="S89" s="41"/>
      <c r="T89" s="41"/>
      <c r="U89" s="41"/>
      <c r="V89" s="41"/>
      <c r="W89" s="41"/>
      <c r="X89" s="41"/>
      <c r="Y89" s="41"/>
      <c r="Z89" s="41"/>
    </row>
    <row r="90" ht="19.5" customHeight="1">
      <c r="A90" s="41"/>
      <c r="B90" s="173" t="s">
        <v>703</v>
      </c>
      <c r="C90" s="160" t="str">
        <f>IF(cluster_wld_domain_chosen="VI Workload Domain",CONCATENATE(this_instance,"01-w0",wld_domain_number_chosen,"-r01-esx07",".",sample_child_dns_zone),CONCATENATE(this_instance,"01-m01","-r01-esx07",".",sample_child_dns_zone))</f>
        <v>lax01-w01-r01-esx07.lax.rainpole.io</v>
      </c>
      <c r="D90" s="18"/>
      <c r="E90" s="18"/>
      <c r="F90" s="41"/>
      <c r="G90" s="41"/>
      <c r="H90" s="41"/>
      <c r="I90" s="41"/>
      <c r="J90" s="41"/>
      <c r="K90" s="41"/>
      <c r="L90" s="41"/>
      <c r="M90" s="41"/>
      <c r="N90" s="41"/>
      <c r="O90" s="41"/>
      <c r="P90" s="41"/>
      <c r="Q90" s="41"/>
      <c r="R90" s="41"/>
      <c r="S90" s="41"/>
      <c r="T90" s="41"/>
      <c r="U90" s="41"/>
      <c r="V90" s="41"/>
      <c r="W90" s="41"/>
      <c r="X90" s="41"/>
      <c r="Y90" s="41"/>
      <c r="Z90" s="41"/>
    </row>
    <row r="91" ht="19.5" customHeight="1">
      <c r="A91" s="41"/>
      <c r="B91" s="173" t="s">
        <v>704</v>
      </c>
      <c r="C91" s="160" t="str">
        <f>IF(cluster_wld_domain_chosen="VI Workload Domain",CONCATENATE(this_instance,"01-w0",wld_domain_number_chosen,"-r01-esx08",".",sample_child_dns_zone),CONCATENATE(this_instance,"01-m01","-r01-esx08",".",sample_child_dns_zone))</f>
        <v>lax01-w01-r01-esx08.lax.rainpole.io</v>
      </c>
      <c r="D91" s="18"/>
      <c r="E91" s="18"/>
      <c r="F91" s="41"/>
      <c r="G91" s="41"/>
      <c r="H91" s="41"/>
      <c r="I91" s="41"/>
      <c r="J91" s="41"/>
      <c r="K91" s="41"/>
      <c r="L91" s="41"/>
      <c r="M91" s="41"/>
      <c r="N91" s="41"/>
      <c r="O91" s="41"/>
      <c r="P91" s="41"/>
      <c r="Q91" s="41"/>
      <c r="R91" s="41"/>
      <c r="S91" s="41"/>
      <c r="T91" s="41"/>
      <c r="U91" s="41"/>
      <c r="V91" s="41"/>
      <c r="W91" s="41"/>
      <c r="X91" s="41"/>
      <c r="Y91" s="41"/>
      <c r="Z91" s="41"/>
    </row>
    <row r="92" ht="19.5" customHeight="1">
      <c r="A92" s="41"/>
      <c r="B92" s="173" t="s">
        <v>705</v>
      </c>
      <c r="C92" s="160" t="str">
        <f>IF(cluster_wld_domain_chosen="VI Workload Domain",CONCATENATE(this_instance,"01-w0",wld_domain_number_chosen,"-r01-esx09",".",sample_child_dns_zone),CONCATENATE(this_instance,"01-m01","-r01-esx09",".",sample_child_dns_zone))</f>
        <v>lax01-w01-r01-esx09.lax.rainpole.io</v>
      </c>
      <c r="D92" s="18"/>
      <c r="E92" s="18"/>
      <c r="F92" s="41"/>
      <c r="G92" s="41"/>
      <c r="H92" s="41"/>
      <c r="I92" s="41"/>
      <c r="J92" s="41"/>
      <c r="K92" s="41"/>
      <c r="L92" s="41"/>
      <c r="M92" s="41"/>
      <c r="N92" s="41"/>
      <c r="O92" s="41"/>
      <c r="P92" s="41"/>
      <c r="Q92" s="41"/>
      <c r="R92" s="41"/>
      <c r="S92" s="41"/>
      <c r="T92" s="41"/>
      <c r="U92" s="41"/>
      <c r="V92" s="41"/>
      <c r="W92" s="41"/>
      <c r="X92" s="41"/>
      <c r="Y92" s="41"/>
      <c r="Z92" s="41"/>
    </row>
    <row r="93" ht="19.5" customHeight="1">
      <c r="A93" s="41"/>
      <c r="B93" s="173" t="s">
        <v>706</v>
      </c>
      <c r="C93" s="160" t="str">
        <f>IF(cluster_wld_domain_chosen="VI Workload Domain",CONCATENATE(this_instance,"01-w0",wld_domain_number_chosen,"-r01-esx10",".",sample_child_dns_zone),CONCATENATE(this_instance,"01-m01","-r01-esx10",".",sample_child_dns_zone))</f>
        <v>lax01-w01-r01-esx10.lax.rainpole.io</v>
      </c>
      <c r="D93" s="18"/>
      <c r="E93" s="18"/>
      <c r="F93" s="41"/>
      <c r="G93" s="41"/>
      <c r="H93" s="41"/>
      <c r="I93" s="41"/>
      <c r="J93" s="41"/>
      <c r="K93" s="41"/>
      <c r="L93" s="41"/>
      <c r="M93" s="41"/>
      <c r="N93" s="41"/>
      <c r="O93" s="41"/>
      <c r="P93" s="41"/>
      <c r="Q93" s="41"/>
      <c r="R93" s="41"/>
      <c r="S93" s="41"/>
      <c r="T93" s="41"/>
      <c r="U93" s="41"/>
      <c r="V93" s="41"/>
      <c r="W93" s="41"/>
      <c r="X93" s="41"/>
      <c r="Y93" s="41"/>
      <c r="Z93" s="41"/>
    </row>
    <row r="94" ht="19.5" customHeight="1">
      <c r="A94" s="41"/>
      <c r="B94" s="173" t="s">
        <v>707</v>
      </c>
      <c r="C94" s="160" t="str">
        <f>IF(cluster_wld_domain_chosen="VI Workload Domain",CONCATENATE(this_instance,"01-w0",wld_domain_number_chosen,"-r01-esx11",".",sample_child_dns_zone),CONCATENATE(this_instance,"01-m01","-r01-esx11",".",sample_child_dns_zone))</f>
        <v>lax01-w01-r01-esx11.lax.rainpole.io</v>
      </c>
      <c r="D94" s="18"/>
      <c r="E94" s="18"/>
      <c r="F94" s="41"/>
      <c r="G94" s="41"/>
      <c r="H94" s="41"/>
      <c r="I94" s="41"/>
      <c r="J94" s="41"/>
      <c r="K94" s="41"/>
      <c r="L94" s="41"/>
      <c r="M94" s="41"/>
      <c r="N94" s="41"/>
      <c r="O94" s="41"/>
      <c r="P94" s="41"/>
      <c r="Q94" s="41"/>
      <c r="R94" s="41"/>
      <c r="S94" s="41"/>
      <c r="T94" s="41"/>
      <c r="U94" s="41"/>
      <c r="V94" s="41"/>
      <c r="W94" s="41"/>
      <c r="X94" s="41"/>
      <c r="Y94" s="41"/>
      <c r="Z94" s="41"/>
    </row>
    <row r="95" ht="19.5" customHeight="1">
      <c r="A95" s="41"/>
      <c r="B95" s="173" t="s">
        <v>708</v>
      </c>
      <c r="C95" s="160" t="str">
        <f>IF(cluster_wld_domain_chosen="VI Workload Domain",CONCATENATE(this_instance,"01-w0",wld_domain_number_chosen,"-r01-esx12",".",sample_child_dns_zone),CONCATENATE(this_instance,"01-m01","-r01-esx12",".",sample_child_dns_zone))</f>
        <v>lax01-w01-r01-esx12.lax.rainpole.io</v>
      </c>
      <c r="D95" s="18"/>
      <c r="E95" s="18"/>
      <c r="F95" s="41"/>
      <c r="G95" s="41"/>
      <c r="H95" s="41"/>
      <c r="I95" s="41"/>
      <c r="J95" s="41"/>
      <c r="K95" s="41"/>
      <c r="L95" s="41"/>
      <c r="M95" s="41"/>
      <c r="N95" s="41"/>
      <c r="O95" s="41"/>
      <c r="P95" s="41"/>
      <c r="Q95" s="41"/>
      <c r="R95" s="41"/>
      <c r="S95" s="41"/>
      <c r="T95" s="41"/>
      <c r="U95" s="41"/>
      <c r="V95" s="41"/>
      <c r="W95" s="41"/>
      <c r="X95" s="41"/>
      <c r="Y95" s="41"/>
      <c r="Z95" s="41"/>
    </row>
    <row r="96" ht="19.5" customHeight="1">
      <c r="A96" s="41"/>
      <c r="B96" s="173" t="s">
        <v>709</v>
      </c>
      <c r="C96" s="160" t="str">
        <f>IF(cluster_wld_domain_chosen="VI Workload Domain",CONCATENATE(this_instance,"01-w0",wld_domain_number_chosen,"-r01-esx13",".",sample_child_dns_zone),CONCATENATE(this_instance,"01-m01","-r01-esx13",".",sample_child_dns_zone))</f>
        <v>lax01-w01-r01-esx13.lax.rainpole.io</v>
      </c>
      <c r="D96" s="18"/>
      <c r="E96" s="18"/>
      <c r="F96" s="41"/>
      <c r="G96" s="41"/>
      <c r="H96" s="41"/>
      <c r="I96" s="41"/>
      <c r="J96" s="41"/>
      <c r="K96" s="41"/>
      <c r="L96" s="41"/>
      <c r="M96" s="41"/>
      <c r="N96" s="41"/>
      <c r="O96" s="41"/>
      <c r="P96" s="41"/>
      <c r="Q96" s="41"/>
      <c r="R96" s="41"/>
      <c r="S96" s="41"/>
      <c r="T96" s="41"/>
      <c r="U96" s="41"/>
      <c r="V96" s="41"/>
      <c r="W96" s="41"/>
      <c r="X96" s="41"/>
      <c r="Y96" s="41"/>
      <c r="Z96" s="41"/>
    </row>
    <row r="97" ht="19.5" customHeight="1">
      <c r="A97" s="41"/>
      <c r="B97" s="173" t="s">
        <v>710</v>
      </c>
      <c r="C97" s="160" t="str">
        <f>IF(cluster_wld_domain_chosen="VI Workload Domain",CONCATENATE(this_instance,"01-w0",wld_domain_number_chosen,"-r01-esx14",".",sample_child_dns_zone),CONCATENATE(this_instance,"01-m01","-r01-esx14",".",sample_child_dns_zone))</f>
        <v>lax01-w01-r01-esx14.lax.rainpole.io</v>
      </c>
      <c r="D97" s="18"/>
      <c r="E97" s="18"/>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173" t="s">
        <v>711</v>
      </c>
      <c r="C98" s="160" t="str">
        <f>IF(cluster_wld_domain_chosen="VI Workload Domain",CONCATENATE(this_instance,"01-w0",wld_domain_number_chosen,"-r01-esx15",".",sample_child_dns_zone),CONCATENATE(this_instance,"01-m01","-r01-esx15",".",sample_child_dns_zone))</f>
        <v>lax01-w01-r01-esx15.lax.rainpole.io</v>
      </c>
      <c r="D98" s="18"/>
      <c r="E98" s="18"/>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173" t="s">
        <v>712</v>
      </c>
      <c r="C99" s="160" t="str">
        <f>IF(cluster_wld_domain_chosen="VI Workload Domain",CONCATENATE(this_instance,"01-w0",wld_domain_number_chosen,"-r01-esx16",".",sample_child_dns_zone),CONCATENATE(this_instance,"01-m01","-r01-esx16",".",sample_child_dns_zone))</f>
        <v>lax01-w01-r01-esx16.lax.rainpole.io</v>
      </c>
      <c r="D99" s="18"/>
      <c r="E99" s="18"/>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173" t="s">
        <v>723</v>
      </c>
      <c r="C100" s="149" t="s">
        <v>724</v>
      </c>
      <c r="D100" s="18"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00" s="18"/>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173" t="s">
        <v>725</v>
      </c>
      <c r="C101" s="149" t="s">
        <v>726</v>
      </c>
      <c r="D101" s="18" t="str">
        <f>IF(cluster_principal_storage_chosen="vSAN Storage Cluster","vSAN Storage",IF(cluster_principal_storage_chosen="vSAN Compute Cluster","Compute Cluster",IF(OR(cluster_principal_storage_chosen="vSAN-ESA",cluster_principal_storage_chosen="vSAN-OSA"),"vSAN HCI","")))</f>
        <v>vSAN HCI</v>
      </c>
      <c r="E101" s="84"/>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173" t="s">
        <v>727</v>
      </c>
      <c r="C102" s="149" t="s">
        <v>285</v>
      </c>
      <c r="D102" s="18" t="str">
        <f>IF(OR(cluster_principal_storage_chosen="vSAN-ESA",cluster_principal_storage_chosen="vSAN Storage Cluster",cluster_principal_storage_chosen="vSAN Compute Cluster"),"Selected","Unselected")</f>
        <v>Selected</v>
      </c>
      <c r="E102" s="18"/>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173" t="s">
        <v>716</v>
      </c>
      <c r="C103" s="149" t="str">
        <f>C48</f>
        <v>lax01-w01-r01-network-pool-01</v>
      </c>
      <c r="D103" s="18" t="str">
        <f>cluster_az1_pool_name</f>
        <v>Value Missing</v>
      </c>
      <c r="E103" s="18"/>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173" t="s">
        <v>545</v>
      </c>
      <c r="C104" s="149" t="s">
        <v>728</v>
      </c>
      <c r="D104" s="18"/>
      <c r="E104" s="18"/>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173" t="s">
        <v>296</v>
      </c>
      <c r="C105" s="149" t="s">
        <v>382</v>
      </c>
      <c r="D105" s="18"/>
      <c r="E105" s="18"/>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1"/>
      <c r="D106" s="1"/>
      <c r="E106" s="1"/>
      <c r="F106" s="41"/>
      <c r="G106" s="41"/>
      <c r="H106" s="41"/>
      <c r="I106" s="41"/>
      <c r="J106" s="41"/>
      <c r="K106" s="41"/>
      <c r="L106" s="41"/>
      <c r="M106" s="41"/>
      <c r="N106" s="41"/>
      <c r="O106" s="41"/>
      <c r="P106" s="41"/>
      <c r="Q106" s="41"/>
      <c r="R106" s="41"/>
      <c r="S106" s="41"/>
      <c r="T106" s="41"/>
      <c r="U106" s="41"/>
      <c r="V106" s="41"/>
      <c r="W106" s="41"/>
      <c r="X106" s="41"/>
      <c r="Y106" s="41"/>
      <c r="Z106" s="41"/>
    </row>
    <row r="107" ht="33.75" customHeight="1">
      <c r="A107" s="41"/>
      <c r="B107" s="197" t="s">
        <v>1604</v>
      </c>
      <c r="C107" s="13"/>
      <c r="D107" s="13"/>
      <c r="E107" s="14"/>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1"/>
      <c r="D108" s="1"/>
      <c r="E108" s="1"/>
      <c r="F108" s="41"/>
      <c r="G108" s="41"/>
      <c r="H108" s="41"/>
      <c r="I108" s="41"/>
      <c r="J108" s="41"/>
      <c r="K108" s="41"/>
      <c r="L108" s="41"/>
      <c r="M108" s="41"/>
      <c r="N108" s="41"/>
      <c r="O108" s="41"/>
      <c r="P108" s="41"/>
      <c r="Q108" s="41"/>
      <c r="R108" s="41"/>
      <c r="S108" s="41"/>
      <c r="T108" s="41"/>
      <c r="U108" s="41"/>
      <c r="V108" s="41"/>
      <c r="W108" s="41"/>
      <c r="X108" s="41"/>
      <c r="Y108" s="41"/>
      <c r="Z108" s="41"/>
    </row>
    <row r="109" ht="33.75" customHeight="1">
      <c r="A109" s="41"/>
      <c r="B109" s="12" t="s">
        <v>1270</v>
      </c>
      <c r="C109" s="13"/>
      <c r="D109" s="13"/>
      <c r="E109" s="14"/>
      <c r="F109" s="41"/>
      <c r="G109" s="41"/>
      <c r="H109" s="41"/>
      <c r="I109" s="41"/>
      <c r="J109" s="41"/>
      <c r="K109" s="41"/>
      <c r="L109" s="41"/>
      <c r="M109" s="41"/>
      <c r="N109" s="41"/>
      <c r="O109" s="41"/>
      <c r="P109" s="41"/>
      <c r="Q109" s="41"/>
      <c r="R109" s="41"/>
      <c r="S109" s="41"/>
      <c r="T109" s="41"/>
      <c r="U109" s="41"/>
      <c r="V109" s="41"/>
      <c r="W109" s="41"/>
      <c r="X109" s="41"/>
      <c r="Y109" s="41"/>
      <c r="Z109" s="41"/>
    </row>
    <row r="110" ht="19.5" customHeight="1">
      <c r="A110" s="41"/>
      <c r="B110" s="102" t="s">
        <v>1605</v>
      </c>
      <c r="C110" s="13"/>
      <c r="D110" s="13"/>
      <c r="E110" s="14"/>
      <c r="F110" s="41"/>
      <c r="G110" s="41"/>
      <c r="H110" s="41"/>
      <c r="I110" s="41"/>
      <c r="J110" s="41"/>
      <c r="K110" s="41"/>
      <c r="L110" s="41"/>
      <c r="M110" s="41"/>
      <c r="N110" s="41"/>
      <c r="O110" s="41"/>
      <c r="P110" s="41"/>
      <c r="Q110" s="41"/>
      <c r="R110" s="41"/>
      <c r="S110" s="41"/>
      <c r="T110" s="41"/>
      <c r="U110" s="41"/>
      <c r="V110" s="41"/>
      <c r="W110" s="41"/>
      <c r="X110" s="41"/>
      <c r="Y110" s="41"/>
      <c r="Z110" s="41"/>
    </row>
    <row r="111" ht="19.5" customHeight="1">
      <c r="A111" s="41"/>
      <c r="B111" s="49" t="s">
        <v>37</v>
      </c>
      <c r="C111" s="49" t="s">
        <v>273</v>
      </c>
      <c r="D111" s="49" t="s">
        <v>274</v>
      </c>
      <c r="E111" s="49" t="s">
        <v>5</v>
      </c>
      <c r="F111" s="41"/>
      <c r="G111" s="41"/>
      <c r="H111" s="41"/>
      <c r="I111" s="41"/>
      <c r="J111" s="41"/>
      <c r="K111" s="41"/>
      <c r="L111" s="41"/>
      <c r="M111" s="41"/>
      <c r="N111" s="41"/>
      <c r="O111" s="41"/>
      <c r="P111" s="41"/>
      <c r="Q111" s="41"/>
      <c r="R111" s="41"/>
      <c r="S111" s="41"/>
      <c r="T111" s="41"/>
      <c r="U111" s="41"/>
      <c r="V111" s="41"/>
      <c r="W111" s="41"/>
      <c r="X111" s="41"/>
      <c r="Y111" s="41"/>
      <c r="Z111" s="41"/>
    </row>
    <row r="112" ht="19.5" customHeight="1">
      <c r="A112" s="41"/>
      <c r="B112" s="173" t="s">
        <v>1270</v>
      </c>
      <c r="C112" s="110" t="s">
        <v>370</v>
      </c>
      <c r="D112" s="18" t="str">
        <f>IF(cluster_principal_storage_chosen="vSAN Storage Cluster","vSAN-ESA",cluster_principal_storage_chosen)</f>
        <v>vSAN-ESA</v>
      </c>
      <c r="E112" s="18"/>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1"/>
      <c r="D113" s="1"/>
      <c r="E113" s="1"/>
      <c r="F113" s="41"/>
      <c r="G113" s="41"/>
      <c r="H113" s="41"/>
      <c r="I113" s="41"/>
      <c r="J113" s="41"/>
      <c r="K113" s="41"/>
      <c r="L113" s="41"/>
      <c r="M113" s="41"/>
      <c r="N113" s="41"/>
      <c r="O113" s="41"/>
      <c r="P113" s="41"/>
      <c r="Q113" s="41"/>
      <c r="R113" s="41"/>
      <c r="S113" s="41"/>
      <c r="T113" s="41"/>
      <c r="U113" s="41"/>
      <c r="V113" s="41"/>
      <c r="W113" s="41"/>
      <c r="X113" s="41"/>
      <c r="Y113" s="41"/>
      <c r="Z113" s="41"/>
    </row>
    <row r="114" ht="33.75" customHeight="1">
      <c r="A114" s="41"/>
      <c r="B114" s="12" t="s">
        <v>1606</v>
      </c>
      <c r="C114" s="13"/>
      <c r="D114" s="13"/>
      <c r="E114" s="14"/>
      <c r="F114" s="41"/>
      <c r="G114" s="41"/>
      <c r="H114" s="41"/>
      <c r="I114" s="41"/>
      <c r="J114" s="41"/>
      <c r="K114" s="41"/>
      <c r="L114" s="41"/>
      <c r="M114" s="41"/>
      <c r="N114" s="41"/>
      <c r="O114" s="41"/>
      <c r="P114" s="41"/>
      <c r="Q114" s="41"/>
      <c r="R114" s="41"/>
      <c r="S114" s="41"/>
      <c r="T114" s="41"/>
      <c r="U114" s="41"/>
      <c r="V114" s="41"/>
      <c r="W114" s="41"/>
      <c r="X114" s="41"/>
      <c r="Y114" s="41"/>
      <c r="Z114" s="41"/>
    </row>
    <row r="115" ht="19.5" customHeight="1">
      <c r="A115" s="41"/>
      <c r="B115" s="102" t="s">
        <v>1607</v>
      </c>
      <c r="C115" s="13"/>
      <c r="D115" s="13"/>
      <c r="E115" s="14"/>
      <c r="F115" s="41"/>
      <c r="G115" s="41"/>
      <c r="H115" s="41"/>
      <c r="I115" s="41"/>
      <c r="J115" s="41"/>
      <c r="K115" s="41"/>
      <c r="L115" s="41"/>
      <c r="M115" s="41"/>
      <c r="N115" s="41"/>
      <c r="O115" s="41"/>
      <c r="P115" s="41"/>
      <c r="Q115" s="41"/>
      <c r="R115" s="41"/>
      <c r="S115" s="41"/>
      <c r="T115" s="41"/>
      <c r="U115" s="41"/>
      <c r="V115" s="41"/>
      <c r="W115" s="41"/>
      <c r="X115" s="41"/>
      <c r="Y115" s="41"/>
      <c r="Z115" s="41"/>
    </row>
    <row r="116" ht="19.5" customHeight="1">
      <c r="A116" s="41"/>
      <c r="B116" s="49" t="s">
        <v>37</v>
      </c>
      <c r="C116" s="49" t="s">
        <v>273</v>
      </c>
      <c r="D116" s="49" t="s">
        <v>274</v>
      </c>
      <c r="E116" s="49" t="s">
        <v>5</v>
      </c>
      <c r="F116" s="41"/>
      <c r="G116" s="41"/>
      <c r="H116" s="41"/>
      <c r="I116" s="41"/>
      <c r="J116" s="41"/>
      <c r="K116" s="41"/>
      <c r="L116" s="41"/>
      <c r="M116" s="41"/>
      <c r="N116" s="41"/>
      <c r="O116" s="41"/>
      <c r="P116" s="41"/>
      <c r="Q116" s="41"/>
      <c r="R116" s="41"/>
      <c r="S116" s="41"/>
      <c r="T116" s="41"/>
      <c r="U116" s="41"/>
      <c r="V116" s="41"/>
      <c r="W116" s="41"/>
      <c r="X116" s="41"/>
      <c r="Y116" s="41"/>
      <c r="Z116" s="41"/>
    </row>
    <row r="117" ht="19.5" customHeight="1">
      <c r="A117" s="41"/>
      <c r="B117" s="173" t="s">
        <v>355</v>
      </c>
      <c r="C117" s="110" t="str">
        <f>IF(cluster_wld_domain_chosen="VI Workload Domain",CONCATENATE(this_instance,"-w0",wld_domain_number_chosen,"-cl02"),CONCATENATE(this_instance,"-m01","-cl02"))</f>
        <v>lax-w01-cl02</v>
      </c>
      <c r="D117" s="18"/>
      <c r="E117" s="18"/>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1"/>
      <c r="D118" s="1"/>
      <c r="E118" s="1"/>
      <c r="F118" s="41"/>
      <c r="G118" s="41"/>
      <c r="H118" s="41"/>
      <c r="I118" s="41"/>
      <c r="J118" s="41"/>
      <c r="K118" s="41"/>
      <c r="L118" s="41"/>
      <c r="M118" s="41"/>
      <c r="N118" s="41"/>
      <c r="O118" s="41"/>
      <c r="P118" s="41"/>
      <c r="Q118" s="41"/>
      <c r="R118" s="41"/>
      <c r="S118" s="41"/>
      <c r="T118" s="41"/>
      <c r="U118" s="41"/>
      <c r="V118" s="41"/>
      <c r="W118" s="41"/>
      <c r="X118" s="41"/>
      <c r="Y118" s="41"/>
      <c r="Z118" s="41"/>
    </row>
    <row r="119" ht="33.75" customHeight="1">
      <c r="A119" s="41"/>
      <c r="B119" s="12" t="s">
        <v>1257</v>
      </c>
      <c r="C119" s="13"/>
      <c r="D119" s="13"/>
      <c r="E119" s="14"/>
      <c r="F119" s="41"/>
      <c r="G119" s="41"/>
      <c r="H119" s="41"/>
      <c r="I119" s="41"/>
      <c r="J119" s="41"/>
      <c r="K119" s="41"/>
      <c r="L119" s="41"/>
      <c r="M119" s="41"/>
      <c r="N119" s="41"/>
      <c r="O119" s="41"/>
      <c r="P119" s="41"/>
      <c r="Q119" s="41"/>
      <c r="R119" s="41"/>
      <c r="S119" s="41"/>
      <c r="T119" s="41"/>
      <c r="U119" s="41"/>
      <c r="V119" s="41"/>
      <c r="W119" s="41"/>
      <c r="X119" s="41"/>
      <c r="Y119" s="41"/>
      <c r="Z119" s="41"/>
    </row>
    <row r="120" ht="19.5" customHeight="1">
      <c r="A120" s="41"/>
      <c r="B120" s="102" t="s">
        <v>1258</v>
      </c>
      <c r="C120" s="13"/>
      <c r="D120" s="13"/>
      <c r="E120" s="14"/>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49" t="s">
        <v>37</v>
      </c>
      <c r="C121" s="49" t="s">
        <v>273</v>
      </c>
      <c r="D121" s="49" t="s">
        <v>274</v>
      </c>
      <c r="E121" s="49" t="s">
        <v>5</v>
      </c>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173" t="s">
        <v>1257</v>
      </c>
      <c r="C122" s="110" t="str">
        <f>IF(cluster_wld_domain_chosen="VI Workload Domain",CONCATENATE(this_instance,"-w0",wld_domain_number_chosen,"-cl02"),CONCATENATE(this_instance,"-m01","-cl02"))</f>
        <v>lax-w01-cl02</v>
      </c>
      <c r="D122" s="18"/>
      <c r="E122" s="18"/>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1"/>
      <c r="D123" s="1"/>
      <c r="E123" s="1"/>
      <c r="F123" s="41"/>
      <c r="G123" s="41"/>
      <c r="H123" s="41"/>
      <c r="I123" s="41"/>
      <c r="J123" s="41"/>
      <c r="K123" s="41"/>
      <c r="L123" s="41"/>
      <c r="M123" s="41"/>
      <c r="N123" s="41"/>
      <c r="O123" s="41"/>
      <c r="P123" s="41"/>
      <c r="Q123" s="41"/>
      <c r="R123" s="41"/>
      <c r="S123" s="41"/>
      <c r="T123" s="41"/>
      <c r="U123" s="41"/>
      <c r="V123" s="41"/>
      <c r="W123" s="41"/>
      <c r="X123" s="41"/>
      <c r="Y123" s="41"/>
      <c r="Z123" s="41"/>
    </row>
    <row r="124" ht="33.75" customHeight="1">
      <c r="A124" s="41"/>
      <c r="B124" s="12" t="str">
        <f>IF(OR(wld_principal_storage_chosen="vSAN-ESA",wld_principal_storage_chosen="vSAN-OSA"),"vSAN Storage",IF(wld_principal_storage_chosen="NFSv3","NFS Storage",""))</f>
        <v>vSAN Storage</v>
      </c>
      <c r="C124" s="13"/>
      <c r="D124" s="13"/>
      <c r="E124" s="14"/>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102" t="s">
        <v>1608</v>
      </c>
      <c r="C125" s="13"/>
      <c r="D125" s="13"/>
      <c r="E125" s="14"/>
      <c r="F125" s="41"/>
      <c r="G125" s="41"/>
      <c r="H125" s="41"/>
      <c r="I125" s="41"/>
      <c r="J125" s="41"/>
      <c r="K125" s="41"/>
      <c r="L125" s="41"/>
      <c r="M125" s="41"/>
      <c r="N125" s="41"/>
      <c r="O125" s="41"/>
      <c r="P125" s="41"/>
      <c r="Q125" s="41"/>
      <c r="R125" s="41"/>
      <c r="S125" s="41"/>
      <c r="T125" s="41"/>
      <c r="U125" s="41"/>
      <c r="V125" s="41"/>
      <c r="W125" s="41"/>
      <c r="X125" s="41"/>
      <c r="Y125" s="41"/>
      <c r="Z125" s="41"/>
    </row>
    <row r="126" ht="19.5" customHeight="1">
      <c r="A126" s="41"/>
      <c r="B126" s="49" t="s">
        <v>37</v>
      </c>
      <c r="C126" s="49" t="s">
        <v>273</v>
      </c>
      <c r="D126" s="49" t="s">
        <v>274</v>
      </c>
      <c r="E126" s="49" t="s">
        <v>5</v>
      </c>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84" t="s">
        <v>1273</v>
      </c>
      <c r="C127" s="110" t="s">
        <v>1274</v>
      </c>
      <c r="D127" s="18" t="str">
        <f>cluster_vsan_type</f>
        <v>vSAN HCI</v>
      </c>
      <c r="E127" s="84" t="s">
        <v>1609</v>
      </c>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84" t="s">
        <v>1610</v>
      </c>
      <c r="C128" s="110" t="str">
        <f>CONCATENATE(this_instance,"-w0",wld_domain_number_chosen,"-cl01")</f>
        <v>lax-w01-cl01</v>
      </c>
      <c r="D128" s="18"/>
      <c r="E128" s="84"/>
      <c r="F128" s="41"/>
      <c r="G128" s="41"/>
      <c r="H128" s="41"/>
      <c r="I128" s="41"/>
      <c r="J128" s="41"/>
      <c r="K128" s="41"/>
      <c r="L128" s="41"/>
      <c r="M128" s="41"/>
      <c r="N128" s="41"/>
      <c r="O128" s="41"/>
      <c r="P128" s="41"/>
      <c r="Q128" s="41"/>
      <c r="R128" s="41"/>
      <c r="S128" s="41"/>
      <c r="T128" s="41"/>
      <c r="U128" s="41"/>
      <c r="V128" s="41"/>
      <c r="W128" s="41"/>
      <c r="X128" s="41"/>
      <c r="Y128" s="41"/>
      <c r="Z128" s="41"/>
    </row>
    <row r="129" ht="19.5" customHeight="1">
      <c r="A129" s="41"/>
      <c r="B129" s="84" t="s">
        <v>738</v>
      </c>
      <c r="C129" s="110" t="str">
        <f>IF(cluster_wld_domain_chosen="VI Workload Domain",CONCATENATE(sample_wld_sddc_domain,"-",sample_cluster_name,"-vsan01"),CONCATENATE(sample_mgmt_sddc_domain,"-",sample_cluster_name,"-vsan01"))</f>
        <v>lax-w01-lax-w01-cl02-vsan01</v>
      </c>
      <c r="D129" s="18"/>
      <c r="E129" s="18" t="s">
        <v>1275</v>
      </c>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84" t="s">
        <v>1276</v>
      </c>
      <c r="C130" s="110" t="s">
        <v>284</v>
      </c>
      <c r="D130" s="18" t="str">
        <f>IF(cluster_secondary_storage_result="Included","Selected","Unselected")</f>
        <v>Unselected</v>
      </c>
      <c r="E130" s="18" t="str">
        <f>IF(AND(cluster_secondary_storage_chosen&lt;&gt;"vSAN Storage Client Network",cluster_vsan_type="vSAN Storage"),"To use vSAN Storage Client Network it should be enabled in Deploy and New Cluster Options section","")</f>
        <v/>
      </c>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84" t="str">
        <f>IF(wld_principal_storage_chosen="vSAN-ESA","Storage Policy", "vSAN: Failures to Tolerate (FTT)")</f>
        <v>Storage Policy</v>
      </c>
      <c r="C131" s="110">
        <v>1.0</v>
      </c>
      <c r="D131" s="18" t="s">
        <v>374</v>
      </c>
      <c r="E131" s="18"/>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84" t="s">
        <v>1277</v>
      </c>
      <c r="C132" s="110" t="s">
        <v>284</v>
      </c>
      <c r="D132" s="18" t="s">
        <v>284</v>
      </c>
      <c r="E132" s="18"/>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245" t="s">
        <v>1278</v>
      </c>
      <c r="C133" s="110" t="str">
        <f>IF(cluster_wld_domain_chosen="VI Workload Domain",CONCATENATE(this_instance,"-w0",wld_domain_number_chosen,"-cl02-ds-vmfs01"),CONCATENATE(this_instance,"-m01","-cl02-ds-vmfs01"))</f>
        <v>lax-w01-cl02-ds-vmfs01</v>
      </c>
      <c r="D133" s="18"/>
      <c r="E133" s="18"/>
      <c r="F133" s="41"/>
      <c r="G133" s="41"/>
      <c r="H133" s="41"/>
      <c r="I133" s="41"/>
      <c r="J133" s="41"/>
      <c r="K133" s="41"/>
      <c r="L133" s="41"/>
      <c r="M133" s="41"/>
      <c r="N133" s="41"/>
      <c r="O133" s="41"/>
      <c r="P133" s="41"/>
      <c r="Q133" s="41"/>
      <c r="R133" s="41"/>
      <c r="S133" s="41"/>
      <c r="T133" s="41"/>
      <c r="U133" s="41"/>
      <c r="V133" s="41"/>
      <c r="W133" s="41"/>
      <c r="X133" s="41"/>
      <c r="Y133" s="41"/>
      <c r="Z133" s="41"/>
    </row>
    <row r="134" ht="19.5" customHeight="1">
      <c r="A134" s="41"/>
      <c r="B134" s="187" t="s">
        <v>1279</v>
      </c>
      <c r="C134" s="110" t="str">
        <f>IF(cluster_wld_domain_chosen="VI Workload Domain",CONCATENATE(this_instance,"-w0",wld_domain_number_chosen,"-cl02-ds-nfs01"),CONCATENATE(this_instance,"-m01","-cl02-ds-nfs01"))</f>
        <v>lax-w01-cl02-ds-nfs01</v>
      </c>
      <c r="D134" s="18"/>
      <c r="E134" s="18"/>
      <c r="F134" s="41"/>
      <c r="G134" s="41"/>
      <c r="H134" s="41"/>
      <c r="I134" s="41"/>
      <c r="J134" s="41"/>
      <c r="K134" s="41"/>
      <c r="L134" s="41"/>
      <c r="M134" s="41"/>
      <c r="N134" s="41"/>
      <c r="O134" s="41"/>
      <c r="P134" s="41"/>
      <c r="Q134" s="41"/>
      <c r="R134" s="41"/>
      <c r="S134" s="41"/>
      <c r="T134" s="41"/>
      <c r="U134" s="41"/>
      <c r="V134" s="41"/>
      <c r="W134" s="41"/>
      <c r="X134" s="41"/>
      <c r="Y134" s="41"/>
      <c r="Z134" s="41"/>
    </row>
    <row r="135" ht="19.5" customHeight="1">
      <c r="A135" s="41"/>
      <c r="B135" s="187" t="s">
        <v>1280</v>
      </c>
      <c r="C135" s="110" t="str">
        <f>IF(cluster_wld_domain_chosen="VI Workload Domain",CONCATENATE(this_instance,"-w0",wld_domain_number_chosen,"-cl02-ds-nfs01-share"),CONCATENATE(this_instance,"-m01","-cl02-ds-nfs01-share"))</f>
        <v>lax-w01-cl02-ds-nfs01-share</v>
      </c>
      <c r="D135" s="18"/>
      <c r="E135" s="18"/>
      <c r="F135" s="41"/>
      <c r="G135" s="41"/>
      <c r="H135" s="41"/>
      <c r="I135" s="41"/>
      <c r="J135" s="41"/>
      <c r="K135" s="41"/>
      <c r="L135" s="41"/>
      <c r="M135" s="41"/>
      <c r="N135" s="41"/>
      <c r="O135" s="41"/>
      <c r="P135" s="41"/>
      <c r="Q135" s="41"/>
      <c r="R135" s="41"/>
      <c r="S135" s="41"/>
      <c r="T135" s="41"/>
      <c r="U135" s="41"/>
      <c r="V135" s="41"/>
      <c r="W135" s="41"/>
      <c r="X135" s="41"/>
      <c r="Y135" s="41"/>
      <c r="Z135" s="41"/>
    </row>
    <row r="136" ht="19.5" customHeight="1">
      <c r="A136" s="41"/>
      <c r="B136" s="187" t="s">
        <v>1281</v>
      </c>
      <c r="C136" s="110" t="str">
        <f>IF(cluster_wld_domain_chosen="VI Workload Domain",CONCATENATE(prefix_wld_az1_cidr,"15.4"),CONCATENATE(prefix_mgmt_az1_cidr,"15.4"))</f>
        <v>10.23.15.4</v>
      </c>
      <c r="D136" s="18"/>
      <c r="E136" s="18"/>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35"/>
      <c r="C137" s="35"/>
      <c r="D137" s="35"/>
      <c r="E137" s="35"/>
      <c r="F137" s="41"/>
      <c r="G137" s="41"/>
      <c r="H137" s="41"/>
      <c r="I137" s="41"/>
      <c r="J137" s="41"/>
      <c r="K137" s="41"/>
      <c r="L137" s="41"/>
      <c r="M137" s="41"/>
      <c r="N137" s="41"/>
      <c r="O137" s="41"/>
      <c r="P137" s="41"/>
      <c r="Q137" s="41"/>
      <c r="R137" s="41"/>
      <c r="S137" s="41"/>
      <c r="T137" s="41"/>
      <c r="U137" s="41"/>
      <c r="V137" s="41"/>
      <c r="W137" s="41"/>
      <c r="X137" s="41"/>
      <c r="Y137" s="41"/>
      <c r="Z137" s="41"/>
    </row>
    <row r="138" ht="33.75" customHeight="1">
      <c r="A138" s="41"/>
      <c r="B138" s="12" t="s">
        <v>1282</v>
      </c>
      <c r="C138" s="13"/>
      <c r="D138" s="13"/>
      <c r="E138" s="14"/>
      <c r="F138" s="41"/>
      <c r="G138" s="41"/>
      <c r="H138" s="41"/>
      <c r="I138" s="41"/>
      <c r="J138" s="41"/>
      <c r="K138" s="41"/>
      <c r="L138" s="41"/>
      <c r="M138" s="41"/>
      <c r="N138" s="41"/>
      <c r="O138" s="41"/>
      <c r="P138" s="41"/>
      <c r="Q138" s="41"/>
      <c r="R138" s="41"/>
      <c r="S138" s="41"/>
      <c r="T138" s="41"/>
      <c r="U138" s="41"/>
      <c r="V138" s="41"/>
      <c r="W138" s="41"/>
      <c r="X138" s="41"/>
      <c r="Y138" s="41"/>
      <c r="Z138" s="41"/>
    </row>
    <row r="139" ht="19.5" customHeight="1">
      <c r="A139" s="41"/>
      <c r="B139" s="102"/>
      <c r="C139" s="13"/>
      <c r="D139" s="13"/>
      <c r="E139" s="14"/>
      <c r="F139" s="41"/>
      <c r="G139" s="41"/>
      <c r="H139" s="41"/>
      <c r="I139" s="41"/>
      <c r="J139" s="41"/>
      <c r="K139" s="41"/>
      <c r="L139" s="41"/>
      <c r="M139" s="41"/>
      <c r="N139" s="41"/>
      <c r="O139" s="41"/>
      <c r="P139" s="41"/>
      <c r="Q139" s="41"/>
      <c r="R139" s="41"/>
      <c r="S139" s="41"/>
      <c r="T139" s="41"/>
      <c r="U139" s="41"/>
      <c r="V139" s="41"/>
      <c r="W139" s="41"/>
      <c r="X139" s="41"/>
      <c r="Y139" s="41"/>
      <c r="Z139" s="41"/>
    </row>
    <row r="140" ht="19.5" customHeight="1">
      <c r="A140" s="41"/>
      <c r="B140" s="49" t="s">
        <v>37</v>
      </c>
      <c r="C140" s="49" t="s">
        <v>273</v>
      </c>
      <c r="D140" s="49" t="s">
        <v>274</v>
      </c>
      <c r="E140" s="49" t="s">
        <v>5</v>
      </c>
      <c r="F140" s="41"/>
      <c r="G140" s="41"/>
      <c r="H140" s="41"/>
      <c r="I140" s="41"/>
      <c r="J140" s="41"/>
      <c r="K140" s="41"/>
      <c r="L140" s="41"/>
      <c r="M140" s="41"/>
      <c r="N140" s="41"/>
      <c r="O140" s="41"/>
      <c r="P140" s="41"/>
      <c r="Q140" s="41"/>
      <c r="R140" s="41"/>
      <c r="S140" s="41"/>
      <c r="T140" s="41"/>
      <c r="U140" s="41"/>
      <c r="V140" s="41"/>
      <c r="W140" s="41"/>
      <c r="X140" s="41"/>
      <c r="Y140" s="41"/>
      <c r="Z140" s="41"/>
    </row>
    <row r="141" ht="19.5" customHeight="1">
      <c r="A141" s="41"/>
      <c r="B141" s="173" t="s">
        <v>697</v>
      </c>
      <c r="C141" s="111" t="str">
        <f t="array" ref="C141:C156">sample_wld_az1_host_fqdns</f>
        <v>lax01-w01-r01-esx01.lax.rainpole.io</v>
      </c>
      <c r="D141" s="18" t="str">
        <f t="array" ref="D141:D156">cluster_az1_host_fqdns</f>
        <v>Value Missing</v>
      </c>
      <c r="E141" s="18"/>
      <c r="F141" s="41"/>
      <c r="G141" s="41"/>
      <c r="H141" s="41"/>
      <c r="I141" s="41"/>
      <c r="J141" s="41"/>
      <c r="K141" s="41"/>
      <c r="L141" s="41"/>
      <c r="M141" s="41"/>
      <c r="N141" s="41"/>
      <c r="O141" s="41"/>
      <c r="P141" s="41"/>
      <c r="Q141" s="41"/>
      <c r="R141" s="41"/>
      <c r="S141" s="41"/>
      <c r="T141" s="41"/>
      <c r="U141" s="41"/>
      <c r="V141" s="41"/>
      <c r="W141" s="41"/>
      <c r="X141" s="41"/>
      <c r="Y141" s="41"/>
      <c r="Z141" s="41"/>
    </row>
    <row r="142" ht="19.5" customHeight="1">
      <c r="A142" s="41"/>
      <c r="B142" s="173" t="s">
        <v>698</v>
      </c>
      <c r="C142" s="111" t="s">
        <v>1283</v>
      </c>
      <c r="D142" s="18" t="s">
        <v>483</v>
      </c>
      <c r="E142" s="18"/>
      <c r="F142" s="41"/>
      <c r="G142" s="41"/>
      <c r="H142" s="41"/>
      <c r="I142" s="41"/>
      <c r="J142" s="41"/>
      <c r="K142" s="41"/>
      <c r="L142" s="41"/>
      <c r="M142" s="41"/>
      <c r="N142" s="41"/>
      <c r="O142" s="41"/>
      <c r="P142" s="41"/>
      <c r="Q142" s="41"/>
      <c r="R142" s="41"/>
      <c r="S142" s="41"/>
      <c r="T142" s="41"/>
      <c r="U142" s="41"/>
      <c r="V142" s="41"/>
      <c r="W142" s="41"/>
      <c r="X142" s="41"/>
      <c r="Y142" s="41"/>
      <c r="Z142" s="41"/>
    </row>
    <row r="143" ht="19.5" customHeight="1">
      <c r="A143" s="41"/>
      <c r="B143" s="173" t="s">
        <v>699</v>
      </c>
      <c r="C143" s="111" t="s">
        <v>1284</v>
      </c>
      <c r="D143" s="18" t="s">
        <v>483</v>
      </c>
      <c r="E143" s="18"/>
      <c r="F143" s="41"/>
      <c r="G143" s="41"/>
      <c r="H143" s="41"/>
      <c r="I143" s="41"/>
      <c r="J143" s="41"/>
      <c r="K143" s="41"/>
      <c r="L143" s="41"/>
      <c r="M143" s="41"/>
      <c r="N143" s="41"/>
      <c r="O143" s="41"/>
      <c r="P143" s="41"/>
      <c r="Q143" s="41"/>
      <c r="R143" s="41"/>
      <c r="S143" s="41"/>
      <c r="T143" s="41"/>
      <c r="U143" s="41"/>
      <c r="V143" s="41"/>
      <c r="W143" s="41"/>
      <c r="X143" s="41"/>
      <c r="Y143" s="41"/>
      <c r="Z143" s="41"/>
    </row>
    <row r="144" ht="19.5" customHeight="1">
      <c r="A144" s="41"/>
      <c r="B144" s="173" t="s">
        <v>700</v>
      </c>
      <c r="C144" s="111" t="s">
        <v>1285</v>
      </c>
      <c r="D144" s="18" t="s">
        <v>483</v>
      </c>
      <c r="E144" s="18"/>
      <c r="F144" s="41"/>
      <c r="G144" s="41"/>
      <c r="H144" s="41"/>
      <c r="I144" s="41"/>
      <c r="J144" s="41"/>
      <c r="K144" s="41"/>
      <c r="L144" s="41"/>
      <c r="M144" s="41"/>
      <c r="N144" s="41"/>
      <c r="O144" s="41"/>
      <c r="P144" s="41"/>
      <c r="Q144" s="41"/>
      <c r="R144" s="41"/>
      <c r="S144" s="41"/>
      <c r="T144" s="41"/>
      <c r="U144" s="41"/>
      <c r="V144" s="41"/>
      <c r="W144" s="41"/>
      <c r="X144" s="41"/>
      <c r="Y144" s="41"/>
      <c r="Z144" s="41"/>
    </row>
    <row r="145" ht="19.5" customHeight="1">
      <c r="A145" s="41"/>
      <c r="B145" s="173" t="s">
        <v>701</v>
      </c>
      <c r="C145" s="111" t="s">
        <v>1286</v>
      </c>
      <c r="D145" s="18" t="s">
        <v>483</v>
      </c>
      <c r="E145" s="173"/>
      <c r="F145" s="41"/>
      <c r="G145" s="41"/>
      <c r="H145" s="41"/>
      <c r="I145" s="41"/>
      <c r="J145" s="41"/>
      <c r="K145" s="41"/>
      <c r="L145" s="41"/>
      <c r="M145" s="41"/>
      <c r="N145" s="41"/>
      <c r="O145" s="41"/>
      <c r="P145" s="41"/>
      <c r="Q145" s="41"/>
      <c r="R145" s="41"/>
      <c r="S145" s="41"/>
      <c r="T145" s="41"/>
      <c r="U145" s="41"/>
      <c r="V145" s="41"/>
      <c r="W145" s="41"/>
      <c r="X145" s="41"/>
      <c r="Y145" s="41"/>
      <c r="Z145" s="41"/>
    </row>
    <row r="146" ht="19.5" customHeight="1">
      <c r="A146" s="41"/>
      <c r="B146" s="173" t="s">
        <v>702</v>
      </c>
      <c r="C146" s="111" t="s">
        <v>1287</v>
      </c>
      <c r="D146" s="18" t="s">
        <v>483</v>
      </c>
      <c r="E146" s="173"/>
      <c r="F146" s="41"/>
      <c r="G146" s="41"/>
      <c r="H146" s="41"/>
      <c r="I146" s="41"/>
      <c r="J146" s="41"/>
      <c r="K146" s="41"/>
      <c r="L146" s="41"/>
      <c r="M146" s="41"/>
      <c r="N146" s="41"/>
      <c r="O146" s="41"/>
      <c r="P146" s="41"/>
      <c r="Q146" s="41"/>
      <c r="R146" s="41"/>
      <c r="S146" s="41"/>
      <c r="T146" s="41"/>
      <c r="U146" s="41"/>
      <c r="V146" s="41"/>
      <c r="W146" s="41"/>
      <c r="X146" s="41"/>
      <c r="Y146" s="41"/>
      <c r="Z146" s="41"/>
    </row>
    <row r="147" ht="19.5" customHeight="1">
      <c r="A147" s="41"/>
      <c r="B147" s="173" t="s">
        <v>703</v>
      </c>
      <c r="C147" s="111" t="s">
        <v>1288</v>
      </c>
      <c r="D147" s="18" t="s">
        <v>483</v>
      </c>
      <c r="E147" s="173"/>
      <c r="F147" s="41"/>
      <c r="G147" s="41"/>
      <c r="H147" s="41"/>
      <c r="I147" s="41"/>
      <c r="J147" s="41"/>
      <c r="K147" s="41"/>
      <c r="L147" s="41"/>
      <c r="M147" s="41"/>
      <c r="N147" s="41"/>
      <c r="O147" s="41"/>
      <c r="P147" s="41"/>
      <c r="Q147" s="41"/>
      <c r="R147" s="41"/>
      <c r="S147" s="41"/>
      <c r="T147" s="41"/>
      <c r="U147" s="41"/>
      <c r="V147" s="41"/>
      <c r="W147" s="41"/>
      <c r="X147" s="41"/>
      <c r="Y147" s="41"/>
      <c r="Z147" s="41"/>
    </row>
    <row r="148" ht="19.5" customHeight="1">
      <c r="A148" s="41"/>
      <c r="B148" s="173" t="s">
        <v>704</v>
      </c>
      <c r="C148" s="111" t="s">
        <v>1289</v>
      </c>
      <c r="D148" s="18" t="s">
        <v>483</v>
      </c>
      <c r="E148" s="173"/>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173" t="s">
        <v>705</v>
      </c>
      <c r="C149" s="111" t="s">
        <v>1290</v>
      </c>
      <c r="D149" s="18" t="s">
        <v>483</v>
      </c>
      <c r="E149" s="173"/>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173" t="s">
        <v>706</v>
      </c>
      <c r="C150" s="111" t="s">
        <v>1291</v>
      </c>
      <c r="D150" s="18" t="s">
        <v>483</v>
      </c>
      <c r="E150" s="154"/>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173" t="s">
        <v>707</v>
      </c>
      <c r="C151" s="111" t="s">
        <v>1292</v>
      </c>
      <c r="D151" s="18" t="s">
        <v>483</v>
      </c>
      <c r="E151" s="173"/>
      <c r="F151" s="41"/>
      <c r="G151" s="41"/>
      <c r="H151" s="41"/>
      <c r="I151" s="41"/>
      <c r="J151" s="41"/>
      <c r="K151" s="41"/>
      <c r="L151" s="41"/>
      <c r="M151" s="41"/>
      <c r="N151" s="41"/>
      <c r="O151" s="41"/>
      <c r="P151" s="41"/>
      <c r="Q151" s="41"/>
      <c r="R151" s="41"/>
      <c r="S151" s="41"/>
      <c r="T151" s="41"/>
      <c r="U151" s="41"/>
      <c r="V151" s="41"/>
      <c r="W151" s="41"/>
      <c r="X151" s="41"/>
      <c r="Y151" s="41"/>
      <c r="Z151" s="41"/>
    </row>
    <row r="152" ht="19.5" customHeight="1">
      <c r="A152" s="41"/>
      <c r="B152" s="173" t="s">
        <v>708</v>
      </c>
      <c r="C152" s="111" t="s">
        <v>1293</v>
      </c>
      <c r="D152" s="18" t="s">
        <v>483</v>
      </c>
      <c r="E152" s="173"/>
      <c r="F152" s="41"/>
      <c r="G152" s="41"/>
      <c r="H152" s="41"/>
      <c r="I152" s="41"/>
      <c r="J152" s="41"/>
      <c r="K152" s="41"/>
      <c r="L152" s="41"/>
      <c r="M152" s="41"/>
      <c r="N152" s="41"/>
      <c r="O152" s="41"/>
      <c r="P152" s="41"/>
      <c r="Q152" s="41"/>
      <c r="R152" s="41"/>
      <c r="S152" s="41"/>
      <c r="T152" s="41"/>
      <c r="U152" s="41"/>
      <c r="V152" s="41"/>
      <c r="W152" s="41"/>
      <c r="X152" s="41"/>
      <c r="Y152" s="41"/>
      <c r="Z152" s="41"/>
    </row>
    <row r="153" ht="19.5" customHeight="1">
      <c r="A153" s="41"/>
      <c r="B153" s="173" t="s">
        <v>709</v>
      </c>
      <c r="C153" s="111" t="s">
        <v>1294</v>
      </c>
      <c r="D153" s="18" t="s">
        <v>483</v>
      </c>
      <c r="E153" s="173"/>
      <c r="F153" s="41"/>
      <c r="G153" s="41"/>
      <c r="H153" s="41"/>
      <c r="I153" s="41"/>
      <c r="J153" s="41"/>
      <c r="K153" s="41"/>
      <c r="L153" s="41"/>
      <c r="M153" s="41"/>
      <c r="N153" s="41"/>
      <c r="O153" s="41"/>
      <c r="P153" s="41"/>
      <c r="Q153" s="41"/>
      <c r="R153" s="41"/>
      <c r="S153" s="41"/>
      <c r="T153" s="41"/>
      <c r="U153" s="41"/>
      <c r="V153" s="41"/>
      <c r="W153" s="41"/>
      <c r="X153" s="41"/>
      <c r="Y153" s="41"/>
      <c r="Z153" s="41"/>
    </row>
    <row r="154" ht="19.5" customHeight="1">
      <c r="A154" s="41"/>
      <c r="B154" s="173" t="s">
        <v>710</v>
      </c>
      <c r="C154" s="111" t="s">
        <v>1295</v>
      </c>
      <c r="D154" s="18" t="s">
        <v>483</v>
      </c>
      <c r="E154" s="173"/>
      <c r="F154" s="41"/>
      <c r="G154" s="41"/>
      <c r="H154" s="41"/>
      <c r="I154" s="41"/>
      <c r="J154" s="41"/>
      <c r="K154" s="41"/>
      <c r="L154" s="41"/>
      <c r="M154" s="41"/>
      <c r="N154" s="41"/>
      <c r="O154" s="41"/>
      <c r="P154" s="41"/>
      <c r="Q154" s="41"/>
      <c r="R154" s="41"/>
      <c r="S154" s="41"/>
      <c r="T154" s="41"/>
      <c r="U154" s="41"/>
      <c r="V154" s="41"/>
      <c r="W154" s="41"/>
      <c r="X154" s="41"/>
      <c r="Y154" s="41"/>
      <c r="Z154" s="41"/>
    </row>
    <row r="155" ht="19.5" customHeight="1">
      <c r="A155" s="41"/>
      <c r="B155" s="173" t="s">
        <v>711</v>
      </c>
      <c r="C155" s="111" t="s">
        <v>1296</v>
      </c>
      <c r="D155" s="18" t="s">
        <v>483</v>
      </c>
      <c r="E155" s="173"/>
      <c r="F155" s="41"/>
      <c r="G155" s="41"/>
      <c r="H155" s="41"/>
      <c r="I155" s="41"/>
      <c r="J155" s="41"/>
      <c r="K155" s="41"/>
      <c r="L155" s="41"/>
      <c r="M155" s="41"/>
      <c r="N155" s="41"/>
      <c r="O155" s="41"/>
      <c r="P155" s="41"/>
      <c r="Q155" s="41"/>
      <c r="R155" s="41"/>
      <c r="S155" s="41"/>
      <c r="T155" s="41"/>
      <c r="U155" s="41"/>
      <c r="V155" s="41"/>
      <c r="W155" s="41"/>
      <c r="X155" s="41"/>
      <c r="Y155" s="41"/>
      <c r="Z155" s="41"/>
    </row>
    <row r="156" ht="19.5" customHeight="1">
      <c r="A156" s="41"/>
      <c r="B156" s="173" t="s">
        <v>712</v>
      </c>
      <c r="C156" s="111" t="s">
        <v>1297</v>
      </c>
      <c r="D156" s="18" t="s">
        <v>483</v>
      </c>
      <c r="E156" s="173"/>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1"/>
      <c r="D157" s="1"/>
      <c r="E157" s="1"/>
      <c r="F157" s="41"/>
      <c r="G157" s="41"/>
      <c r="H157" s="41"/>
      <c r="I157" s="41"/>
      <c r="J157" s="41"/>
      <c r="K157" s="41"/>
      <c r="L157" s="41"/>
      <c r="M157" s="41"/>
      <c r="N157" s="41"/>
      <c r="O157" s="41"/>
      <c r="P157" s="41"/>
      <c r="Q157" s="41"/>
      <c r="R157" s="41"/>
      <c r="S157" s="41"/>
      <c r="T157" s="41"/>
      <c r="U157" s="41"/>
      <c r="V157" s="41"/>
      <c r="W157" s="41"/>
      <c r="X157" s="41"/>
      <c r="Y157" s="41"/>
      <c r="Z157" s="41"/>
    </row>
    <row r="158" ht="33.75" customHeight="1">
      <c r="A158" s="41"/>
      <c r="B158" s="12" t="s">
        <v>416</v>
      </c>
      <c r="C158" s="13"/>
      <c r="D158" s="13"/>
      <c r="E158" s="14"/>
      <c r="F158" s="41"/>
      <c r="G158" s="41"/>
      <c r="H158" s="41"/>
      <c r="I158" s="41"/>
      <c r="J158" s="41"/>
      <c r="K158" s="41"/>
      <c r="L158" s="41"/>
      <c r="M158" s="41"/>
      <c r="N158" s="41"/>
      <c r="O158" s="41"/>
      <c r="P158" s="41"/>
      <c r="Q158" s="41"/>
      <c r="R158" s="41"/>
      <c r="S158" s="41"/>
      <c r="T158" s="41"/>
      <c r="U158" s="41"/>
      <c r="V158" s="41"/>
      <c r="W158" s="41"/>
      <c r="X158" s="41"/>
      <c r="Y158" s="41"/>
      <c r="Z158" s="41"/>
    </row>
    <row r="159" ht="19.5" customHeight="1">
      <c r="A159" s="41"/>
      <c r="B159" s="102" t="s">
        <v>1298</v>
      </c>
      <c r="C159" s="13"/>
      <c r="D159" s="13"/>
      <c r="E159" s="14"/>
      <c r="F159" s="41"/>
      <c r="G159" s="41"/>
      <c r="H159" s="41"/>
      <c r="I159" s="41"/>
      <c r="J159" s="41"/>
      <c r="K159" s="41"/>
      <c r="L159" s="41"/>
      <c r="M159" s="41"/>
      <c r="N159" s="41"/>
      <c r="O159" s="41"/>
      <c r="P159" s="41"/>
      <c r="Q159" s="41"/>
      <c r="R159" s="41"/>
      <c r="S159" s="41"/>
      <c r="T159" s="41"/>
      <c r="U159" s="41"/>
      <c r="V159" s="41"/>
      <c r="W159" s="41"/>
      <c r="X159" s="41"/>
      <c r="Y159" s="41"/>
      <c r="Z159" s="41"/>
    </row>
    <row r="160" ht="19.5" customHeight="1">
      <c r="A160" s="41"/>
      <c r="B160" s="49" t="s">
        <v>37</v>
      </c>
      <c r="C160" s="49" t="s">
        <v>273</v>
      </c>
      <c r="D160" s="49" t="s">
        <v>274</v>
      </c>
      <c r="E160" s="49" t="s">
        <v>5</v>
      </c>
      <c r="F160" s="41"/>
      <c r="G160" s="41"/>
      <c r="H160" s="41"/>
      <c r="I160" s="41"/>
      <c r="J160" s="41"/>
      <c r="K160" s="41"/>
      <c r="L160" s="41"/>
      <c r="M160" s="41"/>
      <c r="N160" s="41"/>
      <c r="O160" s="41"/>
      <c r="P160" s="41"/>
      <c r="Q160" s="41"/>
      <c r="R160" s="41"/>
      <c r="S160" s="41"/>
      <c r="T160" s="41"/>
      <c r="U160" s="41"/>
      <c r="V160" s="41"/>
      <c r="W160" s="41"/>
      <c r="X160" s="41"/>
      <c r="Y160" s="41"/>
      <c r="Z160" s="41"/>
    </row>
    <row r="161" ht="19.5" customHeight="1">
      <c r="A161" s="41"/>
      <c r="B161" s="173" t="s">
        <v>418</v>
      </c>
      <c r="C161" s="110" t="s">
        <v>213</v>
      </c>
      <c r="D161" s="18" t="s">
        <v>213</v>
      </c>
      <c r="E161" s="18"/>
      <c r="F161" s="41"/>
      <c r="G161" s="41"/>
      <c r="H161" s="41"/>
      <c r="I161" s="41"/>
      <c r="J161" s="41"/>
      <c r="K161" s="41"/>
      <c r="L161" s="41"/>
      <c r="M161" s="41"/>
      <c r="N161" s="41"/>
      <c r="O161" s="41"/>
      <c r="P161" s="41"/>
      <c r="Q161" s="41"/>
      <c r="R161" s="41"/>
      <c r="S161" s="41"/>
      <c r="T161" s="41"/>
      <c r="U161" s="41"/>
      <c r="V161" s="41"/>
      <c r="W161" s="41"/>
      <c r="X161" s="41"/>
      <c r="Y161" s="41"/>
      <c r="Z161" s="41"/>
    </row>
    <row r="162" ht="19.5" customHeight="1">
      <c r="A162" s="41"/>
      <c r="B162" s="173" t="s">
        <v>1299</v>
      </c>
      <c r="C162" s="110" t="s">
        <v>284</v>
      </c>
      <c r="D162" s="18" t="s">
        <v>285</v>
      </c>
      <c r="E162" s="18" t="s">
        <v>1611</v>
      </c>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1"/>
      <c r="D163" s="1"/>
      <c r="E163" s="1"/>
      <c r="F163" s="41"/>
      <c r="G163" s="41"/>
      <c r="H163" s="41"/>
      <c r="I163" s="41"/>
      <c r="J163" s="41"/>
      <c r="K163" s="41"/>
      <c r="L163" s="41"/>
      <c r="M163" s="41"/>
      <c r="N163" s="41"/>
      <c r="O163" s="41"/>
      <c r="P163" s="41"/>
      <c r="Q163" s="41"/>
      <c r="R163" s="41"/>
      <c r="S163" s="41"/>
      <c r="T163" s="41"/>
      <c r="U163" s="41"/>
      <c r="V163" s="41"/>
      <c r="W163" s="41"/>
      <c r="X163" s="41"/>
      <c r="Y163" s="41"/>
      <c r="Z163" s="41"/>
    </row>
    <row r="164" ht="33.75" customHeight="1">
      <c r="A164" s="41"/>
      <c r="B164" s="246" t="s">
        <v>420</v>
      </c>
      <c r="C164" s="247"/>
      <c r="D164" s="247"/>
      <c r="E164" s="248"/>
      <c r="F164" s="41"/>
      <c r="G164" s="41"/>
      <c r="H164" s="41"/>
      <c r="I164" s="41"/>
      <c r="J164" s="41"/>
      <c r="K164" s="41"/>
      <c r="L164" s="41"/>
      <c r="M164" s="41"/>
      <c r="N164" s="41"/>
      <c r="O164" s="41"/>
      <c r="P164" s="41"/>
      <c r="Q164" s="41"/>
      <c r="R164" s="41"/>
      <c r="S164" s="41"/>
      <c r="T164" s="41"/>
      <c r="U164" s="41"/>
      <c r="V164" s="41"/>
      <c r="W164" s="41"/>
      <c r="X164" s="41"/>
      <c r="Y164" s="41"/>
      <c r="Z164" s="41"/>
    </row>
    <row r="165" ht="19.5" customHeight="1">
      <c r="A165" s="41"/>
      <c r="B165" s="249" t="s">
        <v>1612</v>
      </c>
      <c r="C165" s="250"/>
      <c r="D165" s="250"/>
      <c r="E165" s="251"/>
      <c r="F165" s="41"/>
      <c r="G165" s="41"/>
      <c r="H165" s="41"/>
      <c r="I165" s="41"/>
      <c r="J165" s="41"/>
      <c r="K165" s="41"/>
      <c r="L165" s="41"/>
      <c r="M165" s="41"/>
      <c r="N165" s="41"/>
      <c r="O165" s="41"/>
      <c r="P165" s="41"/>
      <c r="Q165" s="41"/>
      <c r="R165" s="41"/>
      <c r="S165" s="41"/>
      <c r="T165" s="41"/>
      <c r="U165" s="41"/>
      <c r="V165" s="41"/>
      <c r="W165" s="41"/>
      <c r="X165" s="41"/>
      <c r="Y165" s="41"/>
      <c r="Z165" s="41"/>
    </row>
    <row r="166" ht="19.5" customHeight="1">
      <c r="A166" s="41"/>
      <c r="B166" s="49" t="s">
        <v>37</v>
      </c>
      <c r="C166" s="49" t="s">
        <v>273</v>
      </c>
      <c r="D166" s="49" t="s">
        <v>274</v>
      </c>
      <c r="E166" s="49" t="s">
        <v>5</v>
      </c>
      <c r="F166" s="41"/>
      <c r="G166" s="41"/>
      <c r="H166" s="41"/>
      <c r="I166" s="41"/>
      <c r="J166" s="41"/>
      <c r="K166" s="41"/>
      <c r="L166" s="41"/>
      <c r="M166" s="41"/>
      <c r="N166" s="41"/>
      <c r="O166" s="41"/>
      <c r="P166" s="41"/>
      <c r="Q166" s="41"/>
      <c r="R166" s="41"/>
      <c r="S166" s="41"/>
      <c r="T166" s="41"/>
      <c r="U166" s="41"/>
      <c r="V166" s="41"/>
      <c r="W166" s="41"/>
      <c r="X166" s="41"/>
      <c r="Y166" s="41"/>
      <c r="Z166" s="41"/>
    </row>
    <row r="167" ht="19.5" customHeight="1">
      <c r="A167" s="41"/>
      <c r="B167" s="173" t="s">
        <v>1302</v>
      </c>
      <c r="C167" s="110" t="str">
        <f>CONCATENATE(sample_cluster_name,"-vds01")</f>
        <v>lax-w01-cl02-vds01</v>
      </c>
      <c r="D167" s="18"/>
      <c r="E167" s="18"/>
      <c r="F167" s="41"/>
      <c r="G167" s="41"/>
      <c r="H167" s="41"/>
      <c r="I167" s="41"/>
      <c r="J167" s="41"/>
      <c r="K167" s="41"/>
      <c r="L167" s="41"/>
      <c r="M167" s="41"/>
      <c r="N167" s="41"/>
      <c r="O167" s="41"/>
      <c r="P167" s="41"/>
      <c r="Q167" s="41"/>
      <c r="R167" s="41"/>
      <c r="S167" s="41"/>
      <c r="T167" s="41"/>
      <c r="U167" s="41"/>
      <c r="V167" s="41"/>
      <c r="W167" s="41"/>
      <c r="X167" s="41"/>
      <c r="Y167" s="41"/>
      <c r="Z167" s="41"/>
    </row>
    <row r="168" ht="19.5" customHeight="1">
      <c r="A168" s="41"/>
      <c r="B168" s="173" t="s">
        <v>404</v>
      </c>
      <c r="C168" s="110">
        <v>9000.0</v>
      </c>
      <c r="D168" s="18"/>
      <c r="E168" s="18"/>
      <c r="F168" s="41"/>
      <c r="G168" s="41"/>
      <c r="H168" s="41"/>
      <c r="I168" s="41"/>
      <c r="J168" s="41"/>
      <c r="K168" s="41"/>
      <c r="L168" s="41"/>
      <c r="M168" s="41"/>
      <c r="N168" s="41"/>
      <c r="O168" s="41"/>
      <c r="P168" s="41"/>
      <c r="Q168" s="41"/>
      <c r="R168" s="41"/>
      <c r="S168" s="41"/>
      <c r="T168" s="41"/>
      <c r="U168" s="41"/>
      <c r="V168" s="41"/>
      <c r="W168" s="41"/>
      <c r="X168" s="41"/>
      <c r="Y168" s="41"/>
      <c r="Z168" s="41"/>
    </row>
    <row r="169" ht="19.5" customHeight="1">
      <c r="A169" s="41"/>
      <c r="B169" s="173" t="s">
        <v>30</v>
      </c>
      <c r="C169" s="110" t="s">
        <v>423</v>
      </c>
      <c r="D169" s="18" t="s">
        <v>423</v>
      </c>
      <c r="E169" s="254" t="str">
        <f>IF(cluster_vds01_link_type_chosen="VDS Lag","Only supported via API. Use VCF.JSONGenerator to generate the JSON File once PnP is complete","Option is not visible in VMware Cloud Foundations Operations UI")</f>
        <v>Option is not visible in VMware Cloud Foundations Operations UI</v>
      </c>
      <c r="F169" s="41"/>
      <c r="G169" s="41"/>
      <c r="H169" s="41"/>
      <c r="I169" s="41"/>
      <c r="J169" s="41"/>
      <c r="K169" s="41"/>
      <c r="L169" s="41"/>
      <c r="M169" s="41"/>
      <c r="N169" s="41"/>
      <c r="O169" s="41"/>
      <c r="P169" s="41"/>
      <c r="Q169" s="41"/>
      <c r="R169" s="41"/>
      <c r="S169" s="41"/>
      <c r="T169" s="41"/>
      <c r="U169" s="41"/>
      <c r="V169" s="41"/>
      <c r="W169" s="41"/>
      <c r="X169" s="41"/>
      <c r="Y169" s="41"/>
      <c r="Z169" s="41"/>
    </row>
    <row r="170" ht="19.5" customHeight="1">
      <c r="A170" s="41"/>
      <c r="B170" s="84" t="s">
        <v>424</v>
      </c>
      <c r="C170" s="149" t="str">
        <f>CONCATENATE("w01-cl02-vds1-lg")</f>
        <v>w01-cl02-vds1-lg</v>
      </c>
      <c r="D170" s="18"/>
      <c r="E170" s="254" t="str">
        <f>IF(cluster_vds01_link_type_chosen="VDS Uplinks","This input is masked out as you have chosen to configure VDS Uplinks","Option is not visible in VCF Operations UI. There is a 16 Character Limit for LAG Name")</f>
        <v>This input is masked out as you have chosen to configure VDS Uplinks</v>
      </c>
      <c r="F170" s="41"/>
      <c r="G170" s="41"/>
      <c r="H170" s="41"/>
      <c r="I170" s="41"/>
      <c r="J170" s="41"/>
      <c r="K170" s="41"/>
      <c r="L170" s="41"/>
      <c r="M170" s="41"/>
      <c r="N170" s="41"/>
      <c r="O170" s="41"/>
      <c r="P170" s="41"/>
      <c r="Q170" s="41"/>
      <c r="R170" s="41"/>
      <c r="S170" s="41"/>
      <c r="T170" s="41"/>
      <c r="U170" s="41"/>
      <c r="V170" s="41"/>
      <c r="W170" s="41"/>
      <c r="X170" s="41"/>
      <c r="Y170" s="41"/>
      <c r="Z170" s="41"/>
    </row>
    <row r="171" ht="19.5" customHeight="1">
      <c r="A171" s="41"/>
      <c r="B171" s="84" t="s">
        <v>425</v>
      </c>
      <c r="C171" s="208" t="s">
        <v>426</v>
      </c>
      <c r="D171" s="18" t="s">
        <v>426</v>
      </c>
      <c r="E171" s="254" t="str">
        <f>IF(cluster_vds01_link_type_chosen="VDS Uplinks","This input is masked out as you have chosen to configure VDS Uplinks","Option is not visible in VMware Cloud Foundations Operations UI")</f>
        <v>This input is masked out as you have chosen to configure VDS Uplinks</v>
      </c>
      <c r="F171" s="41"/>
      <c r="G171" s="41"/>
      <c r="H171" s="41"/>
      <c r="I171" s="41"/>
      <c r="J171" s="41"/>
      <c r="K171" s="41"/>
      <c r="L171" s="41"/>
      <c r="M171" s="41"/>
      <c r="N171" s="41"/>
      <c r="O171" s="41"/>
      <c r="P171" s="41"/>
      <c r="Q171" s="41"/>
      <c r="R171" s="41"/>
      <c r="S171" s="41"/>
      <c r="T171" s="41"/>
      <c r="U171" s="41"/>
      <c r="V171" s="41"/>
      <c r="W171" s="41"/>
      <c r="X171" s="41"/>
      <c r="Y171" s="41"/>
      <c r="Z171" s="41"/>
    </row>
    <row r="172" ht="19.5" customHeight="1">
      <c r="A172" s="41"/>
      <c r="B172" s="84" t="s">
        <v>427</v>
      </c>
      <c r="C172" s="208" t="s">
        <v>428</v>
      </c>
      <c r="D172" s="18" t="s">
        <v>428</v>
      </c>
      <c r="E172" s="254" t="str">
        <f>IF(cluster_vds01_link_type_chosen="VDS Uplinks","This input is masked out as you have chosen to configure VDS Uplinks","Option is not visible in VMware Cloud Foundations Operations UI")</f>
        <v>This input is masked out as you have chosen to configure VDS Uplinks</v>
      </c>
      <c r="F172" s="41"/>
      <c r="G172" s="41"/>
      <c r="H172" s="41"/>
      <c r="I172" s="41"/>
      <c r="J172" s="41"/>
      <c r="K172" s="41"/>
      <c r="L172" s="41"/>
      <c r="M172" s="41"/>
      <c r="N172" s="41"/>
      <c r="O172" s="41"/>
      <c r="P172" s="41"/>
      <c r="Q172" s="41"/>
      <c r="R172" s="41"/>
      <c r="S172" s="41"/>
      <c r="T172" s="41"/>
      <c r="U172" s="41"/>
      <c r="V172" s="41"/>
      <c r="W172" s="41"/>
      <c r="X172" s="41"/>
      <c r="Y172" s="41"/>
      <c r="Z172" s="41"/>
    </row>
    <row r="173" ht="19.5" customHeight="1">
      <c r="A173" s="41"/>
      <c r="B173" s="84" t="s">
        <v>429</v>
      </c>
      <c r="C173" s="208" t="s">
        <v>430</v>
      </c>
      <c r="D173" s="18" t="s">
        <v>430</v>
      </c>
      <c r="E173" s="254" t="str">
        <f>IF(cluster_vds01_link_type_chosen="VDS Uplinks","This input is masked out as you have chosen to configure VDS Uplinks","Option is not visible in VMware Cloud Foundations Operations UI")</f>
        <v>This input is masked out as you have chosen to configure VDS Uplinks</v>
      </c>
      <c r="F173" s="41"/>
      <c r="G173" s="41"/>
      <c r="H173" s="41"/>
      <c r="I173" s="41"/>
      <c r="J173" s="41"/>
      <c r="K173" s="41"/>
      <c r="L173" s="41"/>
      <c r="M173" s="41"/>
      <c r="N173" s="41"/>
      <c r="O173" s="41"/>
      <c r="P173" s="41"/>
      <c r="Q173" s="41"/>
      <c r="R173" s="41"/>
      <c r="S173" s="41"/>
      <c r="T173" s="41"/>
      <c r="U173" s="41"/>
      <c r="V173" s="41"/>
      <c r="W173" s="41"/>
      <c r="X173" s="41"/>
      <c r="Y173" s="41"/>
      <c r="Z173" s="41"/>
    </row>
    <row r="174" ht="19.5" customHeight="1">
      <c r="A174" s="41"/>
      <c r="B174" s="187" t="s">
        <v>431</v>
      </c>
      <c r="C174" s="255">
        <v>2.0</v>
      </c>
      <c r="D174" s="148"/>
      <c r="E174" s="258"/>
      <c r="F174" s="41"/>
      <c r="G174" s="41"/>
      <c r="H174" s="41"/>
      <c r="I174" s="41"/>
      <c r="J174" s="41"/>
      <c r="K174" s="41"/>
      <c r="L174" s="41"/>
      <c r="M174" s="41"/>
      <c r="N174" s="41"/>
      <c r="O174" s="41"/>
      <c r="P174" s="41"/>
      <c r="Q174" s="41"/>
      <c r="R174" s="41"/>
      <c r="S174" s="41"/>
      <c r="T174" s="41"/>
      <c r="U174" s="41"/>
      <c r="V174" s="41"/>
      <c r="W174" s="41"/>
      <c r="X174" s="41"/>
      <c r="Y174" s="41"/>
      <c r="Z174" s="41"/>
    </row>
    <row r="175" ht="19.5" customHeight="1">
      <c r="A175" s="41"/>
      <c r="B175" s="173" t="s">
        <v>1303</v>
      </c>
      <c r="C175" s="110" t="s">
        <v>1304</v>
      </c>
      <c r="D175" s="18"/>
      <c r="E175" s="258"/>
      <c r="F175" s="41"/>
      <c r="G175" s="41"/>
      <c r="H175" s="41"/>
      <c r="I175" s="41"/>
      <c r="J175" s="41"/>
      <c r="K175" s="41"/>
      <c r="L175" s="41"/>
      <c r="M175" s="41"/>
      <c r="N175" s="41"/>
      <c r="O175" s="41"/>
      <c r="P175" s="41"/>
      <c r="Q175" s="41"/>
      <c r="R175" s="41"/>
      <c r="S175" s="41"/>
      <c r="T175" s="41"/>
      <c r="U175" s="41"/>
      <c r="V175" s="41"/>
      <c r="W175" s="41"/>
      <c r="X175" s="41"/>
      <c r="Y175" s="41"/>
      <c r="Z175" s="41"/>
    </row>
    <row r="176" ht="19.5" customHeight="1">
      <c r="A176" s="41"/>
      <c r="B176" s="173" t="s">
        <v>1305</v>
      </c>
      <c r="C176" s="110" t="str">
        <f>cluster_vds01_traffic_type</f>
        <v>Management vMotion vSAN NSX-Overlay</v>
      </c>
      <c r="D176" s="18" t="str">
        <f>cluster_vds01_traffic_type</f>
        <v>Management vMotion vSAN NSX-Overlay</v>
      </c>
      <c r="E176" s="18"/>
      <c r="F176" s="41"/>
      <c r="G176" s="41"/>
      <c r="H176" s="41"/>
      <c r="I176" s="41"/>
      <c r="J176" s="41"/>
      <c r="K176" s="41"/>
      <c r="L176" s="41"/>
      <c r="M176" s="41"/>
      <c r="N176" s="41"/>
      <c r="O176" s="41"/>
      <c r="P176" s="41"/>
      <c r="Q176" s="41"/>
      <c r="R176" s="41"/>
      <c r="S176" s="41"/>
      <c r="T176" s="41"/>
      <c r="U176" s="41"/>
      <c r="V176" s="41"/>
      <c r="W176" s="41"/>
      <c r="X176" s="41"/>
      <c r="Y176" s="41"/>
      <c r="Z176" s="41"/>
    </row>
    <row r="177" ht="19.5" customHeight="1">
      <c r="A177" s="41"/>
      <c r="B177" s="102" t="s">
        <v>434</v>
      </c>
      <c r="C177" s="13"/>
      <c r="D177" s="13"/>
      <c r="E177" s="14"/>
      <c r="F177" s="41"/>
      <c r="G177" s="41"/>
      <c r="H177" s="41"/>
      <c r="I177" s="41"/>
      <c r="J177" s="41"/>
      <c r="K177" s="41"/>
      <c r="L177" s="41"/>
      <c r="M177" s="41"/>
      <c r="N177" s="41"/>
      <c r="O177" s="41"/>
      <c r="P177" s="41"/>
      <c r="Q177" s="41"/>
      <c r="R177" s="41"/>
      <c r="S177" s="41"/>
      <c r="T177" s="41"/>
      <c r="U177" s="41"/>
      <c r="V177" s="41"/>
      <c r="W177" s="41"/>
      <c r="X177" s="41"/>
      <c r="Y177" s="41"/>
      <c r="Z177" s="41"/>
    </row>
    <row r="178" ht="19.5" customHeight="1">
      <c r="A178" s="41"/>
      <c r="B178" s="173" t="s">
        <v>1307</v>
      </c>
      <c r="C178" s="110" t="str">
        <f>CONCATENATE(sample_cluster_name,"-vds02")</f>
        <v>lax-w01-cl02-vds02</v>
      </c>
      <c r="D178" s="18"/>
      <c r="E178" s="18"/>
      <c r="F178" s="41"/>
      <c r="G178" s="41"/>
      <c r="H178" s="41"/>
      <c r="I178" s="41"/>
      <c r="J178" s="41"/>
      <c r="K178" s="41"/>
      <c r="L178" s="41"/>
      <c r="M178" s="41"/>
      <c r="N178" s="41"/>
      <c r="O178" s="41"/>
      <c r="P178" s="41"/>
      <c r="Q178" s="41"/>
      <c r="R178" s="41"/>
      <c r="S178" s="41"/>
      <c r="T178" s="41"/>
      <c r="U178" s="41"/>
      <c r="V178" s="41"/>
      <c r="W178" s="41"/>
      <c r="X178" s="41"/>
      <c r="Y178" s="41"/>
      <c r="Z178" s="41"/>
    </row>
    <row r="179" ht="19.5" customHeight="1">
      <c r="A179" s="41"/>
      <c r="B179" s="173" t="s">
        <v>404</v>
      </c>
      <c r="C179" s="110">
        <v>9000.0</v>
      </c>
      <c r="D179" s="18"/>
      <c r="E179" s="18"/>
      <c r="F179" s="41"/>
      <c r="G179" s="41"/>
      <c r="H179" s="41"/>
      <c r="I179" s="41"/>
      <c r="J179" s="41"/>
      <c r="K179" s="41"/>
      <c r="L179" s="41"/>
      <c r="M179" s="41"/>
      <c r="N179" s="41"/>
      <c r="O179" s="41"/>
      <c r="P179" s="41"/>
      <c r="Q179" s="41"/>
      <c r="R179" s="41"/>
      <c r="S179" s="41"/>
      <c r="T179" s="41"/>
      <c r="U179" s="41"/>
      <c r="V179" s="41"/>
      <c r="W179" s="41"/>
      <c r="X179" s="41"/>
      <c r="Y179" s="41"/>
      <c r="Z179" s="41"/>
    </row>
    <row r="180" ht="19.5" customHeight="1">
      <c r="A180" s="41"/>
      <c r="B180" s="173" t="s">
        <v>30</v>
      </c>
      <c r="C180" s="110" t="s">
        <v>423</v>
      </c>
      <c r="D180" s="18" t="s">
        <v>423</v>
      </c>
      <c r="E180" s="257" t="str">
        <f>IF(cluster_vds02_link_type_chosen="VDS Lag","Only supported via API. Use VCF.JSONGenerator to generate the JSON File once PnP is complete","Option is not visible in VMware Cloud Foundations Operations UI")</f>
        <v>Option is not visible in VMware Cloud Foundations Operations UI</v>
      </c>
      <c r="F180" s="41"/>
      <c r="G180" s="41"/>
      <c r="H180" s="41"/>
      <c r="I180" s="41"/>
      <c r="J180" s="41"/>
      <c r="K180" s="41"/>
      <c r="L180" s="41"/>
      <c r="M180" s="41"/>
      <c r="N180" s="41"/>
      <c r="O180" s="41"/>
      <c r="P180" s="41"/>
      <c r="Q180" s="41"/>
      <c r="R180" s="41"/>
      <c r="S180" s="41"/>
      <c r="T180" s="41"/>
      <c r="U180" s="41"/>
      <c r="V180" s="41"/>
      <c r="W180" s="41"/>
      <c r="X180" s="41"/>
      <c r="Y180" s="41"/>
      <c r="Z180" s="41"/>
    </row>
    <row r="181" ht="19.5" customHeight="1">
      <c r="A181" s="41"/>
      <c r="B181" s="84" t="s">
        <v>424</v>
      </c>
      <c r="C181" s="149" t="str">
        <f>CONCATENATE("w01-cl02-vds2-lg")</f>
        <v>w01-cl02-vds2-lg</v>
      </c>
      <c r="D181" s="18"/>
      <c r="E181" s="257" t="str">
        <f>IF(cluster_vds02_link_type_chosen="VDS Uplinks","This input is masked out as you have chosen to configure VDS Uplinks","Option is not visible in VCF Operations UI. There is a 16 Character Limit for LAG Name")</f>
        <v>This input is masked out as you have chosen to configure VDS Uplinks</v>
      </c>
      <c r="F181" s="41"/>
      <c r="G181" s="41"/>
      <c r="H181" s="41"/>
      <c r="I181" s="41"/>
      <c r="J181" s="41"/>
      <c r="K181" s="41"/>
      <c r="L181" s="41"/>
      <c r="M181" s="41"/>
      <c r="N181" s="41"/>
      <c r="O181" s="41"/>
      <c r="P181" s="41"/>
      <c r="Q181" s="41"/>
      <c r="R181" s="41"/>
      <c r="S181" s="41"/>
      <c r="T181" s="41"/>
      <c r="U181" s="41"/>
      <c r="V181" s="41"/>
      <c r="W181" s="41"/>
      <c r="X181" s="41"/>
      <c r="Y181" s="41"/>
      <c r="Z181" s="41"/>
    </row>
    <row r="182" ht="19.5" customHeight="1">
      <c r="A182" s="41"/>
      <c r="B182" s="84" t="s">
        <v>425</v>
      </c>
      <c r="C182" s="208" t="s">
        <v>426</v>
      </c>
      <c r="D182" s="18" t="s">
        <v>426</v>
      </c>
      <c r="E182" s="257" t="str">
        <f>IF(cluster_vds02_link_type_chosen="VDS Uplinks","This input is masked out as you have chosen to configure VDS Uplinks","Option is not visible in VMware Cloud Foundations Operations UI")</f>
        <v>This input is masked out as you have chosen to configure VDS Uplinks</v>
      </c>
      <c r="F182" s="41"/>
      <c r="G182" s="41"/>
      <c r="H182" s="41"/>
      <c r="I182" s="41"/>
      <c r="J182" s="41"/>
      <c r="K182" s="41"/>
      <c r="L182" s="41"/>
      <c r="M182" s="41"/>
      <c r="N182" s="41"/>
      <c r="O182" s="41"/>
      <c r="P182" s="41"/>
      <c r="Q182" s="41"/>
      <c r="R182" s="41"/>
      <c r="S182" s="41"/>
      <c r="T182" s="41"/>
      <c r="U182" s="41"/>
      <c r="V182" s="41"/>
      <c r="W182" s="41"/>
      <c r="X182" s="41"/>
      <c r="Y182" s="41"/>
      <c r="Z182" s="41"/>
    </row>
    <row r="183" ht="19.5" customHeight="1">
      <c r="A183" s="41"/>
      <c r="B183" s="84" t="s">
        <v>427</v>
      </c>
      <c r="C183" s="208" t="s">
        <v>428</v>
      </c>
      <c r="D183" s="18" t="s">
        <v>428</v>
      </c>
      <c r="E183" s="257" t="str">
        <f>IF(cluster_vds02_link_type_chosen="VDS Uplinks","This input is masked out as you have chosen to configure VDS Uplinks","Option is not visible in VMware Cloud Foundations Operations UI")</f>
        <v>This input is masked out as you have chosen to configure VDS Uplinks</v>
      </c>
      <c r="F183" s="41"/>
      <c r="G183" s="41"/>
      <c r="H183" s="41"/>
      <c r="I183" s="41"/>
      <c r="J183" s="41"/>
      <c r="K183" s="41"/>
      <c r="L183" s="41"/>
      <c r="M183" s="41"/>
      <c r="N183" s="41"/>
      <c r="O183" s="41"/>
      <c r="P183" s="41"/>
      <c r="Q183" s="41"/>
      <c r="R183" s="41"/>
      <c r="S183" s="41"/>
      <c r="T183" s="41"/>
      <c r="U183" s="41"/>
      <c r="V183" s="41"/>
      <c r="W183" s="41"/>
      <c r="X183" s="41"/>
      <c r="Y183" s="41"/>
      <c r="Z183" s="41"/>
    </row>
    <row r="184" ht="19.5" customHeight="1">
      <c r="A184" s="41"/>
      <c r="B184" s="84" t="s">
        <v>429</v>
      </c>
      <c r="C184" s="208" t="s">
        <v>430</v>
      </c>
      <c r="D184" s="18" t="s">
        <v>430</v>
      </c>
      <c r="E184" s="257" t="str">
        <f>IF(cluster_vds02_link_type_chosen="VDS Uplinks","This input is masked out as you have chosen to configure VDS Uplinks","Option is not visible in VMware Cloud Foundations Operations UI")</f>
        <v>This input is masked out as you have chosen to configure VDS Uplinks</v>
      </c>
      <c r="F184" s="41"/>
      <c r="G184" s="41"/>
      <c r="H184" s="41"/>
      <c r="I184" s="41"/>
      <c r="J184" s="41"/>
      <c r="K184" s="41"/>
      <c r="L184" s="41"/>
      <c r="M184" s="41"/>
      <c r="N184" s="41"/>
      <c r="O184" s="41"/>
      <c r="P184" s="41"/>
      <c r="Q184" s="41"/>
      <c r="R184" s="41"/>
      <c r="S184" s="41"/>
      <c r="T184" s="41"/>
      <c r="U184" s="41"/>
      <c r="V184" s="41"/>
      <c r="W184" s="41"/>
      <c r="X184" s="41"/>
      <c r="Y184" s="41"/>
      <c r="Z184" s="41"/>
    </row>
    <row r="185" ht="19.5" customHeight="1">
      <c r="A185" s="41"/>
      <c r="B185" s="187" t="s">
        <v>431</v>
      </c>
      <c r="C185" s="255">
        <v>2.0</v>
      </c>
      <c r="D185" s="148"/>
      <c r="E185" s="258"/>
      <c r="F185" s="41"/>
      <c r="G185" s="41"/>
      <c r="H185" s="41"/>
      <c r="I185" s="41"/>
      <c r="J185" s="41"/>
      <c r="K185" s="41"/>
      <c r="L185" s="41"/>
      <c r="M185" s="41"/>
      <c r="N185" s="41"/>
      <c r="O185" s="41"/>
      <c r="P185" s="41"/>
      <c r="Q185" s="41"/>
      <c r="R185" s="41"/>
      <c r="S185" s="41"/>
      <c r="T185" s="41"/>
      <c r="U185" s="41"/>
      <c r="V185" s="41"/>
      <c r="W185" s="41"/>
      <c r="X185" s="41"/>
      <c r="Y185" s="41"/>
      <c r="Z185" s="41"/>
    </row>
    <row r="186" ht="19.5" customHeight="1">
      <c r="A186" s="41"/>
      <c r="B186" s="173" t="s">
        <v>1303</v>
      </c>
      <c r="C186" s="110" t="s">
        <v>1308</v>
      </c>
      <c r="D186" s="18"/>
      <c r="E186" s="18"/>
      <c r="F186" s="41"/>
      <c r="G186" s="41"/>
      <c r="H186" s="41"/>
      <c r="I186" s="41"/>
      <c r="J186" s="41"/>
      <c r="K186" s="41"/>
      <c r="L186" s="41"/>
      <c r="M186" s="41"/>
      <c r="N186" s="41"/>
      <c r="O186" s="41"/>
      <c r="P186" s="41"/>
      <c r="Q186" s="41"/>
      <c r="R186" s="41"/>
      <c r="S186" s="41"/>
      <c r="T186" s="41"/>
      <c r="U186" s="41"/>
      <c r="V186" s="41"/>
      <c r="W186" s="41"/>
      <c r="X186" s="41"/>
      <c r="Y186" s="41"/>
      <c r="Z186" s="41"/>
    </row>
    <row r="187" ht="19.5" customHeight="1">
      <c r="A187" s="41"/>
      <c r="B187" s="173" t="s">
        <v>1305</v>
      </c>
      <c r="C187" s="110" t="s">
        <v>724</v>
      </c>
      <c r="D187" s="18" t="str">
        <f t="array" ref="D187">cluster_vds02_traffic_type</f>
        <v/>
      </c>
      <c r="E187" s="18"/>
      <c r="F187" s="41"/>
      <c r="G187" s="41"/>
      <c r="H187" s="41"/>
      <c r="I187" s="41"/>
      <c r="J187" s="41"/>
      <c r="K187" s="41"/>
      <c r="L187" s="41"/>
      <c r="M187" s="41"/>
      <c r="N187" s="41"/>
      <c r="O187" s="41"/>
      <c r="P187" s="41"/>
      <c r="Q187" s="41"/>
      <c r="R187" s="41"/>
      <c r="S187" s="41"/>
      <c r="T187" s="41"/>
      <c r="U187" s="41"/>
      <c r="V187" s="41"/>
      <c r="W187" s="41"/>
      <c r="X187" s="41"/>
      <c r="Y187" s="41"/>
      <c r="Z187" s="41"/>
    </row>
    <row r="188" ht="19.5" customHeight="1">
      <c r="A188" s="41"/>
      <c r="B188" s="102" t="s">
        <v>437</v>
      </c>
      <c r="C188" s="13"/>
      <c r="D188" s="13"/>
      <c r="E188" s="14"/>
      <c r="F188" s="41"/>
      <c r="G188" s="41"/>
      <c r="H188" s="41"/>
      <c r="I188" s="41"/>
      <c r="J188" s="41"/>
      <c r="K188" s="41"/>
      <c r="L188" s="41"/>
      <c r="M188" s="41"/>
      <c r="N188" s="41"/>
      <c r="O188" s="41"/>
      <c r="P188" s="41"/>
      <c r="Q188" s="41"/>
      <c r="R188" s="41"/>
      <c r="S188" s="41"/>
      <c r="T188" s="41"/>
      <c r="U188" s="41"/>
      <c r="V188" s="41"/>
      <c r="W188" s="41"/>
      <c r="X188" s="41"/>
      <c r="Y188" s="41"/>
      <c r="Z188" s="41"/>
    </row>
    <row r="189" ht="19.5" customHeight="1">
      <c r="A189" s="41"/>
      <c r="B189" s="173" t="s">
        <v>1309</v>
      </c>
      <c r="C189" s="110" t="str">
        <f>CONCATENATE(sample_cluster_name,"-vds03")</f>
        <v>lax-w01-cl02-vds03</v>
      </c>
      <c r="D189" s="18"/>
      <c r="E189" s="18"/>
      <c r="F189" s="41"/>
      <c r="G189" s="41"/>
      <c r="H189" s="41"/>
      <c r="I189" s="41"/>
      <c r="J189" s="41"/>
      <c r="K189" s="41"/>
      <c r="L189" s="41"/>
      <c r="M189" s="41"/>
      <c r="N189" s="41"/>
      <c r="O189" s="41"/>
      <c r="P189" s="41"/>
      <c r="Q189" s="41"/>
      <c r="R189" s="41"/>
      <c r="S189" s="41"/>
      <c r="T189" s="41"/>
      <c r="U189" s="41"/>
      <c r="V189" s="41"/>
      <c r="W189" s="41"/>
      <c r="X189" s="41"/>
      <c r="Y189" s="41"/>
      <c r="Z189" s="41"/>
    </row>
    <row r="190" ht="19.5" customHeight="1">
      <c r="A190" s="41"/>
      <c r="B190" s="173" t="s">
        <v>404</v>
      </c>
      <c r="C190" s="110">
        <v>9000.0</v>
      </c>
      <c r="D190" s="18"/>
      <c r="E190" s="18"/>
      <c r="F190" s="41"/>
      <c r="G190" s="41"/>
      <c r="H190" s="41"/>
      <c r="I190" s="41"/>
      <c r="J190" s="41"/>
      <c r="K190" s="41"/>
      <c r="L190" s="41"/>
      <c r="M190" s="41"/>
      <c r="N190" s="41"/>
      <c r="O190" s="41"/>
      <c r="P190" s="41"/>
      <c r="Q190" s="41"/>
      <c r="R190" s="41"/>
      <c r="S190" s="41"/>
      <c r="T190" s="41"/>
      <c r="U190" s="41"/>
      <c r="V190" s="41"/>
      <c r="W190" s="41"/>
      <c r="X190" s="41"/>
      <c r="Y190" s="41"/>
      <c r="Z190" s="41"/>
    </row>
    <row r="191" ht="19.5" customHeight="1">
      <c r="A191" s="41"/>
      <c r="B191" s="173" t="s">
        <v>30</v>
      </c>
      <c r="C191" s="110" t="s">
        <v>423</v>
      </c>
      <c r="D191" s="18" t="s">
        <v>423</v>
      </c>
      <c r="E191" s="18" t="str">
        <f>IF(cluster_vds_profile_chosen&lt;&gt;"Storage Traffic and NSX Traffic Separation",IF(cluster_vds03_link_type_chosen="VDS Lag","Only supported via API. Use VCF.JSONGenerator to generate the JSON File once PnP is complete","Option is not visible in VMware Cloud Foundations Operations UI"),"")</f>
        <v>Option is not visible in VMware Cloud Foundations Operations UI</v>
      </c>
      <c r="F191" s="41"/>
      <c r="G191" s="41"/>
      <c r="H191" s="41"/>
      <c r="I191" s="41"/>
      <c r="J191" s="41"/>
      <c r="K191" s="41"/>
      <c r="L191" s="41"/>
      <c r="M191" s="41"/>
      <c r="N191" s="41"/>
      <c r="O191" s="41"/>
      <c r="P191" s="41"/>
      <c r="Q191" s="41"/>
      <c r="R191" s="41"/>
      <c r="S191" s="41"/>
      <c r="T191" s="41"/>
      <c r="U191" s="41"/>
      <c r="V191" s="41"/>
      <c r="W191" s="41"/>
      <c r="X191" s="41"/>
      <c r="Y191" s="41"/>
      <c r="Z191" s="41"/>
    </row>
    <row r="192" ht="19.5" customHeight="1">
      <c r="A192" s="41"/>
      <c r="B192" s="84" t="s">
        <v>424</v>
      </c>
      <c r="C192" s="149" t="str">
        <f>CONCATENATE("w01-cl02-vds3-lg")</f>
        <v>w01-cl02-vds3-lg</v>
      </c>
      <c r="D192" s="18"/>
      <c r="E192" s="18" t="str">
        <f>IF(cluster_vds_profile_chosen&lt;&gt;"Storage Traffic and NSX Traffic Separation",IF(cluster_vds03_link_type_chosen="VDS Uplinks","This input is masked out as you have chosen to configure VDS Uplinks","Option is not visible in VCF Operations UI. There is a 16 Character Limit for LAG Name"),"")</f>
        <v>This input is masked out as you have chosen to configure VDS Uplinks</v>
      </c>
      <c r="F192" s="41"/>
      <c r="G192" s="41"/>
      <c r="H192" s="41"/>
      <c r="I192" s="41"/>
      <c r="J192" s="41"/>
      <c r="K192" s="41"/>
      <c r="L192" s="41"/>
      <c r="M192" s="41"/>
      <c r="N192" s="41"/>
      <c r="O192" s="41"/>
      <c r="P192" s="41"/>
      <c r="Q192" s="41"/>
      <c r="R192" s="41"/>
      <c r="S192" s="41"/>
      <c r="T192" s="41"/>
      <c r="U192" s="41"/>
      <c r="V192" s="41"/>
      <c r="W192" s="41"/>
      <c r="X192" s="41"/>
      <c r="Y192" s="41"/>
      <c r="Z192" s="41"/>
    </row>
    <row r="193" ht="19.5" customHeight="1">
      <c r="A193" s="41"/>
      <c r="B193" s="84" t="s">
        <v>425</v>
      </c>
      <c r="C193" s="208" t="s">
        <v>426</v>
      </c>
      <c r="D193" s="18" t="s">
        <v>426</v>
      </c>
      <c r="E193" s="18"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c r="F193" s="41"/>
      <c r="G193" s="41"/>
      <c r="H193" s="41"/>
      <c r="I193" s="41"/>
      <c r="J193" s="41"/>
      <c r="K193" s="41"/>
      <c r="L193" s="41"/>
      <c r="M193" s="41"/>
      <c r="N193" s="41"/>
      <c r="O193" s="41"/>
      <c r="P193" s="41"/>
      <c r="Q193" s="41"/>
      <c r="R193" s="41"/>
      <c r="S193" s="41"/>
      <c r="T193" s="41"/>
      <c r="U193" s="41"/>
      <c r="V193" s="41"/>
      <c r="W193" s="41"/>
      <c r="X193" s="41"/>
      <c r="Y193" s="41"/>
      <c r="Z193" s="41"/>
    </row>
    <row r="194" ht="19.5" customHeight="1">
      <c r="A194" s="41"/>
      <c r="B194" s="84" t="s">
        <v>427</v>
      </c>
      <c r="C194" s="208" t="s">
        <v>428</v>
      </c>
      <c r="D194" s="18" t="s">
        <v>428</v>
      </c>
      <c r="E194" s="18"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c r="F194" s="41"/>
      <c r="G194" s="41"/>
      <c r="H194" s="41"/>
      <c r="I194" s="41"/>
      <c r="J194" s="41"/>
      <c r="K194" s="41"/>
      <c r="L194" s="41"/>
      <c r="M194" s="41"/>
      <c r="N194" s="41"/>
      <c r="O194" s="41"/>
      <c r="P194" s="41"/>
      <c r="Q194" s="41"/>
      <c r="R194" s="41"/>
      <c r="S194" s="41"/>
      <c r="T194" s="41"/>
      <c r="U194" s="41"/>
      <c r="V194" s="41"/>
      <c r="W194" s="41"/>
      <c r="X194" s="41"/>
      <c r="Y194" s="41"/>
      <c r="Z194" s="41"/>
    </row>
    <row r="195" ht="19.5" customHeight="1">
      <c r="A195" s="41"/>
      <c r="B195" s="84" t="s">
        <v>429</v>
      </c>
      <c r="C195" s="208" t="s">
        <v>430</v>
      </c>
      <c r="D195" s="18" t="s">
        <v>430</v>
      </c>
      <c r="E195" s="18" t="str">
        <f>IF(cluster_vds_profile_chosen&lt;&gt;"Storage Traffic and NSX Traffic Separation",IF(cluster_vds03_link_type_chosen="VDS Uplinks","This input is masked out as you have chosen to configure VDS Uplinks","Option is not visible in VMware Cloud Foundations Operations UI"),"")</f>
        <v>This input is masked out as you have chosen to configure VDS Uplinks</v>
      </c>
      <c r="F195" s="41"/>
      <c r="G195" s="41"/>
      <c r="H195" s="41"/>
      <c r="I195" s="41"/>
      <c r="J195" s="41"/>
      <c r="K195" s="41"/>
      <c r="L195" s="41"/>
      <c r="M195" s="41"/>
      <c r="N195" s="41"/>
      <c r="O195" s="41"/>
      <c r="P195" s="41"/>
      <c r="Q195" s="41"/>
      <c r="R195" s="41"/>
      <c r="S195" s="41"/>
      <c r="T195" s="41"/>
      <c r="U195" s="41"/>
      <c r="V195" s="41"/>
      <c r="W195" s="41"/>
      <c r="X195" s="41"/>
      <c r="Y195" s="41"/>
      <c r="Z195" s="41"/>
    </row>
    <row r="196" ht="19.5" customHeight="1">
      <c r="A196" s="41"/>
      <c r="B196" s="187" t="s">
        <v>431</v>
      </c>
      <c r="C196" s="255">
        <v>2.0</v>
      </c>
      <c r="D196" s="148"/>
      <c r="E196" s="258"/>
      <c r="F196" s="41"/>
      <c r="G196" s="41"/>
      <c r="H196" s="41"/>
      <c r="I196" s="41"/>
      <c r="J196" s="41"/>
      <c r="K196" s="41"/>
      <c r="L196" s="41"/>
      <c r="M196" s="41"/>
      <c r="N196" s="41"/>
      <c r="O196" s="41"/>
      <c r="P196" s="41"/>
      <c r="Q196" s="41"/>
      <c r="R196" s="41"/>
      <c r="S196" s="41"/>
      <c r="T196" s="41"/>
      <c r="U196" s="41"/>
      <c r="V196" s="41"/>
      <c r="W196" s="41"/>
      <c r="X196" s="41"/>
      <c r="Y196" s="41"/>
      <c r="Z196" s="41"/>
    </row>
    <row r="197" ht="19.5" customHeight="1">
      <c r="A197" s="41"/>
      <c r="B197" s="173" t="s">
        <v>1303</v>
      </c>
      <c r="C197" s="110" t="s">
        <v>1311</v>
      </c>
      <c r="D197" s="18"/>
      <c r="E197" s="18"/>
      <c r="F197" s="41"/>
      <c r="G197" s="41"/>
      <c r="H197" s="41"/>
      <c r="I197" s="41"/>
      <c r="J197" s="41"/>
      <c r="K197" s="41"/>
      <c r="L197" s="41"/>
      <c r="M197" s="41"/>
      <c r="N197" s="41"/>
      <c r="O197" s="41"/>
      <c r="P197" s="41"/>
      <c r="Q197" s="41"/>
      <c r="R197" s="41"/>
      <c r="S197" s="41"/>
      <c r="T197" s="41"/>
      <c r="U197" s="41"/>
      <c r="V197" s="41"/>
      <c r="W197" s="41"/>
      <c r="X197" s="41"/>
      <c r="Y197" s="41"/>
      <c r="Z197" s="41"/>
    </row>
    <row r="198" ht="19.5" customHeight="1">
      <c r="A198" s="41"/>
      <c r="B198" s="173" t="s">
        <v>1305</v>
      </c>
      <c r="C198" s="110" t="s">
        <v>1312</v>
      </c>
      <c r="D198" s="18" t="str">
        <f>cluster_vds03_traffic_type</f>
        <v/>
      </c>
      <c r="E198" s="18"/>
      <c r="F198" s="41"/>
      <c r="G198" s="41"/>
      <c r="H198" s="41"/>
      <c r="I198" s="41"/>
      <c r="J198" s="41"/>
      <c r="K198" s="41"/>
      <c r="L198" s="41"/>
      <c r="M198" s="41"/>
      <c r="N198" s="41"/>
      <c r="O198" s="41"/>
      <c r="P198" s="41"/>
      <c r="Q198" s="41"/>
      <c r="R198" s="41"/>
      <c r="S198" s="41"/>
      <c r="T198" s="41"/>
      <c r="U198" s="41"/>
      <c r="V198" s="41"/>
      <c r="W198" s="41"/>
      <c r="X198" s="41"/>
      <c r="Y198" s="41"/>
      <c r="Z198" s="41"/>
    </row>
    <row r="199" ht="19.5" customHeight="1">
      <c r="A199" s="41"/>
      <c r="B199" s="249" t="s">
        <v>1313</v>
      </c>
      <c r="C199" s="250"/>
      <c r="D199" s="250"/>
      <c r="E199" s="251"/>
      <c r="F199" s="41"/>
      <c r="G199" s="41"/>
      <c r="H199" s="41"/>
      <c r="I199" s="41"/>
      <c r="J199" s="41"/>
      <c r="K199" s="41"/>
      <c r="L199" s="41"/>
      <c r="M199" s="41"/>
      <c r="N199" s="41"/>
      <c r="O199" s="41"/>
      <c r="P199" s="41"/>
      <c r="Q199" s="41"/>
      <c r="R199" s="41"/>
      <c r="S199" s="41"/>
      <c r="T199" s="41"/>
      <c r="U199" s="41"/>
      <c r="V199" s="41"/>
      <c r="W199" s="41"/>
      <c r="X199" s="41"/>
      <c r="Y199" s="41"/>
      <c r="Z199" s="41"/>
    </row>
    <row r="200" ht="19.5" customHeight="1">
      <c r="A200" s="41"/>
      <c r="B200" s="187" t="s">
        <v>441</v>
      </c>
      <c r="C200" s="110" t="str">
        <f>CONCATENATE(sample_cluster_name,"-pg-esx-mgmt")</f>
        <v>lax-w01-cl02-pg-esx-mgmt</v>
      </c>
      <c r="D200" s="18"/>
      <c r="E200" s="154" t="s">
        <v>1314</v>
      </c>
      <c r="F200" s="41"/>
      <c r="G200" s="41"/>
      <c r="H200" s="41"/>
      <c r="I200" s="41"/>
      <c r="J200" s="41"/>
      <c r="K200" s="41"/>
      <c r="L200" s="41"/>
      <c r="M200" s="41"/>
      <c r="N200" s="41"/>
      <c r="O200" s="41"/>
      <c r="P200" s="41"/>
      <c r="Q200" s="41"/>
      <c r="R200" s="41"/>
      <c r="S200" s="41"/>
      <c r="T200" s="41"/>
      <c r="U200" s="41"/>
      <c r="V200" s="41"/>
      <c r="W200" s="41"/>
      <c r="X200" s="41"/>
      <c r="Y200" s="41"/>
      <c r="Z200" s="41"/>
    </row>
    <row r="201" ht="19.5" customHeight="1">
      <c r="A201" s="41"/>
      <c r="B201" s="187" t="s">
        <v>442</v>
      </c>
      <c r="C201" s="255" t="s">
        <v>443</v>
      </c>
      <c r="D201" s="148" t="s">
        <v>443</v>
      </c>
      <c r="E201" s="258" t="str">
        <f>IF(cluster_vds01_link_type_chosen="VDS Lag","This input is masked out as you have chosen to configure VDS LAG","")</f>
        <v/>
      </c>
      <c r="F201" s="41"/>
      <c r="G201" s="41"/>
      <c r="H201" s="41"/>
      <c r="I201" s="41"/>
      <c r="J201" s="41"/>
      <c r="K201" s="41"/>
      <c r="L201" s="41"/>
      <c r="M201" s="41"/>
      <c r="N201" s="41"/>
      <c r="O201" s="41"/>
      <c r="P201" s="41"/>
      <c r="Q201" s="41"/>
      <c r="R201" s="41"/>
      <c r="S201" s="41"/>
      <c r="T201" s="41"/>
      <c r="U201" s="41"/>
      <c r="V201" s="41"/>
      <c r="W201" s="41"/>
      <c r="X201" s="41"/>
      <c r="Y201" s="41"/>
      <c r="Z201" s="41"/>
    </row>
    <row r="202" ht="19.5" customHeight="1">
      <c r="A202" s="41"/>
      <c r="B202" s="187" t="s">
        <v>445</v>
      </c>
      <c r="C202" s="255" t="s">
        <v>426</v>
      </c>
      <c r="D202" s="148" t="s">
        <v>426</v>
      </c>
      <c r="E202" s="258" t="str">
        <f>IF(cluster_vds01_link_type_chosen="VDS Lag","This input is masked out as you have chosen to configure VDS LAG","")</f>
        <v/>
      </c>
      <c r="F202" s="41"/>
      <c r="G202" s="41"/>
      <c r="H202" s="41"/>
      <c r="I202" s="41"/>
      <c r="J202" s="41"/>
      <c r="K202" s="41"/>
      <c r="L202" s="41"/>
      <c r="M202" s="41"/>
      <c r="N202" s="41"/>
      <c r="O202" s="41"/>
      <c r="P202" s="41"/>
      <c r="Q202" s="41"/>
      <c r="R202" s="41"/>
      <c r="S202" s="41"/>
      <c r="T202" s="41"/>
      <c r="U202" s="41"/>
      <c r="V202" s="41"/>
      <c r="W202" s="41"/>
      <c r="X202" s="41"/>
      <c r="Y202" s="41"/>
      <c r="Z202" s="41"/>
    </row>
    <row r="203" ht="19.5" customHeight="1">
      <c r="A203" s="41"/>
      <c r="B203" s="187" t="s">
        <v>446</v>
      </c>
      <c r="C203" s="255" t="s">
        <v>426</v>
      </c>
      <c r="D203" s="148" t="s">
        <v>426</v>
      </c>
      <c r="E203" s="258" t="str">
        <f>IF(cluster_vds01_link_type_chosen="VDS Lag","This input is masked out as you have chosen to configure VDS LAG","")</f>
        <v/>
      </c>
      <c r="F203" s="41"/>
      <c r="G203" s="41"/>
      <c r="H203" s="41"/>
      <c r="I203" s="41"/>
      <c r="J203" s="41"/>
      <c r="K203" s="41"/>
      <c r="L203" s="41"/>
      <c r="M203" s="41"/>
      <c r="N203" s="41"/>
      <c r="O203" s="41"/>
      <c r="P203" s="41"/>
      <c r="Q203" s="41"/>
      <c r="R203" s="41"/>
      <c r="S203" s="41"/>
      <c r="T203" s="41"/>
      <c r="U203" s="41"/>
      <c r="V203" s="41"/>
      <c r="W203" s="41"/>
      <c r="X203" s="41"/>
      <c r="Y203" s="41"/>
      <c r="Z203" s="41"/>
    </row>
    <row r="204" ht="19.5" customHeight="1">
      <c r="A204" s="41"/>
      <c r="B204" s="249" t="s">
        <v>447</v>
      </c>
      <c r="C204" s="250"/>
      <c r="D204" s="250"/>
      <c r="E204" s="251"/>
      <c r="F204" s="41"/>
      <c r="G204" s="41"/>
      <c r="H204" s="41"/>
      <c r="I204" s="41"/>
      <c r="J204" s="41"/>
      <c r="K204" s="41"/>
      <c r="L204" s="41"/>
      <c r="M204" s="41"/>
      <c r="N204" s="41"/>
      <c r="O204" s="41"/>
      <c r="P204" s="41"/>
      <c r="Q204" s="41"/>
      <c r="R204" s="41"/>
      <c r="S204" s="41"/>
      <c r="T204" s="41"/>
      <c r="U204" s="41"/>
      <c r="V204" s="41"/>
      <c r="W204" s="41"/>
      <c r="X204" s="41"/>
      <c r="Y204" s="41"/>
      <c r="Z204" s="41"/>
    </row>
    <row r="205" ht="19.5" customHeight="1">
      <c r="A205" s="41"/>
      <c r="B205" s="187" t="s">
        <v>441</v>
      </c>
      <c r="C205" s="110" t="str">
        <f>CONCATENATE(sample_cluster_name,"-pg-vm-mgmt")</f>
        <v>lax-w01-cl02-pg-vm-mgmt</v>
      </c>
      <c r="D205" s="18"/>
      <c r="E205" s="258" t="s">
        <v>1613</v>
      </c>
      <c r="F205" s="41"/>
      <c r="G205" s="41"/>
      <c r="H205" s="41"/>
      <c r="I205" s="41"/>
      <c r="J205" s="41"/>
      <c r="K205" s="41"/>
      <c r="L205" s="41"/>
      <c r="M205" s="41"/>
      <c r="N205" s="41"/>
      <c r="O205" s="41"/>
      <c r="P205" s="41"/>
      <c r="Q205" s="41"/>
      <c r="R205" s="41"/>
      <c r="S205" s="41"/>
      <c r="T205" s="41"/>
      <c r="U205" s="41"/>
      <c r="V205" s="41"/>
      <c r="W205" s="41"/>
      <c r="X205" s="41"/>
      <c r="Y205" s="41"/>
      <c r="Z205" s="41"/>
    </row>
    <row r="206" ht="19.5" customHeight="1">
      <c r="A206" s="41"/>
      <c r="B206" s="187" t="s">
        <v>442</v>
      </c>
      <c r="C206" s="255" t="s">
        <v>443</v>
      </c>
      <c r="D206" s="148" t="s">
        <v>443</v>
      </c>
      <c r="E206" s="258" t="str">
        <f>IF(cluster_vds01_link_type_chosen="VDS Lag","This input is masked out as you have chosen to configure VDS LAG","")</f>
        <v/>
      </c>
      <c r="F206" s="41"/>
      <c r="G206" s="41"/>
      <c r="H206" s="41"/>
      <c r="I206" s="41"/>
      <c r="J206" s="41"/>
      <c r="K206" s="41"/>
      <c r="L206" s="41"/>
      <c r="M206" s="41"/>
      <c r="N206" s="41"/>
      <c r="O206" s="41"/>
      <c r="P206" s="41"/>
      <c r="Q206" s="41"/>
      <c r="R206" s="41"/>
      <c r="S206" s="41"/>
      <c r="T206" s="41"/>
      <c r="U206" s="41"/>
      <c r="V206" s="41"/>
      <c r="W206" s="41"/>
      <c r="X206" s="41"/>
      <c r="Y206" s="41"/>
      <c r="Z206" s="41"/>
    </row>
    <row r="207" ht="19.5" customHeight="1">
      <c r="A207" s="41"/>
      <c r="B207" s="187" t="s">
        <v>445</v>
      </c>
      <c r="C207" s="255" t="s">
        <v>426</v>
      </c>
      <c r="D207" s="148" t="s">
        <v>426</v>
      </c>
      <c r="E207" s="258" t="str">
        <f>IF(cluster_vds01_link_type_chosen="VDS Lag","This input is masked out as you have chosen to configure VDS LAG","")</f>
        <v/>
      </c>
      <c r="F207" s="41"/>
      <c r="G207" s="41"/>
      <c r="H207" s="41"/>
      <c r="I207" s="41"/>
      <c r="J207" s="41"/>
      <c r="K207" s="41"/>
      <c r="L207" s="41"/>
      <c r="M207" s="41"/>
      <c r="N207" s="41"/>
      <c r="O207" s="41"/>
      <c r="P207" s="41"/>
      <c r="Q207" s="41"/>
      <c r="R207" s="41"/>
      <c r="S207" s="41"/>
      <c r="T207" s="41"/>
      <c r="U207" s="41"/>
      <c r="V207" s="41"/>
      <c r="W207" s="41"/>
      <c r="X207" s="41"/>
      <c r="Y207" s="41"/>
      <c r="Z207" s="41"/>
    </row>
    <row r="208" ht="19.5" customHeight="1">
      <c r="A208" s="41"/>
      <c r="B208" s="187" t="s">
        <v>446</v>
      </c>
      <c r="C208" s="255" t="s">
        <v>426</v>
      </c>
      <c r="D208" s="148" t="s">
        <v>426</v>
      </c>
      <c r="E208" s="258" t="str">
        <f>IF(cluster_vds01_link_type_chosen="VDS Lag","This input is masked out as you have chosen to configure VDS LAG","")</f>
        <v/>
      </c>
      <c r="F208" s="41"/>
      <c r="G208" s="41"/>
      <c r="H208" s="41"/>
      <c r="I208" s="41"/>
      <c r="J208" s="41"/>
      <c r="K208" s="41"/>
      <c r="L208" s="41"/>
      <c r="M208" s="41"/>
      <c r="N208" s="41"/>
      <c r="O208" s="41"/>
      <c r="P208" s="41"/>
      <c r="Q208" s="41"/>
      <c r="R208" s="41"/>
      <c r="S208" s="41"/>
      <c r="T208" s="41"/>
      <c r="U208" s="41"/>
      <c r="V208" s="41"/>
      <c r="W208" s="41"/>
      <c r="X208" s="41"/>
      <c r="Y208" s="41"/>
      <c r="Z208" s="41"/>
    </row>
    <row r="209" ht="19.5" customHeight="1">
      <c r="A209" s="41"/>
      <c r="B209" s="249" t="s">
        <v>448</v>
      </c>
      <c r="C209" s="250"/>
      <c r="D209" s="250"/>
      <c r="E209" s="251"/>
      <c r="F209" s="41"/>
      <c r="G209" s="41"/>
      <c r="H209" s="41"/>
      <c r="I209" s="41"/>
      <c r="J209" s="41"/>
      <c r="K209" s="41"/>
      <c r="L209" s="41"/>
      <c r="M209" s="41"/>
      <c r="N209" s="41"/>
      <c r="O209" s="41"/>
      <c r="P209" s="41"/>
      <c r="Q209" s="41"/>
      <c r="R209" s="41"/>
      <c r="S209" s="41"/>
      <c r="T209" s="41"/>
      <c r="U209" s="41"/>
      <c r="V209" s="41"/>
      <c r="W209" s="41"/>
      <c r="X209" s="41"/>
      <c r="Y209" s="41"/>
      <c r="Z209" s="41"/>
    </row>
    <row r="210" ht="19.5" customHeight="1">
      <c r="A210" s="41"/>
      <c r="B210" s="187" t="s">
        <v>441</v>
      </c>
      <c r="C210" s="110" t="str">
        <f>CONCATENATE(sample_cluster_name,"-pg-vmotion")</f>
        <v>lax-w01-cl02-pg-vmotion</v>
      </c>
      <c r="D210" s="18"/>
      <c r="E210" s="18"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c r="F210" s="41"/>
      <c r="G210" s="41"/>
      <c r="H210" s="41"/>
      <c r="I210" s="41"/>
      <c r="J210" s="41"/>
      <c r="K210" s="41"/>
      <c r="L210" s="41"/>
      <c r="M210" s="41"/>
      <c r="N210" s="41"/>
      <c r="O210" s="41"/>
      <c r="P210" s="41"/>
      <c r="Q210" s="41"/>
      <c r="R210" s="41"/>
      <c r="S210" s="41"/>
      <c r="T210" s="41"/>
      <c r="U210" s="41"/>
      <c r="V210" s="41"/>
      <c r="W210" s="41"/>
      <c r="X210" s="41"/>
      <c r="Y210" s="41"/>
      <c r="Z210" s="41"/>
    </row>
    <row r="211" ht="19.5" customHeight="1">
      <c r="A211" s="41"/>
      <c r="B211" s="187" t="s">
        <v>442</v>
      </c>
      <c r="C211" s="255" t="s">
        <v>443</v>
      </c>
      <c r="D211" s="148" t="s">
        <v>443</v>
      </c>
      <c r="E211" s="258" t="str">
        <f>IF(cluster_vds01_link_type_chosen="VDS Lag","This input is masked out as you have chosen to configure VDS LAG","")</f>
        <v/>
      </c>
      <c r="F211" s="41"/>
      <c r="G211" s="41"/>
      <c r="H211" s="41"/>
      <c r="I211" s="41"/>
      <c r="J211" s="41"/>
      <c r="K211" s="41"/>
      <c r="L211" s="41"/>
      <c r="M211" s="41"/>
      <c r="N211" s="41"/>
      <c r="O211" s="41"/>
      <c r="P211" s="41"/>
      <c r="Q211" s="41"/>
      <c r="R211" s="41"/>
      <c r="S211" s="41"/>
      <c r="T211" s="41"/>
      <c r="U211" s="41"/>
      <c r="V211" s="41"/>
      <c r="W211" s="41"/>
      <c r="X211" s="41"/>
      <c r="Y211" s="41"/>
      <c r="Z211" s="41"/>
    </row>
    <row r="212" ht="19.5" customHeight="1">
      <c r="A212" s="41"/>
      <c r="B212" s="187" t="s">
        <v>445</v>
      </c>
      <c r="C212" s="255" t="s">
        <v>426</v>
      </c>
      <c r="D212" s="148" t="s">
        <v>426</v>
      </c>
      <c r="E212" s="258" t="str">
        <f>IF(cluster_vds01_link_type_chosen="VDS Lag","This input is masked out as you have chosen to configure VDS LAG","")</f>
        <v/>
      </c>
      <c r="F212" s="41"/>
      <c r="G212" s="41"/>
      <c r="H212" s="41"/>
      <c r="I212" s="41"/>
      <c r="J212" s="41"/>
      <c r="K212" s="41"/>
      <c r="L212" s="41"/>
      <c r="M212" s="41"/>
      <c r="N212" s="41"/>
      <c r="O212" s="41"/>
      <c r="P212" s="41"/>
      <c r="Q212" s="41"/>
      <c r="R212" s="41"/>
      <c r="S212" s="41"/>
      <c r="T212" s="41"/>
      <c r="U212" s="41"/>
      <c r="V212" s="41"/>
      <c r="W212" s="41"/>
      <c r="X212" s="41"/>
      <c r="Y212" s="41"/>
      <c r="Z212" s="41"/>
    </row>
    <row r="213" ht="19.5" customHeight="1">
      <c r="A213" s="41"/>
      <c r="B213" s="187" t="s">
        <v>446</v>
      </c>
      <c r="C213" s="255" t="s">
        <v>426</v>
      </c>
      <c r="D213" s="148" t="s">
        <v>426</v>
      </c>
      <c r="E213" s="258" t="str">
        <f>IF(cluster_vds01_link_type_chosen="VDS Lag","This input is masked out as you have chosen to configure VDS LAG","")</f>
        <v/>
      </c>
      <c r="F213" s="41"/>
      <c r="G213" s="41"/>
      <c r="H213" s="41"/>
      <c r="I213" s="41"/>
      <c r="J213" s="41"/>
      <c r="K213" s="41"/>
      <c r="L213" s="41"/>
      <c r="M213" s="41"/>
      <c r="N213" s="41"/>
      <c r="O213" s="41"/>
      <c r="P213" s="41"/>
      <c r="Q213" s="41"/>
      <c r="R213" s="41"/>
      <c r="S213" s="41"/>
      <c r="T213" s="41"/>
      <c r="U213" s="41"/>
      <c r="V213" s="41"/>
      <c r="W213" s="41"/>
      <c r="X213" s="41"/>
      <c r="Y213" s="41"/>
      <c r="Z213" s="41"/>
    </row>
    <row r="214" ht="19.5" customHeight="1">
      <c r="A214" s="41"/>
      <c r="B214" s="249" t="str">
        <f>IF(cluster_principal_storage_chosen="NFSv3","Network Traffic: NFS","Network Traffic: vSAN")</f>
        <v>Network Traffic: vSAN</v>
      </c>
      <c r="C214" s="250"/>
      <c r="D214" s="250"/>
      <c r="E214" s="251"/>
      <c r="F214" s="41"/>
      <c r="G214" s="41"/>
      <c r="H214" s="41"/>
      <c r="I214" s="41"/>
      <c r="J214" s="41"/>
      <c r="K214" s="41"/>
      <c r="L214" s="41"/>
      <c r="M214" s="41"/>
      <c r="N214" s="41"/>
      <c r="O214" s="41"/>
      <c r="P214" s="41"/>
      <c r="Q214" s="41"/>
      <c r="R214" s="41"/>
      <c r="S214" s="41"/>
      <c r="T214" s="41"/>
      <c r="U214" s="41"/>
      <c r="V214" s="41"/>
      <c r="W214" s="41"/>
      <c r="X214" s="41"/>
      <c r="Y214" s="41"/>
      <c r="Z214" s="41"/>
    </row>
    <row r="215" ht="19.5" customHeight="1">
      <c r="A215" s="41"/>
      <c r="B215" s="187" t="s">
        <v>441</v>
      </c>
      <c r="C215" s="110" t="str">
        <f>CONCATENATE(sample_cluster_name,"-pg-vsan")</f>
        <v>lax-w01-cl02-pg-vsan</v>
      </c>
      <c r="D215" s="18"/>
      <c r="E215" s="18" t="str">
        <f>IF(cluster_vds_profile_chosen="Storage Traffic Separation","Portgroup will be created on Secondary Distributed Switch",
IF(cluster_vds_profile_chosen="vSAN Max Storage Traffic Separation","Portgroup will be created on Secondary Distributed Switch",
IF(cluster_vds_profile_chosen="vSAN Max Storage Traffic and NSX Traffic Separation","Portgroup will be created on Secondary Distributed Switch",
IF(cluster_vds_profile_chosen="NSX Traffic Separation","Portgroup will be created on Primary Distributed Switch",
IF(cluster_vds_profile_chosen="Storage Traffic and NSX Traffic Separation","Portgroup will be created on Secondary Distributed Switch",
IF(cluster_vds_profile_chosen="Custom","","Portgroup will be created on Primary Distributed Switch"))))))</f>
        <v>Portgroup will be created on Primary Distributed Switch</v>
      </c>
      <c r="F215" s="41"/>
      <c r="G215" s="41"/>
      <c r="H215" s="41"/>
      <c r="I215" s="41"/>
      <c r="J215" s="41"/>
      <c r="K215" s="41"/>
      <c r="L215" s="41"/>
      <c r="M215" s="41"/>
      <c r="N215" s="41"/>
      <c r="O215" s="41"/>
      <c r="P215" s="41"/>
      <c r="Q215" s="41"/>
      <c r="R215" s="41"/>
      <c r="S215" s="41"/>
      <c r="T215" s="41"/>
      <c r="U215" s="41"/>
      <c r="V215" s="41"/>
      <c r="W215" s="41"/>
      <c r="X215" s="41"/>
      <c r="Y215" s="41"/>
      <c r="Z215" s="41"/>
    </row>
    <row r="216" ht="19.5" customHeight="1">
      <c r="A216" s="41"/>
      <c r="B216" s="187" t="s">
        <v>442</v>
      </c>
      <c r="C216" s="255" t="s">
        <v>443</v>
      </c>
      <c r="D216" s="148" t="s">
        <v>443</v>
      </c>
      <c r="E216" s="258"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c r="F216" s="41"/>
      <c r="G216" s="41"/>
      <c r="H216" s="41"/>
      <c r="I216" s="41"/>
      <c r="J216" s="41"/>
      <c r="K216" s="41"/>
      <c r="L216" s="41"/>
      <c r="M216" s="41"/>
      <c r="N216" s="41"/>
      <c r="O216" s="41"/>
      <c r="P216" s="41"/>
      <c r="Q216" s="41"/>
      <c r="R216" s="41"/>
      <c r="S216" s="41"/>
      <c r="T216" s="41"/>
      <c r="U216" s="41"/>
      <c r="V216" s="41"/>
      <c r="W216" s="41"/>
      <c r="X216" s="41"/>
      <c r="Y216" s="41"/>
      <c r="Z216" s="41"/>
    </row>
    <row r="217" ht="19.5" customHeight="1">
      <c r="A217" s="41"/>
      <c r="B217" s="187" t="s">
        <v>445</v>
      </c>
      <c r="C217" s="255" t="s">
        <v>426</v>
      </c>
      <c r="D217" s="148" t="s">
        <v>426</v>
      </c>
      <c r="E217" s="258"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c r="F217" s="41"/>
      <c r="G217" s="41"/>
      <c r="H217" s="41"/>
      <c r="I217" s="41"/>
      <c r="J217" s="41"/>
      <c r="K217" s="41"/>
      <c r="L217" s="41"/>
      <c r="M217" s="41"/>
      <c r="N217" s="41"/>
      <c r="O217" s="41"/>
      <c r="P217" s="41"/>
      <c r="Q217" s="41"/>
      <c r="R217" s="41"/>
      <c r="S217" s="41"/>
      <c r="T217" s="41"/>
      <c r="U217" s="41"/>
      <c r="V217" s="41"/>
      <c r="W217" s="41"/>
      <c r="X217" s="41"/>
      <c r="Y217" s="41"/>
      <c r="Z217" s="41"/>
    </row>
    <row r="218" ht="19.5" customHeight="1">
      <c r="A218" s="41"/>
      <c r="B218" s="187" t="s">
        <v>446</v>
      </c>
      <c r="C218" s="255" t="s">
        <v>426</v>
      </c>
      <c r="D218" s="148" t="s">
        <v>426</v>
      </c>
      <c r="E218" s="258"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c r="F218" s="41"/>
      <c r="G218" s="41"/>
      <c r="H218" s="41"/>
      <c r="I218" s="41"/>
      <c r="J218" s="41"/>
      <c r="K218" s="41"/>
      <c r="L218" s="41"/>
      <c r="M218" s="41"/>
      <c r="N218" s="41"/>
      <c r="O218" s="41"/>
      <c r="P218" s="41"/>
      <c r="Q218" s="41"/>
      <c r="R218" s="41"/>
      <c r="S218" s="41"/>
      <c r="T218" s="41"/>
      <c r="U218" s="41"/>
      <c r="V218" s="41"/>
      <c r="W218" s="41"/>
      <c r="X218" s="41"/>
      <c r="Y218" s="41"/>
      <c r="Z218" s="41"/>
    </row>
    <row r="219" ht="19.5" customHeight="1">
      <c r="A219" s="41"/>
      <c r="B219" s="249" t="s">
        <v>1316</v>
      </c>
      <c r="C219" s="250"/>
      <c r="D219" s="250"/>
      <c r="E219" s="251"/>
      <c r="F219" s="41"/>
      <c r="G219" s="41"/>
      <c r="H219" s="41"/>
      <c r="I219" s="41"/>
      <c r="J219" s="41"/>
      <c r="K219" s="41"/>
      <c r="L219" s="41"/>
      <c r="M219" s="41"/>
      <c r="N219" s="41"/>
      <c r="O219" s="41"/>
      <c r="P219" s="41"/>
      <c r="Q219" s="41"/>
      <c r="R219" s="41"/>
      <c r="S219" s="41"/>
      <c r="T219" s="41"/>
      <c r="U219" s="41"/>
      <c r="V219" s="41"/>
      <c r="W219" s="41"/>
      <c r="X219" s="41"/>
      <c r="Y219" s="41"/>
      <c r="Z219" s="41"/>
    </row>
    <row r="220" ht="19.5" customHeight="1">
      <c r="A220" s="41"/>
      <c r="B220" s="187" t="s">
        <v>441</v>
      </c>
      <c r="C220" s="110" t="str">
        <f>CONCATENATE(sample_cluster_name,"-pg-vsan-client")</f>
        <v>lax-w01-cl02-pg-vsan-client</v>
      </c>
      <c r="D220" s="18"/>
      <c r="E220" s="154" t="str">
        <f>IF(OR((cluster_result="Excluded"),(cluster_secondary_storage_result="Excluded")),"This input is masked out as vSAN Storage Client Network in not enabled",
IF(cluster_vds_profile_chosen="vSAN Max Storage Traffic Separation","Portgroup will be created on Primary Distributed Switch",
IF(cluster_vds_profile_chosen="vSAN Max Storage Traffic and NSX Traffic Separation","Portgroup will be created on Primary Distributed Switch",
IF(cluster_vds_profile_chosen="Custom","","Portgroup will be created on Primary Distributed Switch"))))</f>
        <v>This input is masked out as vSAN Storage Client Network in not enabled</v>
      </c>
      <c r="F220" s="41"/>
      <c r="G220" s="41"/>
      <c r="H220" s="41"/>
      <c r="I220" s="41"/>
      <c r="J220" s="41"/>
      <c r="K220" s="41"/>
      <c r="L220" s="41"/>
      <c r="M220" s="41"/>
      <c r="N220" s="41"/>
      <c r="O220" s="41"/>
      <c r="P220" s="41"/>
      <c r="Q220" s="41"/>
      <c r="R220" s="41"/>
      <c r="S220" s="41"/>
      <c r="T220" s="41"/>
      <c r="U220" s="41"/>
      <c r="V220" s="41"/>
      <c r="W220" s="41"/>
      <c r="X220" s="41"/>
      <c r="Y220" s="41"/>
      <c r="Z220" s="41"/>
    </row>
    <row r="221" ht="19.5" customHeight="1">
      <c r="A221" s="41"/>
      <c r="B221" s="187" t="s">
        <v>442</v>
      </c>
      <c r="C221" s="255" t="s">
        <v>443</v>
      </c>
      <c r="D221" s="148" t="s">
        <v>443</v>
      </c>
      <c r="E221" s="258" t="str">
        <f>IF(cluster_secondary_storage_result="Excluded","This input is masked out as vSAN Storage Client Network in not enabled ",IF(cluster_vds01_link_type_chosen="VDS Lag","This input is masked out as you have chosen to configure VDS LAG",""))</f>
        <v>This input is masked out as vSAN Storage Client Network in not enabled </v>
      </c>
      <c r="F221" s="41"/>
      <c r="G221" s="41"/>
      <c r="H221" s="41"/>
      <c r="I221" s="41"/>
      <c r="J221" s="41"/>
      <c r="K221" s="41"/>
      <c r="L221" s="41"/>
      <c r="M221" s="41"/>
      <c r="N221" s="41"/>
      <c r="O221" s="41"/>
      <c r="P221" s="41"/>
      <c r="Q221" s="41"/>
      <c r="R221" s="41"/>
      <c r="S221" s="41"/>
      <c r="T221" s="41"/>
      <c r="U221" s="41"/>
      <c r="V221" s="41"/>
      <c r="W221" s="41"/>
      <c r="X221" s="41"/>
      <c r="Y221" s="41"/>
      <c r="Z221" s="41"/>
    </row>
    <row r="222" ht="19.5" customHeight="1">
      <c r="A222" s="41"/>
      <c r="B222" s="187" t="s">
        <v>445</v>
      </c>
      <c r="C222" s="255" t="s">
        <v>426</v>
      </c>
      <c r="D222" s="148" t="s">
        <v>426</v>
      </c>
      <c r="E222" s="258" t="str">
        <f>IF(cluster_secondary_storage_result="Excluded","This input is masked out as vSAN Storage Client Network in not enabled ",IF(cluster_vds01_link_type_chosen="VDS Lag","This input is masked out as you have chosen to configure VDS LAG",""))</f>
        <v>This input is masked out as vSAN Storage Client Network in not enabled </v>
      </c>
      <c r="F222" s="41"/>
      <c r="G222" s="41"/>
      <c r="H222" s="41"/>
      <c r="I222" s="41"/>
      <c r="J222" s="41"/>
      <c r="K222" s="41"/>
      <c r="L222" s="41"/>
      <c r="M222" s="41"/>
      <c r="N222" s="41"/>
      <c r="O222" s="41"/>
      <c r="P222" s="41"/>
      <c r="Q222" s="41"/>
      <c r="R222" s="41"/>
      <c r="S222" s="41"/>
      <c r="T222" s="41"/>
      <c r="U222" s="41"/>
      <c r="V222" s="41"/>
      <c r="W222" s="41"/>
      <c r="X222" s="41"/>
      <c r="Y222" s="41"/>
      <c r="Z222" s="41"/>
    </row>
    <row r="223" ht="19.5" customHeight="1">
      <c r="A223" s="41"/>
      <c r="B223" s="187" t="s">
        <v>446</v>
      </c>
      <c r="C223" s="255" t="s">
        <v>426</v>
      </c>
      <c r="D223" s="148" t="s">
        <v>426</v>
      </c>
      <c r="E223" s="258" t="str">
        <f>IF(cluster_secondary_storage_result="Excluded","This input is masked out as vSAN Storage Client Network in not enabled ",IF(cluster_vds01_link_type_chosen="VDS Lag","This input is masked out as you have chosen to configure VDS LAG",""))</f>
        <v>This input is masked out as vSAN Storage Client Network in not enabled </v>
      </c>
      <c r="F223" s="41"/>
      <c r="G223" s="41"/>
      <c r="H223" s="41"/>
      <c r="I223" s="41"/>
      <c r="J223" s="41"/>
      <c r="K223" s="41"/>
      <c r="L223" s="41"/>
      <c r="M223" s="41"/>
      <c r="N223" s="41"/>
      <c r="O223" s="41"/>
      <c r="P223" s="41"/>
      <c r="Q223" s="41"/>
      <c r="R223" s="41"/>
      <c r="S223" s="41"/>
      <c r="T223" s="41"/>
      <c r="U223" s="41"/>
      <c r="V223" s="41"/>
      <c r="W223" s="41"/>
      <c r="X223" s="41"/>
      <c r="Y223" s="41"/>
      <c r="Z223" s="41"/>
    </row>
    <row r="224" ht="19.5" customHeight="1">
      <c r="A224" s="41"/>
      <c r="B224" s="102" t="s">
        <v>451</v>
      </c>
      <c r="C224" s="13"/>
      <c r="D224" s="13"/>
      <c r="E224" s="14"/>
      <c r="F224" s="41"/>
      <c r="G224" s="41"/>
      <c r="H224" s="41"/>
      <c r="I224" s="41"/>
      <c r="J224" s="41"/>
      <c r="K224" s="41"/>
      <c r="L224" s="41"/>
      <c r="M224" s="41"/>
      <c r="N224" s="41"/>
      <c r="O224" s="41"/>
      <c r="P224" s="41"/>
      <c r="Q224" s="41"/>
      <c r="R224" s="41"/>
      <c r="S224" s="41"/>
      <c r="T224" s="41"/>
      <c r="U224" s="41"/>
      <c r="V224" s="41"/>
      <c r="W224" s="41"/>
      <c r="X224" s="41"/>
      <c r="Y224" s="41"/>
      <c r="Z224" s="41"/>
    </row>
    <row r="225" ht="19.5" customHeight="1">
      <c r="A225" s="41"/>
      <c r="B225" s="84" t="s">
        <v>452</v>
      </c>
      <c r="C225" s="110" t="s">
        <v>285</v>
      </c>
      <c r="D225" s="18" t="s">
        <v>285</v>
      </c>
      <c r="E225" s="18"/>
      <c r="F225" s="41"/>
      <c r="G225" s="41"/>
      <c r="H225" s="41"/>
      <c r="I225" s="41"/>
      <c r="J225" s="41"/>
      <c r="K225" s="41"/>
      <c r="L225" s="41"/>
      <c r="M225" s="41"/>
      <c r="N225" s="41"/>
      <c r="O225" s="41"/>
      <c r="P225" s="41"/>
      <c r="Q225" s="41"/>
      <c r="R225" s="41"/>
      <c r="S225" s="41"/>
      <c r="T225" s="41"/>
      <c r="U225" s="41"/>
      <c r="V225" s="41"/>
      <c r="W225" s="41"/>
      <c r="X225" s="41"/>
      <c r="Y225" s="41"/>
      <c r="Z225" s="41"/>
    </row>
    <row r="226" ht="19.5" customHeight="1">
      <c r="A226" s="41"/>
      <c r="B226" s="84" t="s">
        <v>264</v>
      </c>
      <c r="C226" s="110" t="s">
        <v>264</v>
      </c>
      <c r="D226" s="18" t="s">
        <v>264</v>
      </c>
      <c r="E226" s="18"/>
      <c r="F226" s="41"/>
      <c r="G226" s="41"/>
      <c r="H226" s="41"/>
      <c r="I226" s="41"/>
      <c r="J226" s="41"/>
      <c r="K226" s="41"/>
      <c r="L226" s="41"/>
      <c r="M226" s="41"/>
      <c r="N226" s="41"/>
      <c r="O226" s="41"/>
      <c r="P226" s="41"/>
      <c r="Q226" s="41"/>
      <c r="R226" s="41"/>
      <c r="S226" s="41"/>
      <c r="T226" s="41"/>
      <c r="U226" s="41"/>
      <c r="V226" s="41"/>
      <c r="W226" s="41"/>
      <c r="X226" s="41"/>
      <c r="Y226" s="41"/>
      <c r="Z226" s="41"/>
    </row>
    <row r="227" ht="19.5" customHeight="1">
      <c r="A227" s="41"/>
      <c r="B227" s="84" t="s">
        <v>1614</v>
      </c>
      <c r="C227" s="110" t="s">
        <v>285</v>
      </c>
      <c r="D227" s="18" t="s">
        <v>285</v>
      </c>
      <c r="E227" s="18"/>
      <c r="F227" s="41"/>
      <c r="G227" s="41"/>
      <c r="H227" s="41"/>
      <c r="I227" s="41"/>
      <c r="J227" s="41"/>
      <c r="K227" s="41"/>
      <c r="L227" s="41"/>
      <c r="M227" s="41"/>
      <c r="N227" s="41"/>
      <c r="O227" s="41"/>
      <c r="P227" s="41"/>
      <c r="Q227" s="41"/>
      <c r="R227" s="41"/>
      <c r="S227" s="41"/>
      <c r="T227" s="41"/>
      <c r="U227" s="41"/>
      <c r="V227" s="41"/>
      <c r="W227" s="41"/>
      <c r="X227" s="41"/>
      <c r="Y227" s="41"/>
      <c r="Z227" s="41"/>
    </row>
    <row r="228" ht="19.5" customHeight="1">
      <c r="A228" s="41"/>
      <c r="B228" s="84" t="s">
        <v>1318</v>
      </c>
      <c r="C228" s="110" t="s">
        <v>284</v>
      </c>
      <c r="D228" s="18" t="s">
        <v>284</v>
      </c>
      <c r="E228" s="18"/>
      <c r="F228" s="41"/>
      <c r="G228" s="41"/>
      <c r="H228" s="41"/>
      <c r="I228" s="41"/>
      <c r="J228" s="41"/>
      <c r="K228" s="41"/>
      <c r="L228" s="41"/>
      <c r="M228" s="41"/>
      <c r="N228" s="41"/>
      <c r="O228" s="41"/>
      <c r="P228" s="41"/>
      <c r="Q228" s="41"/>
      <c r="R228" s="41"/>
      <c r="S228" s="41"/>
      <c r="T228" s="41"/>
      <c r="U228" s="41"/>
      <c r="V228" s="41"/>
      <c r="W228" s="41"/>
      <c r="X228" s="41"/>
      <c r="Y228" s="41"/>
      <c r="Z228" s="41"/>
    </row>
    <row r="229" ht="19.5" customHeight="1">
      <c r="A229" s="41"/>
      <c r="B229" s="102" t="s">
        <v>457</v>
      </c>
      <c r="C229" s="13"/>
      <c r="D229" s="13"/>
      <c r="E229" s="14"/>
      <c r="F229" s="41"/>
      <c r="G229" s="41"/>
      <c r="H229" s="41"/>
      <c r="I229" s="41"/>
      <c r="J229" s="41"/>
      <c r="K229" s="41"/>
      <c r="L229" s="41"/>
      <c r="M229" s="41"/>
      <c r="N229" s="41"/>
      <c r="O229" s="41"/>
      <c r="P229" s="41"/>
      <c r="Q229" s="41"/>
      <c r="R229" s="41"/>
      <c r="S229" s="41"/>
      <c r="T229" s="41"/>
      <c r="U229" s="41"/>
      <c r="V229" s="41"/>
      <c r="W229" s="41"/>
      <c r="X229" s="41"/>
      <c r="Y229" s="41"/>
      <c r="Z229" s="41"/>
    </row>
    <row r="230" ht="19.5" customHeight="1">
      <c r="A230" s="41"/>
      <c r="B230" s="84" t="s">
        <v>458</v>
      </c>
      <c r="C230" s="110" t="str">
        <f>IF(cluster_wld_domain_chosen="VI Workload Domain",CONCATENATE("overlay-tz-",this_instance,"-w0",wld_domain_number_chosen,"-nsx01"),CONCATENATE("overlay-tz-",this_instance,"-m01","-nsx01"))</f>
        <v>overlay-tz-lax-w01-nsx01</v>
      </c>
      <c r="D230" s="18"/>
      <c r="E230" s="18"/>
      <c r="F230" s="41"/>
      <c r="G230" s="41"/>
      <c r="H230" s="41"/>
      <c r="I230" s="41"/>
      <c r="J230" s="41"/>
      <c r="K230" s="41"/>
      <c r="L230" s="41"/>
      <c r="M230" s="41"/>
      <c r="N230" s="41"/>
      <c r="O230" s="41"/>
      <c r="P230" s="41"/>
      <c r="Q230" s="41"/>
      <c r="R230" s="41"/>
      <c r="S230" s="41"/>
      <c r="T230" s="41"/>
      <c r="U230" s="41"/>
      <c r="V230" s="41"/>
      <c r="W230" s="41"/>
      <c r="X230" s="41"/>
      <c r="Y230" s="41"/>
      <c r="Z230" s="41"/>
    </row>
    <row r="231" ht="19.5" customHeight="1">
      <c r="A231" s="41"/>
      <c r="B231" s="84" t="s">
        <v>401</v>
      </c>
      <c r="C231" s="110" t="str">
        <f>IF(cluster_wld_domain_chosen="VI Workload Domain",CONCATENATE(prefix_wld_az1_vlan,"14"),CONCATENATE(prefix_mgmt_az1_vlan,"14"))</f>
        <v>2314</v>
      </c>
      <c r="D231" s="18"/>
      <c r="E231" s="18"/>
      <c r="F231" s="41"/>
      <c r="G231" s="41"/>
      <c r="H231" s="41"/>
      <c r="I231" s="41"/>
      <c r="J231" s="41"/>
      <c r="K231" s="41"/>
      <c r="L231" s="41"/>
      <c r="M231" s="41"/>
      <c r="N231" s="41"/>
      <c r="O231" s="41"/>
      <c r="P231" s="41"/>
      <c r="Q231" s="41"/>
      <c r="R231" s="41"/>
      <c r="S231" s="41"/>
      <c r="T231" s="41"/>
      <c r="U231" s="41"/>
      <c r="V231" s="41"/>
      <c r="W231" s="41"/>
      <c r="X231" s="41"/>
      <c r="Y231" s="41"/>
      <c r="Z231" s="41"/>
    </row>
    <row r="232" ht="19.5" customHeight="1">
      <c r="A232" s="41"/>
      <c r="B232" s="84" t="s">
        <v>459</v>
      </c>
      <c r="C232" s="110" t="s">
        <v>1319</v>
      </c>
      <c r="D232" s="18" t="s">
        <v>1319</v>
      </c>
      <c r="E232" s="18"/>
      <c r="F232" s="41"/>
      <c r="G232" s="41"/>
      <c r="H232" s="41"/>
      <c r="I232" s="41"/>
      <c r="J232" s="41"/>
      <c r="K232" s="41"/>
      <c r="L232" s="41"/>
      <c r="M232" s="41"/>
      <c r="N232" s="41"/>
      <c r="O232" s="41"/>
      <c r="P232" s="41"/>
      <c r="Q232" s="41"/>
      <c r="R232" s="41"/>
      <c r="S232" s="41"/>
      <c r="T232" s="41"/>
      <c r="U232" s="41"/>
      <c r="V232" s="41"/>
      <c r="W232" s="41"/>
      <c r="X232" s="41"/>
      <c r="Y232" s="41"/>
      <c r="Z232" s="41"/>
    </row>
    <row r="233" ht="19.5" customHeight="1">
      <c r="A233" s="41"/>
      <c r="B233" s="84" t="s">
        <v>1319</v>
      </c>
      <c r="C233" s="110" t="s">
        <v>1615</v>
      </c>
      <c r="D233" s="18" t="s">
        <v>1615</v>
      </c>
      <c r="E233" s="18"/>
      <c r="F233" s="41"/>
      <c r="G233" s="41"/>
      <c r="H233" s="41"/>
      <c r="I233" s="41"/>
      <c r="J233" s="41"/>
      <c r="K233" s="41"/>
      <c r="L233" s="41"/>
      <c r="M233" s="41"/>
      <c r="N233" s="41"/>
      <c r="O233" s="41"/>
      <c r="P233" s="41"/>
      <c r="Q233" s="41"/>
      <c r="R233" s="41"/>
      <c r="S233" s="41"/>
      <c r="T233" s="41"/>
      <c r="U233" s="41"/>
      <c r="V233" s="41"/>
      <c r="W233" s="41"/>
      <c r="X233" s="41"/>
      <c r="Y233" s="41"/>
      <c r="Z233" s="41"/>
    </row>
    <row r="234" ht="19.5" customHeight="1">
      <c r="A234" s="41"/>
      <c r="B234" s="84" t="s">
        <v>461</v>
      </c>
      <c r="C234" s="203" t="str">
        <f>IF(cluster_wld_domain_chosen="VI Workload Domain",CONCATENATE(this_instance,"01-w0",wld_domain_number_chosen,"-r01-ip-pool01-host"),CONCATENATE(this_instance,"01-m01","-r01-ip-pool01-host"))</f>
        <v>lax01-w01-r01-ip-pool01-host</v>
      </c>
      <c r="D234" s="18"/>
      <c r="E234" s="18"/>
      <c r="F234" s="41"/>
      <c r="G234" s="41"/>
      <c r="H234" s="41"/>
      <c r="I234" s="41"/>
      <c r="J234" s="41"/>
      <c r="K234" s="41"/>
      <c r="L234" s="41"/>
      <c r="M234" s="41"/>
      <c r="N234" s="41"/>
      <c r="O234" s="41"/>
      <c r="P234" s="41"/>
      <c r="Q234" s="41"/>
      <c r="R234" s="41"/>
      <c r="S234" s="41"/>
      <c r="T234" s="41"/>
      <c r="U234" s="41"/>
      <c r="V234" s="41"/>
      <c r="W234" s="41"/>
      <c r="X234" s="41"/>
      <c r="Y234" s="41"/>
      <c r="Z234" s="41"/>
    </row>
    <row r="235" ht="19.5" customHeight="1">
      <c r="A235" s="41"/>
      <c r="B235" s="84" t="s">
        <v>1616</v>
      </c>
      <c r="C235" s="203" t="s">
        <v>463</v>
      </c>
      <c r="D235" s="18"/>
      <c r="E235" s="18"/>
      <c r="F235" s="41"/>
      <c r="G235" s="41"/>
      <c r="H235" s="41"/>
      <c r="I235" s="41"/>
      <c r="J235" s="41"/>
      <c r="K235" s="41"/>
      <c r="L235" s="41"/>
      <c r="M235" s="41"/>
      <c r="N235" s="41"/>
      <c r="O235" s="41"/>
      <c r="P235" s="41"/>
      <c r="Q235" s="41"/>
      <c r="R235" s="41"/>
      <c r="S235" s="41"/>
      <c r="T235" s="41"/>
      <c r="U235" s="41"/>
      <c r="V235" s="41"/>
      <c r="W235" s="41"/>
      <c r="X235" s="41"/>
      <c r="Y235" s="41"/>
      <c r="Z235" s="41"/>
    </row>
    <row r="236" ht="19.5" customHeight="1">
      <c r="A236" s="41"/>
      <c r="B236" s="84" t="s">
        <v>464</v>
      </c>
      <c r="C236" s="110" t="str">
        <f>IF(cluster_wld_domain_chosen="VI Workload Domain",CONCATENATE(prefix_wld_az1_cidr,"14.0/24"),CONCATENATE(prefix_mgmt_az1_cidr,"14.0/24"))</f>
        <v>10.23.14.0/24</v>
      </c>
      <c r="D236" s="18"/>
      <c r="E236" s="18"/>
      <c r="F236" s="41"/>
      <c r="G236" s="41"/>
      <c r="H236" s="41"/>
      <c r="I236" s="41"/>
      <c r="J236" s="41"/>
      <c r="K236" s="41"/>
      <c r="L236" s="41"/>
      <c r="M236" s="41"/>
      <c r="N236" s="41"/>
      <c r="O236" s="41"/>
      <c r="P236" s="41"/>
      <c r="Q236" s="41"/>
      <c r="R236" s="41"/>
      <c r="S236" s="41"/>
      <c r="T236" s="41"/>
      <c r="U236" s="41"/>
      <c r="V236" s="41"/>
      <c r="W236" s="41"/>
      <c r="X236" s="41"/>
      <c r="Y236" s="41"/>
      <c r="Z236" s="41"/>
    </row>
    <row r="237" ht="19.5" customHeight="1">
      <c r="A237" s="41"/>
      <c r="B237" s="84" t="s">
        <v>465</v>
      </c>
      <c r="C237" s="110" t="str">
        <f>IF(cluster_wld_domain_chosen="VI Workload Domain",CONCATENATE(prefix_wld_az1_cidr,"14.101"),CONCATENATE(prefix_mgmt_az1_cidr,"14.101"))</f>
        <v>10.23.14.101</v>
      </c>
      <c r="D237" s="18"/>
      <c r="E237" s="18"/>
      <c r="F237" s="41"/>
      <c r="G237" s="41"/>
      <c r="H237" s="41"/>
      <c r="I237" s="41"/>
      <c r="J237" s="41"/>
      <c r="K237" s="41"/>
      <c r="L237" s="41"/>
      <c r="M237" s="41"/>
      <c r="N237" s="41"/>
      <c r="O237" s="41"/>
      <c r="P237" s="41"/>
      <c r="Q237" s="41"/>
      <c r="R237" s="41"/>
      <c r="S237" s="41"/>
      <c r="T237" s="41"/>
      <c r="U237" s="41"/>
      <c r="V237" s="41"/>
      <c r="W237" s="41"/>
      <c r="X237" s="41"/>
      <c r="Y237" s="41"/>
      <c r="Z237" s="41"/>
    </row>
    <row r="238" ht="19.5" customHeight="1">
      <c r="A238" s="41"/>
      <c r="B238" s="84" t="s">
        <v>466</v>
      </c>
      <c r="C238" s="110" t="str">
        <f>IF(cluster_wld_domain_chosen="VI Workload Domain",CONCATENATE(prefix_wld_az1_cidr,"14.132"),CONCATENATE(prefix_mgmt_az1_cidr,"14.132"))</f>
        <v>10.23.14.132</v>
      </c>
      <c r="D238" s="18"/>
      <c r="E238" s="18"/>
      <c r="F238" s="41"/>
      <c r="G238" s="41"/>
      <c r="H238" s="41"/>
      <c r="I238" s="41"/>
      <c r="J238" s="41"/>
      <c r="K238" s="41"/>
      <c r="L238" s="41"/>
      <c r="M238" s="41"/>
      <c r="N238" s="41"/>
      <c r="O238" s="41"/>
      <c r="P238" s="41"/>
      <c r="Q238" s="41"/>
      <c r="R238" s="41"/>
      <c r="S238" s="41"/>
      <c r="T238" s="41"/>
      <c r="U238" s="41"/>
      <c r="V238" s="41"/>
      <c r="W238" s="41"/>
      <c r="X238" s="41"/>
      <c r="Y238" s="41"/>
      <c r="Z238" s="41"/>
    </row>
    <row r="239" ht="19.5" customHeight="1">
      <c r="A239" s="41"/>
      <c r="B239" s="84" t="s">
        <v>918</v>
      </c>
      <c r="C239" s="110" t="str">
        <f>IF(cluster_wld_domain_chosen="VI Workload Domain",CONCATENATE(prefix_wld_az1_cidr,"14.1"),CONCATENATE(prefix_mgmt_az1_cidr,"14.1"))</f>
        <v>10.23.14.1</v>
      </c>
      <c r="D239" s="18"/>
      <c r="E239" s="18"/>
      <c r="F239" s="41"/>
      <c r="G239" s="41"/>
      <c r="H239" s="41"/>
      <c r="I239" s="41"/>
      <c r="J239" s="41"/>
      <c r="K239" s="41"/>
      <c r="L239" s="41"/>
      <c r="M239" s="41"/>
      <c r="N239" s="41"/>
      <c r="O239" s="41"/>
      <c r="P239" s="41"/>
      <c r="Q239" s="41"/>
      <c r="R239" s="41"/>
      <c r="S239" s="41"/>
      <c r="T239" s="41"/>
      <c r="U239" s="41"/>
      <c r="V239" s="41"/>
      <c r="W239" s="41"/>
      <c r="X239" s="41"/>
      <c r="Y239" s="41"/>
      <c r="Z239" s="41"/>
    </row>
    <row r="240" ht="19.5" customHeight="1">
      <c r="A240" s="41"/>
      <c r="B240" s="84" t="s">
        <v>1320</v>
      </c>
      <c r="C240" s="110" t="s">
        <v>1321</v>
      </c>
      <c r="D240" s="18"/>
      <c r="E240" s="18" t="str">
        <f>IF(cluster_nsx_vlan_transport_zone_chosen="Unselected","This input is masked out as your have not selected Transport Zone Type: NSX-VLAN","")</f>
        <v>This input is masked out as your have not selected Transport Zone Type: NSX-VLAN</v>
      </c>
      <c r="F240" s="41"/>
      <c r="G240" s="41"/>
      <c r="H240" s="41"/>
      <c r="I240" s="41"/>
      <c r="J240" s="41"/>
      <c r="K240" s="41"/>
      <c r="L240" s="41"/>
      <c r="M240" s="41"/>
      <c r="N240" s="41"/>
      <c r="O240" s="41"/>
      <c r="P240" s="41"/>
      <c r="Q240" s="41"/>
      <c r="R240" s="41"/>
      <c r="S240" s="41"/>
      <c r="T240" s="41"/>
      <c r="U240" s="41"/>
      <c r="V240" s="41"/>
      <c r="W240" s="41"/>
      <c r="X240" s="41"/>
      <c r="Y240" s="41"/>
      <c r="Z240" s="41"/>
    </row>
    <row r="241" ht="19.5" customHeight="1">
      <c r="A241" s="41"/>
      <c r="B241" s="102" t="s">
        <v>1617</v>
      </c>
      <c r="C241" s="13"/>
      <c r="D241" s="13"/>
      <c r="E241" s="14"/>
      <c r="F241" s="41"/>
      <c r="G241" s="41"/>
      <c r="H241" s="41"/>
      <c r="I241" s="41"/>
      <c r="J241" s="41"/>
      <c r="K241" s="41"/>
      <c r="L241" s="41"/>
      <c r="M241" s="41"/>
      <c r="N241" s="41"/>
      <c r="O241" s="41"/>
      <c r="P241" s="41"/>
      <c r="Q241" s="41"/>
      <c r="R241" s="41"/>
      <c r="S241" s="41"/>
      <c r="T241" s="41"/>
      <c r="U241" s="41"/>
      <c r="V241" s="41"/>
      <c r="W241" s="41"/>
      <c r="X241" s="41"/>
      <c r="Y241" s="41"/>
      <c r="Z241" s="41"/>
    </row>
    <row r="242" ht="19.5" customHeight="1">
      <c r="A242" s="41"/>
      <c r="B242" s="84" t="s">
        <v>795</v>
      </c>
      <c r="C242" s="110" t="str">
        <f>IF(cluster_wld_domain_chosen="VI Workload Domain",CONCATENATE(this_instance,"01-",sample_cluster_name,"-r01-network-profile"),CONCATENATE(this_instance,"01-",sample_cluster_name,"-r01-network-profile"))</f>
        <v>lax01-lax-w01-cl02-r01-network-profile</v>
      </c>
      <c r="D242" s="18"/>
      <c r="E242" s="18"/>
      <c r="F242" s="41"/>
      <c r="G242" s="41"/>
      <c r="H242" s="41"/>
      <c r="I242" s="41"/>
      <c r="J242" s="41"/>
      <c r="K242" s="41"/>
      <c r="L242" s="41"/>
      <c r="M242" s="41"/>
      <c r="N242" s="41"/>
      <c r="O242" s="41"/>
      <c r="P242" s="41"/>
      <c r="Q242" s="41"/>
      <c r="R242" s="41"/>
      <c r="S242" s="41"/>
      <c r="T242" s="41"/>
      <c r="U242" s="41"/>
      <c r="V242" s="41"/>
      <c r="W242" s="41"/>
      <c r="X242" s="41"/>
      <c r="Y242" s="41"/>
      <c r="Z242" s="41"/>
    </row>
    <row r="243" ht="19.5" customHeight="1">
      <c r="A243" s="41"/>
      <c r="B243" s="84" t="s">
        <v>1323</v>
      </c>
      <c r="C243" s="110">
        <v>2.0</v>
      </c>
      <c r="D243" s="18"/>
      <c r="E243" s="18"/>
      <c r="F243" s="41"/>
      <c r="G243" s="41"/>
      <c r="H243" s="41"/>
      <c r="I243" s="41"/>
      <c r="J243" s="41"/>
      <c r="K243" s="41"/>
      <c r="L243" s="41"/>
      <c r="M243" s="41"/>
      <c r="N243" s="41"/>
      <c r="O243" s="41"/>
      <c r="P243" s="41"/>
      <c r="Q243" s="41"/>
      <c r="R243" s="41"/>
      <c r="S243" s="41"/>
      <c r="T243" s="41"/>
      <c r="U243" s="41"/>
      <c r="V243" s="41"/>
      <c r="W243" s="41"/>
      <c r="X243" s="41"/>
      <c r="Y243" s="41"/>
      <c r="Z243" s="41"/>
    </row>
    <row r="244" ht="19.5" customHeight="1">
      <c r="A244" s="41"/>
      <c r="B244" s="84" t="s">
        <v>1324</v>
      </c>
      <c r="C244" s="110" t="s">
        <v>445</v>
      </c>
      <c r="D244" s="18"/>
      <c r="E244" s="18"/>
      <c r="F244" s="41"/>
      <c r="G244" s="41"/>
      <c r="H244" s="41"/>
      <c r="I244" s="41"/>
      <c r="J244" s="41"/>
      <c r="K244" s="41"/>
      <c r="L244" s="41"/>
      <c r="M244" s="41"/>
      <c r="N244" s="41"/>
      <c r="O244" s="41"/>
      <c r="P244" s="41"/>
      <c r="Q244" s="41"/>
      <c r="R244" s="41"/>
      <c r="S244" s="41"/>
      <c r="T244" s="41"/>
      <c r="U244" s="41"/>
      <c r="V244" s="41"/>
      <c r="W244" s="41"/>
      <c r="X244" s="41"/>
      <c r="Y244" s="41"/>
      <c r="Z244" s="41"/>
    </row>
    <row r="245" ht="19.5" customHeight="1">
      <c r="A245" s="41"/>
      <c r="B245" s="84" t="s">
        <v>1325</v>
      </c>
      <c r="C245" s="110" t="s">
        <v>446</v>
      </c>
      <c r="D245" s="18"/>
      <c r="E245" s="18"/>
      <c r="F245" s="41"/>
      <c r="G245" s="41"/>
      <c r="H245" s="41"/>
      <c r="I245" s="41"/>
      <c r="J245" s="41"/>
      <c r="K245" s="41"/>
      <c r="L245" s="41"/>
      <c r="M245" s="41"/>
      <c r="N245" s="41"/>
      <c r="O245" s="41"/>
      <c r="P245" s="41"/>
      <c r="Q245" s="41"/>
      <c r="R245" s="41"/>
      <c r="S245" s="41"/>
      <c r="T245" s="41"/>
      <c r="U245" s="41"/>
      <c r="V245" s="41"/>
      <c r="W245" s="41"/>
      <c r="X245" s="41"/>
      <c r="Y245" s="41"/>
      <c r="Z245" s="41"/>
    </row>
    <row r="246" ht="19.5" customHeight="1">
      <c r="A246" s="41"/>
      <c r="B246" s="173" t="s">
        <v>1326</v>
      </c>
      <c r="C246" s="203" t="str">
        <f>IF(cluster_wld_domain_chosen="VI Workload Domain",CONCATENATE(this_instance,"01-w0",wld_domain_number_chosen,"-r01-uplink-profile01"),CONCATENATE(this_instance,"01-m01","-r01-uplink-profile01"))</f>
        <v>lax01-w01-r01-uplink-profile01</v>
      </c>
      <c r="D246" s="18"/>
      <c r="E246" s="18"/>
      <c r="F246" s="41"/>
      <c r="G246" s="41"/>
      <c r="H246" s="41"/>
      <c r="I246" s="41"/>
      <c r="J246" s="41"/>
      <c r="K246" s="41"/>
      <c r="L246" s="41"/>
      <c r="M246" s="41"/>
      <c r="N246" s="41"/>
      <c r="O246" s="41"/>
      <c r="P246" s="41"/>
      <c r="Q246" s="41"/>
      <c r="R246" s="41"/>
      <c r="S246" s="41"/>
      <c r="T246" s="41"/>
      <c r="U246" s="41"/>
      <c r="V246" s="41"/>
      <c r="W246" s="41"/>
      <c r="X246" s="41"/>
      <c r="Y246" s="41"/>
      <c r="Z246" s="41"/>
    </row>
    <row r="247" ht="19.5" customHeight="1">
      <c r="A247" s="41"/>
      <c r="B247" s="84" t="s">
        <v>442</v>
      </c>
      <c r="C247" s="110" t="s">
        <v>1328</v>
      </c>
      <c r="D247" s="18" t="s">
        <v>1328</v>
      </c>
      <c r="E247" s="190"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c r="F247" s="41"/>
      <c r="G247" s="41"/>
      <c r="H247" s="41"/>
      <c r="I247" s="41"/>
      <c r="J247" s="41"/>
      <c r="K247" s="41"/>
      <c r="L247" s="41"/>
      <c r="M247" s="41"/>
      <c r="N247" s="41"/>
      <c r="O247" s="41"/>
      <c r="P247" s="41"/>
      <c r="Q247" s="41"/>
      <c r="R247" s="41"/>
      <c r="S247" s="41"/>
      <c r="T247" s="41"/>
      <c r="U247" s="41"/>
      <c r="V247" s="41"/>
      <c r="W247" s="41"/>
      <c r="X247" s="41"/>
      <c r="Y247" s="41"/>
      <c r="Z247" s="41"/>
    </row>
    <row r="248" ht="19.5" customHeight="1">
      <c r="A248" s="41"/>
      <c r="B248" s="84" t="s">
        <v>1618</v>
      </c>
      <c r="C248" s="110" t="s">
        <v>445</v>
      </c>
      <c r="D248" s="18"/>
      <c r="E248" s="190"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c r="F248" s="41"/>
      <c r="G248" s="41"/>
      <c r="H248" s="41"/>
      <c r="I248" s="41"/>
      <c r="J248" s="41"/>
      <c r="K248" s="41"/>
      <c r="L248" s="41"/>
      <c r="M248" s="41"/>
      <c r="N248" s="41"/>
      <c r="O248" s="41"/>
      <c r="P248" s="41"/>
      <c r="Q248" s="41"/>
      <c r="R248" s="41"/>
      <c r="S248" s="41"/>
      <c r="T248" s="41"/>
      <c r="U248" s="41"/>
      <c r="V248" s="41"/>
      <c r="W248" s="41"/>
      <c r="X248" s="41"/>
      <c r="Y248" s="41"/>
      <c r="Z248" s="41"/>
    </row>
    <row r="249" ht="19.5" customHeight="1">
      <c r="A249" s="41"/>
      <c r="B249" s="84" t="s">
        <v>1619</v>
      </c>
      <c r="C249" s="110" t="s">
        <v>446</v>
      </c>
      <c r="D249" s="18"/>
      <c r="E249" s="190"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1"/>
      <c r="D250" s="1"/>
      <c r="E250" s="1"/>
      <c r="F250" s="41"/>
      <c r="G250" s="41"/>
      <c r="H250" s="41"/>
      <c r="I250" s="41"/>
      <c r="J250" s="41"/>
      <c r="K250" s="41"/>
      <c r="L250" s="41"/>
      <c r="M250" s="41"/>
      <c r="N250" s="41"/>
      <c r="O250" s="41"/>
      <c r="P250" s="41"/>
      <c r="Q250" s="41"/>
      <c r="R250" s="41"/>
      <c r="S250" s="41"/>
      <c r="T250" s="41"/>
      <c r="U250" s="41"/>
      <c r="V250" s="41"/>
      <c r="W250" s="41"/>
      <c r="X250" s="41"/>
      <c r="Y250" s="41"/>
      <c r="Z250" s="41"/>
    </row>
    <row r="251" ht="33.75" customHeight="1">
      <c r="A251" s="41"/>
      <c r="B251" s="289" t="s">
        <v>513</v>
      </c>
      <c r="C251" s="193"/>
      <c r="D251" s="193"/>
      <c r="E251" s="194"/>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55"/>
      <c r="C252" s="81"/>
      <c r="D252" s="81"/>
      <c r="E252" s="81"/>
      <c r="F252" s="41"/>
      <c r="G252" s="41"/>
      <c r="H252" s="41"/>
      <c r="I252" s="41"/>
      <c r="J252" s="41"/>
      <c r="K252" s="41"/>
      <c r="L252" s="41"/>
      <c r="M252" s="41"/>
      <c r="N252" s="41"/>
      <c r="O252" s="41"/>
      <c r="P252" s="41"/>
      <c r="Q252" s="41"/>
      <c r="R252" s="41"/>
      <c r="S252" s="41"/>
      <c r="T252" s="41"/>
      <c r="U252" s="41"/>
      <c r="V252" s="41"/>
      <c r="W252" s="41"/>
      <c r="X252" s="41"/>
      <c r="Y252" s="41"/>
      <c r="Z252" s="41"/>
    </row>
    <row r="253" ht="33.75" customHeight="1">
      <c r="A253" s="41"/>
      <c r="B253" s="290" t="s">
        <v>696</v>
      </c>
      <c r="C253" s="13"/>
      <c r="D253" s="13"/>
      <c r="E253" s="14"/>
      <c r="F253" s="41"/>
      <c r="G253" s="41"/>
      <c r="H253" s="41"/>
      <c r="I253" s="41"/>
      <c r="J253" s="41"/>
      <c r="K253" s="41"/>
      <c r="L253" s="41"/>
      <c r="M253" s="41"/>
      <c r="N253" s="41"/>
      <c r="O253" s="41"/>
      <c r="P253" s="41"/>
      <c r="Q253" s="41"/>
      <c r="R253" s="41"/>
      <c r="S253" s="41"/>
      <c r="T253" s="41"/>
      <c r="U253" s="41"/>
      <c r="V253" s="41"/>
      <c r="W253" s="41"/>
      <c r="X253" s="41"/>
      <c r="Y253" s="41"/>
      <c r="Z253" s="41"/>
    </row>
    <row r="254" ht="19.5" customHeight="1">
      <c r="A254" s="41"/>
      <c r="B254" s="49" t="s">
        <v>37</v>
      </c>
      <c r="C254" s="49" t="s">
        <v>273</v>
      </c>
      <c r="D254" s="49" t="s">
        <v>274</v>
      </c>
      <c r="E254" s="49" t="s">
        <v>5</v>
      </c>
      <c r="F254" s="41"/>
      <c r="G254" s="41"/>
      <c r="H254" s="41"/>
      <c r="I254" s="41"/>
      <c r="J254" s="41"/>
      <c r="K254" s="41"/>
      <c r="L254" s="41"/>
      <c r="M254" s="41"/>
      <c r="N254" s="41"/>
      <c r="O254" s="41"/>
      <c r="P254" s="41"/>
      <c r="Q254" s="41"/>
      <c r="R254" s="41"/>
      <c r="S254" s="41"/>
      <c r="T254" s="41"/>
      <c r="U254" s="41"/>
      <c r="V254" s="41"/>
      <c r="W254" s="41"/>
      <c r="X254" s="41"/>
      <c r="Y254" s="41"/>
      <c r="Z254" s="41"/>
    </row>
    <row r="255" ht="19.5" customHeight="1">
      <c r="A255" s="41"/>
      <c r="B255" s="172" t="s">
        <v>400</v>
      </c>
      <c r="C255" s="13"/>
      <c r="D255" s="13"/>
      <c r="E255" s="14"/>
      <c r="F255" s="41"/>
      <c r="G255" s="41"/>
      <c r="H255" s="41"/>
      <c r="I255" s="41"/>
      <c r="J255" s="41"/>
      <c r="K255" s="41"/>
      <c r="L255" s="41"/>
      <c r="M255" s="41"/>
      <c r="N255" s="41"/>
      <c r="O255" s="41"/>
      <c r="P255" s="41"/>
      <c r="Q255" s="41"/>
      <c r="R255" s="41"/>
      <c r="S255" s="41"/>
      <c r="T255" s="41"/>
      <c r="U255" s="41"/>
      <c r="V255" s="41"/>
      <c r="W255" s="41"/>
      <c r="X255" s="41"/>
      <c r="Y255" s="41"/>
      <c r="Z255" s="41"/>
    </row>
    <row r="256" ht="19.5" customHeight="1">
      <c r="A256" s="41"/>
      <c r="B256" s="187" t="s">
        <v>401</v>
      </c>
      <c r="C256" s="156" t="str">
        <f>IF(cluster_wld_domain_chosen="VI Workload Domain",CONCATENATE(prefix_wld_az2_vlan,"11"),CONCATENATE(prefix_mgmt_az2_vlan,"11"))</f>
        <v>2411</v>
      </c>
      <c r="D256" s="291"/>
      <c r="E256" s="292"/>
      <c r="F256" s="41"/>
      <c r="G256" s="41"/>
      <c r="H256" s="41"/>
      <c r="I256" s="41"/>
      <c r="J256" s="41"/>
      <c r="K256" s="41"/>
      <c r="L256" s="41"/>
      <c r="M256" s="41"/>
      <c r="N256" s="41"/>
      <c r="O256" s="41"/>
      <c r="P256" s="41"/>
      <c r="Q256" s="41"/>
      <c r="R256" s="41"/>
      <c r="S256" s="41"/>
      <c r="T256" s="41"/>
      <c r="U256" s="41"/>
      <c r="V256" s="41"/>
      <c r="W256" s="41"/>
      <c r="X256" s="41"/>
      <c r="Y256" s="41"/>
      <c r="Z256" s="41"/>
    </row>
    <row r="257" ht="19.5" customHeight="1">
      <c r="A257" s="41"/>
      <c r="B257" s="187" t="s">
        <v>402</v>
      </c>
      <c r="C257" s="156" t="str">
        <f>IF(cluster_wld_domain_chosen="VI Workload Domain",CONCATENATE(prefix_wld_az2_cidr,"11.1"),CONCATENATE(prefix_mgmt_az2_cidr,"11.1"))</f>
        <v>10.24.11.1</v>
      </c>
      <c r="D257" s="291"/>
      <c r="E257" s="258"/>
      <c r="F257" s="41"/>
      <c r="G257" s="41"/>
      <c r="H257" s="41"/>
      <c r="I257" s="41"/>
      <c r="J257" s="41"/>
      <c r="K257" s="41"/>
      <c r="L257" s="41"/>
      <c r="M257" s="41"/>
      <c r="N257" s="41"/>
      <c r="O257" s="41"/>
      <c r="P257" s="41"/>
      <c r="Q257" s="41"/>
      <c r="R257" s="41"/>
      <c r="S257" s="41"/>
      <c r="T257" s="41"/>
      <c r="U257" s="41"/>
      <c r="V257" s="41"/>
      <c r="W257" s="41"/>
      <c r="X257" s="41"/>
      <c r="Y257" s="41"/>
      <c r="Z257" s="41"/>
    </row>
    <row r="258" ht="19.5" customHeight="1">
      <c r="A258" s="41"/>
      <c r="B258" s="187" t="s">
        <v>403</v>
      </c>
      <c r="C258" s="156" t="str">
        <f>IF(cluster_wld_domain_chosen="VI Workload Domain",CONCATENATE(prefix_wld_az2_cidr,"11.0/24"),CONCATENATE(prefix_mgmt_az2_cidr,"11.0/24"))</f>
        <v>10.24.11.0/24</v>
      </c>
      <c r="D258" s="291"/>
      <c r="E258" s="258"/>
      <c r="F258" s="41"/>
      <c r="G258" s="41"/>
      <c r="H258" s="41"/>
      <c r="I258" s="41"/>
      <c r="J258" s="41"/>
      <c r="K258" s="41"/>
      <c r="L258" s="41"/>
      <c r="M258" s="41"/>
      <c r="N258" s="41"/>
      <c r="O258" s="41"/>
      <c r="P258" s="41"/>
      <c r="Q258" s="41"/>
      <c r="R258" s="41"/>
      <c r="S258" s="41"/>
      <c r="T258" s="41"/>
      <c r="U258" s="41"/>
      <c r="V258" s="41"/>
      <c r="W258" s="41"/>
      <c r="X258" s="41"/>
      <c r="Y258" s="41"/>
      <c r="Z258" s="41"/>
    </row>
    <row r="259" ht="19.5" customHeight="1">
      <c r="A259" s="41"/>
      <c r="B259" s="187" t="s">
        <v>404</v>
      </c>
      <c r="C259" s="156">
        <v>1500.0</v>
      </c>
      <c r="D259" s="291"/>
      <c r="E259" s="258"/>
      <c r="F259" s="41"/>
      <c r="G259" s="41"/>
      <c r="H259" s="41"/>
      <c r="I259" s="41"/>
      <c r="J259" s="41"/>
      <c r="K259" s="41"/>
      <c r="L259" s="41"/>
      <c r="M259" s="41"/>
      <c r="N259" s="41"/>
      <c r="O259" s="41"/>
      <c r="P259" s="41"/>
      <c r="Q259" s="41"/>
      <c r="R259" s="41"/>
      <c r="S259" s="41"/>
      <c r="T259" s="41"/>
      <c r="U259" s="41"/>
      <c r="V259" s="41"/>
      <c r="W259" s="41"/>
      <c r="X259" s="41"/>
      <c r="Y259" s="41"/>
      <c r="Z259" s="41"/>
    </row>
    <row r="260" ht="19.5" customHeight="1">
      <c r="A260" s="41"/>
      <c r="B260" s="293" t="s">
        <v>481</v>
      </c>
      <c r="C260" s="13"/>
      <c r="D260" s="13"/>
      <c r="E260" s="14"/>
      <c r="F260" s="41"/>
      <c r="G260" s="41"/>
      <c r="H260" s="41"/>
      <c r="I260" s="41"/>
      <c r="J260" s="41"/>
      <c r="K260" s="41"/>
      <c r="L260" s="41"/>
      <c r="M260" s="41"/>
      <c r="N260" s="41"/>
      <c r="O260" s="41"/>
      <c r="P260" s="41"/>
      <c r="Q260" s="41"/>
      <c r="R260" s="41"/>
      <c r="S260" s="41"/>
      <c r="T260" s="41"/>
      <c r="U260" s="41"/>
      <c r="V260" s="41"/>
      <c r="W260" s="41"/>
      <c r="X260" s="41"/>
      <c r="Y260" s="41"/>
      <c r="Z260" s="41"/>
    </row>
    <row r="261" ht="19.5" customHeight="1">
      <c r="A261" s="41"/>
      <c r="B261" s="187" t="s">
        <v>697</v>
      </c>
      <c r="C261" s="163" t="str">
        <f>IF(cluster_wld_domain_chosen="VI Workload Domain",CONCATENATE(prefix_wld_az2_cidr,"11.101"),CONCATENATE(prefix_mgmt_az2_cidr,"11.101"))</f>
        <v>10.24.11.101</v>
      </c>
      <c r="D261" s="294"/>
      <c r="E261" s="199" t="s">
        <v>482</v>
      </c>
      <c r="F261" s="41"/>
      <c r="G261" s="41"/>
      <c r="H261" s="41"/>
      <c r="I261" s="41"/>
      <c r="J261" s="41"/>
      <c r="K261" s="41"/>
      <c r="L261" s="41"/>
      <c r="M261" s="41"/>
      <c r="N261" s="41"/>
      <c r="O261" s="41"/>
      <c r="P261" s="41"/>
      <c r="Q261" s="41"/>
      <c r="R261" s="41"/>
      <c r="S261" s="41"/>
      <c r="T261" s="41"/>
      <c r="U261" s="41"/>
      <c r="V261" s="41"/>
      <c r="W261" s="41"/>
      <c r="X261" s="41"/>
      <c r="Y261" s="41"/>
      <c r="Z261" s="41"/>
    </row>
    <row r="262" ht="19.5" customHeight="1">
      <c r="A262" s="41"/>
      <c r="B262" s="187" t="s">
        <v>698</v>
      </c>
      <c r="C262" s="163" t="str">
        <f>IF(cluster_wld_domain_chosen="VI Workload Domain",CONCATENATE(prefix_wld_az2_cidr,"11.102"),CONCATENATE(prefix_mgmt_az2_cidr,"11.102"))</f>
        <v>10.24.11.102</v>
      </c>
      <c r="D262" s="294"/>
      <c r="E262" s="199" t="s">
        <v>484</v>
      </c>
      <c r="F262" s="41"/>
      <c r="G262" s="41"/>
      <c r="H262" s="41"/>
      <c r="I262" s="41"/>
      <c r="J262" s="41"/>
      <c r="K262" s="41"/>
      <c r="L262" s="41"/>
      <c r="M262" s="41"/>
      <c r="N262" s="41"/>
      <c r="O262" s="41"/>
      <c r="P262" s="41"/>
      <c r="Q262" s="41"/>
      <c r="R262" s="41"/>
      <c r="S262" s="41"/>
      <c r="T262" s="41"/>
      <c r="U262" s="41"/>
      <c r="V262" s="41"/>
      <c r="W262" s="41"/>
      <c r="X262" s="41"/>
      <c r="Y262" s="41"/>
      <c r="Z262" s="41"/>
    </row>
    <row r="263" ht="19.5" customHeight="1">
      <c r="A263" s="41"/>
      <c r="B263" s="187" t="s">
        <v>699</v>
      </c>
      <c r="C263" s="163" t="str">
        <f>IF(cluster_wld_domain_chosen="VI Workload Domain",CONCATENATE(prefix_wld_az2_cidr,"11.103"),CONCATENATE(prefix_mgmt_az2_cidr,"11.103"))</f>
        <v>10.24.11.103</v>
      </c>
      <c r="D263" s="294"/>
      <c r="E263" s="199" t="s">
        <v>485</v>
      </c>
      <c r="F263" s="41"/>
      <c r="G263" s="41"/>
      <c r="H263" s="41"/>
      <c r="I263" s="41"/>
      <c r="J263" s="41"/>
      <c r="K263" s="41"/>
      <c r="L263" s="41"/>
      <c r="M263" s="41"/>
      <c r="N263" s="41"/>
      <c r="O263" s="41"/>
      <c r="P263" s="41"/>
      <c r="Q263" s="41"/>
      <c r="R263" s="41"/>
      <c r="S263" s="41"/>
      <c r="T263" s="41"/>
      <c r="U263" s="41"/>
      <c r="V263" s="41"/>
      <c r="W263" s="41"/>
      <c r="X263" s="41"/>
      <c r="Y263" s="41"/>
      <c r="Z263" s="41"/>
    </row>
    <row r="264" ht="19.5" customHeight="1">
      <c r="A264" s="41"/>
      <c r="B264" s="187" t="s">
        <v>700</v>
      </c>
      <c r="C264" s="163" t="str">
        <f>IF(cluster_wld_domain_chosen="VI Workload Domain",CONCATENATE(prefix_wld_az2_cidr,"11.104"),CONCATENATE(prefix_mgmt_az2_cidr,"11.104"))</f>
        <v>10.24.11.104</v>
      </c>
      <c r="D264" s="294"/>
      <c r="E264" s="199" t="s">
        <v>486</v>
      </c>
      <c r="F264" s="41"/>
      <c r="G264" s="41"/>
      <c r="H264" s="41"/>
      <c r="I264" s="41"/>
      <c r="J264" s="41"/>
      <c r="K264" s="41"/>
      <c r="L264" s="41"/>
      <c r="M264" s="41"/>
      <c r="N264" s="41"/>
      <c r="O264" s="41"/>
      <c r="P264" s="41"/>
      <c r="Q264" s="41"/>
      <c r="R264" s="41"/>
      <c r="S264" s="41"/>
      <c r="T264" s="41"/>
      <c r="U264" s="41"/>
      <c r="V264" s="41"/>
      <c r="W264" s="41"/>
      <c r="X264" s="41"/>
      <c r="Y264" s="41"/>
      <c r="Z264" s="41"/>
    </row>
    <row r="265" ht="19.5" customHeight="1">
      <c r="A265" s="41"/>
      <c r="B265" s="187" t="s">
        <v>701</v>
      </c>
      <c r="C265" s="163" t="str">
        <f>IF(cluster_wld_domain_chosen="VI Workload Domain",CONCATENATE(prefix_wld_az2_cidr,"11.105"),CONCATENATE(prefix_mgmt_az2_cidr,"11.105"))</f>
        <v>10.24.11.105</v>
      </c>
      <c r="D265" s="294"/>
      <c r="E265" s="199" t="s">
        <v>487</v>
      </c>
      <c r="F265" s="41"/>
      <c r="G265" s="41"/>
      <c r="H265" s="41"/>
      <c r="I265" s="41"/>
      <c r="J265" s="41"/>
      <c r="K265" s="41"/>
      <c r="L265" s="41"/>
      <c r="M265" s="41"/>
      <c r="N265" s="41"/>
      <c r="O265" s="41"/>
      <c r="P265" s="41"/>
      <c r="Q265" s="41"/>
      <c r="R265" s="41"/>
      <c r="S265" s="41"/>
      <c r="T265" s="41"/>
      <c r="U265" s="41"/>
      <c r="V265" s="41"/>
      <c r="W265" s="41"/>
      <c r="X265" s="41"/>
      <c r="Y265" s="41"/>
      <c r="Z265" s="41"/>
    </row>
    <row r="266" ht="19.5" customHeight="1">
      <c r="A266" s="41"/>
      <c r="B266" s="187" t="s">
        <v>702</v>
      </c>
      <c r="C266" s="163" t="str">
        <f>IF(cluster_wld_domain_chosen="VI Workload Domain",CONCATENATE(prefix_wld_az2_cidr,"11.106"),CONCATENATE(prefix_mgmt_az2_cidr,"11.106"))</f>
        <v>10.24.11.106</v>
      </c>
      <c r="D266" s="294"/>
      <c r="E266" s="199" t="s">
        <v>488</v>
      </c>
      <c r="F266" s="41"/>
      <c r="G266" s="41"/>
      <c r="H266" s="41"/>
      <c r="I266" s="41"/>
      <c r="J266" s="41"/>
      <c r="K266" s="41"/>
      <c r="L266" s="41"/>
      <c r="M266" s="41"/>
      <c r="N266" s="41"/>
      <c r="O266" s="41"/>
      <c r="P266" s="41"/>
      <c r="Q266" s="41"/>
      <c r="R266" s="41"/>
      <c r="S266" s="41"/>
      <c r="T266" s="41"/>
      <c r="U266" s="41"/>
      <c r="V266" s="41"/>
      <c r="W266" s="41"/>
      <c r="X266" s="41"/>
      <c r="Y266" s="41"/>
      <c r="Z266" s="41"/>
    </row>
    <row r="267" ht="19.5" customHeight="1">
      <c r="A267" s="41"/>
      <c r="B267" s="187" t="s">
        <v>703</v>
      </c>
      <c r="C267" s="163" t="str">
        <f>IF(cluster_wld_domain_chosen="VI Workload Domain",CONCATENATE(prefix_wld_az2_cidr,"11.107"),CONCATENATE(prefix_mgmt_az2_cidr,"11.107"))</f>
        <v>10.24.11.107</v>
      </c>
      <c r="D267" s="294"/>
      <c r="E267" s="199" t="s">
        <v>489</v>
      </c>
      <c r="F267" s="41"/>
      <c r="G267" s="41"/>
      <c r="H267" s="41"/>
      <c r="I267" s="41"/>
      <c r="J267" s="41"/>
      <c r="K267" s="41"/>
      <c r="L267" s="41"/>
      <c r="M267" s="41"/>
      <c r="N267" s="41"/>
      <c r="O267" s="41"/>
      <c r="P267" s="41"/>
      <c r="Q267" s="41"/>
      <c r="R267" s="41"/>
      <c r="S267" s="41"/>
      <c r="T267" s="41"/>
      <c r="U267" s="41"/>
      <c r="V267" s="41"/>
      <c r="W267" s="41"/>
      <c r="X267" s="41"/>
      <c r="Y267" s="41"/>
      <c r="Z267" s="41"/>
    </row>
    <row r="268" ht="19.5" customHeight="1">
      <c r="A268" s="41"/>
      <c r="B268" s="187" t="s">
        <v>704</v>
      </c>
      <c r="C268" s="163" t="str">
        <f>IF(cluster_wld_domain_chosen="VI Workload Domain",CONCATENATE(prefix_wld_az2_cidr,"11.108"),CONCATENATE(prefix_mgmt_az2_cidr,"11.108"))</f>
        <v>10.24.11.108</v>
      </c>
      <c r="D268" s="294"/>
      <c r="E268" s="199" t="s">
        <v>490</v>
      </c>
      <c r="F268" s="41"/>
      <c r="G268" s="41"/>
      <c r="H268" s="41"/>
      <c r="I268" s="41"/>
      <c r="J268" s="41"/>
      <c r="K268" s="41"/>
      <c r="L268" s="41"/>
      <c r="M268" s="41"/>
      <c r="N268" s="41"/>
      <c r="O268" s="41"/>
      <c r="P268" s="41"/>
      <c r="Q268" s="41"/>
      <c r="R268" s="41"/>
      <c r="S268" s="41"/>
      <c r="T268" s="41"/>
      <c r="U268" s="41"/>
      <c r="V268" s="41"/>
      <c r="W268" s="41"/>
      <c r="X268" s="41"/>
      <c r="Y268" s="41"/>
      <c r="Z268" s="41"/>
    </row>
    <row r="269" ht="19.5" customHeight="1">
      <c r="A269" s="41"/>
      <c r="B269" s="187" t="s">
        <v>705</v>
      </c>
      <c r="C269" s="163" t="str">
        <f>IF(cluster_wld_domain_chosen="VI Workload Domain",CONCATENATE(prefix_wld_az2_cidr,"11.109"),CONCATENATE(prefix_mgmt_az2_cidr,"11.109"))</f>
        <v>10.24.11.109</v>
      </c>
      <c r="D269" s="294"/>
      <c r="E269" s="199" t="s">
        <v>491</v>
      </c>
      <c r="F269" s="41"/>
      <c r="G269" s="41"/>
      <c r="H269" s="41"/>
      <c r="I269" s="41"/>
      <c r="J269" s="41"/>
      <c r="K269" s="41"/>
      <c r="L269" s="41"/>
      <c r="M269" s="41"/>
      <c r="N269" s="41"/>
      <c r="O269" s="41"/>
      <c r="P269" s="41"/>
      <c r="Q269" s="41"/>
      <c r="R269" s="41"/>
      <c r="S269" s="41"/>
      <c r="T269" s="41"/>
      <c r="U269" s="41"/>
      <c r="V269" s="41"/>
      <c r="W269" s="41"/>
      <c r="X269" s="41"/>
      <c r="Y269" s="41"/>
      <c r="Z269" s="41"/>
    </row>
    <row r="270" ht="19.5" customHeight="1">
      <c r="A270" s="41"/>
      <c r="B270" s="187" t="s">
        <v>706</v>
      </c>
      <c r="C270" s="163" t="str">
        <f>IF(cluster_wld_domain_chosen="VI Workload Domain",CONCATENATE(prefix_wld_az2_cidr,"11.110"),CONCATENATE(prefix_mgmt_az2_cidr,"11.110"))</f>
        <v>10.24.11.110</v>
      </c>
      <c r="D270" s="294"/>
      <c r="E270" s="199" t="s">
        <v>492</v>
      </c>
      <c r="F270" s="41"/>
      <c r="G270" s="41"/>
      <c r="H270" s="41"/>
      <c r="I270" s="41"/>
      <c r="J270" s="41"/>
      <c r="K270" s="41"/>
      <c r="L270" s="41"/>
      <c r="M270" s="41"/>
      <c r="N270" s="41"/>
      <c r="O270" s="41"/>
      <c r="P270" s="41"/>
      <c r="Q270" s="41"/>
      <c r="R270" s="41"/>
      <c r="S270" s="41"/>
      <c r="T270" s="41"/>
      <c r="U270" s="41"/>
      <c r="V270" s="41"/>
      <c r="W270" s="41"/>
      <c r="X270" s="41"/>
      <c r="Y270" s="41"/>
      <c r="Z270" s="41"/>
    </row>
    <row r="271" ht="19.5" customHeight="1">
      <c r="A271" s="41"/>
      <c r="B271" s="187" t="s">
        <v>707</v>
      </c>
      <c r="C271" s="163" t="str">
        <f>IF(cluster_wld_domain_chosen="VI Workload Domain",CONCATENATE(prefix_wld_az2_cidr,"11.111"),CONCATENATE(prefix_mgmt_az2_cidr,"11.111"))</f>
        <v>10.24.11.111</v>
      </c>
      <c r="D271" s="294"/>
      <c r="E271" s="199" t="s">
        <v>493</v>
      </c>
      <c r="F271" s="41"/>
      <c r="G271" s="41"/>
      <c r="H271" s="41"/>
      <c r="I271" s="41"/>
      <c r="J271" s="41"/>
      <c r="K271" s="41"/>
      <c r="L271" s="41"/>
      <c r="M271" s="41"/>
      <c r="N271" s="41"/>
      <c r="O271" s="41"/>
      <c r="P271" s="41"/>
      <c r="Q271" s="41"/>
      <c r="R271" s="41"/>
      <c r="S271" s="41"/>
      <c r="T271" s="41"/>
      <c r="U271" s="41"/>
      <c r="V271" s="41"/>
      <c r="W271" s="41"/>
      <c r="X271" s="41"/>
      <c r="Y271" s="41"/>
      <c r="Z271" s="41"/>
    </row>
    <row r="272" ht="19.5" customHeight="1">
      <c r="A272" s="41"/>
      <c r="B272" s="187" t="s">
        <v>708</v>
      </c>
      <c r="C272" s="163" t="str">
        <f>IF(cluster_wld_domain_chosen="VI Workload Domain",CONCATENATE(prefix_wld_az2_cidr,"11.112"),CONCATENATE(prefix_mgmt_az2_cidr,"11.112"))</f>
        <v>10.24.11.112</v>
      </c>
      <c r="D272" s="294"/>
      <c r="E272" s="199" t="s">
        <v>494</v>
      </c>
      <c r="F272" s="41"/>
      <c r="G272" s="41"/>
      <c r="H272" s="41"/>
      <c r="I272" s="41"/>
      <c r="J272" s="41"/>
      <c r="K272" s="41"/>
      <c r="L272" s="41"/>
      <c r="M272" s="41"/>
      <c r="N272" s="41"/>
      <c r="O272" s="41"/>
      <c r="P272" s="41"/>
      <c r="Q272" s="41"/>
      <c r="R272" s="41"/>
      <c r="S272" s="41"/>
      <c r="T272" s="41"/>
      <c r="U272" s="41"/>
      <c r="V272" s="41"/>
      <c r="W272" s="41"/>
      <c r="X272" s="41"/>
      <c r="Y272" s="41"/>
      <c r="Z272" s="41"/>
    </row>
    <row r="273" ht="19.5" customHeight="1">
      <c r="A273" s="41"/>
      <c r="B273" s="187" t="s">
        <v>709</v>
      </c>
      <c r="C273" s="163" t="str">
        <f>IF(cluster_wld_domain_chosen="VI Workload Domain",CONCATENATE(prefix_wld_az2_cidr,"11.113"),CONCATENATE(prefix_mgmt_az2_cidr,"11.113"))</f>
        <v>10.24.11.113</v>
      </c>
      <c r="D273" s="294"/>
      <c r="E273" s="199" t="s">
        <v>495</v>
      </c>
      <c r="F273" s="41"/>
      <c r="G273" s="41"/>
      <c r="H273" s="41"/>
      <c r="I273" s="41"/>
      <c r="J273" s="41"/>
      <c r="K273" s="41"/>
      <c r="L273" s="41"/>
      <c r="M273" s="41"/>
      <c r="N273" s="41"/>
      <c r="O273" s="41"/>
      <c r="P273" s="41"/>
      <c r="Q273" s="41"/>
      <c r="R273" s="41"/>
      <c r="S273" s="41"/>
      <c r="T273" s="41"/>
      <c r="U273" s="41"/>
      <c r="V273" s="41"/>
      <c r="W273" s="41"/>
      <c r="X273" s="41"/>
      <c r="Y273" s="41"/>
      <c r="Z273" s="41"/>
    </row>
    <row r="274" ht="19.5" customHeight="1">
      <c r="A274" s="41"/>
      <c r="B274" s="187" t="s">
        <v>710</v>
      </c>
      <c r="C274" s="163" t="str">
        <f>IF(cluster_wld_domain_chosen="VI Workload Domain",CONCATENATE(prefix_wld_az2_cidr,"11.114"),CONCATENATE(prefix_mgmt_az2_cidr,"11.114"))</f>
        <v>10.24.11.114</v>
      </c>
      <c r="D274" s="294"/>
      <c r="E274" s="199" t="s">
        <v>496</v>
      </c>
      <c r="F274" s="41"/>
      <c r="G274" s="41"/>
      <c r="H274" s="41"/>
      <c r="I274" s="41"/>
      <c r="J274" s="41"/>
      <c r="K274" s="41"/>
      <c r="L274" s="41"/>
      <c r="M274" s="41"/>
      <c r="N274" s="41"/>
      <c r="O274" s="41"/>
      <c r="P274" s="41"/>
      <c r="Q274" s="41"/>
      <c r="R274" s="41"/>
      <c r="S274" s="41"/>
      <c r="T274" s="41"/>
      <c r="U274" s="41"/>
      <c r="V274" s="41"/>
      <c r="W274" s="41"/>
      <c r="X274" s="41"/>
      <c r="Y274" s="41"/>
      <c r="Z274" s="41"/>
    </row>
    <row r="275" ht="19.5" customHeight="1">
      <c r="A275" s="41"/>
      <c r="B275" s="187" t="s">
        <v>711</v>
      </c>
      <c r="C275" s="163" t="str">
        <f>IF(cluster_wld_domain_chosen="VI Workload Domain",CONCATENATE(prefix_wld_az2_cidr,"11.115"),CONCATENATE(prefix_mgmt_az2_cidr,"11.115"))</f>
        <v>10.24.11.115</v>
      </c>
      <c r="D275" s="294"/>
      <c r="E275" s="199" t="s">
        <v>497</v>
      </c>
      <c r="F275" s="41"/>
      <c r="G275" s="41"/>
      <c r="H275" s="41"/>
      <c r="I275" s="41"/>
      <c r="J275" s="41"/>
      <c r="K275" s="41"/>
      <c r="L275" s="41"/>
      <c r="M275" s="41"/>
      <c r="N275" s="41"/>
      <c r="O275" s="41"/>
      <c r="P275" s="41"/>
      <c r="Q275" s="41"/>
      <c r="R275" s="41"/>
      <c r="S275" s="41"/>
      <c r="T275" s="41"/>
      <c r="U275" s="41"/>
      <c r="V275" s="41"/>
      <c r="W275" s="41"/>
      <c r="X275" s="41"/>
      <c r="Y275" s="41"/>
      <c r="Z275" s="41"/>
    </row>
    <row r="276" ht="19.5" customHeight="1">
      <c r="A276" s="41"/>
      <c r="B276" s="187" t="s">
        <v>712</v>
      </c>
      <c r="C276" s="163" t="str">
        <f>IF(cluster_wld_domain_chosen="VI Workload Domain",CONCATENATE(prefix_wld_az2_cidr,"11.116"),CONCATENATE(prefix_mgmt_az2_cidr,"11.116"))</f>
        <v>10.24.11.116</v>
      </c>
      <c r="D276" s="294"/>
      <c r="E276" s="199" t="s">
        <v>498</v>
      </c>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55"/>
      <c r="C277" s="81"/>
      <c r="D277" s="81"/>
      <c r="E277" s="81"/>
      <c r="F277" s="41"/>
      <c r="G277" s="41"/>
      <c r="H277" s="41"/>
      <c r="I277" s="41"/>
      <c r="J277" s="41"/>
      <c r="K277" s="41"/>
      <c r="L277" s="41"/>
      <c r="M277" s="41"/>
      <c r="N277" s="41"/>
      <c r="O277" s="41"/>
      <c r="P277" s="41"/>
      <c r="Q277" s="41"/>
      <c r="R277" s="41"/>
      <c r="S277" s="41"/>
      <c r="T277" s="41"/>
      <c r="U277" s="41"/>
      <c r="V277" s="41"/>
      <c r="W277" s="41"/>
      <c r="X277" s="41"/>
      <c r="Y277" s="41"/>
      <c r="Z277" s="41"/>
    </row>
    <row r="278" ht="33.75" customHeight="1">
      <c r="A278" s="41"/>
      <c r="B278" s="290" t="s">
        <v>713</v>
      </c>
      <c r="C278" s="13"/>
      <c r="D278" s="13"/>
      <c r="E278" s="14"/>
      <c r="F278" s="41"/>
      <c r="G278" s="41"/>
      <c r="H278" s="41"/>
      <c r="I278" s="41"/>
      <c r="J278" s="41"/>
      <c r="K278" s="41"/>
      <c r="L278" s="41"/>
      <c r="M278" s="41"/>
      <c r="N278" s="41"/>
      <c r="O278" s="41"/>
      <c r="P278" s="41"/>
      <c r="Q278" s="41"/>
      <c r="R278" s="41"/>
      <c r="S278" s="41"/>
      <c r="T278" s="41"/>
      <c r="U278" s="41"/>
      <c r="V278" s="41"/>
      <c r="W278" s="41"/>
      <c r="X278" s="41"/>
      <c r="Y278" s="41"/>
      <c r="Z278" s="41"/>
    </row>
    <row r="279" ht="19.5" customHeight="1">
      <c r="A279" s="41"/>
      <c r="B279" s="49" t="s">
        <v>37</v>
      </c>
      <c r="C279" s="49" t="s">
        <v>273</v>
      </c>
      <c r="D279" s="49" t="s">
        <v>274</v>
      </c>
      <c r="E279" s="49" t="s">
        <v>5</v>
      </c>
      <c r="F279" s="41"/>
      <c r="G279" s="41"/>
      <c r="H279" s="41"/>
      <c r="I279" s="41"/>
      <c r="J279" s="41"/>
      <c r="K279" s="41"/>
      <c r="L279" s="41"/>
      <c r="M279" s="41"/>
      <c r="N279" s="41"/>
      <c r="O279" s="41"/>
      <c r="P279" s="41"/>
      <c r="Q279" s="41"/>
      <c r="R279" s="41"/>
      <c r="S279" s="41"/>
      <c r="T279" s="41"/>
      <c r="U279" s="41"/>
      <c r="V279" s="41"/>
      <c r="W279" s="41"/>
      <c r="X279" s="41"/>
      <c r="Y279" s="41"/>
      <c r="Z279" s="41"/>
    </row>
    <row r="280" ht="19.5" customHeight="1">
      <c r="A280" s="41"/>
      <c r="B280" s="84" t="s">
        <v>714</v>
      </c>
      <c r="C280" s="110" t="s">
        <v>715</v>
      </c>
      <c r="D280" s="295" t="s">
        <v>715</v>
      </c>
      <c r="E280" s="84" t="str">
        <f>IF(wld_az2_reuse_vcf_networkpool_chosen="Re-use an existing VCF Network Pool","An exisiting VCF Network Pool will be reused for Host TEP assignment","A new VCF Network Pool will be created")</f>
        <v>A new VCF Network Pool will be created</v>
      </c>
      <c r="F280" s="41"/>
      <c r="G280" s="41"/>
      <c r="H280" s="41"/>
      <c r="I280" s="41"/>
      <c r="J280" s="41"/>
      <c r="K280" s="41"/>
      <c r="L280" s="41"/>
      <c r="M280" s="41"/>
      <c r="N280" s="41"/>
      <c r="O280" s="41"/>
      <c r="P280" s="41"/>
      <c r="Q280" s="41"/>
      <c r="R280" s="41"/>
      <c r="S280" s="41"/>
      <c r="T280" s="41"/>
      <c r="U280" s="41"/>
      <c r="V280" s="41"/>
      <c r="W280" s="41"/>
      <c r="X280" s="41"/>
      <c r="Y280" s="41"/>
      <c r="Z280" s="41"/>
    </row>
    <row r="281" ht="19.5" customHeight="1">
      <c r="A281" s="41"/>
      <c r="B281" s="187" t="s">
        <v>716</v>
      </c>
      <c r="C281" s="229" t="str">
        <f>IF(cluster_az1_reuse_vcf_networkpool_result="Excluded",IF(cluster_wld_domain_chosen="VI Workload Domain",CONCATENATE(this_instance,"02-w0",wld_domain_number_chosen,"-r01-network-pool-01"),CONCATENATE(this_instance,"02-m01","-r01-network-pool-01")),IF(cluster_wld_domain_chosen="VI Workload Domain",CONCATENATE(this_instance,"02-w0",wld_domain_number_chosen,"-r01-network-pool-01"),CONCATENATE(this_instance,"02-m01","-r01-network-pool-01")))</f>
        <v>lax02-w01-r01-network-pool-01</v>
      </c>
      <c r="D281" s="295"/>
      <c r="E281" s="258"/>
      <c r="F281" s="41"/>
      <c r="G281" s="41"/>
      <c r="H281" s="41"/>
      <c r="I281" s="41"/>
      <c r="J281" s="41"/>
      <c r="K281" s="41"/>
      <c r="L281" s="41"/>
      <c r="M281" s="41"/>
      <c r="N281" s="41"/>
      <c r="O281" s="41"/>
      <c r="P281" s="41"/>
      <c r="Q281" s="41"/>
      <c r="R281" s="41"/>
      <c r="S281" s="41"/>
      <c r="T281" s="41"/>
      <c r="U281" s="41"/>
      <c r="V281" s="41"/>
      <c r="W281" s="41"/>
      <c r="X281" s="41"/>
      <c r="Y281" s="41"/>
      <c r="Z281" s="41"/>
    </row>
    <row r="282" ht="19.5" customHeight="1">
      <c r="A282" s="41"/>
      <c r="B282" s="172" t="s">
        <v>407</v>
      </c>
      <c r="C282" s="13"/>
      <c r="D282" s="13"/>
      <c r="E282" s="14"/>
      <c r="F282" s="41"/>
      <c r="G282" s="41"/>
      <c r="H282" s="41"/>
      <c r="I282" s="41"/>
      <c r="J282" s="41"/>
      <c r="K282" s="41"/>
      <c r="L282" s="41"/>
      <c r="M282" s="41"/>
      <c r="N282" s="41"/>
      <c r="O282" s="41"/>
      <c r="P282" s="41"/>
      <c r="Q282" s="41"/>
      <c r="R282" s="41"/>
      <c r="S282" s="41"/>
      <c r="T282" s="41"/>
      <c r="U282" s="41"/>
      <c r="V282" s="41"/>
      <c r="W282" s="41"/>
      <c r="X282" s="41"/>
      <c r="Y282" s="41"/>
      <c r="Z282" s="41"/>
    </row>
    <row r="283" ht="19.5" customHeight="1">
      <c r="A283" s="41"/>
      <c r="B283" s="187" t="s">
        <v>401</v>
      </c>
      <c r="C283" s="156" t="str">
        <f>IF(cluster_wld_domain_chosen="VI Workload Domain",CONCATENATE(prefix_wld_az2_vlan,"12"),CONCATENATE(prefix_mgmt_az2_vlan,"12"))</f>
        <v>2412</v>
      </c>
      <c r="D283" s="291"/>
      <c r="E283" s="292"/>
      <c r="F283" s="41"/>
      <c r="G283" s="41"/>
      <c r="H283" s="41"/>
      <c r="I283" s="41"/>
      <c r="J283" s="41"/>
      <c r="K283" s="41"/>
      <c r="L283" s="41"/>
      <c r="M283" s="41"/>
      <c r="N283" s="41"/>
      <c r="O283" s="41"/>
      <c r="P283" s="41"/>
      <c r="Q283" s="41"/>
      <c r="R283" s="41"/>
      <c r="S283" s="41"/>
      <c r="T283" s="41"/>
      <c r="U283" s="41"/>
      <c r="V283" s="41"/>
      <c r="W283" s="41"/>
      <c r="X283" s="41"/>
      <c r="Y283" s="41"/>
      <c r="Z283" s="41"/>
    </row>
    <row r="284" ht="19.5" customHeight="1">
      <c r="A284" s="41"/>
      <c r="B284" s="187" t="s">
        <v>404</v>
      </c>
      <c r="C284" s="156">
        <v>9000.0</v>
      </c>
      <c r="D284" s="291"/>
      <c r="E284" s="258"/>
      <c r="F284" s="41"/>
      <c r="G284" s="41"/>
      <c r="H284" s="41"/>
      <c r="I284" s="41"/>
      <c r="J284" s="41"/>
      <c r="K284" s="41"/>
      <c r="L284" s="41"/>
      <c r="M284" s="41"/>
      <c r="N284" s="41"/>
      <c r="O284" s="41"/>
      <c r="P284" s="41"/>
      <c r="Q284" s="41"/>
      <c r="R284" s="41"/>
      <c r="S284" s="41"/>
      <c r="T284" s="41"/>
      <c r="U284" s="41"/>
      <c r="V284" s="41"/>
      <c r="W284" s="41"/>
      <c r="X284" s="41"/>
      <c r="Y284" s="41"/>
      <c r="Z284" s="41"/>
    </row>
    <row r="285" ht="19.5" customHeight="1">
      <c r="A285" s="41"/>
      <c r="B285" s="187" t="s">
        <v>717</v>
      </c>
      <c r="C285" s="156" t="str">
        <f>IF(cluster_wld_domain_chosen="VI Workload Domain",CONCATENATE(prefix_wld_az2_cidr,"12.0"),CONCATENATE(prefix_mgmt_az2_cidr,"12.0"))</f>
        <v>10.24.12.0</v>
      </c>
      <c r="D285" s="291"/>
      <c r="E285" s="258"/>
      <c r="F285" s="41"/>
      <c r="G285" s="41"/>
      <c r="H285" s="41"/>
      <c r="I285" s="41"/>
      <c r="J285" s="41"/>
      <c r="K285" s="41"/>
      <c r="L285" s="41"/>
      <c r="M285" s="41"/>
      <c r="N285" s="41"/>
      <c r="O285" s="41"/>
      <c r="P285" s="41"/>
      <c r="Q285" s="41"/>
      <c r="R285" s="41"/>
      <c r="S285" s="41"/>
      <c r="T285" s="41"/>
      <c r="U285" s="41"/>
      <c r="V285" s="41"/>
      <c r="W285" s="41"/>
      <c r="X285" s="41"/>
      <c r="Y285" s="41"/>
      <c r="Z285" s="41"/>
    </row>
    <row r="286" ht="19.5" customHeight="1">
      <c r="A286" s="41"/>
      <c r="B286" s="187" t="s">
        <v>718</v>
      </c>
      <c r="C286" s="156" t="s">
        <v>622</v>
      </c>
      <c r="D286" s="291"/>
      <c r="E286" s="258"/>
      <c r="F286" s="41"/>
      <c r="G286" s="41"/>
      <c r="H286" s="41"/>
      <c r="I286" s="41"/>
      <c r="J286" s="41"/>
      <c r="K286" s="41"/>
      <c r="L286" s="41"/>
      <c r="M286" s="41"/>
      <c r="N286" s="41"/>
      <c r="O286" s="41"/>
      <c r="P286" s="41"/>
      <c r="Q286" s="41"/>
      <c r="R286" s="41"/>
      <c r="S286" s="41"/>
      <c r="T286" s="41"/>
      <c r="U286" s="41"/>
      <c r="V286" s="41"/>
      <c r="W286" s="41"/>
      <c r="X286" s="41"/>
      <c r="Y286" s="41"/>
      <c r="Z286" s="41"/>
    </row>
    <row r="287" ht="19.5" customHeight="1">
      <c r="A287" s="41"/>
      <c r="B287" s="187" t="s">
        <v>719</v>
      </c>
      <c r="C287" s="156" t="str">
        <f>IF(cluster_wld_domain_chosen="VI Workload Domain",CONCATENATE(prefix_wld_az2_cidr,"12.1"),CONCATENATE(prefix_mgmt_az2_cidr,"12.1"))</f>
        <v>10.24.12.1</v>
      </c>
      <c r="D287" s="291"/>
      <c r="E287" s="258"/>
      <c r="F287" s="41"/>
      <c r="G287" s="41"/>
      <c r="H287" s="41"/>
      <c r="I287" s="41"/>
      <c r="J287" s="41"/>
      <c r="K287" s="41"/>
      <c r="L287" s="41"/>
      <c r="M287" s="41"/>
      <c r="N287" s="41"/>
      <c r="O287" s="41"/>
      <c r="P287" s="41"/>
      <c r="Q287" s="41"/>
      <c r="R287" s="41"/>
      <c r="S287" s="41"/>
      <c r="T287" s="41"/>
      <c r="U287" s="41"/>
      <c r="V287" s="41"/>
      <c r="W287" s="41"/>
      <c r="X287" s="41"/>
      <c r="Y287" s="41"/>
      <c r="Z287" s="41"/>
    </row>
    <row r="288" ht="19.5" customHeight="1">
      <c r="A288" s="41"/>
      <c r="B288" s="187" t="s">
        <v>465</v>
      </c>
      <c r="C288" s="156" t="str">
        <f>IF(cluster_wld_domain_chosen="VI Workload Domain",CONCATENATE(prefix_wld_az2_cidr,"12.101"),CONCATENATE(prefix_mgmt_az2_cidr,"12.101"))</f>
        <v>10.24.12.101</v>
      </c>
      <c r="D288" s="291"/>
      <c r="E288" s="258"/>
      <c r="F288" s="41"/>
      <c r="G288" s="41"/>
      <c r="H288" s="41"/>
      <c r="I288" s="41"/>
      <c r="J288" s="41"/>
      <c r="K288" s="41"/>
      <c r="L288" s="41"/>
      <c r="M288" s="41"/>
      <c r="N288" s="41"/>
      <c r="O288" s="41"/>
      <c r="P288" s="41"/>
      <c r="Q288" s="41"/>
      <c r="R288" s="41"/>
      <c r="S288" s="41"/>
      <c r="T288" s="41"/>
      <c r="U288" s="41"/>
      <c r="V288" s="41"/>
      <c r="W288" s="41"/>
      <c r="X288" s="41"/>
      <c r="Y288" s="41"/>
      <c r="Z288" s="41"/>
    </row>
    <row r="289" ht="19.5" customHeight="1">
      <c r="A289" s="41"/>
      <c r="B289" s="187" t="s">
        <v>466</v>
      </c>
      <c r="C289" s="156" t="str">
        <f>IF(cluster_wld_domain_chosen="VI Workload Domain",CONCATENATE(prefix_wld_az2_cidr,"12.116"),CONCATENATE(prefix_mgmt_az2_cidr,"12.116"))</f>
        <v>10.24.12.116</v>
      </c>
      <c r="D289" s="291"/>
      <c r="E289" s="258"/>
      <c r="F289" s="41"/>
      <c r="G289" s="41"/>
      <c r="H289" s="41"/>
      <c r="I289" s="41"/>
      <c r="J289" s="41"/>
      <c r="K289" s="41"/>
      <c r="L289" s="41"/>
      <c r="M289" s="41"/>
      <c r="N289" s="41"/>
      <c r="O289" s="41"/>
      <c r="P289" s="41"/>
      <c r="Q289" s="41"/>
      <c r="R289" s="41"/>
      <c r="S289" s="41"/>
      <c r="T289" s="41"/>
      <c r="U289" s="41"/>
      <c r="V289" s="41"/>
      <c r="W289" s="41"/>
      <c r="X289" s="41"/>
      <c r="Y289" s="41"/>
      <c r="Z289" s="41"/>
    </row>
    <row r="290" ht="19.5" customHeight="1">
      <c r="A290" s="41"/>
      <c r="B290" s="172" t="s">
        <v>410</v>
      </c>
      <c r="C290" s="13"/>
      <c r="D290" s="13"/>
      <c r="E290" s="14"/>
      <c r="F290" s="41"/>
      <c r="G290" s="41"/>
      <c r="H290" s="41"/>
      <c r="I290" s="41"/>
      <c r="J290" s="41"/>
      <c r="K290" s="41"/>
      <c r="L290" s="41"/>
      <c r="M290" s="41"/>
      <c r="N290" s="41"/>
      <c r="O290" s="41"/>
      <c r="P290" s="41"/>
      <c r="Q290" s="41"/>
      <c r="R290" s="41"/>
      <c r="S290" s="41"/>
      <c r="T290" s="41"/>
      <c r="U290" s="41"/>
      <c r="V290" s="41"/>
      <c r="W290" s="41"/>
      <c r="X290" s="41"/>
      <c r="Y290" s="41"/>
      <c r="Z290" s="41"/>
    </row>
    <row r="291" ht="19.5" customHeight="1">
      <c r="A291" s="41"/>
      <c r="B291" s="187" t="s">
        <v>401</v>
      </c>
      <c r="C291" s="156" t="str">
        <f>IF(cluster_wld_domain_chosen="VI Workload Domain",CONCATENATE(prefix_wld_az2_vlan,"13"),CONCATENATE(prefix_mgmt_az2_vlan,"13"))</f>
        <v>2413</v>
      </c>
      <c r="D291" s="291"/>
      <c r="E291" s="258"/>
      <c r="F291" s="41"/>
      <c r="G291" s="41"/>
      <c r="H291" s="41"/>
      <c r="I291" s="41"/>
      <c r="J291" s="41"/>
      <c r="K291" s="41"/>
      <c r="L291" s="41"/>
      <c r="M291" s="41"/>
      <c r="N291" s="41"/>
      <c r="O291" s="41"/>
      <c r="P291" s="41"/>
      <c r="Q291" s="41"/>
      <c r="R291" s="41"/>
      <c r="S291" s="41"/>
      <c r="T291" s="41"/>
      <c r="U291" s="41"/>
      <c r="V291" s="41"/>
      <c r="W291" s="41"/>
      <c r="X291" s="41"/>
      <c r="Y291" s="41"/>
      <c r="Z291" s="41"/>
    </row>
    <row r="292" ht="19.5" customHeight="1">
      <c r="A292" s="41"/>
      <c r="B292" s="187" t="s">
        <v>404</v>
      </c>
      <c r="C292" s="156">
        <v>9000.0</v>
      </c>
      <c r="D292" s="291"/>
      <c r="E292" s="258"/>
      <c r="F292" s="41"/>
      <c r="G292" s="41"/>
      <c r="H292" s="41"/>
      <c r="I292" s="41"/>
      <c r="J292" s="41"/>
      <c r="K292" s="41"/>
      <c r="L292" s="41"/>
      <c r="M292" s="41"/>
      <c r="N292" s="41"/>
      <c r="O292" s="41"/>
      <c r="P292" s="41"/>
      <c r="Q292" s="41"/>
      <c r="R292" s="41"/>
      <c r="S292" s="41"/>
      <c r="T292" s="41"/>
      <c r="U292" s="41"/>
      <c r="V292" s="41"/>
      <c r="W292" s="41"/>
      <c r="X292" s="41"/>
      <c r="Y292" s="41"/>
      <c r="Z292" s="41"/>
    </row>
    <row r="293" ht="19.5" customHeight="1">
      <c r="A293" s="41"/>
      <c r="B293" s="187" t="s">
        <v>717</v>
      </c>
      <c r="C293" s="156" t="str">
        <f>IF(cluster_wld_domain_chosen="VI Workload Domain",CONCATENATE(prefix_wld_az2_cidr,"13.0"),CONCATENATE(prefix_mgmt_az2_cidr,"13.0"))</f>
        <v>10.24.13.0</v>
      </c>
      <c r="D293" s="291"/>
      <c r="E293" s="258"/>
      <c r="F293" s="41"/>
      <c r="G293" s="41"/>
      <c r="H293" s="41"/>
      <c r="I293" s="41"/>
      <c r="J293" s="41"/>
      <c r="K293" s="41"/>
      <c r="L293" s="41"/>
      <c r="M293" s="41"/>
      <c r="N293" s="41"/>
      <c r="O293" s="41"/>
      <c r="P293" s="41"/>
      <c r="Q293" s="41"/>
      <c r="R293" s="41"/>
      <c r="S293" s="41"/>
      <c r="T293" s="41"/>
      <c r="U293" s="41"/>
      <c r="V293" s="41"/>
      <c r="W293" s="41"/>
      <c r="X293" s="41"/>
      <c r="Y293" s="41"/>
      <c r="Z293" s="41"/>
    </row>
    <row r="294" ht="19.5" customHeight="1">
      <c r="A294" s="41"/>
      <c r="B294" s="187" t="s">
        <v>718</v>
      </c>
      <c r="C294" s="156" t="s">
        <v>622</v>
      </c>
      <c r="D294" s="291"/>
      <c r="E294" s="258"/>
      <c r="F294" s="41"/>
      <c r="G294" s="41"/>
      <c r="H294" s="41"/>
      <c r="I294" s="41"/>
      <c r="J294" s="41"/>
      <c r="K294" s="41"/>
      <c r="L294" s="41"/>
      <c r="M294" s="41"/>
      <c r="N294" s="41"/>
      <c r="O294" s="41"/>
      <c r="P294" s="41"/>
      <c r="Q294" s="41"/>
      <c r="R294" s="41"/>
      <c r="S294" s="41"/>
      <c r="T294" s="41"/>
      <c r="U294" s="41"/>
      <c r="V294" s="41"/>
      <c r="W294" s="41"/>
      <c r="X294" s="41"/>
      <c r="Y294" s="41"/>
      <c r="Z294" s="41"/>
    </row>
    <row r="295" ht="19.5" customHeight="1">
      <c r="A295" s="41"/>
      <c r="B295" s="187" t="s">
        <v>719</v>
      </c>
      <c r="C295" s="156" t="str">
        <f>IF(cluster_wld_domain_chosen="VI Workload Domain",CONCATENATE(prefix_wld_az2_cidr,"13.1"),CONCATENATE(prefix_mgmt_az2_cidr,"13.1"))</f>
        <v>10.24.13.1</v>
      </c>
      <c r="D295" s="291"/>
      <c r="E295" s="258"/>
      <c r="F295" s="41"/>
      <c r="G295" s="41"/>
      <c r="H295" s="41"/>
      <c r="I295" s="41"/>
      <c r="J295" s="41"/>
      <c r="K295" s="41"/>
      <c r="L295" s="41"/>
      <c r="M295" s="41"/>
      <c r="N295" s="41"/>
      <c r="O295" s="41"/>
      <c r="P295" s="41"/>
      <c r="Q295" s="41"/>
      <c r="R295" s="41"/>
      <c r="S295" s="41"/>
      <c r="T295" s="41"/>
      <c r="U295" s="41"/>
      <c r="V295" s="41"/>
      <c r="W295" s="41"/>
      <c r="X295" s="41"/>
      <c r="Y295" s="41"/>
      <c r="Z295" s="41"/>
    </row>
    <row r="296" ht="19.5" customHeight="1">
      <c r="A296" s="41"/>
      <c r="B296" s="187" t="s">
        <v>465</v>
      </c>
      <c r="C296" s="156" t="str">
        <f>IF(cluster_wld_domain_chosen="VI Workload Domain",CONCATENATE(prefix_wld_az2_cidr,"13.101"),CONCATENATE(prefix_mgmt_az2_cidr,"13.101"))</f>
        <v>10.24.13.101</v>
      </c>
      <c r="D296" s="291"/>
      <c r="E296" s="258"/>
      <c r="F296" s="41"/>
      <c r="G296" s="41"/>
      <c r="H296" s="41"/>
      <c r="I296" s="41"/>
      <c r="J296" s="41"/>
      <c r="K296" s="41"/>
      <c r="L296" s="41"/>
      <c r="M296" s="41"/>
      <c r="N296" s="41"/>
      <c r="O296" s="41"/>
      <c r="P296" s="41"/>
      <c r="Q296" s="41"/>
      <c r="R296" s="41"/>
      <c r="S296" s="41"/>
      <c r="T296" s="41"/>
      <c r="U296" s="41"/>
      <c r="V296" s="41"/>
      <c r="W296" s="41"/>
      <c r="X296" s="41"/>
      <c r="Y296" s="41"/>
      <c r="Z296" s="41"/>
    </row>
    <row r="297" ht="19.5" customHeight="1">
      <c r="A297" s="41"/>
      <c r="B297" s="187" t="s">
        <v>466</v>
      </c>
      <c r="C297" s="156" t="str">
        <f>IF(cluster_wld_domain_chosen="VI Workload Domain",CONCATENATE(prefix_wld_az2_cidr,"13.116"),CONCATENATE(prefix_mgmt_az2_cidr,"13.116"))</f>
        <v>10.24.13.116</v>
      </c>
      <c r="D297" s="291"/>
      <c r="E297" s="258"/>
      <c r="F297" s="41"/>
      <c r="G297" s="41"/>
      <c r="H297" s="41"/>
      <c r="I297" s="41"/>
      <c r="J297" s="41"/>
      <c r="K297" s="41"/>
      <c r="L297" s="41"/>
      <c r="M297" s="41"/>
      <c r="N297" s="41"/>
      <c r="O297" s="41"/>
      <c r="P297" s="41"/>
      <c r="Q297" s="41"/>
      <c r="R297" s="41"/>
      <c r="S297" s="41"/>
      <c r="T297" s="41"/>
      <c r="U297" s="41"/>
      <c r="V297" s="41"/>
      <c r="W297" s="41"/>
      <c r="X297" s="41"/>
      <c r="Y297" s="41"/>
      <c r="Z297" s="41"/>
    </row>
    <row r="298" ht="19.5" customHeight="1">
      <c r="A298" s="41"/>
      <c r="B298" s="172" t="str">
        <f>IF(cluster_secondary_storage_chosen="Secondary NFS Storage Network","NFS Storage Network","vSAN Storage Client")</f>
        <v>vSAN Storage Client</v>
      </c>
      <c r="C298" s="13"/>
      <c r="D298" s="13"/>
      <c r="E298" s="14"/>
      <c r="F298" s="41"/>
      <c r="G298" s="41"/>
      <c r="H298" s="41"/>
      <c r="I298" s="41"/>
      <c r="J298" s="41"/>
      <c r="K298" s="41"/>
      <c r="L298" s="41"/>
      <c r="M298" s="41"/>
      <c r="N298" s="41"/>
      <c r="O298" s="41"/>
      <c r="P298" s="41"/>
      <c r="Q298" s="41"/>
      <c r="R298" s="41"/>
      <c r="S298" s="41"/>
      <c r="T298" s="41"/>
      <c r="U298" s="41"/>
      <c r="V298" s="41"/>
      <c r="W298" s="41"/>
      <c r="X298" s="41"/>
      <c r="Y298" s="41"/>
      <c r="Z298" s="41"/>
    </row>
    <row r="299" ht="19.5" customHeight="1">
      <c r="A299" s="41"/>
      <c r="B299" s="187" t="s">
        <v>401</v>
      </c>
      <c r="C299" s="156" t="str">
        <f>IF(cluster_wld_domain_chosen="VI Workload Domain",CONCATENATE(prefix_wld_az2_vlan,"15"),CONCATENATE(prefix_mgmt_az2_vlan,"15"))</f>
        <v>2415</v>
      </c>
      <c r="D299" s="291"/>
      <c r="E299" s="258"/>
      <c r="F299" s="41"/>
      <c r="G299" s="41"/>
      <c r="H299" s="41"/>
      <c r="I299" s="41"/>
      <c r="J299" s="41"/>
      <c r="K299" s="41"/>
      <c r="L299" s="41"/>
      <c r="M299" s="41"/>
      <c r="N299" s="41"/>
      <c r="O299" s="41"/>
      <c r="P299" s="41"/>
      <c r="Q299" s="41"/>
      <c r="R299" s="41"/>
      <c r="S299" s="41"/>
      <c r="T299" s="41"/>
      <c r="U299" s="41"/>
      <c r="V299" s="41"/>
      <c r="W299" s="41"/>
      <c r="X299" s="41"/>
      <c r="Y299" s="41"/>
      <c r="Z299" s="41"/>
    </row>
    <row r="300" ht="19.5" customHeight="1">
      <c r="A300" s="41"/>
      <c r="B300" s="187" t="s">
        <v>404</v>
      </c>
      <c r="C300" s="156">
        <v>9000.0</v>
      </c>
      <c r="D300" s="291"/>
      <c r="E300" s="258"/>
      <c r="F300" s="41"/>
      <c r="G300" s="41"/>
      <c r="H300" s="41"/>
      <c r="I300" s="41"/>
      <c r="J300" s="41"/>
      <c r="K300" s="41"/>
      <c r="L300" s="41"/>
      <c r="M300" s="41"/>
      <c r="N300" s="41"/>
      <c r="O300" s="41"/>
      <c r="P300" s="41"/>
      <c r="Q300" s="41"/>
      <c r="R300" s="41"/>
      <c r="S300" s="41"/>
      <c r="T300" s="41"/>
      <c r="U300" s="41"/>
      <c r="V300" s="41"/>
      <c r="W300" s="41"/>
      <c r="X300" s="41"/>
      <c r="Y300" s="41"/>
      <c r="Z300" s="41"/>
    </row>
    <row r="301" ht="19.5" customHeight="1">
      <c r="A301" s="41"/>
      <c r="B301" s="187" t="s">
        <v>717</v>
      </c>
      <c r="C301" s="156" t="str">
        <f>IF(cluster_wld_domain_chosen="VI Workload Domain",CONCATENATE(prefix_wld_az2_cidr,"15.0"),CONCATENATE(prefix_mgmt_az2_cidr,"15.0"))</f>
        <v>10.24.15.0</v>
      </c>
      <c r="D301" s="291"/>
      <c r="E301" s="258"/>
      <c r="F301" s="41"/>
      <c r="G301" s="41"/>
      <c r="H301" s="41"/>
      <c r="I301" s="41"/>
      <c r="J301" s="41"/>
      <c r="K301" s="41"/>
      <c r="L301" s="41"/>
      <c r="M301" s="41"/>
      <c r="N301" s="41"/>
      <c r="O301" s="41"/>
      <c r="P301" s="41"/>
      <c r="Q301" s="41"/>
      <c r="R301" s="41"/>
      <c r="S301" s="41"/>
      <c r="T301" s="41"/>
      <c r="U301" s="41"/>
      <c r="V301" s="41"/>
      <c r="W301" s="41"/>
      <c r="X301" s="41"/>
      <c r="Y301" s="41"/>
      <c r="Z301" s="41"/>
    </row>
    <row r="302" ht="19.5" customHeight="1">
      <c r="A302" s="41"/>
      <c r="B302" s="187" t="s">
        <v>718</v>
      </c>
      <c r="C302" s="156" t="s">
        <v>622</v>
      </c>
      <c r="D302" s="291"/>
      <c r="E302" s="258"/>
      <c r="F302" s="41"/>
      <c r="G302" s="41"/>
      <c r="H302" s="41"/>
      <c r="I302" s="41"/>
      <c r="J302" s="41"/>
      <c r="K302" s="41"/>
      <c r="L302" s="41"/>
      <c r="M302" s="41"/>
      <c r="N302" s="41"/>
      <c r="O302" s="41"/>
      <c r="P302" s="41"/>
      <c r="Q302" s="41"/>
      <c r="R302" s="41"/>
      <c r="S302" s="41"/>
      <c r="T302" s="41"/>
      <c r="U302" s="41"/>
      <c r="V302" s="41"/>
      <c r="W302" s="41"/>
      <c r="X302" s="41"/>
      <c r="Y302" s="41"/>
      <c r="Z302" s="41"/>
    </row>
    <row r="303" ht="19.5" customHeight="1">
      <c r="A303" s="41"/>
      <c r="B303" s="187" t="s">
        <v>719</v>
      </c>
      <c r="C303" s="156" t="str">
        <f>IF(cluster_wld_domain_chosen="VI Workload Domain",CONCATENATE(prefix_wld_az2_cidr,"15.1"),CONCATENATE(prefix_mgmt_az2_cidr,"15.1"))</f>
        <v>10.24.15.1</v>
      </c>
      <c r="D303" s="291"/>
      <c r="E303" s="258"/>
      <c r="F303" s="41"/>
      <c r="G303" s="41"/>
      <c r="H303" s="41"/>
      <c r="I303" s="41"/>
      <c r="J303" s="41"/>
      <c r="K303" s="41"/>
      <c r="L303" s="41"/>
      <c r="M303" s="41"/>
      <c r="N303" s="41"/>
      <c r="O303" s="41"/>
      <c r="P303" s="41"/>
      <c r="Q303" s="41"/>
      <c r="R303" s="41"/>
      <c r="S303" s="41"/>
      <c r="T303" s="41"/>
      <c r="U303" s="41"/>
      <c r="V303" s="41"/>
      <c r="W303" s="41"/>
      <c r="X303" s="41"/>
      <c r="Y303" s="41"/>
      <c r="Z303" s="41"/>
    </row>
    <row r="304" ht="19.5" customHeight="1">
      <c r="A304" s="41"/>
      <c r="B304" s="187" t="s">
        <v>465</v>
      </c>
      <c r="C304" s="156" t="str">
        <f>IF(cluster_wld_domain_chosen="VI Workload Domain",CONCATENATE(prefix_wld_az2_cidr,"15.101"),CONCATENATE(prefix_mgmt_az2_cidr,"15.101"))</f>
        <v>10.24.15.101</v>
      </c>
      <c r="D304" s="291"/>
      <c r="E304" s="258"/>
      <c r="F304" s="41"/>
      <c r="G304" s="41"/>
      <c r="H304" s="41"/>
      <c r="I304" s="41"/>
      <c r="J304" s="41"/>
      <c r="K304" s="41"/>
      <c r="L304" s="41"/>
      <c r="M304" s="41"/>
      <c r="N304" s="41"/>
      <c r="O304" s="41"/>
      <c r="P304" s="41"/>
      <c r="Q304" s="41"/>
      <c r="R304" s="41"/>
      <c r="S304" s="41"/>
      <c r="T304" s="41"/>
      <c r="U304" s="41"/>
      <c r="V304" s="41"/>
      <c r="W304" s="41"/>
      <c r="X304" s="41"/>
      <c r="Y304" s="41"/>
      <c r="Z304" s="41"/>
    </row>
    <row r="305" ht="19.5" customHeight="1">
      <c r="A305" s="41"/>
      <c r="B305" s="187" t="s">
        <v>466</v>
      </c>
      <c r="C305" s="156" t="str">
        <f>IF(cluster_wld_domain_chosen="VI Workload Domain",CONCATENATE(prefix_wld_az2_cidr,"15.116"),CONCATENATE(prefix_mgmt_az2_cidr,"15.116"))</f>
        <v>10.24.15.116</v>
      </c>
      <c r="D305" s="291"/>
      <c r="E305" s="258"/>
      <c r="F305" s="41"/>
      <c r="G305" s="41"/>
      <c r="H305" s="41"/>
      <c r="I305" s="41"/>
      <c r="J305" s="41"/>
      <c r="K305" s="41"/>
      <c r="L305" s="41"/>
      <c r="M305" s="41"/>
      <c r="N305" s="41"/>
      <c r="O305" s="41"/>
      <c r="P305" s="41"/>
      <c r="Q305" s="41"/>
      <c r="R305" s="41"/>
      <c r="S305" s="41"/>
      <c r="T305" s="41"/>
      <c r="U305" s="41"/>
      <c r="V305" s="41"/>
      <c r="W305" s="41"/>
      <c r="X305" s="41"/>
      <c r="Y305" s="41"/>
      <c r="Z305" s="41"/>
    </row>
    <row r="306" ht="19.5" customHeight="1">
      <c r="A306" s="41"/>
      <c r="B306" s="172" t="s">
        <v>1244</v>
      </c>
      <c r="C306" s="13"/>
      <c r="D306" s="13"/>
      <c r="E306" s="14"/>
      <c r="F306" s="41"/>
      <c r="G306" s="41"/>
      <c r="H306" s="41"/>
      <c r="I306" s="41"/>
      <c r="J306" s="41"/>
      <c r="K306" s="41"/>
      <c r="L306" s="41"/>
      <c r="M306" s="41"/>
      <c r="N306" s="41"/>
      <c r="O306" s="41"/>
      <c r="P306" s="41"/>
      <c r="Q306" s="41"/>
      <c r="R306" s="41"/>
      <c r="S306" s="41"/>
      <c r="T306" s="41"/>
      <c r="U306" s="41"/>
      <c r="V306" s="41"/>
      <c r="W306" s="41"/>
      <c r="X306" s="41"/>
      <c r="Y306" s="41"/>
      <c r="Z306" s="41"/>
    </row>
    <row r="307" ht="19.5" customHeight="1">
      <c r="A307" s="41"/>
      <c r="B307" s="187" t="s">
        <v>401</v>
      </c>
      <c r="C307" s="156" t="str">
        <f>IF(cluster_wld_domain_chosen="VI Workload Domain",CONCATENATE(prefix_wld_az2_vlan,"16"),CONCATENATE(prefix_mgmt_az2_vlan,"16"))</f>
        <v>2416</v>
      </c>
      <c r="D307" s="18"/>
      <c r="E307" s="258"/>
      <c r="F307" s="41"/>
      <c r="G307" s="41"/>
      <c r="H307" s="41"/>
      <c r="I307" s="41"/>
      <c r="J307" s="41"/>
      <c r="K307" s="41"/>
      <c r="L307" s="41"/>
      <c r="M307" s="41"/>
      <c r="N307" s="41"/>
      <c r="O307" s="41"/>
      <c r="P307" s="41"/>
      <c r="Q307" s="41"/>
      <c r="R307" s="41"/>
      <c r="S307" s="41"/>
      <c r="T307" s="41"/>
      <c r="U307" s="41"/>
      <c r="V307" s="41"/>
      <c r="W307" s="41"/>
      <c r="X307" s="41"/>
      <c r="Y307" s="41"/>
      <c r="Z307" s="41"/>
    </row>
    <row r="308" ht="19.5" customHeight="1">
      <c r="A308" s="41"/>
      <c r="B308" s="187" t="s">
        <v>404</v>
      </c>
      <c r="C308" s="156">
        <v>9000.0</v>
      </c>
      <c r="D308" s="18"/>
      <c r="E308" s="258"/>
      <c r="F308" s="41"/>
      <c r="G308" s="41"/>
      <c r="H308" s="41"/>
      <c r="I308" s="41"/>
      <c r="J308" s="41"/>
      <c r="K308" s="41"/>
      <c r="L308" s="41"/>
      <c r="M308" s="41"/>
      <c r="N308" s="41"/>
      <c r="O308" s="41"/>
      <c r="P308" s="41"/>
      <c r="Q308" s="41"/>
      <c r="R308" s="41"/>
      <c r="S308" s="41"/>
      <c r="T308" s="41"/>
      <c r="U308" s="41"/>
      <c r="V308" s="41"/>
      <c r="W308" s="41"/>
      <c r="X308" s="41"/>
      <c r="Y308" s="41"/>
      <c r="Z308" s="41"/>
    </row>
    <row r="309" ht="19.5" customHeight="1">
      <c r="A309" s="41"/>
      <c r="B309" s="187" t="s">
        <v>717</v>
      </c>
      <c r="C309" s="156" t="str">
        <f>IF(cluster_wld_domain_chosen="VI Workload Domain",CONCATENATE(prefix_wld_az2_cidr,"16.0"),CONCATENATE(prefix_mgmt_az2_cidr,"16.0"))</f>
        <v>10.24.16.0</v>
      </c>
      <c r="D309" s="18"/>
      <c r="E309" s="258"/>
      <c r="F309" s="41"/>
      <c r="G309" s="41"/>
      <c r="H309" s="41"/>
      <c r="I309" s="41"/>
      <c r="J309" s="41"/>
      <c r="K309" s="41"/>
      <c r="L309" s="41"/>
      <c r="M309" s="41"/>
      <c r="N309" s="41"/>
      <c r="O309" s="41"/>
      <c r="P309" s="41"/>
      <c r="Q309" s="41"/>
      <c r="R309" s="41"/>
      <c r="S309" s="41"/>
      <c r="T309" s="41"/>
      <c r="U309" s="41"/>
      <c r="V309" s="41"/>
      <c r="W309" s="41"/>
      <c r="X309" s="41"/>
      <c r="Y309" s="41"/>
      <c r="Z309" s="41"/>
    </row>
    <row r="310" ht="19.5" customHeight="1">
      <c r="A310" s="41"/>
      <c r="B310" s="187" t="s">
        <v>718</v>
      </c>
      <c r="C310" s="156" t="s">
        <v>622</v>
      </c>
      <c r="D310" s="18"/>
      <c r="E310" s="258"/>
      <c r="F310" s="41"/>
      <c r="G310" s="41"/>
      <c r="H310" s="41"/>
      <c r="I310" s="41"/>
      <c r="J310" s="41"/>
      <c r="K310" s="41"/>
      <c r="L310" s="41"/>
      <c r="M310" s="41"/>
      <c r="N310" s="41"/>
      <c r="O310" s="41"/>
      <c r="P310" s="41"/>
      <c r="Q310" s="41"/>
      <c r="R310" s="41"/>
      <c r="S310" s="41"/>
      <c r="T310" s="41"/>
      <c r="U310" s="41"/>
      <c r="V310" s="41"/>
      <c r="W310" s="41"/>
      <c r="X310" s="41"/>
      <c r="Y310" s="41"/>
      <c r="Z310" s="41"/>
    </row>
    <row r="311" ht="19.5" customHeight="1">
      <c r="A311" s="41"/>
      <c r="B311" s="187" t="s">
        <v>719</v>
      </c>
      <c r="C311" s="156" t="str">
        <f>IF(cluster_wld_domain_chosen="VI Workload Domain",CONCATENATE(prefix_wld_az2_cidr,"16.1"),CONCATENATE(prefix_mgmt_az2_cidr,"16.1"))</f>
        <v>10.24.16.1</v>
      </c>
      <c r="D311" s="18"/>
      <c r="E311" s="258"/>
      <c r="F311" s="41"/>
      <c r="G311" s="41"/>
      <c r="H311" s="41"/>
      <c r="I311" s="41"/>
      <c r="J311" s="41"/>
      <c r="K311" s="41"/>
      <c r="L311" s="41"/>
      <c r="M311" s="41"/>
      <c r="N311" s="41"/>
      <c r="O311" s="41"/>
      <c r="P311" s="41"/>
      <c r="Q311" s="41"/>
      <c r="R311" s="41"/>
      <c r="S311" s="41"/>
      <c r="T311" s="41"/>
      <c r="U311" s="41"/>
      <c r="V311" s="41"/>
      <c r="W311" s="41"/>
      <c r="X311" s="41"/>
      <c r="Y311" s="41"/>
      <c r="Z311" s="41"/>
    </row>
    <row r="312" ht="19.5" customHeight="1">
      <c r="A312" s="41"/>
      <c r="B312" s="187" t="s">
        <v>465</v>
      </c>
      <c r="C312" s="156" t="str">
        <f>IF(cluster_wld_domain_chosen="VI Workload Domain",CONCATENATE(prefix_wld_az2_cidr,"16.101"),CONCATENATE(prefix_mgmt_az2_cidr,"16.101"))</f>
        <v>10.24.16.101</v>
      </c>
      <c r="D312" s="18"/>
      <c r="E312" s="258"/>
      <c r="F312" s="41"/>
      <c r="G312" s="41"/>
      <c r="H312" s="41"/>
      <c r="I312" s="41"/>
      <c r="J312" s="41"/>
      <c r="K312" s="41"/>
      <c r="L312" s="41"/>
      <c r="M312" s="41"/>
      <c r="N312" s="41"/>
      <c r="O312" s="41"/>
      <c r="P312" s="41"/>
      <c r="Q312" s="41"/>
      <c r="R312" s="41"/>
      <c r="S312" s="41"/>
      <c r="T312" s="41"/>
      <c r="U312" s="41"/>
      <c r="V312" s="41"/>
      <c r="W312" s="41"/>
      <c r="X312" s="41"/>
      <c r="Y312" s="41"/>
      <c r="Z312" s="41"/>
    </row>
    <row r="313" ht="19.5" customHeight="1">
      <c r="A313" s="41"/>
      <c r="B313" s="187" t="s">
        <v>466</v>
      </c>
      <c r="C313" s="156" t="str">
        <f>IF(cluster_wld_domain_chosen="VI Workload Domain",CONCATENATE(prefix_wld_az2_cidr,"16.116"),CONCATENATE(prefix_mgmt_az2_cidr,"16.116"))</f>
        <v>10.24.16.116</v>
      </c>
      <c r="D313" s="18"/>
      <c r="E313" s="258"/>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55"/>
      <c r="C314" s="81"/>
      <c r="D314" s="81"/>
      <c r="E314" s="81"/>
      <c r="F314" s="41"/>
      <c r="G314" s="41"/>
      <c r="H314" s="41"/>
      <c r="I314" s="41"/>
      <c r="J314" s="41"/>
      <c r="K314" s="41"/>
      <c r="L314" s="41"/>
      <c r="M314" s="41"/>
      <c r="N314" s="41"/>
      <c r="O314" s="41"/>
      <c r="P314" s="41"/>
      <c r="Q314" s="41"/>
      <c r="R314" s="41"/>
      <c r="S314" s="41"/>
      <c r="T314" s="41"/>
      <c r="U314" s="41"/>
      <c r="V314" s="41"/>
      <c r="W314" s="41"/>
      <c r="X314" s="41"/>
      <c r="Y314" s="41"/>
      <c r="Z314" s="41"/>
    </row>
    <row r="315" ht="33.75" customHeight="1">
      <c r="A315" s="41"/>
      <c r="B315" s="290" t="s">
        <v>1620</v>
      </c>
      <c r="C315" s="13"/>
      <c r="D315" s="13"/>
      <c r="E315" s="14"/>
      <c r="F315" s="41"/>
      <c r="G315" s="41"/>
      <c r="H315" s="41"/>
      <c r="I315" s="41"/>
      <c r="J315" s="41"/>
      <c r="K315" s="41"/>
      <c r="L315" s="41"/>
      <c r="M315" s="41"/>
      <c r="N315" s="41"/>
      <c r="O315" s="41"/>
      <c r="P315" s="41"/>
      <c r="Q315" s="41"/>
      <c r="R315" s="41"/>
      <c r="S315" s="41"/>
      <c r="T315" s="41"/>
      <c r="U315" s="41"/>
      <c r="V315" s="41"/>
      <c r="W315" s="41"/>
      <c r="X315" s="41"/>
      <c r="Y315" s="41"/>
      <c r="Z315" s="41"/>
    </row>
    <row r="316" ht="19.5" customHeight="1">
      <c r="A316" s="41"/>
      <c r="B316" s="49" t="s">
        <v>37</v>
      </c>
      <c r="C316" s="49" t="s">
        <v>273</v>
      </c>
      <c r="D316" s="49" t="s">
        <v>274</v>
      </c>
      <c r="E316" s="49" t="s">
        <v>5</v>
      </c>
      <c r="F316" s="41"/>
      <c r="G316" s="41"/>
      <c r="H316" s="41"/>
      <c r="I316" s="41"/>
      <c r="J316" s="41"/>
      <c r="K316" s="41"/>
      <c r="L316" s="41"/>
      <c r="M316" s="41"/>
      <c r="N316" s="41"/>
      <c r="O316" s="41"/>
      <c r="P316" s="41"/>
      <c r="Q316" s="41"/>
      <c r="R316" s="41"/>
      <c r="S316" s="41"/>
      <c r="T316" s="41"/>
      <c r="U316" s="41"/>
      <c r="V316" s="41"/>
      <c r="W316" s="41"/>
      <c r="X316" s="41"/>
      <c r="Y316" s="41"/>
      <c r="Z316" s="41"/>
    </row>
    <row r="317" ht="19.5" customHeight="1">
      <c r="A317" s="41"/>
      <c r="B317" s="187" t="s">
        <v>697</v>
      </c>
      <c r="C317" s="160" t="str">
        <f>IF(cluster_wld_domain_chosen="VI Workload Domain",CONCATENATE(this_instance,"02-w0",wld_domain_number_chosen,"-r01-esx01",".",sample_child_dns_zone),CONCATENATE(this_instance,"02-m01","-r01-esx01",".",sample_child_dns_zone))</f>
        <v>lax02-w01-r01-esx01.lax.rainpole.io</v>
      </c>
      <c r="D317" s="291"/>
      <c r="E317" s="258"/>
      <c r="F317" s="41"/>
      <c r="G317" s="41"/>
      <c r="H317" s="41"/>
      <c r="I317" s="41"/>
      <c r="J317" s="41"/>
      <c r="K317" s="41"/>
      <c r="L317" s="41"/>
      <c r="M317" s="41"/>
      <c r="N317" s="41"/>
      <c r="O317" s="41"/>
      <c r="P317" s="41"/>
      <c r="Q317" s="41"/>
      <c r="R317" s="41"/>
      <c r="S317" s="41"/>
      <c r="T317" s="41"/>
      <c r="U317" s="41"/>
      <c r="V317" s="41"/>
      <c r="W317" s="41"/>
      <c r="X317" s="41"/>
      <c r="Y317" s="41"/>
      <c r="Z317" s="41"/>
    </row>
    <row r="318" ht="19.5" customHeight="1">
      <c r="A318" s="41"/>
      <c r="B318" s="187" t="s">
        <v>698</v>
      </c>
      <c r="C318" s="160" t="str">
        <f>IF(cluster_wld_domain_chosen="VI Workload Domain",CONCATENATE(this_instance,"02-w0",wld_domain_number_chosen,"-r01-esx02",".",sample_child_dns_zone),CONCATENATE(this_instance,"02-m01","-r01-esx02",".",sample_child_dns_zone))</f>
        <v>lax02-w01-r01-esx02.lax.rainpole.io</v>
      </c>
      <c r="D318" s="291"/>
      <c r="E318" s="258"/>
      <c r="F318" s="41"/>
      <c r="G318" s="41"/>
      <c r="H318" s="41"/>
      <c r="I318" s="41"/>
      <c r="J318" s="41"/>
      <c r="K318" s="41"/>
      <c r="L318" s="41"/>
      <c r="M318" s="41"/>
      <c r="N318" s="41"/>
      <c r="O318" s="41"/>
      <c r="P318" s="41"/>
      <c r="Q318" s="41"/>
      <c r="R318" s="41"/>
      <c r="S318" s="41"/>
      <c r="T318" s="41"/>
      <c r="U318" s="41"/>
      <c r="V318" s="41"/>
      <c r="W318" s="41"/>
      <c r="X318" s="41"/>
      <c r="Y318" s="41"/>
      <c r="Z318" s="41"/>
    </row>
    <row r="319" ht="19.5" customHeight="1">
      <c r="A319" s="41"/>
      <c r="B319" s="187" t="s">
        <v>699</v>
      </c>
      <c r="C319" s="160" t="str">
        <f>IF(cluster_wld_domain_chosen="VI Workload Domain",CONCATENATE(this_instance,"02-w0",wld_domain_number_chosen,"-r01-esx03",".",sample_child_dns_zone),CONCATENATE(this_instance,"02-m01","-r01-esx03",".",sample_child_dns_zone))</f>
        <v>lax02-w01-r01-esx03.lax.rainpole.io</v>
      </c>
      <c r="D319" s="291"/>
      <c r="E319" s="258"/>
      <c r="F319" s="41"/>
      <c r="G319" s="41"/>
      <c r="H319" s="41"/>
      <c r="I319" s="41"/>
      <c r="J319" s="41"/>
      <c r="K319" s="41"/>
      <c r="L319" s="41"/>
      <c r="M319" s="41"/>
      <c r="N319" s="41"/>
      <c r="O319" s="41"/>
      <c r="P319" s="41"/>
      <c r="Q319" s="41"/>
      <c r="R319" s="41"/>
      <c r="S319" s="41"/>
      <c r="T319" s="41"/>
      <c r="U319" s="41"/>
      <c r="V319" s="41"/>
      <c r="W319" s="41"/>
      <c r="X319" s="41"/>
      <c r="Y319" s="41"/>
      <c r="Z319" s="41"/>
    </row>
    <row r="320" ht="19.5" customHeight="1">
      <c r="A320" s="41"/>
      <c r="B320" s="187" t="s">
        <v>700</v>
      </c>
      <c r="C320" s="160" t="str">
        <f>IF(cluster_wld_domain_chosen="VI Workload Domain",CONCATENATE(this_instance,"02-w0",wld_domain_number_chosen,"-r01-esx04",".",sample_child_dns_zone),CONCATENATE(this_instance,"02-m01","-r01-esx04",".",sample_child_dns_zone))</f>
        <v>lax02-w01-r01-esx04.lax.rainpole.io</v>
      </c>
      <c r="D320" s="291"/>
      <c r="E320" s="258"/>
      <c r="F320" s="41"/>
      <c r="G320" s="41"/>
      <c r="H320" s="41"/>
      <c r="I320" s="41"/>
      <c r="J320" s="41"/>
      <c r="K320" s="41"/>
      <c r="L320" s="41"/>
      <c r="M320" s="41"/>
      <c r="N320" s="41"/>
      <c r="O320" s="41"/>
      <c r="P320" s="41"/>
      <c r="Q320" s="41"/>
      <c r="R320" s="41"/>
      <c r="S320" s="41"/>
      <c r="T320" s="41"/>
      <c r="U320" s="41"/>
      <c r="V320" s="41"/>
      <c r="W320" s="41"/>
      <c r="X320" s="41"/>
      <c r="Y320" s="41"/>
      <c r="Z320" s="41"/>
    </row>
    <row r="321" ht="19.5" customHeight="1">
      <c r="A321" s="41"/>
      <c r="B321" s="187" t="s">
        <v>701</v>
      </c>
      <c r="C321" s="160" t="str">
        <f>IF(cluster_wld_domain_chosen="VI Workload Domain",CONCATENATE(this_instance,"02-w0",wld_domain_number_chosen,"-r01-esx05",".",sample_child_dns_zone),CONCATENATE(this_instance,"02-m01","-r01-esx05",".",sample_child_dns_zone))</f>
        <v>lax02-w01-r01-esx05.lax.rainpole.io</v>
      </c>
      <c r="D321" s="291"/>
      <c r="E321" s="258"/>
      <c r="F321" s="41"/>
      <c r="G321" s="41"/>
      <c r="H321" s="41"/>
      <c r="I321" s="41"/>
      <c r="J321" s="41"/>
      <c r="K321" s="41"/>
      <c r="L321" s="41"/>
      <c r="M321" s="41"/>
      <c r="N321" s="41"/>
      <c r="O321" s="41"/>
      <c r="P321" s="41"/>
      <c r="Q321" s="41"/>
      <c r="R321" s="41"/>
      <c r="S321" s="41"/>
      <c r="T321" s="41"/>
      <c r="U321" s="41"/>
      <c r="V321" s="41"/>
      <c r="W321" s="41"/>
      <c r="X321" s="41"/>
      <c r="Y321" s="41"/>
      <c r="Z321" s="41"/>
    </row>
    <row r="322" ht="19.5" customHeight="1">
      <c r="A322" s="41"/>
      <c r="B322" s="187" t="s">
        <v>702</v>
      </c>
      <c r="C322" s="160" t="str">
        <f>IF(cluster_wld_domain_chosen="VI Workload Domain",CONCATENATE(this_instance,"02-w0",wld_domain_number_chosen,"-r01-esx06",".",sample_child_dns_zone),CONCATENATE(this_instance,"02-m01","-r01-esx06",".",sample_child_dns_zone))</f>
        <v>lax02-w01-r01-esx06.lax.rainpole.io</v>
      </c>
      <c r="D322" s="291"/>
      <c r="E322" s="258"/>
      <c r="F322" s="41"/>
      <c r="G322" s="41"/>
      <c r="H322" s="41"/>
      <c r="I322" s="41"/>
      <c r="J322" s="41"/>
      <c r="K322" s="41"/>
      <c r="L322" s="41"/>
      <c r="M322" s="41"/>
      <c r="N322" s="41"/>
      <c r="O322" s="41"/>
      <c r="P322" s="41"/>
      <c r="Q322" s="41"/>
      <c r="R322" s="41"/>
      <c r="S322" s="41"/>
      <c r="T322" s="41"/>
      <c r="U322" s="41"/>
      <c r="V322" s="41"/>
      <c r="W322" s="41"/>
      <c r="X322" s="41"/>
      <c r="Y322" s="41"/>
      <c r="Z322" s="41"/>
    </row>
    <row r="323" ht="19.5" customHeight="1">
      <c r="A323" s="41"/>
      <c r="B323" s="187" t="s">
        <v>703</v>
      </c>
      <c r="C323" s="160" t="str">
        <f>IF(cluster_wld_domain_chosen="VI Workload Domain",CONCATENATE(this_instance,"02-w0",wld_domain_number_chosen,"-r01-esx07",".",sample_child_dns_zone),CONCATENATE(this_instance,"02-m01","-r01-esx07",".",sample_child_dns_zone))</f>
        <v>lax02-w01-r01-esx07.lax.rainpole.io</v>
      </c>
      <c r="D323" s="291"/>
      <c r="E323" s="258"/>
      <c r="F323" s="41"/>
      <c r="G323" s="41"/>
      <c r="H323" s="41"/>
      <c r="I323" s="41"/>
      <c r="J323" s="41"/>
      <c r="K323" s="41"/>
      <c r="L323" s="41"/>
      <c r="M323" s="41"/>
      <c r="N323" s="41"/>
      <c r="O323" s="41"/>
      <c r="P323" s="41"/>
      <c r="Q323" s="41"/>
      <c r="R323" s="41"/>
      <c r="S323" s="41"/>
      <c r="T323" s="41"/>
      <c r="U323" s="41"/>
      <c r="V323" s="41"/>
      <c r="W323" s="41"/>
      <c r="X323" s="41"/>
      <c r="Y323" s="41"/>
      <c r="Z323" s="41"/>
    </row>
    <row r="324" ht="19.5" customHeight="1">
      <c r="A324" s="41"/>
      <c r="B324" s="187" t="s">
        <v>704</v>
      </c>
      <c r="C324" s="160" t="str">
        <f>IF(cluster_wld_domain_chosen="VI Workload Domain",CONCATENATE(this_instance,"02-w0",wld_domain_number_chosen,"-r01-esx08",".",sample_child_dns_zone),CONCATENATE(this_instance,"02-m01","-r01-esx08",".",sample_child_dns_zone))</f>
        <v>lax02-w01-r01-esx08.lax.rainpole.io</v>
      </c>
      <c r="D324" s="291"/>
      <c r="E324" s="258"/>
      <c r="F324" s="41"/>
      <c r="G324" s="41"/>
      <c r="H324" s="41"/>
      <c r="I324" s="41"/>
      <c r="J324" s="41"/>
      <c r="K324" s="41"/>
      <c r="L324" s="41"/>
      <c r="M324" s="41"/>
      <c r="N324" s="41"/>
      <c r="O324" s="41"/>
      <c r="P324" s="41"/>
      <c r="Q324" s="41"/>
      <c r="R324" s="41"/>
      <c r="S324" s="41"/>
      <c r="T324" s="41"/>
      <c r="U324" s="41"/>
      <c r="V324" s="41"/>
      <c r="W324" s="41"/>
      <c r="X324" s="41"/>
      <c r="Y324" s="41"/>
      <c r="Z324" s="41"/>
    </row>
    <row r="325" ht="19.5" customHeight="1">
      <c r="A325" s="41"/>
      <c r="B325" s="187" t="s">
        <v>705</v>
      </c>
      <c r="C325" s="160" t="str">
        <f>IF(cluster_wld_domain_chosen="VI Workload Domain",CONCATENATE(this_instance,"02-w0",wld_domain_number_chosen,"-r01-esx09",".",sample_child_dns_zone),CONCATENATE(this_instance,"02-m01","-r01-esx09",".",sample_child_dns_zone))</f>
        <v>lax02-w01-r01-esx09.lax.rainpole.io</v>
      </c>
      <c r="D325" s="291"/>
      <c r="E325" s="258"/>
      <c r="F325" s="41"/>
      <c r="G325" s="41"/>
      <c r="H325" s="41"/>
      <c r="I325" s="41"/>
      <c r="J325" s="41"/>
      <c r="K325" s="41"/>
      <c r="L325" s="41"/>
      <c r="M325" s="41"/>
      <c r="N325" s="41"/>
      <c r="O325" s="41"/>
      <c r="P325" s="41"/>
      <c r="Q325" s="41"/>
      <c r="R325" s="41"/>
      <c r="S325" s="41"/>
      <c r="T325" s="41"/>
      <c r="U325" s="41"/>
      <c r="V325" s="41"/>
      <c r="W325" s="41"/>
      <c r="X325" s="41"/>
      <c r="Y325" s="41"/>
      <c r="Z325" s="41"/>
    </row>
    <row r="326" ht="19.5" customHeight="1">
      <c r="A326" s="41"/>
      <c r="B326" s="187" t="s">
        <v>706</v>
      </c>
      <c r="C326" s="160" t="str">
        <f>IF(cluster_wld_domain_chosen="VI Workload Domain",CONCATENATE(this_instance,"02-w0",wld_domain_number_chosen,"-r01-esx10",".",sample_child_dns_zone),CONCATENATE(this_instance,"02-m01","-r01-esx10",".",sample_child_dns_zone))</f>
        <v>lax02-w01-r01-esx10.lax.rainpole.io</v>
      </c>
      <c r="D326" s="291"/>
      <c r="E326" s="258"/>
      <c r="F326" s="41"/>
      <c r="G326" s="41"/>
      <c r="H326" s="41"/>
      <c r="I326" s="41"/>
      <c r="J326" s="41"/>
      <c r="K326" s="41"/>
      <c r="L326" s="41"/>
      <c r="M326" s="41"/>
      <c r="N326" s="41"/>
      <c r="O326" s="41"/>
      <c r="P326" s="41"/>
      <c r="Q326" s="41"/>
      <c r="R326" s="41"/>
      <c r="S326" s="41"/>
      <c r="T326" s="41"/>
      <c r="U326" s="41"/>
      <c r="V326" s="41"/>
      <c r="W326" s="41"/>
      <c r="X326" s="41"/>
      <c r="Y326" s="41"/>
      <c r="Z326" s="41"/>
    </row>
    <row r="327" ht="19.5" customHeight="1">
      <c r="A327" s="41"/>
      <c r="B327" s="187" t="s">
        <v>707</v>
      </c>
      <c r="C327" s="160" t="str">
        <f>IF(cluster_wld_domain_chosen="VI Workload Domain",CONCATENATE(this_instance,"02-w0",wld_domain_number_chosen,"-r01-esx11",".",sample_child_dns_zone),CONCATENATE(this_instance,"02-m01","-r01-esx11",".",sample_child_dns_zone))</f>
        <v>lax02-w01-r01-esx11.lax.rainpole.io</v>
      </c>
      <c r="D327" s="291"/>
      <c r="E327" s="258"/>
      <c r="F327" s="41"/>
      <c r="G327" s="41"/>
      <c r="H327" s="41"/>
      <c r="I327" s="41"/>
      <c r="J327" s="41"/>
      <c r="K327" s="41"/>
      <c r="L327" s="41"/>
      <c r="M327" s="41"/>
      <c r="N327" s="41"/>
      <c r="O327" s="41"/>
      <c r="P327" s="41"/>
      <c r="Q327" s="41"/>
      <c r="R327" s="41"/>
      <c r="S327" s="41"/>
      <c r="T327" s="41"/>
      <c r="U327" s="41"/>
      <c r="V327" s="41"/>
      <c r="W327" s="41"/>
      <c r="X327" s="41"/>
      <c r="Y327" s="41"/>
      <c r="Z327" s="41"/>
    </row>
    <row r="328" ht="19.5" customHeight="1">
      <c r="A328" s="41"/>
      <c r="B328" s="187" t="s">
        <v>708</v>
      </c>
      <c r="C328" s="160" t="str">
        <f>IF(cluster_wld_domain_chosen="VI Workload Domain",CONCATENATE(this_instance,"02-w0",wld_domain_number_chosen,"-r01-esx12",".",sample_child_dns_zone),CONCATENATE(this_instance,"02-m01","-r01-esx12",".",sample_child_dns_zone))</f>
        <v>lax02-w01-r01-esx12.lax.rainpole.io</v>
      </c>
      <c r="D328" s="291"/>
      <c r="E328" s="258"/>
      <c r="F328" s="41"/>
      <c r="G328" s="41"/>
      <c r="H328" s="41"/>
      <c r="I328" s="41"/>
      <c r="J328" s="41"/>
      <c r="K328" s="41"/>
      <c r="L328" s="41"/>
      <c r="M328" s="41"/>
      <c r="N328" s="41"/>
      <c r="O328" s="41"/>
      <c r="P328" s="41"/>
      <c r="Q328" s="41"/>
      <c r="R328" s="41"/>
      <c r="S328" s="41"/>
      <c r="T328" s="41"/>
      <c r="U328" s="41"/>
      <c r="V328" s="41"/>
      <c r="W328" s="41"/>
      <c r="X328" s="41"/>
      <c r="Y328" s="41"/>
      <c r="Z328" s="41"/>
    </row>
    <row r="329" ht="19.5" customHeight="1">
      <c r="A329" s="41"/>
      <c r="B329" s="187" t="s">
        <v>709</v>
      </c>
      <c r="C329" s="160" t="str">
        <f>IF(cluster_wld_domain_chosen="VI Workload Domain",CONCATENATE(this_instance,"02-w0",wld_domain_number_chosen,"-r01-esx13",".",sample_child_dns_zone),CONCATENATE(this_instance,"02-m01","-r01-esx13",".",sample_child_dns_zone))</f>
        <v>lax02-w01-r01-esx13.lax.rainpole.io</v>
      </c>
      <c r="D329" s="291"/>
      <c r="E329" s="258"/>
      <c r="F329" s="41"/>
      <c r="G329" s="41"/>
      <c r="H329" s="41"/>
      <c r="I329" s="41"/>
      <c r="J329" s="41"/>
      <c r="K329" s="41"/>
      <c r="L329" s="41"/>
      <c r="M329" s="41"/>
      <c r="N329" s="41"/>
      <c r="O329" s="41"/>
      <c r="P329" s="41"/>
      <c r="Q329" s="41"/>
      <c r="R329" s="41"/>
      <c r="S329" s="41"/>
      <c r="T329" s="41"/>
      <c r="U329" s="41"/>
      <c r="V329" s="41"/>
      <c r="W329" s="41"/>
      <c r="X329" s="41"/>
      <c r="Y329" s="41"/>
      <c r="Z329" s="41"/>
    </row>
    <row r="330" ht="19.5" customHeight="1">
      <c r="A330" s="41"/>
      <c r="B330" s="187" t="s">
        <v>710</v>
      </c>
      <c r="C330" s="160" t="str">
        <f>IF(cluster_wld_domain_chosen="VI Workload Domain",CONCATENATE(this_instance,"02-w0",wld_domain_number_chosen,"-r01-esx14",".",sample_child_dns_zone),CONCATENATE(this_instance,"02-m01","-r01-esx14",".",sample_child_dns_zone))</f>
        <v>lax02-w01-r01-esx14.lax.rainpole.io</v>
      </c>
      <c r="D330" s="291"/>
      <c r="E330" s="258"/>
      <c r="F330" s="41"/>
      <c r="G330" s="41"/>
      <c r="H330" s="41"/>
      <c r="I330" s="41"/>
      <c r="J330" s="41"/>
      <c r="K330" s="41"/>
      <c r="L330" s="41"/>
      <c r="M330" s="41"/>
      <c r="N330" s="41"/>
      <c r="O330" s="41"/>
      <c r="P330" s="41"/>
      <c r="Q330" s="41"/>
      <c r="R330" s="41"/>
      <c r="S330" s="41"/>
      <c r="T330" s="41"/>
      <c r="U330" s="41"/>
      <c r="V330" s="41"/>
      <c r="W330" s="41"/>
      <c r="X330" s="41"/>
      <c r="Y330" s="41"/>
      <c r="Z330" s="41"/>
    </row>
    <row r="331" ht="19.5" customHeight="1">
      <c r="A331" s="41"/>
      <c r="B331" s="187" t="s">
        <v>711</v>
      </c>
      <c r="C331" s="160" t="str">
        <f>IF(cluster_wld_domain_chosen="VI Workload Domain",CONCATENATE(this_instance,"02-w0",wld_domain_number_chosen,"-r01-esx15",".",sample_child_dns_zone),CONCATENATE(this_instance,"02-m01","-r01-esx15",".",sample_child_dns_zone))</f>
        <v>lax02-w01-r01-esx15.lax.rainpole.io</v>
      </c>
      <c r="D331" s="291"/>
      <c r="E331" s="258"/>
      <c r="F331" s="41"/>
      <c r="G331" s="41"/>
      <c r="H331" s="41"/>
      <c r="I331" s="41"/>
      <c r="J331" s="41"/>
      <c r="K331" s="41"/>
      <c r="L331" s="41"/>
      <c r="M331" s="41"/>
      <c r="N331" s="41"/>
      <c r="O331" s="41"/>
      <c r="P331" s="41"/>
      <c r="Q331" s="41"/>
      <c r="R331" s="41"/>
      <c r="S331" s="41"/>
      <c r="T331" s="41"/>
      <c r="U331" s="41"/>
      <c r="V331" s="41"/>
      <c r="W331" s="41"/>
      <c r="X331" s="41"/>
      <c r="Y331" s="41"/>
      <c r="Z331" s="41"/>
    </row>
    <row r="332" ht="19.5" customHeight="1">
      <c r="A332" s="41"/>
      <c r="B332" s="187" t="s">
        <v>712</v>
      </c>
      <c r="C332" s="160" t="str">
        <f>IF(cluster_wld_domain_chosen="VI Workload Domain",CONCATENATE(this_instance,"02-w0",wld_domain_number_chosen,"-r01-esx16",".",sample_child_dns_zone),CONCATENATE(this_instance,"02-m01","-r01-esx16",".",sample_child_dns_zone))</f>
        <v>lax02-w01-r01-esx16.lax.rainpole.io</v>
      </c>
      <c r="D332" s="291"/>
      <c r="E332" s="258"/>
      <c r="F332" s="41"/>
      <c r="G332" s="41"/>
      <c r="H332" s="41"/>
      <c r="I332" s="41"/>
      <c r="J332" s="41"/>
      <c r="K332" s="41"/>
      <c r="L332" s="41"/>
      <c r="M332" s="41"/>
      <c r="N332" s="41"/>
      <c r="O332" s="41"/>
      <c r="P332" s="41"/>
      <c r="Q332" s="41"/>
      <c r="R332" s="41"/>
      <c r="S332" s="41"/>
      <c r="T332" s="41"/>
      <c r="U332" s="41"/>
      <c r="V332" s="41"/>
      <c r="W332" s="41"/>
      <c r="X332" s="41"/>
      <c r="Y332" s="41"/>
      <c r="Z332" s="41"/>
    </row>
    <row r="333" ht="19.5" customHeight="1">
      <c r="A333" s="41"/>
      <c r="B333" s="187" t="s">
        <v>723</v>
      </c>
      <c r="C333" s="149" t="s">
        <v>724</v>
      </c>
      <c r="D333" s="18" t="str">
        <f>cluster_principal_storage_chosen</f>
        <v>vSAN-ESA</v>
      </c>
      <c r="E333" s="258"/>
      <c r="F333" s="41"/>
      <c r="G333" s="41"/>
      <c r="H333" s="41"/>
      <c r="I333" s="41"/>
      <c r="J333" s="41"/>
      <c r="K333" s="41"/>
      <c r="L333" s="41"/>
      <c r="M333" s="41"/>
      <c r="N333" s="41"/>
      <c r="O333" s="41"/>
      <c r="P333" s="41"/>
      <c r="Q333" s="41"/>
      <c r="R333" s="41"/>
      <c r="S333" s="41"/>
      <c r="T333" s="41"/>
      <c r="U333" s="41"/>
      <c r="V333" s="41"/>
      <c r="W333" s="41"/>
      <c r="X333" s="41"/>
      <c r="Y333" s="41"/>
      <c r="Z333" s="41"/>
    </row>
    <row r="334" ht="19.5" customHeight="1">
      <c r="A334" s="41"/>
      <c r="B334" s="187" t="s">
        <v>725</v>
      </c>
      <c r="C334" s="149" t="s">
        <v>726</v>
      </c>
      <c r="D334" s="18" t="str">
        <f>cluster_vsan_type</f>
        <v>vSAN HCI</v>
      </c>
      <c r="E334" s="258"/>
      <c r="F334" s="41"/>
      <c r="G334" s="41"/>
      <c r="H334" s="41"/>
      <c r="I334" s="41"/>
      <c r="J334" s="41"/>
      <c r="K334" s="41"/>
      <c r="L334" s="41"/>
      <c r="M334" s="41"/>
      <c r="N334" s="41"/>
      <c r="O334" s="41"/>
      <c r="P334" s="41"/>
      <c r="Q334" s="41"/>
      <c r="R334" s="41"/>
      <c r="S334" s="41"/>
      <c r="T334" s="41"/>
      <c r="U334" s="41"/>
      <c r="V334" s="41"/>
      <c r="W334" s="41"/>
      <c r="X334" s="41"/>
      <c r="Y334" s="41"/>
      <c r="Z334" s="41"/>
    </row>
    <row r="335" ht="19.5" customHeight="1">
      <c r="A335" s="41"/>
      <c r="B335" s="187" t="s">
        <v>727</v>
      </c>
      <c r="C335" s="149" t="s">
        <v>285</v>
      </c>
      <c r="D335" s="18" t="str">
        <f>D102</f>
        <v>Selected</v>
      </c>
      <c r="E335" s="258"/>
      <c r="F335" s="41"/>
      <c r="G335" s="41"/>
      <c r="H335" s="41"/>
      <c r="I335" s="41"/>
      <c r="J335" s="41"/>
      <c r="K335" s="41"/>
      <c r="L335" s="41"/>
      <c r="M335" s="41"/>
      <c r="N335" s="41"/>
      <c r="O335" s="41"/>
      <c r="P335" s="41"/>
      <c r="Q335" s="41"/>
      <c r="R335" s="41"/>
      <c r="S335" s="41"/>
      <c r="T335" s="41"/>
      <c r="U335" s="41"/>
      <c r="V335" s="41"/>
      <c r="W335" s="41"/>
      <c r="X335" s="41"/>
      <c r="Y335" s="41"/>
      <c r="Z335" s="41"/>
    </row>
    <row r="336" ht="19.5" customHeight="1">
      <c r="A336" s="41"/>
      <c r="B336" s="187" t="s">
        <v>716</v>
      </c>
      <c r="C336" s="149" t="str">
        <f>sample_cluster_az2_pool_name</f>
        <v>lax02-w01-r01-network-pool-01</v>
      </c>
      <c r="D336" s="291" t="str">
        <f>cluster_az2_pool_name</f>
        <v>Value Missing</v>
      </c>
      <c r="E336" s="258"/>
      <c r="F336" s="41"/>
      <c r="G336" s="41"/>
      <c r="H336" s="41"/>
      <c r="I336" s="41"/>
      <c r="J336" s="41"/>
      <c r="K336" s="41"/>
      <c r="L336" s="41"/>
      <c r="M336" s="41"/>
      <c r="N336" s="41"/>
      <c r="O336" s="41"/>
      <c r="P336" s="41"/>
      <c r="Q336" s="41"/>
      <c r="R336" s="41"/>
      <c r="S336" s="41"/>
      <c r="T336" s="41"/>
      <c r="U336" s="41"/>
      <c r="V336" s="41"/>
      <c r="W336" s="41"/>
      <c r="X336" s="41"/>
      <c r="Y336" s="41"/>
      <c r="Z336" s="41"/>
    </row>
    <row r="337" ht="19.5" customHeight="1">
      <c r="A337" s="41"/>
      <c r="B337" s="187" t="s">
        <v>545</v>
      </c>
      <c r="C337" s="149" t="str">
        <f>sample_cluster_esx_root_username</f>
        <v>root</v>
      </c>
      <c r="D337" s="291" t="str">
        <f>cluster_esx_root_username</f>
        <v>Value Missing</v>
      </c>
      <c r="E337" s="258"/>
      <c r="F337" s="41"/>
      <c r="G337" s="41"/>
      <c r="H337" s="41"/>
      <c r="I337" s="41"/>
      <c r="J337" s="41"/>
      <c r="K337" s="41"/>
      <c r="L337" s="41"/>
      <c r="M337" s="41"/>
      <c r="N337" s="41"/>
      <c r="O337" s="41"/>
      <c r="P337" s="41"/>
      <c r="Q337" s="41"/>
      <c r="R337" s="41"/>
      <c r="S337" s="41"/>
      <c r="T337" s="41"/>
      <c r="U337" s="41"/>
      <c r="V337" s="41"/>
      <c r="W337" s="41"/>
      <c r="X337" s="41"/>
      <c r="Y337" s="41"/>
      <c r="Z337" s="41"/>
    </row>
    <row r="338" ht="19.5" customHeight="1">
      <c r="A338" s="41"/>
      <c r="B338" s="187" t="s">
        <v>296</v>
      </c>
      <c r="C338" s="149" t="str">
        <f>sample_cluster_esx_root_password</f>
        <v>VMw@re1!</v>
      </c>
      <c r="D338" s="291" t="str">
        <f>cluster_esx_root_password</f>
        <v>Value Missing</v>
      </c>
      <c r="E338" s="258"/>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55"/>
      <c r="C339" s="81"/>
      <c r="D339" s="81"/>
      <c r="E339" s="81"/>
      <c r="F339" s="41"/>
      <c r="G339" s="41"/>
      <c r="H339" s="41"/>
      <c r="I339" s="41"/>
      <c r="J339" s="41"/>
      <c r="K339" s="41"/>
      <c r="L339" s="41"/>
      <c r="M339" s="41"/>
      <c r="N339" s="41"/>
      <c r="O339" s="41"/>
      <c r="P339" s="41"/>
      <c r="Q339" s="41"/>
      <c r="R339" s="41"/>
      <c r="S339" s="41"/>
      <c r="T339" s="41"/>
      <c r="U339" s="41"/>
      <c r="V339" s="41"/>
      <c r="W339" s="41"/>
      <c r="X339" s="41"/>
      <c r="Y339" s="41"/>
      <c r="Z339" s="41"/>
    </row>
    <row r="340" ht="19.5" customHeight="1">
      <c r="A340" s="41"/>
      <c r="B340" s="172" t="s">
        <v>730</v>
      </c>
      <c r="C340" s="13"/>
      <c r="D340" s="13"/>
      <c r="E340" s="14"/>
      <c r="F340" s="41"/>
      <c r="G340" s="41"/>
      <c r="H340" s="41"/>
      <c r="I340" s="41"/>
      <c r="J340" s="41"/>
      <c r="K340" s="41"/>
      <c r="L340" s="41"/>
      <c r="M340" s="41"/>
      <c r="N340" s="41"/>
      <c r="O340" s="41"/>
      <c r="P340" s="41"/>
      <c r="Q340" s="41"/>
      <c r="R340" s="41"/>
      <c r="S340" s="41"/>
      <c r="T340" s="41"/>
      <c r="U340" s="41"/>
      <c r="V340" s="41"/>
      <c r="W340" s="41"/>
      <c r="X340" s="41"/>
      <c r="Y340" s="41"/>
      <c r="Z340" s="41"/>
    </row>
    <row r="341" ht="19.5" customHeight="1">
      <c r="A341" s="41"/>
      <c r="B341" s="49" t="s">
        <v>37</v>
      </c>
      <c r="C341" s="49" t="s">
        <v>273</v>
      </c>
      <c r="D341" s="49" t="s">
        <v>274</v>
      </c>
      <c r="E341" s="49" t="s">
        <v>5</v>
      </c>
      <c r="F341" s="41"/>
      <c r="G341" s="41"/>
      <c r="H341" s="41"/>
      <c r="I341" s="41"/>
      <c r="J341" s="41"/>
      <c r="K341" s="41"/>
      <c r="L341" s="41"/>
      <c r="M341" s="41"/>
      <c r="N341" s="41"/>
      <c r="O341" s="41"/>
      <c r="P341" s="41"/>
      <c r="Q341" s="41"/>
      <c r="R341" s="41"/>
      <c r="S341" s="41"/>
      <c r="T341" s="41"/>
      <c r="U341" s="41"/>
      <c r="V341" s="41"/>
      <c r="W341" s="41"/>
      <c r="X341" s="41"/>
      <c r="Y341" s="41"/>
      <c r="Z341" s="41"/>
    </row>
    <row r="342" ht="19.5" customHeight="1">
      <c r="A342" s="41"/>
      <c r="B342" s="187" t="s">
        <v>401</v>
      </c>
      <c r="C342" s="229" t="str">
        <f>CONCATENATE(prefix_mgmt_witness_vlan,"10")</f>
        <v>1110</v>
      </c>
      <c r="D342" s="294"/>
      <c r="E342" s="258"/>
      <c r="F342" s="41"/>
      <c r="G342" s="41"/>
      <c r="H342" s="41"/>
      <c r="I342" s="41"/>
      <c r="J342" s="41"/>
      <c r="K342" s="41"/>
      <c r="L342" s="41"/>
      <c r="M342" s="41"/>
      <c r="N342" s="41"/>
      <c r="O342" s="41"/>
      <c r="P342" s="41"/>
      <c r="Q342" s="41"/>
      <c r="R342" s="41"/>
      <c r="S342" s="41"/>
      <c r="T342" s="41"/>
      <c r="U342" s="41"/>
      <c r="V342" s="41"/>
      <c r="W342" s="41"/>
      <c r="X342" s="41"/>
      <c r="Y342" s="41"/>
      <c r="Z342" s="41"/>
    </row>
    <row r="343" ht="19.5" customHeight="1">
      <c r="A343" s="41"/>
      <c r="B343" s="187" t="s">
        <v>402</v>
      </c>
      <c r="C343" s="255" t="str">
        <f>IF(cluster_wld_domain_chosen="VI Workload Domain",CONCATENATE(prefix_other_region_az1_cidr,"10.1"),CONCATENATE(prefix_other_region_az1_cidr,"10.1"))</f>
        <v>10.11.10.1</v>
      </c>
      <c r="D343" s="294"/>
      <c r="E343" s="258"/>
      <c r="F343" s="41"/>
      <c r="G343" s="41"/>
      <c r="H343" s="41"/>
      <c r="I343" s="41"/>
      <c r="J343" s="41"/>
      <c r="K343" s="41"/>
      <c r="L343" s="41"/>
      <c r="M343" s="41"/>
      <c r="N343" s="41"/>
      <c r="O343" s="41"/>
      <c r="P343" s="41"/>
      <c r="Q343" s="41"/>
      <c r="R343" s="41"/>
      <c r="S343" s="41"/>
      <c r="T343" s="41"/>
      <c r="U343" s="41"/>
      <c r="V343" s="41"/>
      <c r="W343" s="41"/>
      <c r="X343" s="41"/>
      <c r="Y343" s="41"/>
      <c r="Z343" s="41"/>
    </row>
    <row r="344" ht="19.5" customHeight="1">
      <c r="A344" s="41"/>
      <c r="B344" s="187" t="s">
        <v>403</v>
      </c>
      <c r="C344" s="255" t="str">
        <f>IF(cluster_wld_domain_chosen="VI Workload Domain",CONCATENATE(prefix_other_region_az1_cidr,"10.0/24"),CONCATENATE(prefix_other_region_az1_cidr,"10.0/24"))</f>
        <v>10.11.10.0/24</v>
      </c>
      <c r="D344" s="294"/>
      <c r="E344" s="258"/>
      <c r="F344" s="41"/>
      <c r="G344" s="41"/>
      <c r="H344" s="41"/>
      <c r="I344" s="41"/>
      <c r="J344" s="41"/>
      <c r="K344" s="41"/>
      <c r="L344" s="41"/>
      <c r="M344" s="41"/>
      <c r="N344" s="41"/>
      <c r="O344" s="41"/>
      <c r="P344" s="41"/>
      <c r="Q344" s="41"/>
      <c r="R344" s="41"/>
      <c r="S344" s="41"/>
      <c r="T344" s="41"/>
      <c r="U344" s="41"/>
      <c r="V344" s="41"/>
      <c r="W344" s="41"/>
      <c r="X344" s="41"/>
      <c r="Y344" s="41"/>
      <c r="Z344" s="41"/>
    </row>
    <row r="345" ht="19.5" customHeight="1">
      <c r="A345" s="41"/>
      <c r="B345" s="187" t="s">
        <v>404</v>
      </c>
      <c r="C345" s="229">
        <v>1500.0</v>
      </c>
      <c r="D345" s="294"/>
      <c r="E345" s="258"/>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55"/>
      <c r="C346" s="81"/>
      <c r="D346" s="81"/>
      <c r="E346" s="81"/>
      <c r="F346" s="41"/>
      <c r="G346" s="41"/>
      <c r="H346" s="41"/>
      <c r="I346" s="41"/>
      <c r="J346" s="41"/>
      <c r="K346" s="41"/>
      <c r="L346" s="41"/>
      <c r="M346" s="41"/>
      <c r="N346" s="41"/>
      <c r="O346" s="41"/>
      <c r="P346" s="41"/>
      <c r="Q346" s="41"/>
      <c r="R346" s="41"/>
      <c r="S346" s="41"/>
      <c r="T346" s="41"/>
      <c r="U346" s="41"/>
      <c r="V346" s="41"/>
      <c r="W346" s="41"/>
      <c r="X346" s="41"/>
      <c r="Y346" s="41"/>
      <c r="Z346" s="41"/>
    </row>
    <row r="347" ht="33.75" customHeight="1">
      <c r="A347" s="41"/>
      <c r="B347" s="290" t="s">
        <v>1480</v>
      </c>
      <c r="C347" s="13"/>
      <c r="D347" s="13"/>
      <c r="E347" s="14"/>
      <c r="F347" s="41"/>
      <c r="G347" s="41"/>
      <c r="H347" s="41"/>
      <c r="I347" s="41"/>
      <c r="J347" s="41"/>
      <c r="K347" s="41"/>
      <c r="L347" s="41"/>
      <c r="M347" s="41"/>
      <c r="N347" s="41"/>
      <c r="O347" s="41"/>
      <c r="P347" s="41"/>
      <c r="Q347" s="41"/>
      <c r="R347" s="41"/>
      <c r="S347" s="41"/>
      <c r="T347" s="41"/>
      <c r="U347" s="41"/>
      <c r="V347" s="41"/>
      <c r="W347" s="41"/>
      <c r="X347" s="41"/>
      <c r="Y347" s="41"/>
      <c r="Z347" s="41"/>
    </row>
    <row r="348" ht="19.5" customHeight="1">
      <c r="A348" s="41"/>
      <c r="B348" s="296"/>
      <c r="C348" s="297"/>
      <c r="D348" s="297"/>
      <c r="E348" s="297"/>
      <c r="F348" s="41"/>
      <c r="G348" s="41"/>
      <c r="H348" s="41"/>
      <c r="I348" s="41"/>
      <c r="J348" s="41"/>
      <c r="K348" s="41"/>
      <c r="L348" s="41"/>
      <c r="M348" s="41"/>
      <c r="N348" s="41"/>
      <c r="O348" s="41"/>
      <c r="P348" s="41"/>
      <c r="Q348" s="41"/>
      <c r="R348" s="41"/>
      <c r="S348" s="41"/>
      <c r="T348" s="41"/>
      <c r="U348" s="41"/>
      <c r="V348" s="41"/>
      <c r="W348" s="41"/>
      <c r="X348" s="41"/>
      <c r="Y348" s="41"/>
      <c r="Z348" s="41"/>
    </row>
    <row r="349" ht="19.5" customHeight="1">
      <c r="A349" s="41"/>
      <c r="B349" s="49" t="s">
        <v>37</v>
      </c>
      <c r="C349" s="49" t="s">
        <v>273</v>
      </c>
      <c r="D349" s="49" t="s">
        <v>274</v>
      </c>
      <c r="E349" s="49" t="s">
        <v>5</v>
      </c>
      <c r="F349" s="41"/>
      <c r="G349" s="41"/>
      <c r="H349" s="41"/>
      <c r="I349" s="41"/>
      <c r="J349" s="41"/>
      <c r="K349" s="41"/>
      <c r="L349" s="41"/>
      <c r="M349" s="41"/>
      <c r="N349" s="41"/>
      <c r="O349" s="41"/>
      <c r="P349" s="41"/>
      <c r="Q349" s="41"/>
      <c r="R349" s="41"/>
      <c r="S349" s="41"/>
      <c r="T349" s="41"/>
      <c r="U349" s="41"/>
      <c r="V349" s="41"/>
      <c r="W349" s="41"/>
      <c r="X349" s="41"/>
      <c r="Y349" s="41"/>
      <c r="Z349" s="41"/>
    </row>
    <row r="350" ht="19.5" customHeight="1">
      <c r="A350" s="41"/>
      <c r="B350" s="187" t="s">
        <v>732</v>
      </c>
      <c r="C350" s="188" t="str">
        <f>CONCATENATE(other_instance,"-m01-vc01.",other_instance,".rainpole.io")</f>
        <v>sfo-m01-vc01.sfo.rainpole.io</v>
      </c>
      <c r="D350" s="294"/>
      <c r="E350" s="258" t="s">
        <v>733</v>
      </c>
      <c r="F350" s="41"/>
      <c r="G350" s="41"/>
      <c r="H350" s="41"/>
      <c r="I350" s="41"/>
      <c r="J350" s="41"/>
      <c r="K350" s="41"/>
      <c r="L350" s="41"/>
      <c r="M350" s="41"/>
      <c r="N350" s="41"/>
      <c r="O350" s="41"/>
      <c r="P350" s="41"/>
      <c r="Q350" s="41"/>
      <c r="R350" s="41"/>
      <c r="S350" s="41"/>
      <c r="T350" s="41"/>
      <c r="U350" s="41"/>
      <c r="V350" s="41"/>
      <c r="W350" s="41"/>
      <c r="X350" s="41"/>
      <c r="Y350" s="41"/>
      <c r="Z350" s="41"/>
    </row>
    <row r="351" ht="19.5" customHeight="1">
      <c r="A351" s="41"/>
      <c r="B351" s="187" t="s">
        <v>735</v>
      </c>
      <c r="C351" s="203" t="str">
        <f>IF(cluster_wld_domain_chosen="VI Workload Domain",CONCATENATE(this_instance,"-w0",wld_domain_number_chosen,"-cl02-vsw01"),CONCATENATE(this_instance,"-m01","-cl02-vsw01"))</f>
        <v>lax-w01-cl02-vsw01</v>
      </c>
      <c r="D351" s="294"/>
      <c r="E351" s="258"/>
      <c r="F351" s="41"/>
      <c r="G351" s="41"/>
      <c r="H351" s="41"/>
      <c r="I351" s="41"/>
      <c r="J351" s="41"/>
      <c r="K351" s="41"/>
      <c r="L351" s="41"/>
      <c r="M351" s="41"/>
      <c r="N351" s="41"/>
      <c r="O351" s="41"/>
      <c r="P351" s="41"/>
      <c r="Q351" s="41"/>
      <c r="R351" s="41"/>
      <c r="S351" s="41"/>
      <c r="T351" s="41"/>
      <c r="U351" s="41"/>
      <c r="V351" s="41"/>
      <c r="W351" s="41"/>
      <c r="X351" s="41"/>
      <c r="Y351" s="41"/>
      <c r="Z351" s="41"/>
    </row>
    <row r="352" ht="19.5" customHeight="1">
      <c r="A352" s="41"/>
      <c r="B352" s="187" t="s">
        <v>736</v>
      </c>
      <c r="C352" s="110" t="str">
        <f>CONCATENATE(other_instance,"-m01-cl01")</f>
        <v>sfo-m01-cl01</v>
      </c>
      <c r="D352" s="294"/>
      <c r="E352" s="258"/>
      <c r="F352" s="41"/>
      <c r="G352" s="41"/>
      <c r="H352" s="41"/>
      <c r="I352" s="41"/>
      <c r="J352" s="41"/>
      <c r="K352" s="41"/>
      <c r="L352" s="41"/>
      <c r="M352" s="41"/>
      <c r="N352" s="41"/>
      <c r="O352" s="41"/>
      <c r="P352" s="41"/>
      <c r="Q352" s="41"/>
      <c r="R352" s="41"/>
      <c r="S352" s="41"/>
      <c r="T352" s="41"/>
      <c r="U352" s="41"/>
      <c r="V352" s="41"/>
      <c r="W352" s="41"/>
      <c r="X352" s="41"/>
      <c r="Y352" s="41"/>
      <c r="Z352" s="41"/>
    </row>
    <row r="353" ht="19.5" customHeight="1">
      <c r="A353" s="41"/>
      <c r="B353" s="187" t="s">
        <v>737</v>
      </c>
      <c r="C353" s="110" t="str">
        <f>CONCATENATE(other_instance,"-fd-mgmt")</f>
        <v>sfo-fd-mgmt</v>
      </c>
      <c r="D353" s="294"/>
      <c r="E353" s="258"/>
      <c r="F353" s="41"/>
      <c r="G353" s="41"/>
      <c r="H353" s="41"/>
      <c r="I353" s="41"/>
      <c r="J353" s="41"/>
      <c r="K353" s="41"/>
      <c r="L353" s="41"/>
      <c r="M353" s="41"/>
      <c r="N353" s="41"/>
      <c r="O353" s="41"/>
      <c r="P353" s="41"/>
      <c r="Q353" s="41"/>
      <c r="R353" s="41"/>
      <c r="S353" s="41"/>
      <c r="T353" s="41"/>
      <c r="U353" s="41"/>
      <c r="V353" s="41"/>
      <c r="W353" s="41"/>
      <c r="X353" s="41"/>
      <c r="Y353" s="41"/>
      <c r="Z353" s="41"/>
    </row>
    <row r="354" ht="19.5" customHeight="1">
      <c r="A354" s="41"/>
      <c r="B354" s="187" t="s">
        <v>738</v>
      </c>
      <c r="C354" s="110" t="str">
        <f>CONCATENATE(other_instance,"-m01-cl01-ds-vsan01")</f>
        <v>sfo-m01-cl01-ds-vsan01</v>
      </c>
      <c r="D354" s="294"/>
      <c r="E354" s="258"/>
      <c r="F354" s="41"/>
      <c r="G354" s="41"/>
      <c r="H354" s="41"/>
      <c r="I354" s="41"/>
      <c r="J354" s="41"/>
      <c r="K354" s="41"/>
      <c r="L354" s="41"/>
      <c r="M354" s="41"/>
      <c r="N354" s="41"/>
      <c r="O354" s="41"/>
      <c r="P354" s="41"/>
      <c r="Q354" s="41"/>
      <c r="R354" s="41"/>
      <c r="S354" s="41"/>
      <c r="T354" s="41"/>
      <c r="U354" s="41"/>
      <c r="V354" s="41"/>
      <c r="W354" s="41"/>
      <c r="X354" s="41"/>
      <c r="Y354" s="41"/>
      <c r="Z354" s="41"/>
    </row>
    <row r="355" ht="19.5" customHeight="1">
      <c r="A355" s="41"/>
      <c r="B355" s="187" t="s">
        <v>739</v>
      </c>
      <c r="C355" s="110" t="str">
        <f>CONCATENATE(other_instance,"01-m01-cl01-vds01-pg-vm-mgmt")</f>
        <v>sfo01-m01-cl01-vds01-pg-vm-mgmt</v>
      </c>
      <c r="D355" s="294"/>
      <c r="E355" s="258"/>
      <c r="F355" s="41"/>
      <c r="G355" s="41"/>
      <c r="H355" s="41"/>
      <c r="I355" s="41"/>
      <c r="J355" s="41"/>
      <c r="K355" s="41"/>
      <c r="L355" s="41"/>
      <c r="M355" s="41"/>
      <c r="N355" s="41"/>
      <c r="O355" s="41"/>
      <c r="P355" s="41"/>
      <c r="Q355" s="41"/>
      <c r="R355" s="41"/>
      <c r="S355" s="41"/>
      <c r="T355" s="41"/>
      <c r="U355" s="41"/>
      <c r="V355" s="41"/>
      <c r="W355" s="41"/>
      <c r="X355" s="41"/>
      <c r="Y355" s="41"/>
      <c r="Z355" s="41"/>
    </row>
    <row r="356" ht="19.5" customHeight="1">
      <c r="A356" s="41"/>
      <c r="B356" s="187" t="s">
        <v>740</v>
      </c>
      <c r="C356" s="110" t="str">
        <f>CONCATENATE(other_instance,"01-m01-cl01-vds01-pg-vm-mgmt")</f>
        <v>sfo01-m01-cl01-vds01-pg-vm-mgmt</v>
      </c>
      <c r="D356" s="294" t="str">
        <f>cluster_witness_mgmt_pg</f>
        <v>Value Missing</v>
      </c>
      <c r="E356" s="258"/>
      <c r="F356" s="41"/>
      <c r="G356" s="41"/>
      <c r="H356" s="41"/>
      <c r="I356" s="41"/>
      <c r="J356" s="41"/>
      <c r="K356" s="41"/>
      <c r="L356" s="41"/>
      <c r="M356" s="41"/>
      <c r="N356" s="41"/>
      <c r="O356" s="41"/>
      <c r="P356" s="41"/>
      <c r="Q356" s="41"/>
      <c r="R356" s="41"/>
      <c r="S356" s="41"/>
      <c r="T356" s="41"/>
      <c r="U356" s="41"/>
      <c r="V356" s="41"/>
      <c r="W356" s="41"/>
      <c r="X356" s="41"/>
      <c r="Y356" s="41"/>
      <c r="Z356" s="41"/>
    </row>
    <row r="357" ht="19.5" customHeight="1">
      <c r="A357" s="41"/>
      <c r="B357" s="187" t="s">
        <v>338</v>
      </c>
      <c r="C357" s="110" t="str">
        <f>sample_cluster_esx_root_password</f>
        <v>VMw@re1!</v>
      </c>
      <c r="D357" s="294" t="str">
        <f>cluster_esx_root_password</f>
        <v>Value Missing</v>
      </c>
      <c r="E357" s="258"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10.11.10.223</v>
      </c>
      <c r="F357" s="41"/>
      <c r="G357" s="41"/>
      <c r="H357" s="41"/>
      <c r="I357" s="41"/>
      <c r="J357" s="41"/>
      <c r="K357" s="41"/>
      <c r="L357" s="41"/>
      <c r="M357" s="41"/>
      <c r="N357" s="41"/>
      <c r="O357" s="41"/>
      <c r="P357" s="41"/>
      <c r="Q357" s="41"/>
      <c r="R357" s="41"/>
      <c r="S357" s="41"/>
      <c r="T357" s="41"/>
      <c r="U357" s="41"/>
      <c r="V357" s="41"/>
      <c r="W357" s="41"/>
      <c r="X357" s="41"/>
      <c r="Y357" s="41"/>
      <c r="Z357" s="41"/>
    </row>
    <row r="358" ht="19.5" customHeight="1">
      <c r="A358" s="41"/>
      <c r="B358" s="187" t="s">
        <v>741</v>
      </c>
      <c r="C358" s="203" t="str">
        <f>IF(cluster_wld_domain_chosen="VI 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10.11.10.223</v>
      </c>
      <c r="D358" s="294"/>
      <c r="E358" s="258" t="s">
        <v>742</v>
      </c>
      <c r="F358" s="41"/>
      <c r="G358" s="41"/>
      <c r="H358" s="41"/>
      <c r="I358" s="41"/>
      <c r="J358" s="41"/>
      <c r="K358" s="41"/>
      <c r="L358" s="41"/>
      <c r="M358" s="41"/>
      <c r="N358" s="41"/>
      <c r="O358" s="41"/>
      <c r="P358" s="41"/>
      <c r="Q358" s="41"/>
      <c r="R358" s="41"/>
      <c r="S358" s="41"/>
      <c r="T358" s="41"/>
      <c r="U358" s="41"/>
      <c r="V358" s="41"/>
      <c r="W358" s="41"/>
      <c r="X358" s="41"/>
      <c r="Y358" s="41"/>
      <c r="Z358" s="41"/>
    </row>
    <row r="359" ht="19.5" customHeight="1">
      <c r="A359" s="41"/>
      <c r="B359" s="187" t="s">
        <v>743</v>
      </c>
      <c r="C359" s="298" t="str">
        <f>VLOOKUP(INT(RIGHT(sample_wld_witnessaz_mgmt_cidr,LEN(sample_wld_witnessaz_mgmt_cidr)-FIND("/",sample_wld_witnessaz_mgmt_cidr))),table_cidr_to_mask,2,FALSE)</f>
        <v>255.255.255.0</v>
      </c>
      <c r="D359" s="294"/>
      <c r="E359" s="258"/>
      <c r="F359" s="41"/>
      <c r="G359" s="41"/>
      <c r="H359" s="41"/>
      <c r="I359" s="41"/>
      <c r="J359" s="41"/>
      <c r="K359" s="41"/>
      <c r="L359" s="41"/>
      <c r="M359" s="41"/>
      <c r="N359" s="41"/>
      <c r="O359" s="41"/>
      <c r="P359" s="41"/>
      <c r="Q359" s="41"/>
      <c r="R359" s="41"/>
      <c r="S359" s="41"/>
      <c r="T359" s="41"/>
      <c r="U359" s="41"/>
      <c r="V359" s="41"/>
      <c r="W359" s="41"/>
      <c r="X359" s="41"/>
      <c r="Y359" s="41"/>
      <c r="Z359" s="41"/>
    </row>
    <row r="360" ht="19.5" customHeight="1">
      <c r="A360" s="41"/>
      <c r="B360" s="187" t="s">
        <v>402</v>
      </c>
      <c r="C360" s="110" t="str">
        <f>sample_cluster_witnessaz_mgmt_gateway_ip</f>
        <v>10.11.10.1</v>
      </c>
      <c r="D360" s="294" t="str">
        <f t="array" ref="D360">cluster_witnessaz_mgmt_gateway_ip</f>
        <v>Value Missing</v>
      </c>
      <c r="E360" s="258"/>
      <c r="F360" s="41"/>
      <c r="G360" s="41"/>
      <c r="H360" s="41"/>
      <c r="I360" s="41"/>
      <c r="J360" s="41"/>
      <c r="K360" s="41"/>
      <c r="L360" s="41"/>
      <c r="M360" s="41"/>
      <c r="N360" s="41"/>
      <c r="O360" s="41"/>
      <c r="P360" s="41"/>
      <c r="Q360" s="41"/>
      <c r="R360" s="41"/>
      <c r="S360" s="41"/>
      <c r="T360" s="41"/>
      <c r="U360" s="41"/>
      <c r="V360" s="41"/>
      <c r="W360" s="41"/>
      <c r="X360" s="41"/>
      <c r="Y360" s="41"/>
      <c r="Z360" s="41"/>
    </row>
    <row r="361" ht="19.5" customHeight="1">
      <c r="A361" s="41"/>
      <c r="B361" s="187" t="s">
        <v>744</v>
      </c>
      <c r="C361" s="111" t="str">
        <f>sample_child_dns_zone</f>
        <v>lax.rainpole.io</v>
      </c>
      <c r="D361" s="294"/>
      <c r="E361" s="258"/>
      <c r="F361" s="41"/>
      <c r="G361" s="41"/>
      <c r="H361" s="41"/>
      <c r="I361" s="41"/>
      <c r="J361" s="41"/>
      <c r="K361" s="41"/>
      <c r="L361" s="41"/>
      <c r="M361" s="41"/>
      <c r="N361" s="41"/>
      <c r="O361" s="41"/>
      <c r="P361" s="41"/>
      <c r="Q361" s="41"/>
      <c r="R361" s="41"/>
      <c r="S361" s="41"/>
      <c r="T361" s="41"/>
      <c r="U361" s="41"/>
      <c r="V361" s="41"/>
      <c r="W361" s="41"/>
      <c r="X361" s="41"/>
      <c r="Y361" s="41"/>
      <c r="Z361" s="41"/>
    </row>
    <row r="362" ht="19.5" customHeight="1">
      <c r="A362" s="41"/>
      <c r="B362" s="187" t="s">
        <v>745</v>
      </c>
      <c r="C362" s="110" t="str">
        <f>sample_cluster_witness_hostname</f>
        <v>lax-w01-cl02-vsw01</v>
      </c>
      <c r="D362" s="294" t="str">
        <f t="array" ref="D362">cluster_witness_hostname</f>
        <v>Value Missing</v>
      </c>
      <c r="E362" s="258"/>
      <c r="F362" s="41"/>
      <c r="G362" s="41"/>
      <c r="H362" s="41"/>
      <c r="I362" s="41"/>
      <c r="J362" s="41"/>
      <c r="K362" s="41"/>
      <c r="L362" s="41"/>
      <c r="M362" s="41"/>
      <c r="N362" s="41"/>
      <c r="O362" s="41"/>
      <c r="P362" s="41"/>
      <c r="Q362" s="41"/>
      <c r="R362" s="41"/>
      <c r="S362" s="41"/>
      <c r="T362" s="41"/>
      <c r="U362" s="41"/>
      <c r="V362" s="41"/>
      <c r="W362" s="41"/>
      <c r="X362" s="41"/>
      <c r="Y362" s="41"/>
      <c r="Z362" s="41"/>
    </row>
    <row r="363" ht="19.5" customHeight="1">
      <c r="A363" s="41"/>
      <c r="B363" s="187" t="s">
        <v>746</v>
      </c>
      <c r="C363" s="110" t="str">
        <f>IF(mgmt_dpg_reuse_result="Included",CONCATENATE(prefix_other_region_az1_cidr,"10.4"),CONCATENATE(prefix_other_region_az1_cidr,"11.4"))</f>
        <v>10.11.10.4</v>
      </c>
      <c r="D363" s="294"/>
      <c r="E363" s="258" t="s">
        <v>747</v>
      </c>
      <c r="F363" s="41"/>
      <c r="G363" s="41"/>
      <c r="H363" s="41"/>
      <c r="I363" s="41"/>
      <c r="J363" s="41"/>
      <c r="K363" s="41"/>
      <c r="L363" s="41"/>
      <c r="M363" s="41"/>
      <c r="N363" s="41"/>
      <c r="O363" s="41"/>
      <c r="P363" s="41"/>
      <c r="Q363" s="41"/>
      <c r="R363" s="41"/>
      <c r="S363" s="41"/>
      <c r="T363" s="41"/>
      <c r="U363" s="41"/>
      <c r="V363" s="41"/>
      <c r="W363" s="41"/>
      <c r="X363" s="41"/>
      <c r="Y363" s="41"/>
      <c r="Z363" s="41"/>
    </row>
    <row r="364" ht="19.5" customHeight="1">
      <c r="A364" s="41"/>
      <c r="B364" s="187" t="s">
        <v>748</v>
      </c>
      <c r="C364" s="110" t="str">
        <f>IF(mgmt_dpg_reuse_result="Included",CONCATENATE(prefix_other_region_az1_cidr,"10.5"),CONCATENATE(prefix_other_region_az1_cidr,"11.5"))</f>
        <v>10.11.10.5</v>
      </c>
      <c r="D364" s="294"/>
      <c r="E364" s="258" t="s">
        <v>749</v>
      </c>
      <c r="F364" s="41"/>
      <c r="G364" s="41"/>
      <c r="H364" s="41"/>
      <c r="I364" s="41"/>
      <c r="J364" s="41"/>
      <c r="K364" s="41"/>
      <c r="L364" s="41"/>
      <c r="M364" s="41"/>
      <c r="N364" s="41"/>
      <c r="O364" s="41"/>
      <c r="P364" s="41"/>
      <c r="Q364" s="41"/>
      <c r="R364" s="41"/>
      <c r="S364" s="41"/>
      <c r="T364" s="41"/>
      <c r="U364" s="41"/>
      <c r="V364" s="41"/>
      <c r="W364" s="41"/>
      <c r="X364" s="41"/>
      <c r="Y364" s="41"/>
      <c r="Z364" s="41"/>
    </row>
    <row r="365" ht="19.5" customHeight="1">
      <c r="A365" s="41"/>
      <c r="B365" s="187" t="s">
        <v>750</v>
      </c>
      <c r="C365" s="111" t="str">
        <f>CONCATENATE("ntp0.",other_instance,".rainpole.io")</f>
        <v>ntp0.sfo.rainpole.io</v>
      </c>
      <c r="D365" s="294"/>
      <c r="E365" s="258"/>
      <c r="F365" s="41"/>
      <c r="G365" s="41"/>
      <c r="H365" s="41"/>
      <c r="I365" s="41"/>
      <c r="J365" s="41"/>
      <c r="K365" s="41"/>
      <c r="L365" s="41"/>
      <c r="M365" s="41"/>
      <c r="N365" s="41"/>
      <c r="O365" s="41"/>
      <c r="P365" s="41"/>
      <c r="Q365" s="41"/>
      <c r="R365" s="41"/>
      <c r="S365" s="41"/>
      <c r="T365" s="41"/>
      <c r="U365" s="41"/>
      <c r="V365" s="41"/>
      <c r="W365" s="41"/>
      <c r="X365" s="41"/>
      <c r="Y365" s="41"/>
      <c r="Z365" s="41"/>
    </row>
    <row r="366" ht="19.5" customHeight="1">
      <c r="A366" s="41"/>
      <c r="B366" s="187" t="s">
        <v>751</v>
      </c>
      <c r="C366" s="111" t="str">
        <f>CONCATENATE("ntp1.",other_instance,".rainpole.io")</f>
        <v>ntp1.sfo.rainpole.io</v>
      </c>
      <c r="D366" s="294"/>
      <c r="E366" s="258"/>
      <c r="F366" s="41"/>
      <c r="G366" s="41"/>
      <c r="H366" s="41"/>
      <c r="I366" s="41"/>
      <c r="J366" s="41"/>
      <c r="K366" s="41"/>
      <c r="L366" s="41"/>
      <c r="M366" s="41"/>
      <c r="N366" s="41"/>
      <c r="O366" s="41"/>
      <c r="P366" s="41"/>
      <c r="Q366" s="41"/>
      <c r="R366" s="41"/>
      <c r="S366" s="41"/>
      <c r="T366" s="41"/>
      <c r="U366" s="41"/>
      <c r="V366" s="41"/>
      <c r="W366" s="41"/>
      <c r="X366" s="41"/>
      <c r="Y366" s="41"/>
      <c r="Z366" s="41"/>
    </row>
    <row r="367" ht="19.5" customHeight="1">
      <c r="A367" s="41"/>
      <c r="B367" s="293" t="s">
        <v>752</v>
      </c>
      <c r="C367" s="13"/>
      <c r="D367" s="13"/>
      <c r="E367" s="14"/>
      <c r="F367" s="41"/>
      <c r="G367" s="41"/>
      <c r="H367" s="41"/>
      <c r="I367" s="41"/>
      <c r="J367" s="41"/>
      <c r="K367" s="41"/>
      <c r="L367" s="41"/>
      <c r="M367" s="41"/>
      <c r="N367" s="41"/>
      <c r="O367" s="41"/>
      <c r="P367" s="41"/>
      <c r="Q367" s="41"/>
      <c r="R367" s="41"/>
      <c r="S367" s="41"/>
      <c r="T367" s="41"/>
      <c r="U367" s="41"/>
      <c r="V367" s="41"/>
      <c r="W367" s="41"/>
      <c r="X367" s="41"/>
      <c r="Y367" s="41"/>
      <c r="Z367" s="41"/>
    </row>
    <row r="368" ht="19.5" customHeight="1">
      <c r="A368" s="41"/>
      <c r="B368" s="49" t="s">
        <v>37</v>
      </c>
      <c r="C368" s="49" t="s">
        <v>273</v>
      </c>
      <c r="D368" s="49" t="s">
        <v>274</v>
      </c>
      <c r="E368" s="49" t="s">
        <v>5</v>
      </c>
      <c r="F368" s="41"/>
      <c r="G368" s="41"/>
      <c r="H368" s="41"/>
      <c r="I368" s="41"/>
      <c r="J368" s="41"/>
      <c r="K368" s="41"/>
      <c r="L368" s="41"/>
      <c r="M368" s="41"/>
      <c r="N368" s="41"/>
      <c r="O368" s="41"/>
      <c r="P368" s="41"/>
      <c r="Q368" s="41"/>
      <c r="R368" s="41"/>
      <c r="S368" s="41"/>
      <c r="T368" s="41"/>
      <c r="U368" s="41"/>
      <c r="V368" s="41"/>
      <c r="W368" s="41"/>
      <c r="X368" s="41"/>
      <c r="Y368" s="41"/>
      <c r="Z368" s="41"/>
    </row>
    <row r="369" ht="19.5" customHeight="1">
      <c r="A369" s="41"/>
      <c r="B369" s="187" t="s">
        <v>732</v>
      </c>
      <c r="C369" s="111" t="str">
        <f>IF(cluster_wld_domain_chosen="VI Workload Domain",CONCATENATE(this_instance,"-w0",wld_domain_number_chosen,"-vc01",this_instance,".rainpole.io"),CONCATENATE(this_instance,"-m01-vc01.",this_instance,".rainpole.io"))</f>
        <v>lax-w01-vc01lax.rainpole.io</v>
      </c>
      <c r="D369" s="299"/>
      <c r="E369" s="187"/>
      <c r="F369" s="41"/>
      <c r="G369" s="41"/>
      <c r="H369" s="41"/>
      <c r="I369" s="41"/>
      <c r="J369" s="41"/>
      <c r="K369" s="41"/>
      <c r="L369" s="41"/>
      <c r="M369" s="41"/>
      <c r="N369" s="41"/>
      <c r="O369" s="41"/>
      <c r="P369" s="41"/>
      <c r="Q369" s="41"/>
      <c r="R369" s="41"/>
      <c r="S369" s="41"/>
      <c r="T369" s="41"/>
      <c r="U369" s="41"/>
      <c r="V369" s="41"/>
      <c r="W369" s="41"/>
      <c r="X369" s="41"/>
      <c r="Y369" s="41"/>
      <c r="Z369" s="41"/>
    </row>
    <row r="370" ht="19.5" customHeight="1">
      <c r="A370" s="41"/>
      <c r="B370" s="187" t="s">
        <v>753</v>
      </c>
      <c r="C370" s="110" t="str">
        <f>IF(cluster_wld_domain_chosen="VI Workload Domain",CONCATENATE(this_instance,"-w0",wld_domain_number_chosen,"-dc"),sample_mgmt_datacenter)</f>
        <v>lax-w01-dc</v>
      </c>
      <c r="D370" s="299"/>
      <c r="E370" s="187"/>
      <c r="F370" s="41"/>
      <c r="G370" s="41"/>
      <c r="H370" s="41"/>
      <c r="I370" s="41"/>
      <c r="J370" s="41"/>
      <c r="K370" s="41"/>
      <c r="L370" s="41"/>
      <c r="M370" s="41"/>
      <c r="N370" s="41"/>
      <c r="O370" s="41"/>
      <c r="P370" s="41"/>
      <c r="Q370" s="41"/>
      <c r="R370" s="41"/>
      <c r="S370" s="41"/>
      <c r="T370" s="41"/>
      <c r="U370" s="41"/>
      <c r="V370" s="41"/>
      <c r="W370" s="41"/>
      <c r="X370" s="41"/>
      <c r="Y370" s="41"/>
      <c r="Z370" s="41"/>
    </row>
    <row r="371" ht="19.5" customHeight="1">
      <c r="A371" s="41"/>
      <c r="B371" s="187" t="s">
        <v>537</v>
      </c>
      <c r="C371" s="111" t="str">
        <f>IF(cluster_wld_domain_chosen="VI Workload Domain",CONCATENATE(sample_cluster_witness_hostname,".",sample_child_dns_zone),CONCATENATE(sample_cluster_witness_hostname,".",sample_child_dns_zone))</f>
        <v>lax-w01-cl02-vsw01.lax.rainpole.io</v>
      </c>
      <c r="D371" s="299"/>
      <c r="E371" s="187"/>
      <c r="F371" s="41"/>
      <c r="G371" s="41"/>
      <c r="H371" s="41"/>
      <c r="I371" s="41"/>
      <c r="J371" s="41"/>
      <c r="K371" s="41"/>
      <c r="L371" s="41"/>
      <c r="M371" s="41"/>
      <c r="N371" s="41"/>
      <c r="O371" s="41"/>
      <c r="P371" s="41"/>
      <c r="Q371" s="41"/>
      <c r="R371" s="41"/>
      <c r="S371" s="41"/>
      <c r="T371" s="41"/>
      <c r="U371" s="41"/>
      <c r="V371" s="41"/>
      <c r="W371" s="41"/>
      <c r="X371" s="41"/>
      <c r="Y371" s="41"/>
      <c r="Z371" s="41"/>
    </row>
    <row r="372" ht="19.5" customHeight="1">
      <c r="A372" s="41"/>
      <c r="B372" s="187" t="s">
        <v>754</v>
      </c>
      <c r="C372" s="110" t="str">
        <f>sample_cluster_esx_root_password</f>
        <v>VMw@re1!</v>
      </c>
      <c r="D372" s="299" t="str">
        <f>cluster_esx_root_password</f>
        <v>Value Missing</v>
      </c>
      <c r="E372" s="187"/>
      <c r="F372" s="41"/>
      <c r="G372" s="41"/>
      <c r="H372" s="41"/>
      <c r="I372" s="41"/>
      <c r="J372" s="41"/>
      <c r="K372" s="41"/>
      <c r="L372" s="41"/>
      <c r="M372" s="41"/>
      <c r="N372" s="41"/>
      <c r="O372" s="41"/>
      <c r="P372" s="41"/>
      <c r="Q372" s="41"/>
      <c r="R372" s="41"/>
      <c r="S372" s="41"/>
      <c r="T372" s="41"/>
      <c r="U372" s="41"/>
      <c r="V372" s="41"/>
      <c r="W372" s="41"/>
      <c r="X372" s="41"/>
      <c r="Y372" s="41"/>
      <c r="Z372" s="41"/>
    </row>
    <row r="373" ht="19.5" customHeight="1">
      <c r="A373" s="41"/>
      <c r="B373" s="293" t="s">
        <v>755</v>
      </c>
      <c r="C373" s="13"/>
      <c r="D373" s="13"/>
      <c r="E373" s="14"/>
      <c r="F373" s="41"/>
      <c r="G373" s="41"/>
      <c r="H373" s="41"/>
      <c r="I373" s="41"/>
      <c r="J373" s="41"/>
      <c r="K373" s="41"/>
      <c r="L373" s="41"/>
      <c r="M373" s="41"/>
      <c r="N373" s="41"/>
      <c r="O373" s="41"/>
      <c r="P373" s="41"/>
      <c r="Q373" s="41"/>
      <c r="R373" s="41"/>
      <c r="S373" s="41"/>
      <c r="T373" s="41"/>
      <c r="U373" s="41"/>
      <c r="V373" s="41"/>
      <c r="W373" s="41"/>
      <c r="X373" s="41"/>
      <c r="Y373" s="41"/>
      <c r="Z373" s="41"/>
    </row>
    <row r="374" ht="19.5" customHeight="1">
      <c r="A374" s="41"/>
      <c r="B374" s="49" t="s">
        <v>37</v>
      </c>
      <c r="C374" s="49" t="s">
        <v>273</v>
      </c>
      <c r="D374" s="49" t="s">
        <v>274</v>
      </c>
      <c r="E374" s="49" t="s">
        <v>5</v>
      </c>
      <c r="F374" s="41"/>
      <c r="G374" s="41"/>
      <c r="H374" s="41"/>
      <c r="I374" s="41"/>
      <c r="J374" s="41"/>
      <c r="K374" s="41"/>
      <c r="L374" s="41"/>
      <c r="M374" s="41"/>
      <c r="N374" s="41"/>
      <c r="O374" s="41"/>
      <c r="P374" s="41"/>
      <c r="Q374" s="41"/>
      <c r="R374" s="41"/>
      <c r="S374" s="41"/>
      <c r="T374" s="41"/>
      <c r="U374" s="41"/>
      <c r="V374" s="41"/>
      <c r="W374" s="41"/>
      <c r="X374" s="41"/>
      <c r="Y374" s="41"/>
      <c r="Z374" s="41"/>
    </row>
    <row r="375" ht="19.5" customHeight="1">
      <c r="A375" s="41"/>
      <c r="B375" s="187" t="s">
        <v>732</v>
      </c>
      <c r="C375" s="111" t="str">
        <f>sample_cluster_vc_fqdn</f>
        <v>lax-w01-vc01lax.rainpole.io</v>
      </c>
      <c r="D375" s="299" t="str">
        <f>cluster_vc_fqdn</f>
        <v>Value Missing</v>
      </c>
      <c r="E375" s="187"/>
      <c r="F375" s="41"/>
      <c r="G375" s="41"/>
      <c r="H375" s="41"/>
      <c r="I375" s="41"/>
      <c r="J375" s="41"/>
      <c r="K375" s="41"/>
      <c r="L375" s="41"/>
      <c r="M375" s="41"/>
      <c r="N375" s="41"/>
      <c r="O375" s="41"/>
      <c r="P375" s="41"/>
      <c r="Q375" s="41"/>
      <c r="R375" s="41"/>
      <c r="S375" s="41"/>
      <c r="T375" s="41"/>
      <c r="U375" s="41"/>
      <c r="V375" s="41"/>
      <c r="W375" s="41"/>
      <c r="X375" s="41"/>
      <c r="Y375" s="41"/>
      <c r="Z375" s="41"/>
    </row>
    <row r="376" ht="19.5" customHeight="1">
      <c r="A376" s="41"/>
      <c r="B376" s="187" t="s">
        <v>756</v>
      </c>
      <c r="C376" s="255" t="str">
        <f>sample_cluster_witness_hostname</f>
        <v>lax-w01-cl02-vsw01</v>
      </c>
      <c r="D376" s="299" t="str">
        <f t="array" ref="D376">cluster_witness_hostname</f>
        <v>Value Missing</v>
      </c>
      <c r="E376" s="187"/>
      <c r="F376" s="41"/>
      <c r="G376" s="41"/>
      <c r="H376" s="41"/>
      <c r="I376" s="41"/>
      <c r="J376" s="41"/>
      <c r="K376" s="41"/>
      <c r="L376" s="41"/>
      <c r="M376" s="41"/>
      <c r="N376" s="41"/>
      <c r="O376" s="41"/>
      <c r="P376" s="41"/>
      <c r="Q376" s="41"/>
      <c r="R376" s="41"/>
      <c r="S376" s="41"/>
      <c r="T376" s="41"/>
      <c r="U376" s="41"/>
      <c r="V376" s="41"/>
      <c r="W376" s="41"/>
      <c r="X376" s="41"/>
      <c r="Y376" s="41"/>
      <c r="Z376" s="41"/>
    </row>
    <row r="377" ht="19.5" customHeight="1">
      <c r="A377" s="41"/>
      <c r="B377" s="187" t="s">
        <v>757</v>
      </c>
      <c r="C377" s="255" t="str">
        <f>CONCATENATE(sample_cluster_witness_ntp1_server," ",sample_cluster_witness_ntp2_server)</f>
        <v>ntp0.sfo.rainpole.io ntp1.sfo.rainpole.io</v>
      </c>
      <c r="D377" s="299" t="str">
        <f t="array" ref="D377">CONCATENATE(cluster_witness_ntp1_server," ",cluster_witness_ntp2_server)</f>
        <v>Value Missing Value Missing</v>
      </c>
      <c r="E377" s="300"/>
      <c r="F377" s="41"/>
      <c r="G377" s="41"/>
      <c r="H377" s="41"/>
      <c r="I377" s="41"/>
      <c r="J377" s="41"/>
      <c r="K377" s="41"/>
      <c r="L377" s="41"/>
      <c r="M377" s="41"/>
      <c r="N377" s="41"/>
      <c r="O377" s="41"/>
      <c r="P377" s="41"/>
      <c r="Q377" s="41"/>
      <c r="R377" s="41"/>
      <c r="S377" s="41"/>
      <c r="T377" s="41"/>
      <c r="U377" s="41"/>
      <c r="V377" s="41"/>
      <c r="W377" s="41"/>
      <c r="X377" s="41"/>
      <c r="Y377" s="41"/>
      <c r="Z377" s="41"/>
    </row>
    <row r="378" ht="19.5" customHeight="1">
      <c r="A378" s="41"/>
      <c r="B378" s="293" t="s">
        <v>758</v>
      </c>
      <c r="C378" s="13"/>
      <c r="D378" s="13"/>
      <c r="E378" s="14"/>
      <c r="F378" s="41"/>
      <c r="G378" s="41"/>
      <c r="H378" s="41"/>
      <c r="I378" s="41"/>
      <c r="J378" s="41"/>
      <c r="K378" s="41"/>
      <c r="L378" s="41"/>
      <c r="M378" s="41"/>
      <c r="N378" s="41"/>
      <c r="O378" s="41"/>
      <c r="P378" s="41"/>
      <c r="Q378" s="41"/>
      <c r="R378" s="41"/>
      <c r="S378" s="41"/>
      <c r="T378" s="41"/>
      <c r="U378" s="41"/>
      <c r="V378" s="41"/>
      <c r="W378" s="41"/>
      <c r="X378" s="41"/>
      <c r="Y378" s="41"/>
      <c r="Z378" s="41"/>
    </row>
    <row r="379" ht="19.5" customHeight="1">
      <c r="A379" s="41"/>
      <c r="B379" s="49" t="s">
        <v>37</v>
      </c>
      <c r="C379" s="49" t="s">
        <v>273</v>
      </c>
      <c r="D379" s="49" t="s">
        <v>274</v>
      </c>
      <c r="E379" s="49" t="s">
        <v>5</v>
      </c>
      <c r="F379" s="41"/>
      <c r="G379" s="41"/>
      <c r="H379" s="41"/>
      <c r="I379" s="41"/>
      <c r="J379" s="41"/>
      <c r="K379" s="41"/>
      <c r="L379" s="41"/>
      <c r="M379" s="41"/>
      <c r="N379" s="41"/>
      <c r="O379" s="41"/>
      <c r="P379" s="41"/>
      <c r="Q379" s="41"/>
      <c r="R379" s="41"/>
      <c r="S379" s="41"/>
      <c r="T379" s="41"/>
      <c r="U379" s="41"/>
      <c r="V379" s="41"/>
      <c r="W379" s="41"/>
      <c r="X379" s="41"/>
      <c r="Y379" s="41"/>
      <c r="Z379" s="41"/>
    </row>
    <row r="380" ht="19.5" customHeight="1">
      <c r="A380" s="41"/>
      <c r="B380" s="187" t="s">
        <v>732</v>
      </c>
      <c r="C380" s="111" t="str">
        <f>sample_cluster_vc_fqdn</f>
        <v>lax-w01-vc01lax.rainpole.io</v>
      </c>
      <c r="D380" s="299" t="str">
        <f>cluster_vc_fqdn</f>
        <v>Value Missing</v>
      </c>
      <c r="E380" s="187"/>
      <c r="F380" s="41"/>
      <c r="G380" s="41"/>
      <c r="H380" s="41"/>
      <c r="I380" s="41"/>
      <c r="J380" s="41"/>
      <c r="K380" s="41"/>
      <c r="L380" s="41"/>
      <c r="M380" s="41"/>
      <c r="N380" s="41"/>
      <c r="O380" s="41"/>
      <c r="P380" s="41"/>
      <c r="Q380" s="41"/>
      <c r="R380" s="41"/>
      <c r="S380" s="41"/>
      <c r="T380" s="41"/>
      <c r="U380" s="41"/>
      <c r="V380" s="41"/>
      <c r="W380" s="41"/>
      <c r="X380" s="41"/>
      <c r="Y380" s="41"/>
      <c r="Z380" s="41"/>
    </row>
    <row r="381" ht="19.5" customHeight="1">
      <c r="A381" s="41"/>
      <c r="B381" s="187" t="s">
        <v>759</v>
      </c>
      <c r="C381" s="255" t="str">
        <f>IF(cluster_wld_domain_chosen="VI Workload Domain",CONCATENATE(this_instance,"-w0",wld_domain_number_chosen,"-dc"),sample_mgmt_datacenter)</f>
        <v>lax-w01-dc</v>
      </c>
      <c r="D381" s="299" t="str">
        <f t="array" ref="D381">cluster_datacenter</f>
        <v>Value Missing</v>
      </c>
      <c r="E381" s="187"/>
      <c r="F381" s="41"/>
      <c r="G381" s="41"/>
      <c r="H381" s="41"/>
      <c r="I381" s="41"/>
      <c r="J381" s="41"/>
      <c r="K381" s="41"/>
      <c r="L381" s="41"/>
      <c r="M381" s="41"/>
      <c r="N381" s="41"/>
      <c r="O381" s="41"/>
      <c r="P381" s="41"/>
      <c r="Q381" s="41"/>
      <c r="R381" s="41"/>
      <c r="S381" s="41"/>
      <c r="T381" s="41"/>
      <c r="U381" s="41"/>
      <c r="V381" s="41"/>
      <c r="W381" s="41"/>
      <c r="X381" s="41"/>
      <c r="Y381" s="41"/>
      <c r="Z381" s="41"/>
    </row>
    <row r="382" ht="19.5" customHeight="1">
      <c r="A382" s="41"/>
      <c r="B382" s="187" t="s">
        <v>760</v>
      </c>
      <c r="C382" s="255" t="str">
        <f>sample_cluster_witness_hostname</f>
        <v>lax-w01-cl02-vsw01</v>
      </c>
      <c r="D382" s="299" t="str">
        <f>cluster_witness_hostname</f>
        <v>Value Missing</v>
      </c>
      <c r="E382" s="187"/>
      <c r="F382" s="41"/>
      <c r="G382" s="41"/>
      <c r="H382" s="41"/>
      <c r="I382" s="41"/>
      <c r="J382" s="41"/>
      <c r="K382" s="41"/>
      <c r="L382" s="41"/>
      <c r="M382" s="41"/>
      <c r="N382" s="41"/>
      <c r="O382" s="41"/>
      <c r="P382" s="41"/>
      <c r="Q382" s="41"/>
      <c r="R382" s="41"/>
      <c r="S382" s="41"/>
      <c r="T382" s="41"/>
      <c r="U382" s="41"/>
      <c r="V382" s="41"/>
      <c r="W382" s="41"/>
      <c r="X382" s="41"/>
      <c r="Y382" s="41"/>
      <c r="Z382" s="41"/>
    </row>
    <row r="383" ht="19.5" customHeight="1">
      <c r="A383" s="41"/>
      <c r="B383" s="301"/>
      <c r="C383" s="13"/>
      <c r="D383" s="13"/>
      <c r="E383" s="13"/>
      <c r="F383" s="41"/>
      <c r="G383" s="41"/>
      <c r="H383" s="41"/>
      <c r="I383" s="41"/>
      <c r="J383" s="41"/>
      <c r="K383" s="41"/>
      <c r="L383" s="41"/>
      <c r="M383" s="41"/>
      <c r="N383" s="41"/>
      <c r="O383" s="41"/>
      <c r="P383" s="41"/>
      <c r="Q383" s="41"/>
      <c r="R383" s="41"/>
      <c r="S383" s="41"/>
      <c r="T383" s="41"/>
      <c r="U383" s="41"/>
      <c r="V383" s="41"/>
      <c r="W383" s="41"/>
      <c r="X383" s="41"/>
      <c r="Y383" s="41"/>
      <c r="Z383" s="41"/>
    </row>
    <row r="384" ht="33.75" customHeight="1">
      <c r="A384" s="41"/>
      <c r="B384" s="290" t="s">
        <v>761</v>
      </c>
      <c r="C384" s="13"/>
      <c r="D384" s="13"/>
      <c r="E384" s="14"/>
      <c r="F384" s="41"/>
      <c r="G384" s="41"/>
      <c r="H384" s="41"/>
      <c r="I384" s="41"/>
      <c r="J384" s="41"/>
      <c r="K384" s="41"/>
      <c r="L384" s="41"/>
      <c r="M384" s="41"/>
      <c r="N384" s="41"/>
      <c r="O384" s="41"/>
      <c r="P384" s="41"/>
      <c r="Q384" s="41"/>
      <c r="R384" s="41"/>
      <c r="S384" s="41"/>
      <c r="T384" s="41"/>
      <c r="U384" s="41"/>
      <c r="V384" s="41"/>
      <c r="W384" s="41"/>
      <c r="X384" s="41"/>
      <c r="Y384" s="41"/>
      <c r="Z384" s="41"/>
    </row>
    <row r="385" ht="19.5" customHeight="1">
      <c r="A385" s="41"/>
      <c r="B385" s="296"/>
      <c r="C385" s="297"/>
      <c r="D385" s="297"/>
      <c r="E385" s="297"/>
      <c r="F385" s="41"/>
      <c r="G385" s="41"/>
      <c r="H385" s="41"/>
      <c r="I385" s="41"/>
      <c r="J385" s="41"/>
      <c r="K385" s="41"/>
      <c r="L385" s="41"/>
      <c r="M385" s="41"/>
      <c r="N385" s="41"/>
      <c r="O385" s="41"/>
      <c r="P385" s="41"/>
      <c r="Q385" s="41"/>
      <c r="R385" s="41"/>
      <c r="S385" s="41"/>
      <c r="T385" s="41"/>
      <c r="U385" s="41"/>
      <c r="V385" s="41"/>
      <c r="W385" s="41"/>
      <c r="X385" s="41"/>
      <c r="Y385" s="41"/>
      <c r="Z385" s="41"/>
    </row>
    <row r="386" ht="19.5" customHeight="1">
      <c r="A386" s="41"/>
      <c r="B386" s="49" t="s">
        <v>37</v>
      </c>
      <c r="C386" s="49" t="s">
        <v>273</v>
      </c>
      <c r="D386" s="49" t="s">
        <v>274</v>
      </c>
      <c r="E386" s="49" t="s">
        <v>5</v>
      </c>
      <c r="F386" s="41"/>
      <c r="G386" s="41"/>
      <c r="H386" s="41"/>
      <c r="I386" s="41"/>
      <c r="J386" s="41"/>
      <c r="K386" s="41"/>
      <c r="L386" s="41"/>
      <c r="M386" s="41"/>
      <c r="N386" s="41"/>
      <c r="O386" s="41"/>
      <c r="P386" s="41"/>
      <c r="Q386" s="41"/>
      <c r="R386" s="41"/>
      <c r="S386" s="41"/>
      <c r="T386" s="41"/>
      <c r="U386" s="41"/>
      <c r="V386" s="41"/>
      <c r="W386" s="41"/>
      <c r="X386" s="41"/>
      <c r="Y386" s="41"/>
      <c r="Z386" s="41"/>
    </row>
    <row r="387" ht="19.5" customHeight="1">
      <c r="A387" s="41"/>
      <c r="B387" s="187" t="str">
        <f t="array" ref="B387:B402">cluster_az2_host_fqdns</f>
        <v>Value Missing</v>
      </c>
      <c r="C387" s="255" t="s">
        <v>763</v>
      </c>
      <c r="D387" s="299"/>
      <c r="E387" s="302" t="s">
        <v>764</v>
      </c>
      <c r="F387" s="41"/>
      <c r="G387" s="41"/>
      <c r="H387" s="41"/>
      <c r="I387" s="41"/>
      <c r="J387" s="41"/>
      <c r="K387" s="41"/>
      <c r="L387" s="41"/>
      <c r="M387" s="41"/>
      <c r="N387" s="41"/>
      <c r="O387" s="41"/>
      <c r="P387" s="41"/>
      <c r="Q387" s="41"/>
      <c r="R387" s="41"/>
      <c r="S387" s="41"/>
      <c r="T387" s="41"/>
      <c r="U387" s="41"/>
      <c r="V387" s="41"/>
      <c r="W387" s="41"/>
      <c r="X387" s="41"/>
      <c r="Y387" s="41"/>
      <c r="Z387" s="41"/>
    </row>
    <row r="388" ht="19.5" customHeight="1">
      <c r="A388" s="41"/>
      <c r="B388" s="187" t="s">
        <v>483</v>
      </c>
      <c r="C388" s="255" t="s">
        <v>765</v>
      </c>
      <c r="D388" s="299"/>
      <c r="E388" s="302" t="s">
        <v>766</v>
      </c>
      <c r="F388" s="41"/>
      <c r="G388" s="41"/>
      <c r="H388" s="41"/>
      <c r="I388" s="41"/>
      <c r="J388" s="41"/>
      <c r="K388" s="41"/>
      <c r="L388" s="41"/>
      <c r="M388" s="41"/>
      <c r="N388" s="41"/>
      <c r="O388" s="41"/>
      <c r="P388" s="41"/>
      <c r="Q388" s="41"/>
      <c r="R388" s="41"/>
      <c r="S388" s="41"/>
      <c r="T388" s="41"/>
      <c r="U388" s="41"/>
      <c r="V388" s="41"/>
      <c r="W388" s="41"/>
      <c r="X388" s="41"/>
      <c r="Y388" s="41"/>
      <c r="Z388" s="41"/>
    </row>
    <row r="389" ht="19.5" customHeight="1">
      <c r="A389" s="41"/>
      <c r="B389" s="187" t="s">
        <v>483</v>
      </c>
      <c r="C389" s="255" t="s">
        <v>767</v>
      </c>
      <c r="D389" s="299"/>
      <c r="E389" s="302" t="s">
        <v>768</v>
      </c>
      <c r="F389" s="41"/>
      <c r="G389" s="41"/>
      <c r="H389" s="41"/>
      <c r="I389" s="41"/>
      <c r="J389" s="41"/>
      <c r="K389" s="41"/>
      <c r="L389" s="41"/>
      <c r="M389" s="41"/>
      <c r="N389" s="41"/>
      <c r="O389" s="41"/>
      <c r="P389" s="41"/>
      <c r="Q389" s="41"/>
      <c r="R389" s="41"/>
      <c r="S389" s="41"/>
      <c r="T389" s="41"/>
      <c r="U389" s="41"/>
      <c r="V389" s="41"/>
      <c r="W389" s="41"/>
      <c r="X389" s="41"/>
      <c r="Y389" s="41"/>
      <c r="Z389" s="41"/>
    </row>
    <row r="390" ht="19.5" customHeight="1">
      <c r="A390" s="41"/>
      <c r="B390" s="187" t="s">
        <v>483</v>
      </c>
      <c r="C390" s="255" t="s">
        <v>769</v>
      </c>
      <c r="D390" s="299"/>
      <c r="E390" s="302" t="s">
        <v>770</v>
      </c>
      <c r="F390" s="41"/>
      <c r="G390" s="41"/>
      <c r="H390" s="41"/>
      <c r="I390" s="41"/>
      <c r="J390" s="41"/>
      <c r="K390" s="41"/>
      <c r="L390" s="41"/>
      <c r="M390" s="41"/>
      <c r="N390" s="41"/>
      <c r="O390" s="41"/>
      <c r="P390" s="41"/>
      <c r="Q390" s="41"/>
      <c r="R390" s="41"/>
      <c r="S390" s="41"/>
      <c r="T390" s="41"/>
      <c r="U390" s="41"/>
      <c r="V390" s="41"/>
      <c r="W390" s="41"/>
      <c r="X390" s="41"/>
      <c r="Y390" s="41"/>
      <c r="Z390" s="41"/>
    </row>
    <row r="391" ht="19.5" customHeight="1">
      <c r="A391" s="41"/>
      <c r="B391" s="187" t="s">
        <v>483</v>
      </c>
      <c r="C391" s="255" t="s">
        <v>771</v>
      </c>
      <c r="D391" s="299"/>
      <c r="E391" s="302" t="s">
        <v>772</v>
      </c>
      <c r="F391" s="41"/>
      <c r="G391" s="41"/>
      <c r="H391" s="41"/>
      <c r="I391" s="41"/>
      <c r="J391" s="41"/>
      <c r="K391" s="41"/>
      <c r="L391" s="41"/>
      <c r="M391" s="41"/>
      <c r="N391" s="41"/>
      <c r="O391" s="41"/>
      <c r="P391" s="41"/>
      <c r="Q391" s="41"/>
      <c r="R391" s="41"/>
      <c r="S391" s="41"/>
      <c r="T391" s="41"/>
      <c r="U391" s="41"/>
      <c r="V391" s="41"/>
      <c r="W391" s="41"/>
      <c r="X391" s="41"/>
      <c r="Y391" s="41"/>
      <c r="Z391" s="41"/>
    </row>
    <row r="392" ht="19.5" customHeight="1">
      <c r="A392" s="41"/>
      <c r="B392" s="187" t="s">
        <v>483</v>
      </c>
      <c r="C392" s="255" t="s">
        <v>773</v>
      </c>
      <c r="D392" s="299"/>
      <c r="E392" s="302" t="s">
        <v>774</v>
      </c>
      <c r="F392" s="41"/>
      <c r="G392" s="41"/>
      <c r="H392" s="41"/>
      <c r="I392" s="41"/>
      <c r="J392" s="41"/>
      <c r="K392" s="41"/>
      <c r="L392" s="41"/>
      <c r="M392" s="41"/>
      <c r="N392" s="41"/>
      <c r="O392" s="41"/>
      <c r="P392" s="41"/>
      <c r="Q392" s="41"/>
      <c r="R392" s="41"/>
      <c r="S392" s="41"/>
      <c r="T392" s="41"/>
      <c r="U392" s="41"/>
      <c r="V392" s="41"/>
      <c r="W392" s="41"/>
      <c r="X392" s="41"/>
      <c r="Y392" s="41"/>
      <c r="Z392" s="41"/>
    </row>
    <row r="393" ht="19.5" customHeight="1">
      <c r="A393" s="41"/>
      <c r="B393" s="187" t="s">
        <v>483</v>
      </c>
      <c r="C393" s="255" t="s">
        <v>775</v>
      </c>
      <c r="D393" s="299"/>
      <c r="E393" s="302" t="s">
        <v>776</v>
      </c>
      <c r="F393" s="41"/>
      <c r="G393" s="41"/>
      <c r="H393" s="41"/>
      <c r="I393" s="41"/>
      <c r="J393" s="41"/>
      <c r="K393" s="41"/>
      <c r="L393" s="41"/>
      <c r="M393" s="41"/>
      <c r="N393" s="41"/>
      <c r="O393" s="41"/>
      <c r="P393" s="41"/>
      <c r="Q393" s="41"/>
      <c r="R393" s="41"/>
      <c r="S393" s="41"/>
      <c r="T393" s="41"/>
      <c r="U393" s="41"/>
      <c r="V393" s="41"/>
      <c r="W393" s="41"/>
      <c r="X393" s="41"/>
      <c r="Y393" s="41"/>
      <c r="Z393" s="41"/>
    </row>
    <row r="394" ht="19.5" customHeight="1">
      <c r="A394" s="41"/>
      <c r="B394" s="187" t="s">
        <v>483</v>
      </c>
      <c r="C394" s="255" t="s">
        <v>777</v>
      </c>
      <c r="D394" s="299"/>
      <c r="E394" s="302" t="s">
        <v>778</v>
      </c>
      <c r="F394" s="41"/>
      <c r="G394" s="41"/>
      <c r="H394" s="41"/>
      <c r="I394" s="41"/>
      <c r="J394" s="41"/>
      <c r="K394" s="41"/>
      <c r="L394" s="41"/>
      <c r="M394" s="41"/>
      <c r="N394" s="41"/>
      <c r="O394" s="41"/>
      <c r="P394" s="41"/>
      <c r="Q394" s="41"/>
      <c r="R394" s="41"/>
      <c r="S394" s="41"/>
      <c r="T394" s="41"/>
      <c r="U394" s="41"/>
      <c r="V394" s="41"/>
      <c r="W394" s="41"/>
      <c r="X394" s="41"/>
      <c r="Y394" s="41"/>
      <c r="Z394" s="41"/>
    </row>
    <row r="395" ht="19.5" customHeight="1">
      <c r="A395" s="41"/>
      <c r="B395" s="187" t="s">
        <v>483</v>
      </c>
      <c r="C395" s="255" t="s">
        <v>779</v>
      </c>
      <c r="D395" s="299"/>
      <c r="E395" s="302" t="s">
        <v>780</v>
      </c>
      <c r="F395" s="41"/>
      <c r="G395" s="41"/>
      <c r="H395" s="41"/>
      <c r="I395" s="41"/>
      <c r="J395" s="41"/>
      <c r="K395" s="41"/>
      <c r="L395" s="41"/>
      <c r="M395" s="41"/>
      <c r="N395" s="41"/>
      <c r="O395" s="41"/>
      <c r="P395" s="41"/>
      <c r="Q395" s="41"/>
      <c r="R395" s="41"/>
      <c r="S395" s="41"/>
      <c r="T395" s="41"/>
      <c r="U395" s="41"/>
      <c r="V395" s="41"/>
      <c r="W395" s="41"/>
      <c r="X395" s="41"/>
      <c r="Y395" s="41"/>
      <c r="Z395" s="41"/>
    </row>
    <row r="396" ht="19.5" customHeight="1">
      <c r="A396" s="41"/>
      <c r="B396" s="187" t="s">
        <v>483</v>
      </c>
      <c r="C396" s="255" t="s">
        <v>781</v>
      </c>
      <c r="D396" s="299"/>
      <c r="E396" s="302" t="s">
        <v>782</v>
      </c>
      <c r="F396" s="41"/>
      <c r="G396" s="41"/>
      <c r="H396" s="41"/>
      <c r="I396" s="41"/>
      <c r="J396" s="41"/>
      <c r="K396" s="41"/>
      <c r="L396" s="41"/>
      <c r="M396" s="41"/>
      <c r="N396" s="41"/>
      <c r="O396" s="41"/>
      <c r="P396" s="41"/>
      <c r="Q396" s="41"/>
      <c r="R396" s="41"/>
      <c r="S396" s="41"/>
      <c r="T396" s="41"/>
      <c r="U396" s="41"/>
      <c r="V396" s="41"/>
      <c r="W396" s="41"/>
      <c r="X396" s="41"/>
      <c r="Y396" s="41"/>
      <c r="Z396" s="41"/>
    </row>
    <row r="397" ht="19.5" customHeight="1">
      <c r="A397" s="41"/>
      <c r="B397" s="187" t="s">
        <v>483</v>
      </c>
      <c r="C397" s="255" t="s">
        <v>783</v>
      </c>
      <c r="D397" s="299"/>
      <c r="E397" s="302" t="s">
        <v>784</v>
      </c>
      <c r="F397" s="41"/>
      <c r="G397" s="41"/>
      <c r="H397" s="41"/>
      <c r="I397" s="41"/>
      <c r="J397" s="41"/>
      <c r="K397" s="41"/>
      <c r="L397" s="41"/>
      <c r="M397" s="41"/>
      <c r="N397" s="41"/>
      <c r="O397" s="41"/>
      <c r="P397" s="41"/>
      <c r="Q397" s="41"/>
      <c r="R397" s="41"/>
      <c r="S397" s="41"/>
      <c r="T397" s="41"/>
      <c r="U397" s="41"/>
      <c r="V397" s="41"/>
      <c r="W397" s="41"/>
      <c r="X397" s="41"/>
      <c r="Y397" s="41"/>
      <c r="Z397" s="41"/>
    </row>
    <row r="398" ht="19.5" customHeight="1">
      <c r="A398" s="41"/>
      <c r="B398" s="187" t="s">
        <v>483</v>
      </c>
      <c r="C398" s="255" t="s">
        <v>785</v>
      </c>
      <c r="D398" s="299"/>
      <c r="E398" s="302" t="s">
        <v>786</v>
      </c>
      <c r="F398" s="41"/>
      <c r="G398" s="41"/>
      <c r="H398" s="41"/>
      <c r="I398" s="41"/>
      <c r="J398" s="41"/>
      <c r="K398" s="41"/>
      <c r="L398" s="41"/>
      <c r="M398" s="41"/>
      <c r="N398" s="41"/>
      <c r="O398" s="41"/>
      <c r="P398" s="41"/>
      <c r="Q398" s="41"/>
      <c r="R398" s="41"/>
      <c r="S398" s="41"/>
      <c r="T398" s="41"/>
      <c r="U398" s="41"/>
      <c r="V398" s="41"/>
      <c r="W398" s="41"/>
      <c r="X398" s="41"/>
      <c r="Y398" s="41"/>
      <c r="Z398" s="41"/>
    </row>
    <row r="399" ht="19.5" customHeight="1">
      <c r="A399" s="41"/>
      <c r="B399" s="187" t="s">
        <v>483</v>
      </c>
      <c r="C399" s="255" t="s">
        <v>787</v>
      </c>
      <c r="D399" s="299"/>
      <c r="E399" s="302" t="s">
        <v>788</v>
      </c>
      <c r="F399" s="41"/>
      <c r="G399" s="41"/>
      <c r="H399" s="41"/>
      <c r="I399" s="41"/>
      <c r="J399" s="41"/>
      <c r="K399" s="41"/>
      <c r="L399" s="41"/>
      <c r="M399" s="41"/>
      <c r="N399" s="41"/>
      <c r="O399" s="41"/>
      <c r="P399" s="41"/>
      <c r="Q399" s="41"/>
      <c r="R399" s="41"/>
      <c r="S399" s="41"/>
      <c r="T399" s="41"/>
      <c r="U399" s="41"/>
      <c r="V399" s="41"/>
      <c r="W399" s="41"/>
      <c r="X399" s="41"/>
      <c r="Y399" s="41"/>
      <c r="Z399" s="41"/>
    </row>
    <row r="400" ht="19.5" customHeight="1">
      <c r="A400" s="41"/>
      <c r="B400" s="187" t="s">
        <v>483</v>
      </c>
      <c r="C400" s="255" t="s">
        <v>789</v>
      </c>
      <c r="D400" s="299"/>
      <c r="E400" s="302" t="s">
        <v>790</v>
      </c>
      <c r="F400" s="41"/>
      <c r="G400" s="41"/>
      <c r="H400" s="41"/>
      <c r="I400" s="41"/>
      <c r="J400" s="41"/>
      <c r="K400" s="41"/>
      <c r="L400" s="41"/>
      <c r="M400" s="41"/>
      <c r="N400" s="41"/>
      <c r="O400" s="41"/>
      <c r="P400" s="41"/>
      <c r="Q400" s="41"/>
      <c r="R400" s="41"/>
      <c r="S400" s="41"/>
      <c r="T400" s="41"/>
      <c r="U400" s="41"/>
      <c r="V400" s="41"/>
      <c r="W400" s="41"/>
      <c r="X400" s="41"/>
      <c r="Y400" s="41"/>
      <c r="Z400" s="41"/>
    </row>
    <row r="401" ht="19.5" customHeight="1">
      <c r="A401" s="41"/>
      <c r="B401" s="187" t="s">
        <v>483</v>
      </c>
      <c r="C401" s="255" t="s">
        <v>791</v>
      </c>
      <c r="D401" s="299"/>
      <c r="E401" s="302" t="s">
        <v>792</v>
      </c>
      <c r="F401" s="41"/>
      <c r="G401" s="41"/>
      <c r="H401" s="41"/>
      <c r="I401" s="41"/>
      <c r="J401" s="41"/>
      <c r="K401" s="41"/>
      <c r="L401" s="41"/>
      <c r="M401" s="41"/>
      <c r="N401" s="41"/>
      <c r="O401" s="41"/>
      <c r="P401" s="41"/>
      <c r="Q401" s="41"/>
      <c r="R401" s="41"/>
      <c r="S401" s="41"/>
      <c r="T401" s="41"/>
      <c r="U401" s="41"/>
      <c r="V401" s="41"/>
      <c r="W401" s="41"/>
      <c r="X401" s="41"/>
      <c r="Y401" s="41"/>
      <c r="Z401" s="41"/>
    </row>
    <row r="402" ht="19.5" customHeight="1">
      <c r="A402" s="41"/>
      <c r="B402" s="187" t="s">
        <v>483</v>
      </c>
      <c r="C402" s="255" t="s">
        <v>793</v>
      </c>
      <c r="D402" s="299"/>
      <c r="E402" s="302" t="s">
        <v>794</v>
      </c>
      <c r="F402" s="41"/>
      <c r="G402" s="41"/>
      <c r="H402" s="41"/>
      <c r="I402" s="41"/>
      <c r="J402" s="41"/>
      <c r="K402" s="41"/>
      <c r="L402" s="41"/>
      <c r="M402" s="41"/>
      <c r="N402" s="41"/>
      <c r="O402" s="41"/>
      <c r="P402" s="41"/>
      <c r="Q402" s="41"/>
      <c r="R402" s="41"/>
      <c r="S402" s="41"/>
      <c r="T402" s="41"/>
      <c r="U402" s="41"/>
      <c r="V402" s="41"/>
      <c r="W402" s="41"/>
      <c r="X402" s="41"/>
      <c r="Y402" s="41"/>
      <c r="Z402" s="41"/>
    </row>
    <row r="403" ht="19.5" customHeight="1">
      <c r="A403" s="41"/>
      <c r="B403" s="187" t="s">
        <v>1621</v>
      </c>
      <c r="C403" s="255" t="s">
        <v>1622</v>
      </c>
      <c r="D403" s="294" t="s">
        <v>1622</v>
      </c>
      <c r="E403" s="303"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c r="F403" s="41"/>
      <c r="G403" s="41"/>
      <c r="H403" s="41"/>
      <c r="I403" s="41"/>
      <c r="J403" s="41"/>
      <c r="K403" s="41"/>
      <c r="L403" s="41"/>
      <c r="M403" s="41"/>
      <c r="N403" s="41"/>
      <c r="O403" s="41"/>
      <c r="P403" s="41"/>
      <c r="Q403" s="41"/>
      <c r="R403" s="41"/>
      <c r="S403" s="41"/>
      <c r="T403" s="41"/>
      <c r="U403" s="41"/>
      <c r="V403" s="41"/>
      <c r="W403" s="41"/>
      <c r="X403" s="41"/>
      <c r="Y403" s="41"/>
      <c r="Z403" s="41"/>
    </row>
    <row r="404" ht="19.5" customHeight="1">
      <c r="A404" s="41"/>
      <c r="B404" s="187" t="s">
        <v>1623</v>
      </c>
      <c r="C404" s="255" t="s">
        <v>1624</v>
      </c>
      <c r="D404" s="294" t="s">
        <v>1624</v>
      </c>
      <c r="E404" s="303"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c r="F404" s="41"/>
      <c r="G404" s="41"/>
      <c r="H404" s="41"/>
      <c r="I404" s="41"/>
      <c r="J404" s="41"/>
      <c r="K404" s="41"/>
      <c r="L404" s="41"/>
      <c r="M404" s="41"/>
      <c r="N404" s="41"/>
      <c r="O404" s="41"/>
      <c r="P404" s="41"/>
      <c r="Q404" s="41"/>
      <c r="R404" s="41"/>
      <c r="S404" s="41"/>
      <c r="T404" s="41"/>
      <c r="U404" s="41"/>
      <c r="V404" s="41"/>
      <c r="W404" s="41"/>
      <c r="X404" s="41"/>
      <c r="Y404" s="41"/>
      <c r="Z404" s="41"/>
    </row>
    <row r="405" ht="19.5" customHeight="1">
      <c r="A405" s="41"/>
      <c r="B405" s="187" t="s">
        <v>795</v>
      </c>
      <c r="C405" s="255" t="str">
        <f>IF(cluster_wld_domain_chosen="VI Workload Domain",CONCATENATE(this_instance,"02-",sample_cluster_name,"-r01-network-profile"),CONCATENATE(this_instance,"02-",sample_cluster_name,"-r01-network-profile"))</f>
        <v>lax02-lax-w01-cl02-r01-network-profile</v>
      </c>
      <c r="D405" s="294"/>
      <c r="E405" s="258"/>
      <c r="F405" s="41"/>
      <c r="G405" s="41"/>
      <c r="H405" s="41"/>
      <c r="I405" s="41"/>
      <c r="J405" s="41"/>
      <c r="K405" s="41"/>
      <c r="L405" s="41"/>
      <c r="M405" s="41"/>
      <c r="N405" s="41"/>
      <c r="O405" s="41"/>
      <c r="P405" s="41"/>
      <c r="Q405" s="41"/>
      <c r="R405" s="41"/>
      <c r="S405" s="41"/>
      <c r="T405" s="41"/>
      <c r="U405" s="41"/>
      <c r="V405" s="41"/>
      <c r="W405" s="41"/>
      <c r="X405" s="41"/>
      <c r="Y405" s="41"/>
      <c r="Z405" s="41"/>
    </row>
    <row r="406" ht="19.5" customHeight="1">
      <c r="A406" s="41"/>
      <c r="B406" s="84" t="s">
        <v>796</v>
      </c>
      <c r="C406" s="110" t="s">
        <v>797</v>
      </c>
      <c r="D406" s="294" t="s">
        <v>797</v>
      </c>
      <c r="E406" s="1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c r="F406" s="41"/>
      <c r="G406" s="41"/>
      <c r="H406" s="41"/>
      <c r="I406" s="41"/>
      <c r="J406" s="41"/>
      <c r="K406" s="41"/>
      <c r="L406" s="41"/>
      <c r="M406" s="41"/>
      <c r="N406" s="41"/>
      <c r="O406" s="41"/>
      <c r="P406" s="41"/>
      <c r="Q406" s="41"/>
      <c r="R406" s="41"/>
      <c r="S406" s="41"/>
      <c r="T406" s="41"/>
      <c r="U406" s="41"/>
      <c r="V406" s="41"/>
      <c r="W406" s="41"/>
      <c r="X406" s="41"/>
      <c r="Y406" s="41"/>
      <c r="Z406" s="41"/>
    </row>
    <row r="407" ht="19.5" customHeight="1">
      <c r="A407" s="41"/>
      <c r="B407" s="187" t="s">
        <v>798</v>
      </c>
      <c r="C407" s="255" t="str">
        <f>IF(cluster_wld_domain_chosen="VI Workload Domain",CONCATENATE(this_instance,"02-w0",wld_domain_number_chosen,"-r01-ip-pool01-host"),CONCATENATE(this_instance,"02-m01","-r01-ip-pool01-host"))</f>
        <v>lax02-w01-r01-ip-pool01-host</v>
      </c>
      <c r="D407" s="294"/>
      <c r="E407" s="258"/>
      <c r="F407" s="41"/>
      <c r="G407" s="41"/>
      <c r="H407" s="41"/>
      <c r="I407" s="41"/>
      <c r="J407" s="41"/>
      <c r="K407" s="41"/>
      <c r="L407" s="41"/>
      <c r="M407" s="41"/>
      <c r="N407" s="41"/>
      <c r="O407" s="41"/>
      <c r="P407" s="41"/>
      <c r="Q407" s="41"/>
      <c r="R407" s="41"/>
      <c r="S407" s="41"/>
      <c r="T407" s="41"/>
      <c r="U407" s="41"/>
      <c r="V407" s="41"/>
      <c r="W407" s="41"/>
      <c r="X407" s="41"/>
      <c r="Y407" s="41"/>
      <c r="Z407" s="41"/>
    </row>
    <row r="408" ht="19.5" customHeight="1">
      <c r="A408" s="41"/>
      <c r="B408" s="187" t="s">
        <v>799</v>
      </c>
      <c r="C408" s="255" t="str">
        <f>IF(cluster_wld_domain_chosen="VI Workload Domain",CONCATENATE(this_instance,"02-w0",wld_domain_number_chosen,"-r01-uplink-profile-01"),CONCATENATE(this_instance,"02-m01","-r01-uplink-profile-01"))</f>
        <v>lax02-w01-r01-uplink-profile-01</v>
      </c>
      <c r="D408" s="294"/>
      <c r="E408" s="258"/>
      <c r="F408" s="41"/>
      <c r="G408" s="41"/>
      <c r="H408" s="41"/>
      <c r="I408" s="41"/>
      <c r="J408" s="41"/>
      <c r="K408" s="41"/>
      <c r="L408" s="41"/>
      <c r="M408" s="41"/>
      <c r="N408" s="41"/>
      <c r="O408" s="41"/>
      <c r="P408" s="41"/>
      <c r="Q408" s="41"/>
      <c r="R408" s="41"/>
      <c r="S408" s="41"/>
      <c r="T408" s="41"/>
      <c r="U408" s="41"/>
      <c r="V408" s="41"/>
      <c r="W408" s="41"/>
      <c r="X408" s="41"/>
      <c r="Y408" s="41"/>
      <c r="Z408" s="41"/>
    </row>
    <row r="409" ht="19.5" customHeight="1">
      <c r="A409" s="41"/>
      <c r="B409" s="173" t="s">
        <v>800</v>
      </c>
      <c r="C409" s="229" t="str">
        <f>IF(cluster_wld_domain_chosen="VI Workload Domain",CONCATENATE(prefix_wld_az2_vlan,"14"),CONCATENATE(prefix_mgmt_az2_vlan,"14"))</f>
        <v>2414</v>
      </c>
      <c r="D409" s="294"/>
      <c r="E409" s="258"/>
      <c r="F409" s="41"/>
      <c r="G409" s="41"/>
      <c r="H409" s="41"/>
      <c r="I409" s="41"/>
      <c r="J409" s="41"/>
      <c r="K409" s="41"/>
      <c r="L409" s="41"/>
      <c r="M409" s="41"/>
      <c r="N409" s="41"/>
      <c r="O409" s="41"/>
      <c r="P409" s="41"/>
      <c r="Q409" s="41"/>
      <c r="R409" s="41"/>
      <c r="S409" s="41"/>
      <c r="T409" s="41"/>
      <c r="U409" s="41"/>
      <c r="V409" s="41"/>
      <c r="W409" s="41"/>
      <c r="X409" s="41"/>
      <c r="Y409" s="41"/>
      <c r="Z409" s="41"/>
    </row>
    <row r="410" ht="19.5" customHeight="1">
      <c r="A410" s="41"/>
      <c r="B410" s="84" t="s">
        <v>801</v>
      </c>
      <c r="C410" s="229" t="str">
        <f>IF(cluster_wld_domain_chosen="VI Workload Domain",CONCATENATE(prefix_wld_az2_cidr,"14.0/24"),CONCATENATE(prefix_mgmt_az2_cidr,"14.0/24"))</f>
        <v>10.24.14.0/24</v>
      </c>
      <c r="D410" s="206"/>
      <c r="E410" s="258"/>
      <c r="F410" s="41"/>
      <c r="G410" s="41"/>
      <c r="H410" s="41"/>
      <c r="I410" s="41"/>
      <c r="J410" s="41"/>
      <c r="K410" s="41"/>
      <c r="L410" s="41"/>
      <c r="M410" s="41"/>
      <c r="N410" s="41"/>
      <c r="O410" s="41"/>
      <c r="P410" s="41"/>
      <c r="Q410" s="41"/>
      <c r="R410" s="41"/>
      <c r="S410" s="41"/>
      <c r="T410" s="41"/>
      <c r="U410" s="41"/>
      <c r="V410" s="41"/>
      <c r="W410" s="41"/>
      <c r="X410" s="41"/>
      <c r="Y410" s="41"/>
      <c r="Z410" s="41"/>
    </row>
    <row r="411" ht="19.5" customHeight="1">
      <c r="A411" s="41"/>
      <c r="B411" s="84" t="s">
        <v>802</v>
      </c>
      <c r="C411" s="229" t="str">
        <f>IF(cluster_wld_domain_chosen="VI Workload Domain",CONCATENATE(prefix_wld_az2_cidr,"14.1"),CONCATENATE(prefix_mgmt_az2_cidr,"14.1"))</f>
        <v>10.24.14.1</v>
      </c>
      <c r="D411" s="291"/>
      <c r="E411" s="258"/>
      <c r="F411" s="41"/>
      <c r="G411" s="41"/>
      <c r="H411" s="41"/>
      <c r="I411" s="41"/>
      <c r="J411" s="41"/>
      <c r="K411" s="41"/>
      <c r="L411" s="41"/>
      <c r="M411" s="41"/>
      <c r="N411" s="41"/>
      <c r="O411" s="41"/>
      <c r="P411" s="41"/>
      <c r="Q411" s="41"/>
      <c r="R411" s="41"/>
      <c r="S411" s="41"/>
      <c r="T411" s="41"/>
      <c r="U411" s="41"/>
      <c r="V411" s="41"/>
      <c r="W411" s="41"/>
      <c r="X411" s="41"/>
      <c r="Y411" s="41"/>
      <c r="Z411" s="41"/>
    </row>
    <row r="412" ht="19.5" customHeight="1">
      <c r="A412" s="41"/>
      <c r="B412" s="84" t="s">
        <v>803</v>
      </c>
      <c r="C412" s="229">
        <v>9000.0</v>
      </c>
      <c r="D412" s="291"/>
      <c r="E412" s="258"/>
      <c r="F412" s="41"/>
      <c r="G412" s="41"/>
      <c r="H412" s="41"/>
      <c r="I412" s="41"/>
      <c r="J412" s="41"/>
      <c r="K412" s="41"/>
      <c r="L412" s="41"/>
      <c r="M412" s="41"/>
      <c r="N412" s="41"/>
      <c r="O412" s="41"/>
      <c r="P412" s="41"/>
      <c r="Q412" s="41"/>
      <c r="R412" s="41"/>
      <c r="S412" s="41"/>
      <c r="T412" s="41"/>
      <c r="U412" s="41"/>
      <c r="V412" s="41"/>
      <c r="W412" s="41"/>
      <c r="X412" s="41"/>
      <c r="Y412" s="41"/>
      <c r="Z412" s="41"/>
    </row>
    <row r="413" ht="19.5" customHeight="1">
      <c r="A413" s="41"/>
      <c r="B413" s="187" t="s">
        <v>465</v>
      </c>
      <c r="C413" s="229" t="str">
        <f>IF(cluster_wld_domain_chosen="VI Workload Domain",CONCATENATE(prefix_wld_az2_cidr,"14.101"),CONCATENATE(prefix_mgmt_az2_cidr,"14.101"))</f>
        <v>10.24.14.101</v>
      </c>
      <c r="D413" s="291"/>
      <c r="E413" s="258"/>
      <c r="F413" s="41"/>
      <c r="G413" s="41"/>
      <c r="H413" s="41"/>
      <c r="I413" s="41"/>
      <c r="J413" s="41"/>
      <c r="K413" s="41"/>
      <c r="L413" s="41"/>
      <c r="M413" s="41"/>
      <c r="N413" s="41"/>
      <c r="O413" s="41"/>
      <c r="P413" s="41"/>
      <c r="Q413" s="41"/>
      <c r="R413" s="41"/>
      <c r="S413" s="41"/>
      <c r="T413" s="41"/>
      <c r="U413" s="41"/>
      <c r="V413" s="41"/>
      <c r="W413" s="41"/>
      <c r="X413" s="41"/>
      <c r="Y413" s="41"/>
      <c r="Z413" s="41"/>
    </row>
    <row r="414" ht="19.5" customHeight="1">
      <c r="A414" s="41"/>
      <c r="B414" s="187" t="s">
        <v>466</v>
      </c>
      <c r="C414" s="229" t="str">
        <f>IF(cluster_wld_domain_chosen="VI Workload Domain",CONCATENATE(prefix_wld_az2_cidr,"14.132"),CONCATENATE(prefix_mgmt_az2_cidr,"14.132"))</f>
        <v>10.24.14.132</v>
      </c>
      <c r="D414" s="291"/>
      <c r="E414" s="258"/>
      <c r="F414" s="41"/>
      <c r="G414" s="41"/>
      <c r="H414" s="41"/>
      <c r="I414" s="41"/>
      <c r="J414" s="41"/>
      <c r="K414" s="41"/>
      <c r="L414" s="41"/>
      <c r="M414" s="41"/>
      <c r="N414" s="41"/>
      <c r="O414" s="41"/>
      <c r="P414" s="41"/>
      <c r="Q414" s="41"/>
      <c r="R414" s="41"/>
      <c r="S414" s="41"/>
      <c r="T414" s="41"/>
      <c r="U414" s="41"/>
      <c r="V414" s="41"/>
      <c r="W414" s="41"/>
      <c r="X414" s="41"/>
      <c r="Y414" s="41"/>
      <c r="Z414" s="41"/>
    </row>
    <row r="415" ht="19.5" customHeight="1">
      <c r="A415" s="41"/>
      <c r="B415" s="187" t="s">
        <v>1496</v>
      </c>
      <c r="C415" s="111" t="str">
        <f>sample_cluster_witness_fqdn</f>
        <v>lax-w01-cl02-vsw01.lax.rainpole.io</v>
      </c>
      <c r="D415" s="299" t="str">
        <f>cluster_witness_fqdn</f>
        <v>Value Missing</v>
      </c>
      <c r="E415" s="300"/>
      <c r="F415" s="41"/>
      <c r="G415" s="41"/>
      <c r="H415" s="41"/>
      <c r="I415" s="41"/>
      <c r="J415" s="41"/>
      <c r="K415" s="41"/>
      <c r="L415" s="41"/>
      <c r="M415" s="41"/>
      <c r="N415" s="41"/>
      <c r="O415" s="41"/>
      <c r="P415" s="41"/>
      <c r="Q415" s="41"/>
      <c r="R415" s="41"/>
      <c r="S415" s="41"/>
      <c r="T415" s="41"/>
      <c r="U415" s="41"/>
      <c r="V415" s="41"/>
      <c r="W415" s="41"/>
      <c r="X415" s="41"/>
      <c r="Y415" s="41"/>
      <c r="Z415" s="41"/>
    </row>
    <row r="416" ht="19.5" customHeight="1">
      <c r="A416" s="41"/>
      <c r="B416" s="187" t="s">
        <v>808</v>
      </c>
      <c r="C416" s="110" t="str">
        <f>sample_cluster_witnessaz_mgmt_cidr</f>
        <v>10.11.10.0/24</v>
      </c>
      <c r="D416" s="299" t="str">
        <f>cluster_witnessaz_mgmt_cidr</f>
        <v>Value Missing</v>
      </c>
      <c r="E416" s="300"/>
      <c r="F416" s="41"/>
      <c r="G416" s="41"/>
      <c r="H416" s="41"/>
      <c r="I416" s="41"/>
      <c r="J416" s="41"/>
      <c r="K416" s="41"/>
      <c r="L416" s="41"/>
      <c r="M416" s="41"/>
      <c r="N416" s="41"/>
      <c r="O416" s="41"/>
      <c r="P416" s="41"/>
      <c r="Q416" s="41"/>
      <c r="R416" s="41"/>
      <c r="S416" s="41"/>
      <c r="T416" s="41"/>
      <c r="U416" s="41"/>
      <c r="V416" s="41"/>
      <c r="W416" s="41"/>
      <c r="X416" s="41"/>
      <c r="Y416" s="41"/>
      <c r="Z416" s="41"/>
    </row>
    <row r="417" ht="19.5" customHeight="1">
      <c r="A417" s="41"/>
      <c r="B417" s="187" t="s">
        <v>806</v>
      </c>
      <c r="C417" s="110" t="str">
        <f>sample_cluster_witness_ip</f>
        <v>10.11.10.223</v>
      </c>
      <c r="D417" s="294" t="str">
        <f>cluster_witness_ip</f>
        <v>Value Missing</v>
      </c>
      <c r="E417" s="258"/>
      <c r="F417" s="41"/>
      <c r="G417" s="41"/>
      <c r="H417" s="41"/>
      <c r="I417" s="41"/>
      <c r="J417" s="41"/>
      <c r="K417" s="41"/>
      <c r="L417" s="41"/>
      <c r="M417" s="41"/>
      <c r="N417" s="41"/>
      <c r="O417" s="41"/>
      <c r="P417" s="41"/>
      <c r="Q417" s="41"/>
      <c r="R417" s="41"/>
      <c r="S417" s="41"/>
      <c r="T417" s="41"/>
      <c r="U417" s="41"/>
      <c r="V417" s="41"/>
      <c r="W417" s="41"/>
      <c r="X417" s="41"/>
      <c r="Y417" s="41"/>
      <c r="Z417" s="41"/>
    </row>
    <row r="418" ht="19.5" customHeight="1">
      <c r="A418" s="41"/>
      <c r="B418" s="187" t="s">
        <v>809</v>
      </c>
      <c r="C418" s="255" t="s">
        <v>810</v>
      </c>
      <c r="D418" s="294"/>
      <c r="E418" s="258" t="s">
        <v>811</v>
      </c>
      <c r="F418" s="41"/>
      <c r="G418" s="41"/>
      <c r="H418" s="41"/>
      <c r="I418" s="41"/>
      <c r="J418" s="41"/>
      <c r="K418" s="41"/>
      <c r="L418" s="41"/>
      <c r="M418" s="41"/>
      <c r="N418" s="41"/>
      <c r="O418" s="41"/>
      <c r="P418" s="41"/>
      <c r="Q418" s="41"/>
      <c r="R418" s="41"/>
      <c r="S418" s="41"/>
      <c r="T418" s="41"/>
      <c r="U418" s="41"/>
      <c r="V418" s="41"/>
      <c r="W418" s="41"/>
      <c r="X418" s="41"/>
      <c r="Y418" s="41"/>
      <c r="Z418" s="41"/>
    </row>
    <row r="419" ht="19.5" customHeight="1">
      <c r="A419" s="41"/>
      <c r="B419" s="301"/>
      <c r="C419" s="13"/>
      <c r="D419" s="13"/>
      <c r="E419" s="13"/>
      <c r="F419" s="41"/>
      <c r="G419" s="41"/>
      <c r="H419" s="41"/>
      <c r="I419" s="41"/>
      <c r="J419" s="41"/>
      <c r="K419" s="41"/>
      <c r="L419" s="41"/>
      <c r="M419" s="41"/>
      <c r="N419" s="41"/>
      <c r="O419" s="41"/>
      <c r="P419" s="41"/>
      <c r="Q419" s="41"/>
      <c r="R419" s="41"/>
      <c r="S419" s="41"/>
      <c r="T419" s="41"/>
      <c r="U419" s="41"/>
      <c r="V419" s="41"/>
      <c r="W419" s="41"/>
      <c r="X419" s="41"/>
      <c r="Y419" s="41"/>
      <c r="Z419" s="41"/>
    </row>
    <row r="420" ht="33.75" customHeight="1">
      <c r="A420" s="41"/>
      <c r="B420" s="290" t="s">
        <v>812</v>
      </c>
      <c r="C420" s="13"/>
      <c r="D420" s="13"/>
      <c r="E420" s="14"/>
      <c r="F420" s="41"/>
      <c r="G420" s="41"/>
      <c r="H420" s="41"/>
      <c r="I420" s="41"/>
      <c r="J420" s="41"/>
      <c r="K420" s="41"/>
      <c r="L420" s="41"/>
      <c r="M420" s="41"/>
      <c r="N420" s="41"/>
      <c r="O420" s="41"/>
      <c r="P420" s="41"/>
      <c r="Q420" s="41"/>
      <c r="R420" s="41"/>
      <c r="S420" s="41"/>
      <c r="T420" s="41"/>
      <c r="U420" s="41"/>
      <c r="V420" s="41"/>
      <c r="W420" s="41"/>
      <c r="X420" s="41"/>
      <c r="Y420" s="41"/>
      <c r="Z420" s="41"/>
    </row>
    <row r="421" ht="19.5" customHeight="1">
      <c r="A421" s="41"/>
      <c r="B421" s="293" t="s">
        <v>813</v>
      </c>
      <c r="C421" s="13"/>
      <c r="D421" s="13"/>
      <c r="E421" s="14"/>
      <c r="F421" s="41"/>
      <c r="G421" s="41"/>
      <c r="H421" s="41"/>
      <c r="I421" s="41"/>
      <c r="J421" s="41"/>
      <c r="K421" s="41"/>
      <c r="L421" s="41"/>
      <c r="M421" s="41"/>
      <c r="N421" s="41"/>
      <c r="O421" s="41"/>
      <c r="P421" s="41"/>
      <c r="Q421" s="41"/>
      <c r="R421" s="41"/>
      <c r="S421" s="41"/>
      <c r="T421" s="41"/>
      <c r="U421" s="41"/>
      <c r="V421" s="41"/>
      <c r="W421" s="41"/>
      <c r="X421" s="41"/>
      <c r="Y421" s="41"/>
      <c r="Z421" s="41"/>
    </row>
    <row r="422" ht="19.5" customHeight="1">
      <c r="A422" s="41"/>
      <c r="B422" s="49" t="s">
        <v>37</v>
      </c>
      <c r="C422" s="49" t="s">
        <v>273</v>
      </c>
      <c r="D422" s="49" t="s">
        <v>274</v>
      </c>
      <c r="E422" s="49" t="s">
        <v>5</v>
      </c>
      <c r="F422" s="41"/>
      <c r="G422" s="41"/>
      <c r="H422" s="41"/>
      <c r="I422" s="41"/>
      <c r="J422" s="41"/>
      <c r="K422" s="41"/>
      <c r="L422" s="41"/>
      <c r="M422" s="41"/>
      <c r="N422" s="41"/>
      <c r="O422" s="41"/>
      <c r="P422" s="41"/>
      <c r="Q422" s="41"/>
      <c r="R422" s="41"/>
      <c r="S422" s="41"/>
      <c r="T422" s="41"/>
      <c r="U422" s="41"/>
      <c r="V422" s="41"/>
      <c r="W422" s="41"/>
      <c r="X422" s="41"/>
      <c r="Y422" s="41"/>
      <c r="Z422" s="41"/>
    </row>
    <row r="423" ht="19.5" customHeight="1">
      <c r="A423" s="41"/>
      <c r="B423" s="187" t="s">
        <v>814</v>
      </c>
      <c r="C423" s="304" t="str">
        <f>IF(cluster_wld_domain_chosen="VI Workload Domain",CONCATENATE(this_instance,"-w0",wld_domain_number_chosen,"-nsx01",".",sample_child_dns_zone),CONCATENATE(this_instance,"-m01-nsx01",".",sample_child_dns_zone))</f>
        <v>lax-w01-nsx01.lax.rainpole.io</v>
      </c>
      <c r="D423" s="294"/>
      <c r="E423" s="305"/>
      <c r="F423" s="41"/>
      <c r="G423" s="41"/>
      <c r="H423" s="41"/>
      <c r="I423" s="41"/>
      <c r="J423" s="41"/>
      <c r="K423" s="41"/>
      <c r="L423" s="41"/>
      <c r="M423" s="41"/>
      <c r="N423" s="41"/>
      <c r="O423" s="41"/>
      <c r="P423" s="41"/>
      <c r="Q423" s="41"/>
      <c r="R423" s="41"/>
      <c r="S423" s="41"/>
      <c r="T423" s="41"/>
      <c r="U423" s="41"/>
      <c r="V423" s="41"/>
      <c r="W423" s="41"/>
      <c r="X423" s="41"/>
      <c r="Y423" s="41"/>
      <c r="Z423" s="41"/>
    </row>
    <row r="424" ht="19.5" customHeight="1">
      <c r="A424" s="41"/>
      <c r="B424" s="293" t="s">
        <v>815</v>
      </c>
      <c r="C424" s="13"/>
      <c r="D424" s="13"/>
      <c r="E424" s="14"/>
      <c r="F424" s="41"/>
      <c r="G424" s="41"/>
      <c r="H424" s="41"/>
      <c r="I424" s="41"/>
      <c r="J424" s="41"/>
      <c r="K424" s="41"/>
      <c r="L424" s="41"/>
      <c r="M424" s="41"/>
      <c r="N424" s="41"/>
      <c r="O424" s="41"/>
      <c r="P424" s="41"/>
      <c r="Q424" s="41"/>
      <c r="R424" s="41"/>
      <c r="S424" s="41"/>
      <c r="T424" s="41"/>
      <c r="U424" s="41"/>
      <c r="V424" s="41"/>
      <c r="W424" s="41"/>
      <c r="X424" s="41"/>
      <c r="Y424" s="41"/>
      <c r="Z424" s="41"/>
    </row>
    <row r="425" ht="19.5" customHeight="1">
      <c r="A425" s="41"/>
      <c r="B425" s="49" t="s">
        <v>37</v>
      </c>
      <c r="C425" s="49" t="s">
        <v>273</v>
      </c>
      <c r="D425" s="49" t="s">
        <v>274</v>
      </c>
      <c r="E425" s="49" t="s">
        <v>5</v>
      </c>
      <c r="F425" s="41"/>
      <c r="G425" s="41"/>
      <c r="H425" s="41"/>
      <c r="I425" s="41"/>
      <c r="J425" s="41"/>
      <c r="K425" s="41"/>
      <c r="L425" s="41"/>
      <c r="M425" s="41"/>
      <c r="N425" s="41"/>
      <c r="O425" s="41"/>
      <c r="P425" s="41"/>
      <c r="Q425" s="41"/>
      <c r="R425" s="41"/>
      <c r="S425" s="41"/>
      <c r="T425" s="41"/>
      <c r="U425" s="41"/>
      <c r="V425" s="41"/>
      <c r="W425" s="41"/>
      <c r="X425" s="41"/>
      <c r="Y425" s="41"/>
      <c r="Z425" s="41"/>
    </row>
    <row r="426" ht="19.5" customHeight="1">
      <c r="A426" s="41"/>
      <c r="B426" s="187" t="s">
        <v>814</v>
      </c>
      <c r="C426" s="304" t="str">
        <f>sample_cluster_nsxt_vip_fqdn</f>
        <v>lax-w01-nsx01.lax.rainpole.io</v>
      </c>
      <c r="D426" s="299" t="str">
        <f t="array" ref="D426">cluster_nsxt_vip_fqdn</f>
        <v>Value Missing</v>
      </c>
      <c r="E426" s="187"/>
      <c r="F426" s="41"/>
      <c r="G426" s="41"/>
      <c r="H426" s="41"/>
      <c r="I426" s="41"/>
      <c r="J426" s="41"/>
      <c r="K426" s="41"/>
      <c r="L426" s="41"/>
      <c r="M426" s="41"/>
      <c r="N426" s="41"/>
      <c r="O426" s="41"/>
      <c r="P426" s="41"/>
      <c r="Q426" s="41"/>
      <c r="R426" s="41"/>
      <c r="S426" s="41"/>
      <c r="T426" s="41"/>
      <c r="U426" s="41"/>
      <c r="V426" s="41"/>
      <c r="W426" s="41"/>
      <c r="X426" s="41"/>
      <c r="Y426" s="41"/>
      <c r="Z426" s="41"/>
    </row>
    <row r="427" ht="19.5" customHeight="1">
      <c r="A427" s="41"/>
      <c r="B427" s="187" t="s">
        <v>816</v>
      </c>
      <c r="C427" s="255" t="str">
        <f>IF(cluster_wld_domain_chosen="VI Workload Domain",IF(mgmt_nsxt_federation_result="Included","65202","65102"),IF(mgmt_nsxt_federation_result="Excluded","65101","65201"))</f>
        <v>65202</v>
      </c>
      <c r="D427" s="299"/>
      <c r="E427" s="187"/>
      <c r="F427" s="41"/>
      <c r="G427" s="41"/>
      <c r="H427" s="41"/>
      <c r="I427" s="41"/>
      <c r="J427" s="41"/>
      <c r="K427" s="41"/>
      <c r="L427" s="41"/>
      <c r="M427" s="41"/>
      <c r="N427" s="41"/>
      <c r="O427" s="41"/>
      <c r="P427" s="41"/>
      <c r="Q427" s="41"/>
      <c r="R427" s="41"/>
      <c r="S427" s="41"/>
      <c r="T427" s="41"/>
      <c r="U427" s="41"/>
      <c r="V427" s="41"/>
      <c r="W427" s="41"/>
      <c r="X427" s="41"/>
      <c r="Y427" s="41"/>
      <c r="Z427" s="41"/>
    </row>
    <row r="428" ht="19.5" customHeight="1">
      <c r="A428" s="41"/>
      <c r="B428" s="293" t="s">
        <v>817</v>
      </c>
      <c r="C428" s="13"/>
      <c r="D428" s="13"/>
      <c r="E428" s="14"/>
      <c r="F428" s="41"/>
      <c r="G428" s="41"/>
      <c r="H428" s="41"/>
      <c r="I428" s="41"/>
      <c r="J428" s="41"/>
      <c r="K428" s="41"/>
      <c r="L428" s="41"/>
      <c r="M428" s="41"/>
      <c r="N428" s="41"/>
      <c r="O428" s="41"/>
      <c r="P428" s="41"/>
      <c r="Q428" s="41"/>
      <c r="R428" s="41"/>
      <c r="S428" s="41"/>
      <c r="T428" s="41"/>
      <c r="U428" s="41"/>
      <c r="V428" s="41"/>
      <c r="W428" s="41"/>
      <c r="X428" s="41"/>
      <c r="Y428" s="41"/>
      <c r="Z428" s="41"/>
    </row>
    <row r="429" ht="19.5" customHeight="1">
      <c r="A429" s="41"/>
      <c r="B429" s="49" t="s">
        <v>37</v>
      </c>
      <c r="C429" s="49" t="s">
        <v>273</v>
      </c>
      <c r="D429" s="49" t="s">
        <v>274</v>
      </c>
      <c r="E429" s="49" t="s">
        <v>5</v>
      </c>
      <c r="F429" s="41"/>
      <c r="G429" s="41"/>
      <c r="H429" s="41"/>
      <c r="I429" s="41"/>
      <c r="J429" s="41"/>
      <c r="K429" s="41"/>
      <c r="L429" s="41"/>
      <c r="M429" s="41"/>
      <c r="N429" s="41"/>
      <c r="O429" s="41"/>
      <c r="P429" s="41"/>
      <c r="Q429" s="41"/>
      <c r="R429" s="41"/>
      <c r="S429" s="41"/>
      <c r="T429" s="41"/>
      <c r="U429" s="41"/>
      <c r="V429" s="41"/>
      <c r="W429" s="41"/>
      <c r="X429" s="41"/>
      <c r="Y429" s="41"/>
      <c r="Z429" s="41"/>
    </row>
    <row r="430" ht="19.5" customHeight="1">
      <c r="A430" s="41"/>
      <c r="B430" s="187" t="s">
        <v>814</v>
      </c>
      <c r="C430" s="306" t="str">
        <f>sample_cluster_nsxt_vip_fqdn</f>
        <v>lax-w01-nsx01.lax.rainpole.io</v>
      </c>
      <c r="D430" s="299" t="str">
        <f t="array" ref="D430">cluster_nsxt_vip_fqdn</f>
        <v>Value Missing</v>
      </c>
      <c r="E430" s="300"/>
      <c r="F430" s="41"/>
      <c r="G430" s="41"/>
      <c r="H430" s="41"/>
      <c r="I430" s="41"/>
      <c r="J430" s="41"/>
      <c r="K430" s="41"/>
      <c r="L430" s="41"/>
      <c r="M430" s="41"/>
      <c r="N430" s="41"/>
      <c r="O430" s="41"/>
      <c r="P430" s="41"/>
      <c r="Q430" s="41"/>
      <c r="R430" s="41"/>
      <c r="S430" s="41"/>
      <c r="T430" s="41"/>
      <c r="U430" s="41"/>
      <c r="V430" s="41"/>
      <c r="W430" s="41"/>
      <c r="X430" s="41"/>
      <c r="Y430" s="41"/>
      <c r="Z430" s="41"/>
    </row>
    <row r="431" ht="19.5" customHeight="1">
      <c r="A431" s="41"/>
      <c r="B431" s="187" t="s">
        <v>818</v>
      </c>
      <c r="C431" s="255" t="str">
        <f>IF(cluster_wld_domain_chosen="VI Workload Domain",CONCATENATE(prefix_mgmt_az1_cidr,"17.11"),CONCATENATE(prefix_wld_az1_cidr,"17.11"))</f>
        <v>10.21.17.11</v>
      </c>
      <c r="D431" s="294"/>
      <c r="E431" s="258" t="s">
        <v>658</v>
      </c>
      <c r="F431" s="41"/>
      <c r="G431" s="41"/>
      <c r="H431" s="41"/>
      <c r="I431" s="41"/>
      <c r="J431" s="41"/>
      <c r="K431" s="41"/>
      <c r="L431" s="41"/>
      <c r="M431" s="41"/>
      <c r="N431" s="41"/>
      <c r="O431" s="41"/>
      <c r="P431" s="41"/>
      <c r="Q431" s="41"/>
      <c r="R431" s="41"/>
      <c r="S431" s="41"/>
      <c r="T431" s="41"/>
      <c r="U431" s="41"/>
      <c r="V431" s="41"/>
      <c r="W431" s="41"/>
      <c r="X431" s="41"/>
      <c r="Y431" s="41"/>
      <c r="Z431" s="41"/>
    </row>
    <row r="432" ht="19.5" customHeight="1">
      <c r="A432" s="41"/>
      <c r="B432" s="187" t="s">
        <v>819</v>
      </c>
      <c r="C432" s="255" t="str">
        <f>IF(cluster_wld_domain_chosen="VI Workload Domain",CONCATENATE(asn_start,asn_instance,asn_mgmt_az2,1),CONCATENATE(asn_start,asn_instance,asn_wld_az2,1))</f>
        <v>221</v>
      </c>
      <c r="D432" s="294"/>
      <c r="E432" s="258" t="s">
        <v>659</v>
      </c>
      <c r="F432" s="41"/>
      <c r="G432" s="41"/>
      <c r="H432" s="41"/>
      <c r="I432" s="41"/>
      <c r="J432" s="41"/>
      <c r="K432" s="41"/>
      <c r="L432" s="41"/>
      <c r="M432" s="41"/>
      <c r="N432" s="41"/>
      <c r="O432" s="41"/>
      <c r="P432" s="41"/>
      <c r="Q432" s="41"/>
      <c r="R432" s="41"/>
      <c r="S432" s="41"/>
      <c r="T432" s="41"/>
      <c r="U432" s="41"/>
      <c r="V432" s="41"/>
      <c r="W432" s="41"/>
      <c r="X432" s="41"/>
      <c r="Y432" s="41"/>
      <c r="Z432" s="41"/>
    </row>
    <row r="433" ht="19.5" customHeight="1">
      <c r="A433" s="41"/>
      <c r="B433" s="187" t="s">
        <v>820</v>
      </c>
      <c r="C433" s="255" t="str">
        <f>IF(cluster_wld_domain_chosen="VI Workload Domain",CONCATENATE(prefix_mgmt_az1_cidr,"17.4/24"),CONCATENATE(prefix_wld_az1_cidr,"17.4/24"))</f>
        <v>10.21.17.4/24</v>
      </c>
      <c r="D433" s="299"/>
      <c r="E433" s="300"/>
      <c r="F433" s="41"/>
      <c r="G433" s="41"/>
      <c r="H433" s="41"/>
      <c r="I433" s="41"/>
      <c r="J433" s="41"/>
      <c r="K433" s="41"/>
      <c r="L433" s="41"/>
      <c r="M433" s="41"/>
      <c r="N433" s="41"/>
      <c r="O433" s="41"/>
      <c r="P433" s="41"/>
      <c r="Q433" s="41"/>
      <c r="R433" s="41"/>
      <c r="S433" s="41"/>
      <c r="T433" s="41"/>
      <c r="U433" s="41"/>
      <c r="V433" s="41"/>
      <c r="W433" s="41"/>
      <c r="X433" s="41"/>
      <c r="Y433" s="41"/>
      <c r="Z433" s="41"/>
    </row>
    <row r="434" ht="19.5" customHeight="1">
      <c r="A434" s="41"/>
      <c r="B434" s="187" t="s">
        <v>821</v>
      </c>
      <c r="C434" s="255" t="str">
        <f>IF(cluster_wld_domain_chosen="VI Workload Domain",CONCATENATE(prefix_mgmt_az1_cidr,"17.5/24"),CONCATENATE(prefix_wld_az1_cidr,"17.5/24"))</f>
        <v>10.21.17.5/24</v>
      </c>
      <c r="D434" s="299"/>
      <c r="E434" s="300"/>
      <c r="F434" s="41"/>
      <c r="G434" s="41"/>
      <c r="H434" s="41"/>
      <c r="I434" s="41"/>
      <c r="J434" s="41"/>
      <c r="K434" s="41"/>
      <c r="L434" s="41"/>
      <c r="M434" s="41"/>
      <c r="N434" s="41"/>
      <c r="O434" s="41"/>
      <c r="P434" s="41"/>
      <c r="Q434" s="41"/>
      <c r="R434" s="41"/>
      <c r="S434" s="41"/>
      <c r="T434" s="41"/>
      <c r="U434" s="41"/>
      <c r="V434" s="41"/>
      <c r="W434" s="41"/>
      <c r="X434" s="41"/>
      <c r="Y434" s="41"/>
      <c r="Z434" s="41"/>
    </row>
    <row r="435" ht="19.5" customHeight="1">
      <c r="A435" s="41"/>
      <c r="B435" s="187" t="s">
        <v>822</v>
      </c>
      <c r="C435" s="255" t="s">
        <v>382</v>
      </c>
      <c r="D435" s="294"/>
      <c r="E435" s="258" t="s">
        <v>660</v>
      </c>
      <c r="F435" s="41"/>
      <c r="G435" s="41"/>
      <c r="H435" s="41"/>
      <c r="I435" s="41"/>
      <c r="J435" s="41"/>
      <c r="K435" s="41"/>
      <c r="L435" s="41"/>
      <c r="M435" s="41"/>
      <c r="N435" s="41"/>
      <c r="O435" s="41"/>
      <c r="P435" s="41"/>
      <c r="Q435" s="41"/>
      <c r="R435" s="41"/>
      <c r="S435" s="41"/>
      <c r="T435" s="41"/>
      <c r="U435" s="41"/>
      <c r="V435" s="41"/>
      <c r="W435" s="41"/>
      <c r="X435" s="41"/>
      <c r="Y435" s="41"/>
      <c r="Z435" s="41"/>
    </row>
    <row r="436" ht="19.5" customHeight="1">
      <c r="A436" s="41"/>
      <c r="B436" s="187" t="s">
        <v>823</v>
      </c>
      <c r="C436" s="255" t="str">
        <f>IF(cluster_wld_domain_chosen="VI Workload Domain",CONCATENATE(prefix_mgmt_az1_cidr,"18.11"),CONCATENATE(prefix_wld_az1_cidr,"18.11"))</f>
        <v>10.21.18.11</v>
      </c>
      <c r="D436" s="294"/>
      <c r="E436" s="258" t="s">
        <v>661</v>
      </c>
      <c r="F436" s="41"/>
      <c r="G436" s="41"/>
      <c r="H436" s="41"/>
      <c r="I436" s="41"/>
      <c r="J436" s="41"/>
      <c r="K436" s="41"/>
      <c r="L436" s="41"/>
      <c r="M436" s="41"/>
      <c r="N436" s="41"/>
      <c r="O436" s="41"/>
      <c r="P436" s="41"/>
      <c r="Q436" s="41"/>
      <c r="R436" s="41"/>
      <c r="S436" s="41"/>
      <c r="T436" s="41"/>
      <c r="U436" s="41"/>
      <c r="V436" s="41"/>
      <c r="W436" s="41"/>
      <c r="X436" s="41"/>
      <c r="Y436" s="41"/>
      <c r="Z436" s="41"/>
    </row>
    <row r="437" ht="19.5" customHeight="1">
      <c r="A437" s="41"/>
      <c r="B437" s="187" t="s">
        <v>820</v>
      </c>
      <c r="C437" s="255" t="str">
        <f>IF(cluster_wld_domain_chosen="VI Workload Domain",CONCATENATE(prefix_mgmt_az1_cidr,"18.4/24"),CONCATENATE(prefix_wld_az1_cidr,"18.4/24"))</f>
        <v>10.21.18.4/24</v>
      </c>
      <c r="D437" s="299"/>
      <c r="E437" s="300"/>
      <c r="F437" s="41"/>
      <c r="G437" s="41"/>
      <c r="H437" s="41"/>
      <c r="I437" s="41"/>
      <c r="J437" s="41"/>
      <c r="K437" s="41"/>
      <c r="L437" s="41"/>
      <c r="M437" s="41"/>
      <c r="N437" s="41"/>
      <c r="O437" s="41"/>
      <c r="P437" s="41"/>
      <c r="Q437" s="41"/>
      <c r="R437" s="41"/>
      <c r="S437" s="41"/>
      <c r="T437" s="41"/>
      <c r="U437" s="41"/>
      <c r="V437" s="41"/>
      <c r="W437" s="41"/>
      <c r="X437" s="41"/>
      <c r="Y437" s="41"/>
      <c r="Z437" s="41"/>
    </row>
    <row r="438" ht="19.5" customHeight="1">
      <c r="A438" s="41"/>
      <c r="B438" s="187" t="s">
        <v>821</v>
      </c>
      <c r="C438" s="255" t="str">
        <f>IF(cluster_wld_domain_chosen="VI Workload Domain",CONCATENATE(prefix_mgmt_az1_cidr,"18.5/24"),CONCATENATE(prefix_wld_az1_cidr,"18.5/24"))</f>
        <v>10.21.18.5/24</v>
      </c>
      <c r="D438" s="299"/>
      <c r="E438" s="300"/>
      <c r="F438" s="41"/>
      <c r="G438" s="41"/>
      <c r="H438" s="41"/>
      <c r="I438" s="41"/>
      <c r="J438" s="41"/>
      <c r="K438" s="41"/>
      <c r="L438" s="41"/>
      <c r="M438" s="41"/>
      <c r="N438" s="41"/>
      <c r="O438" s="41"/>
      <c r="P438" s="41"/>
      <c r="Q438" s="41"/>
      <c r="R438" s="41"/>
      <c r="S438" s="41"/>
      <c r="T438" s="41"/>
      <c r="U438" s="41"/>
      <c r="V438" s="41"/>
      <c r="W438" s="41"/>
      <c r="X438" s="41"/>
      <c r="Y438" s="41"/>
      <c r="Z438" s="41"/>
    </row>
    <row r="439" ht="19.5" customHeight="1">
      <c r="A439" s="41"/>
      <c r="B439" s="187" t="s">
        <v>824</v>
      </c>
      <c r="C439" s="255" t="str">
        <f>IF(cluster_wld_domain_chosen="VI Workload Domain",CONCATENATE(asn_start,asn_instance,asn_mgmt_az2,1),CONCATENATE(asn_start,asn_instance,asn_wld_az2,1))</f>
        <v>221</v>
      </c>
      <c r="D439" s="294"/>
      <c r="E439" s="258" t="s">
        <v>662</v>
      </c>
      <c r="F439" s="41"/>
      <c r="G439" s="41"/>
      <c r="H439" s="41"/>
      <c r="I439" s="41"/>
      <c r="J439" s="41"/>
      <c r="K439" s="41"/>
      <c r="L439" s="41"/>
      <c r="M439" s="41"/>
      <c r="N439" s="41"/>
      <c r="O439" s="41"/>
      <c r="P439" s="41"/>
      <c r="Q439" s="41"/>
      <c r="R439" s="41"/>
      <c r="S439" s="41"/>
      <c r="T439" s="41"/>
      <c r="U439" s="41"/>
      <c r="V439" s="41"/>
      <c r="W439" s="41"/>
      <c r="X439" s="41"/>
      <c r="Y439" s="41"/>
      <c r="Z439" s="41"/>
    </row>
    <row r="440" ht="19.5" customHeight="1">
      <c r="A440" s="41"/>
      <c r="B440" s="187" t="s">
        <v>822</v>
      </c>
      <c r="C440" s="255" t="s">
        <v>382</v>
      </c>
      <c r="D440" s="294"/>
      <c r="E440" s="258" t="s">
        <v>663</v>
      </c>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55"/>
      <c r="C441" s="81"/>
      <c r="D441" s="81"/>
      <c r="E441" s="8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1"/>
      <c r="D442" s="1"/>
      <c r="E442" s="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1"/>
      <c r="D443" s="1"/>
      <c r="E443" s="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1"/>
      <c r="D444" s="1"/>
      <c r="E444" s="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1"/>
      <c r="D445" s="1"/>
      <c r="E445" s="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1"/>
      <c r="D446" s="1"/>
      <c r="E446" s="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1"/>
      <c r="D447" s="1"/>
      <c r="E447" s="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1"/>
      <c r="D448" s="1"/>
      <c r="E448" s="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1"/>
      <c r="D449" s="1"/>
      <c r="E449" s="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1"/>
      <c r="D450" s="1"/>
      <c r="E450" s="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1"/>
      <c r="D451" s="1"/>
      <c r="E451" s="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1"/>
      <c r="D452" s="1"/>
      <c r="E452" s="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1"/>
      <c r="D453" s="1"/>
      <c r="E453" s="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1"/>
      <c r="D454" s="1"/>
      <c r="E454" s="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1"/>
      <c r="D455" s="1"/>
      <c r="E455" s="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1"/>
      <c r="D456" s="1"/>
      <c r="E456" s="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1"/>
      <c r="D457" s="1"/>
      <c r="E457" s="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1"/>
      <c r="D458" s="1"/>
      <c r="E458" s="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1"/>
      <c r="D459" s="1"/>
      <c r="E459" s="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1"/>
      <c r="D460" s="1"/>
      <c r="E460" s="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1"/>
      <c r="D461" s="1"/>
      <c r="E461" s="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1"/>
      <c r="D462" s="1"/>
      <c r="E462" s="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1"/>
      <c r="D463" s="1"/>
      <c r="E463" s="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1"/>
      <c r="D464" s="1"/>
      <c r="E464" s="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1"/>
      <c r="D465" s="1"/>
      <c r="E465" s="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1"/>
      <c r="D466" s="1"/>
      <c r="E466" s="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1"/>
      <c r="D467" s="1"/>
      <c r="E467" s="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1"/>
      <c r="D468" s="1"/>
      <c r="E468" s="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1"/>
      <c r="D469" s="1"/>
      <c r="E469" s="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1"/>
      <c r="D470" s="1"/>
      <c r="E470" s="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1"/>
      <c r="D471" s="1"/>
      <c r="E471" s="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1"/>
      <c r="D472" s="1"/>
      <c r="E472" s="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1"/>
      <c r="D473" s="1"/>
      <c r="E473" s="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1"/>
      <c r="D474" s="1"/>
      <c r="E474" s="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1"/>
      <c r="D475" s="1"/>
      <c r="E475" s="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1"/>
      <c r="D476" s="1"/>
      <c r="E476" s="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1"/>
      <c r="D477" s="1"/>
      <c r="E477" s="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1"/>
      <c r="D478" s="1"/>
      <c r="E478" s="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1"/>
      <c r="D479" s="1"/>
      <c r="E479" s="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1"/>
      <c r="D480" s="1"/>
      <c r="E480" s="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1"/>
      <c r="D481" s="1"/>
      <c r="E481" s="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1"/>
      <c r="D482" s="1"/>
      <c r="E482" s="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1"/>
      <c r="D483" s="1"/>
      <c r="E483" s="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1"/>
      <c r="D484" s="1"/>
      <c r="E484" s="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1"/>
      <c r="D485" s="1"/>
      <c r="E485" s="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1"/>
      <c r="D486" s="1"/>
      <c r="E486" s="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1"/>
      <c r="D487" s="1"/>
      <c r="E487" s="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1"/>
      <c r="D488" s="1"/>
      <c r="E488" s="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1"/>
      <c r="D489" s="1"/>
      <c r="E489" s="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1"/>
      <c r="D490" s="1"/>
      <c r="E490" s="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1"/>
      <c r="D491" s="1"/>
      <c r="E491" s="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1"/>
      <c r="D492" s="1"/>
      <c r="E492" s="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1"/>
      <c r="D493" s="1"/>
      <c r="E493" s="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1"/>
      <c r="D494" s="1"/>
      <c r="E494" s="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1"/>
      <c r="D495" s="1"/>
      <c r="E495" s="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1"/>
      <c r="D496" s="1"/>
      <c r="E496" s="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1"/>
      <c r="D497" s="1"/>
      <c r="E497" s="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1"/>
      <c r="D498" s="1"/>
      <c r="E498" s="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1"/>
      <c r="D499" s="1"/>
      <c r="E499" s="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1"/>
      <c r="D500" s="1"/>
      <c r="E500" s="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1"/>
      <c r="D501" s="1"/>
      <c r="E501" s="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1"/>
      <c r="D502" s="1"/>
      <c r="E502" s="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1"/>
      <c r="D503" s="1"/>
      <c r="E503" s="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1"/>
      <c r="D504" s="1"/>
      <c r="E504" s="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1"/>
      <c r="D505" s="1"/>
      <c r="E505" s="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1"/>
      <c r="D506" s="1"/>
      <c r="E506" s="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1"/>
      <c r="D507" s="1"/>
      <c r="E507" s="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1"/>
      <c r="D508" s="1"/>
      <c r="E508" s="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1"/>
      <c r="D509" s="1"/>
      <c r="E509" s="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1"/>
      <c r="D510" s="1"/>
      <c r="E510" s="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1"/>
      <c r="D511" s="1"/>
      <c r="E511" s="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1"/>
      <c r="D512" s="1"/>
      <c r="E512" s="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1"/>
      <c r="D513" s="1"/>
      <c r="E513" s="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1"/>
      <c r="D514" s="1"/>
      <c r="E514" s="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1"/>
      <c r="D515" s="1"/>
      <c r="E515" s="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1"/>
      <c r="D516" s="1"/>
      <c r="E516" s="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1"/>
      <c r="D517" s="1"/>
      <c r="E517" s="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1"/>
      <c r="D518" s="1"/>
      <c r="E518" s="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1"/>
      <c r="D519" s="1"/>
      <c r="E519" s="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1"/>
      <c r="D520" s="1"/>
      <c r="E520" s="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1"/>
      <c r="D521" s="1"/>
      <c r="E521" s="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1"/>
      <c r="D522" s="1"/>
      <c r="E522" s="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1"/>
      <c r="D523" s="1"/>
      <c r="E523" s="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1"/>
      <c r="D524" s="1"/>
      <c r="E524" s="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1"/>
      <c r="D525" s="1"/>
      <c r="E525" s="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1"/>
      <c r="D526" s="1"/>
      <c r="E526" s="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1"/>
      <c r="D527" s="1"/>
      <c r="E527" s="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1"/>
      <c r="D528" s="1"/>
      <c r="E528" s="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1"/>
      <c r="D529" s="1"/>
      <c r="E529" s="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1"/>
      <c r="D530" s="1"/>
      <c r="E530" s="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1"/>
      <c r="D531" s="1"/>
      <c r="E531" s="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1"/>
      <c r="D532" s="1"/>
      <c r="E532" s="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1"/>
      <c r="D533" s="1"/>
      <c r="E533" s="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1"/>
      <c r="D534" s="1"/>
      <c r="E534" s="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1"/>
      <c r="D535" s="1"/>
      <c r="E535" s="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1"/>
      <c r="D536" s="1"/>
      <c r="E536" s="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1"/>
      <c r="D537" s="1"/>
      <c r="E537" s="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1"/>
      <c r="D538" s="1"/>
      <c r="E538" s="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1"/>
      <c r="D539" s="1"/>
      <c r="E539" s="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1"/>
      <c r="D540" s="1"/>
      <c r="E540" s="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1"/>
      <c r="D541" s="1"/>
      <c r="E541" s="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1"/>
      <c r="D542" s="1"/>
      <c r="E542" s="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1"/>
      <c r="D543" s="1"/>
      <c r="E543" s="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1"/>
      <c r="D544" s="1"/>
      <c r="E544" s="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1"/>
      <c r="D545" s="1"/>
      <c r="E545" s="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1"/>
      <c r="D546" s="1"/>
      <c r="E546" s="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1"/>
      <c r="D547" s="1"/>
      <c r="E547" s="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1"/>
      <c r="D548" s="1"/>
      <c r="E548" s="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1"/>
      <c r="D549" s="1"/>
      <c r="E549" s="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1"/>
      <c r="D550" s="1"/>
      <c r="E550" s="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1"/>
      <c r="D551" s="1"/>
      <c r="E551" s="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1"/>
      <c r="D552" s="1"/>
      <c r="E552" s="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1"/>
      <c r="D553" s="1"/>
      <c r="E553" s="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1"/>
      <c r="D554" s="1"/>
      <c r="E554" s="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1"/>
      <c r="D555" s="1"/>
      <c r="E555" s="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1"/>
      <c r="D556" s="1"/>
      <c r="E556" s="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1"/>
      <c r="D557" s="1"/>
      <c r="E557" s="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1"/>
      <c r="D558" s="1"/>
      <c r="E558" s="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1"/>
      <c r="D559" s="1"/>
      <c r="E559" s="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1"/>
      <c r="D560" s="1"/>
      <c r="E560" s="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1"/>
      <c r="D561" s="1"/>
      <c r="E561" s="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1"/>
      <c r="D562" s="1"/>
      <c r="E562" s="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1"/>
      <c r="D563" s="1"/>
      <c r="E563" s="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1"/>
      <c r="D564" s="1"/>
      <c r="E564" s="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1"/>
      <c r="D565" s="1"/>
      <c r="E565" s="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1"/>
      <c r="D566" s="1"/>
      <c r="E566" s="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1"/>
      <c r="D567" s="1"/>
      <c r="E567" s="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1"/>
      <c r="D568" s="1"/>
      <c r="E568" s="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1"/>
      <c r="D569" s="1"/>
      <c r="E569" s="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1"/>
      <c r="D570" s="1"/>
      <c r="E570" s="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1"/>
      <c r="D571" s="1"/>
      <c r="E571" s="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1"/>
      <c r="D572" s="1"/>
      <c r="E572" s="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1"/>
      <c r="D573" s="1"/>
      <c r="E573" s="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1"/>
      <c r="D574" s="1"/>
      <c r="E574" s="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1"/>
      <c r="D575" s="1"/>
      <c r="E575" s="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1"/>
      <c r="D576" s="1"/>
      <c r="E576" s="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1"/>
      <c r="D577" s="1"/>
      <c r="E577" s="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1"/>
      <c r="D578" s="1"/>
      <c r="E578" s="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1"/>
      <c r="D579" s="1"/>
      <c r="E579" s="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1"/>
      <c r="D580" s="1"/>
      <c r="E580" s="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1"/>
      <c r="D581" s="1"/>
      <c r="E581" s="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1"/>
      <c r="D582" s="1"/>
      <c r="E582" s="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1"/>
      <c r="D583" s="1"/>
      <c r="E583" s="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1"/>
      <c r="D584" s="1"/>
      <c r="E584" s="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1"/>
      <c r="D585" s="1"/>
      <c r="E585" s="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1"/>
      <c r="D586" s="1"/>
      <c r="E586" s="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1"/>
      <c r="D587" s="1"/>
      <c r="E587" s="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1"/>
      <c r="D588" s="1"/>
      <c r="E588" s="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1"/>
      <c r="D589" s="1"/>
      <c r="E589" s="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1"/>
      <c r="D590" s="1"/>
      <c r="E590" s="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1"/>
      <c r="D591" s="1"/>
      <c r="E591" s="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1"/>
      <c r="D592" s="1"/>
      <c r="E592" s="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1"/>
      <c r="D593" s="1"/>
      <c r="E593" s="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1"/>
      <c r="D594" s="1"/>
      <c r="E594" s="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1"/>
      <c r="D595" s="1"/>
      <c r="E595" s="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1"/>
      <c r="D596" s="1"/>
      <c r="E596" s="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1"/>
      <c r="D597" s="1"/>
      <c r="E597" s="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1"/>
      <c r="D598" s="1"/>
      <c r="E598" s="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1"/>
      <c r="D599" s="1"/>
      <c r="E599" s="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1"/>
      <c r="D600" s="1"/>
      <c r="E600" s="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1"/>
      <c r="D601" s="1"/>
      <c r="E601" s="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1"/>
      <c r="D602" s="1"/>
      <c r="E602" s="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1"/>
      <c r="D603" s="1"/>
      <c r="E603" s="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1"/>
      <c r="D604" s="1"/>
      <c r="E604" s="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1"/>
      <c r="D605" s="1"/>
      <c r="E605" s="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1"/>
      <c r="D606" s="1"/>
      <c r="E606" s="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1"/>
      <c r="D607" s="1"/>
      <c r="E607" s="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1"/>
      <c r="D608" s="1"/>
      <c r="E608" s="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1"/>
      <c r="D609" s="1"/>
      <c r="E609" s="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1"/>
      <c r="D610" s="1"/>
      <c r="E610" s="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1"/>
      <c r="D611" s="1"/>
      <c r="E611" s="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1"/>
      <c r="D612" s="1"/>
      <c r="E612" s="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1"/>
      <c r="D613" s="1"/>
      <c r="E613" s="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1"/>
      <c r="D614" s="1"/>
      <c r="E614" s="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1"/>
      <c r="D615" s="1"/>
      <c r="E615" s="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1"/>
      <c r="D616" s="1"/>
      <c r="E616" s="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1"/>
      <c r="D617" s="1"/>
      <c r="E617" s="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1"/>
      <c r="D618" s="1"/>
      <c r="E618" s="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1"/>
      <c r="D619" s="1"/>
      <c r="E619" s="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1"/>
      <c r="D620" s="1"/>
      <c r="E620" s="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1"/>
      <c r="D621" s="1"/>
      <c r="E621" s="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1"/>
      <c r="D622" s="1"/>
      <c r="E622" s="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1"/>
      <c r="D623" s="1"/>
      <c r="E623" s="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1"/>
      <c r="D624" s="1"/>
      <c r="E624" s="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1"/>
      <c r="D625" s="1"/>
      <c r="E625" s="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1"/>
      <c r="D626" s="1"/>
      <c r="E626" s="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1"/>
      <c r="D627" s="1"/>
      <c r="E627" s="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1"/>
      <c r="D628" s="1"/>
      <c r="E628" s="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1"/>
      <c r="D629" s="1"/>
      <c r="E629" s="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1"/>
      <c r="D630" s="1"/>
      <c r="E630" s="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1"/>
      <c r="D631" s="1"/>
      <c r="E631" s="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1"/>
      <c r="D632" s="1"/>
      <c r="E632" s="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1"/>
      <c r="D633" s="1"/>
      <c r="E633" s="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1"/>
      <c r="D634" s="1"/>
      <c r="E634" s="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1"/>
      <c r="D635" s="1"/>
      <c r="E635" s="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1"/>
      <c r="D636" s="1"/>
      <c r="E636" s="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1"/>
      <c r="D637" s="1"/>
      <c r="E637" s="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1"/>
      <c r="D638" s="1"/>
      <c r="E638" s="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1"/>
      <c r="D639" s="1"/>
      <c r="E639" s="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1"/>
      <c r="D640" s="1"/>
      <c r="E640" s="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1"/>
      <c r="D641" s="1"/>
      <c r="E641" s="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1"/>
      <c r="D642" s="1"/>
      <c r="E642" s="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1"/>
      <c r="D643" s="1"/>
      <c r="E643" s="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1"/>
      <c r="D644" s="1"/>
      <c r="E644" s="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1"/>
      <c r="D645" s="1"/>
      <c r="E645" s="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1"/>
      <c r="D646" s="1"/>
      <c r="E646" s="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1"/>
      <c r="D647" s="1"/>
      <c r="E647" s="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1"/>
      <c r="D648" s="1"/>
      <c r="E648" s="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1"/>
      <c r="D649" s="1"/>
      <c r="E649" s="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1"/>
      <c r="D650" s="1"/>
      <c r="E650" s="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1"/>
      <c r="D651" s="1"/>
      <c r="E651" s="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1"/>
      <c r="D652" s="1"/>
      <c r="E652" s="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1"/>
      <c r="D653" s="1"/>
      <c r="E653" s="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1"/>
      <c r="D654" s="1"/>
      <c r="E654" s="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1"/>
      <c r="D655" s="1"/>
      <c r="E655" s="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1"/>
      <c r="D656" s="1"/>
      <c r="E656" s="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1"/>
      <c r="D657" s="1"/>
      <c r="E657" s="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1"/>
      <c r="D658" s="1"/>
      <c r="E658" s="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1"/>
      <c r="D659" s="1"/>
      <c r="E659" s="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1"/>
      <c r="D660" s="1"/>
      <c r="E660" s="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1"/>
      <c r="D661" s="1"/>
      <c r="E661" s="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1"/>
      <c r="D662" s="1"/>
      <c r="E662" s="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1"/>
      <c r="D663" s="1"/>
      <c r="E663" s="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1"/>
      <c r="D664" s="1"/>
      <c r="E664" s="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1"/>
      <c r="D665" s="1"/>
      <c r="E665" s="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1"/>
      <c r="D666" s="1"/>
      <c r="E666" s="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1"/>
      <c r="D667" s="1"/>
      <c r="E667" s="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1"/>
      <c r="D668" s="1"/>
      <c r="E668" s="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1"/>
      <c r="D669" s="1"/>
      <c r="E669" s="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1"/>
      <c r="D670" s="1"/>
      <c r="E670" s="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1"/>
      <c r="D671" s="1"/>
      <c r="E671" s="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1"/>
      <c r="D672" s="1"/>
      <c r="E672" s="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1"/>
      <c r="D673" s="1"/>
      <c r="E673" s="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1"/>
      <c r="D674" s="1"/>
      <c r="E674" s="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1"/>
      <c r="D675" s="1"/>
      <c r="E675" s="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1"/>
      <c r="D676" s="1"/>
      <c r="E676" s="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1"/>
      <c r="D677" s="1"/>
      <c r="E677" s="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1"/>
      <c r="D678" s="1"/>
      <c r="E678" s="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1"/>
      <c r="D679" s="1"/>
      <c r="E679" s="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1"/>
      <c r="D680" s="1"/>
      <c r="E680" s="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1"/>
      <c r="D681" s="1"/>
      <c r="E681" s="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1"/>
      <c r="D682" s="1"/>
      <c r="E682" s="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1"/>
      <c r="D683" s="1"/>
      <c r="E683" s="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1"/>
      <c r="D684" s="1"/>
      <c r="E684" s="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1"/>
      <c r="D685" s="1"/>
      <c r="E685" s="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1"/>
      <c r="D686" s="1"/>
      <c r="E686" s="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1"/>
      <c r="D687" s="1"/>
      <c r="E687" s="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1"/>
      <c r="D688" s="1"/>
      <c r="E688" s="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1"/>
      <c r="D689" s="1"/>
      <c r="E689" s="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1"/>
      <c r="D690" s="1"/>
      <c r="E690" s="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1"/>
      <c r="D691" s="1"/>
      <c r="E691" s="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1"/>
      <c r="D692" s="1"/>
      <c r="E692" s="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1"/>
      <c r="D693" s="1"/>
      <c r="E693" s="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1"/>
      <c r="D694" s="1"/>
      <c r="E694" s="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1"/>
      <c r="D695" s="1"/>
      <c r="E695" s="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1"/>
      <c r="D696" s="1"/>
      <c r="E696" s="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1"/>
      <c r="D697" s="1"/>
      <c r="E697" s="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1"/>
      <c r="D698" s="1"/>
      <c r="E698" s="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1"/>
      <c r="D699" s="1"/>
      <c r="E699" s="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1"/>
      <c r="D700" s="1"/>
      <c r="E700" s="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1"/>
      <c r="D701" s="1"/>
      <c r="E701" s="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1"/>
      <c r="D702" s="1"/>
      <c r="E702" s="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1"/>
      <c r="D703" s="1"/>
      <c r="E703" s="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1"/>
      <c r="D704" s="1"/>
      <c r="E704" s="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1"/>
      <c r="D705" s="1"/>
      <c r="E705" s="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1"/>
      <c r="D706" s="1"/>
      <c r="E706" s="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1"/>
      <c r="D707" s="1"/>
      <c r="E707" s="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1"/>
      <c r="D708" s="1"/>
      <c r="E708" s="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1"/>
      <c r="D709" s="1"/>
      <c r="E709" s="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1"/>
      <c r="D710" s="1"/>
      <c r="E710" s="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1"/>
      <c r="D711" s="1"/>
      <c r="E711" s="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1"/>
      <c r="D712" s="1"/>
      <c r="E712" s="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1"/>
      <c r="D713" s="1"/>
      <c r="E713" s="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1"/>
      <c r="D714" s="1"/>
      <c r="E714" s="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1"/>
      <c r="D715" s="1"/>
      <c r="E715" s="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1"/>
      <c r="D716" s="1"/>
      <c r="E716" s="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1"/>
      <c r="D717" s="1"/>
      <c r="E717" s="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1"/>
      <c r="D718" s="1"/>
      <c r="E718" s="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1"/>
      <c r="D719" s="1"/>
      <c r="E719" s="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1"/>
      <c r="D720" s="1"/>
      <c r="E720" s="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1"/>
      <c r="D721" s="1"/>
      <c r="E721" s="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1"/>
      <c r="D722" s="1"/>
      <c r="E722" s="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1"/>
      <c r="D723" s="1"/>
      <c r="E723" s="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1"/>
      <c r="D724" s="1"/>
      <c r="E724" s="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1"/>
      <c r="D725" s="1"/>
      <c r="E725" s="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1"/>
      <c r="D726" s="1"/>
      <c r="E726" s="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1"/>
      <c r="D727" s="1"/>
      <c r="E727" s="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1"/>
      <c r="D728" s="1"/>
      <c r="E728" s="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1"/>
      <c r="D729" s="1"/>
      <c r="E729" s="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1"/>
      <c r="D730" s="1"/>
      <c r="E730" s="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1"/>
      <c r="D731" s="1"/>
      <c r="E731" s="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1"/>
      <c r="D732" s="1"/>
      <c r="E732" s="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1"/>
      <c r="D733" s="1"/>
      <c r="E733" s="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1"/>
      <c r="D734" s="1"/>
      <c r="E734" s="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1"/>
      <c r="D735" s="1"/>
      <c r="E735" s="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1"/>
      <c r="D736" s="1"/>
      <c r="E736" s="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1"/>
      <c r="D737" s="1"/>
      <c r="E737" s="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1"/>
      <c r="D738" s="1"/>
      <c r="E738" s="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1"/>
      <c r="D739" s="1"/>
      <c r="E739" s="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1"/>
      <c r="D740" s="1"/>
      <c r="E740" s="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1"/>
      <c r="D741" s="1"/>
      <c r="E741" s="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1"/>
      <c r="D742" s="1"/>
      <c r="E742" s="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1"/>
      <c r="D743" s="1"/>
      <c r="E743" s="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1"/>
      <c r="D744" s="1"/>
      <c r="E744" s="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1"/>
      <c r="D745" s="1"/>
      <c r="E745" s="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1"/>
      <c r="D746" s="1"/>
      <c r="E746" s="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1"/>
      <c r="D747" s="1"/>
      <c r="E747" s="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1"/>
      <c r="D748" s="1"/>
      <c r="E748" s="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1"/>
      <c r="D749" s="1"/>
      <c r="E749" s="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1"/>
      <c r="D750" s="1"/>
      <c r="E750" s="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1"/>
      <c r="D751" s="1"/>
      <c r="E751" s="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1"/>
      <c r="D752" s="1"/>
      <c r="E752" s="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1"/>
      <c r="D753" s="1"/>
      <c r="E753" s="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1"/>
      <c r="D754" s="1"/>
      <c r="E754" s="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1"/>
      <c r="D755" s="1"/>
      <c r="E755" s="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1"/>
      <c r="D756" s="1"/>
      <c r="E756" s="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1"/>
      <c r="D757" s="1"/>
      <c r="E757" s="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1"/>
      <c r="D758" s="1"/>
      <c r="E758" s="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1"/>
      <c r="D759" s="1"/>
      <c r="E759" s="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1"/>
      <c r="D760" s="1"/>
      <c r="E760" s="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1"/>
      <c r="D761" s="1"/>
      <c r="E761" s="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1"/>
      <c r="D762" s="1"/>
      <c r="E762" s="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1"/>
      <c r="D763" s="1"/>
      <c r="E763" s="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1"/>
      <c r="D764" s="1"/>
      <c r="E764" s="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1"/>
      <c r="D765" s="1"/>
      <c r="E765" s="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1"/>
      <c r="D766" s="1"/>
      <c r="E766" s="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1"/>
      <c r="D767" s="1"/>
      <c r="E767" s="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1"/>
      <c r="D768" s="1"/>
      <c r="E768" s="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1"/>
      <c r="D769" s="1"/>
      <c r="E769" s="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1"/>
      <c r="D770" s="1"/>
      <c r="E770" s="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1"/>
      <c r="D771" s="1"/>
      <c r="E771" s="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1"/>
      <c r="D772" s="1"/>
      <c r="E772" s="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1"/>
      <c r="D773" s="1"/>
      <c r="E773" s="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1"/>
      <c r="D774" s="1"/>
      <c r="E774" s="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1"/>
      <c r="D775" s="1"/>
      <c r="E775" s="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1"/>
      <c r="D776" s="1"/>
      <c r="E776" s="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1"/>
      <c r="D777" s="1"/>
      <c r="E777" s="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1"/>
      <c r="D778" s="1"/>
      <c r="E778" s="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1"/>
      <c r="D779" s="1"/>
      <c r="E779" s="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1"/>
      <c r="D780" s="1"/>
      <c r="E780" s="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1"/>
      <c r="D781" s="1"/>
      <c r="E781" s="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1"/>
      <c r="D782" s="1"/>
      <c r="E782" s="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1"/>
      <c r="D783" s="1"/>
      <c r="E783" s="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1"/>
      <c r="D784" s="1"/>
      <c r="E784" s="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1"/>
      <c r="D785" s="1"/>
      <c r="E785" s="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1"/>
      <c r="D786" s="1"/>
      <c r="E786" s="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1"/>
      <c r="D787" s="1"/>
      <c r="E787" s="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1"/>
      <c r="D788" s="1"/>
      <c r="E788" s="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1"/>
      <c r="D789" s="1"/>
      <c r="E789" s="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1"/>
      <c r="D790" s="1"/>
      <c r="E790" s="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1"/>
      <c r="D791" s="1"/>
      <c r="E791" s="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1"/>
      <c r="D792" s="1"/>
      <c r="E792" s="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1"/>
      <c r="D793" s="1"/>
      <c r="E793" s="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1"/>
      <c r="D794" s="1"/>
      <c r="E794" s="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1"/>
      <c r="D795" s="1"/>
      <c r="E795" s="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1"/>
      <c r="D796" s="1"/>
      <c r="E796" s="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1"/>
      <c r="D797" s="1"/>
      <c r="E797" s="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1"/>
      <c r="D798" s="1"/>
      <c r="E798" s="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1"/>
      <c r="D799" s="1"/>
      <c r="E799" s="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1"/>
      <c r="D800" s="1"/>
      <c r="E800" s="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1"/>
      <c r="D801" s="1"/>
      <c r="E801" s="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1"/>
      <c r="D802" s="1"/>
      <c r="E802" s="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1"/>
      <c r="D803" s="1"/>
      <c r="E803" s="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1"/>
      <c r="D804" s="1"/>
      <c r="E804" s="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1"/>
      <c r="D805" s="1"/>
      <c r="E805" s="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1"/>
      <c r="D806" s="1"/>
      <c r="E806" s="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1"/>
      <c r="D807" s="1"/>
      <c r="E807" s="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1"/>
      <c r="D808" s="1"/>
      <c r="E808" s="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1"/>
      <c r="D809" s="1"/>
      <c r="E809" s="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1"/>
      <c r="D810" s="1"/>
      <c r="E810" s="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1"/>
      <c r="D811" s="1"/>
      <c r="E811" s="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1"/>
      <c r="D812" s="1"/>
      <c r="E812" s="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1"/>
      <c r="D813" s="1"/>
      <c r="E813" s="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1"/>
      <c r="D814" s="1"/>
      <c r="E814" s="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1"/>
      <c r="D815" s="1"/>
      <c r="E815" s="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1"/>
      <c r="D816" s="1"/>
      <c r="E816" s="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1"/>
      <c r="D817" s="1"/>
      <c r="E817" s="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1"/>
      <c r="D818" s="1"/>
      <c r="E818" s="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1"/>
      <c r="D819" s="1"/>
      <c r="E819" s="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1"/>
      <c r="D820" s="1"/>
      <c r="E820" s="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1"/>
      <c r="D821" s="1"/>
      <c r="E821" s="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1"/>
      <c r="D822" s="1"/>
      <c r="E822" s="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1"/>
      <c r="D823" s="1"/>
      <c r="E823" s="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1"/>
      <c r="D824" s="1"/>
      <c r="E824" s="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1"/>
      <c r="D825" s="1"/>
      <c r="E825" s="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1"/>
      <c r="D826" s="1"/>
      <c r="E826" s="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1"/>
      <c r="D827" s="1"/>
      <c r="E827" s="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1"/>
      <c r="D828" s="1"/>
      <c r="E828" s="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1"/>
      <c r="D829" s="1"/>
      <c r="E829" s="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1"/>
      <c r="D830" s="1"/>
      <c r="E830" s="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1"/>
      <c r="D831" s="1"/>
      <c r="E831" s="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1"/>
      <c r="D832" s="1"/>
      <c r="E832" s="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1"/>
      <c r="D833" s="1"/>
      <c r="E833" s="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1"/>
      <c r="D834" s="1"/>
      <c r="E834" s="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1"/>
      <c r="D835" s="1"/>
      <c r="E835" s="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1"/>
      <c r="D836" s="1"/>
      <c r="E836" s="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1"/>
      <c r="D837" s="1"/>
      <c r="E837" s="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1"/>
      <c r="D838" s="1"/>
      <c r="E838" s="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1"/>
      <c r="D839" s="1"/>
      <c r="E839" s="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1"/>
      <c r="D840" s="1"/>
      <c r="E840" s="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1"/>
      <c r="D841" s="1"/>
      <c r="E841" s="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1"/>
      <c r="D842" s="1"/>
      <c r="E842" s="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1"/>
      <c r="D843" s="1"/>
      <c r="E843" s="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1"/>
      <c r="D844" s="1"/>
      <c r="E844" s="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1"/>
      <c r="D845" s="1"/>
      <c r="E845" s="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1"/>
      <c r="D846" s="1"/>
      <c r="E846" s="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1"/>
      <c r="D847" s="1"/>
      <c r="E847" s="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1"/>
      <c r="D848" s="1"/>
      <c r="E848" s="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1"/>
      <c r="D849" s="1"/>
      <c r="E849" s="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1"/>
      <c r="D850" s="1"/>
      <c r="E850" s="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1"/>
      <c r="D851" s="1"/>
      <c r="E851" s="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1"/>
      <c r="D852" s="1"/>
      <c r="E852" s="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1"/>
      <c r="D853" s="1"/>
      <c r="E853" s="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1"/>
      <c r="D854" s="1"/>
      <c r="E854" s="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1"/>
      <c r="D855" s="1"/>
      <c r="E855" s="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1"/>
      <c r="D856" s="1"/>
      <c r="E856" s="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1"/>
      <c r="D857" s="1"/>
      <c r="E857" s="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1"/>
      <c r="D858" s="1"/>
      <c r="E858" s="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1"/>
      <c r="D859" s="1"/>
      <c r="E859" s="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1"/>
      <c r="D860" s="1"/>
      <c r="E860" s="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1"/>
      <c r="D861" s="1"/>
      <c r="E861" s="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1"/>
      <c r="D862" s="1"/>
      <c r="E862" s="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1"/>
      <c r="D863" s="1"/>
      <c r="E863" s="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1"/>
      <c r="D864" s="1"/>
      <c r="E864" s="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1"/>
      <c r="D865" s="1"/>
      <c r="E865" s="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1"/>
      <c r="D866" s="1"/>
      <c r="E866" s="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1"/>
      <c r="D867" s="1"/>
      <c r="E867" s="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1"/>
      <c r="D868" s="1"/>
      <c r="E868" s="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1"/>
      <c r="D869" s="1"/>
      <c r="E869" s="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1"/>
      <c r="D870" s="1"/>
      <c r="E870" s="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1"/>
      <c r="D871" s="1"/>
      <c r="E871" s="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1"/>
      <c r="D872" s="1"/>
      <c r="E872" s="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1"/>
      <c r="D873" s="1"/>
      <c r="E873" s="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1"/>
      <c r="D874" s="1"/>
      <c r="E874" s="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1"/>
      <c r="D875" s="1"/>
      <c r="E875" s="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1"/>
      <c r="D876" s="1"/>
      <c r="E876" s="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1"/>
      <c r="D877" s="1"/>
      <c r="E877" s="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1"/>
      <c r="D878" s="1"/>
      <c r="E878" s="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1"/>
      <c r="D879" s="1"/>
      <c r="E879" s="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1"/>
      <c r="D880" s="1"/>
      <c r="E880" s="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1"/>
      <c r="D881" s="1"/>
      <c r="E881" s="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1"/>
      <c r="D882" s="1"/>
      <c r="E882" s="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1"/>
      <c r="D883" s="1"/>
      <c r="E883" s="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1"/>
      <c r="D884" s="1"/>
      <c r="E884" s="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1"/>
      <c r="D885" s="1"/>
      <c r="E885" s="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1"/>
      <c r="D886" s="1"/>
      <c r="E886" s="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1"/>
      <c r="D887" s="1"/>
      <c r="E887" s="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1"/>
      <c r="D888" s="1"/>
      <c r="E888" s="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1"/>
      <c r="D889" s="1"/>
      <c r="E889" s="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1"/>
      <c r="D890" s="1"/>
      <c r="E890" s="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1"/>
      <c r="D891" s="1"/>
      <c r="E891" s="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1"/>
      <c r="D892" s="1"/>
      <c r="E892" s="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1"/>
      <c r="D893" s="1"/>
      <c r="E893" s="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1"/>
      <c r="D894" s="1"/>
      <c r="E894" s="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1"/>
      <c r="D895" s="1"/>
      <c r="E895" s="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1"/>
      <c r="D896" s="1"/>
      <c r="E896" s="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1"/>
      <c r="D897" s="1"/>
      <c r="E897" s="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1"/>
      <c r="D898" s="1"/>
      <c r="E898" s="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1"/>
      <c r="D899" s="1"/>
      <c r="E899" s="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1"/>
      <c r="D900" s="1"/>
      <c r="E900" s="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1"/>
      <c r="D901" s="1"/>
      <c r="E901" s="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1"/>
      <c r="D902" s="1"/>
      <c r="E902" s="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1"/>
      <c r="D903" s="1"/>
      <c r="E903" s="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1"/>
      <c r="D904" s="1"/>
      <c r="E904" s="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1"/>
      <c r="D905" s="1"/>
      <c r="E905" s="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1"/>
      <c r="D906" s="1"/>
      <c r="E906" s="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1"/>
      <c r="D907" s="1"/>
      <c r="E907" s="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1"/>
      <c r="D908" s="1"/>
      <c r="E908" s="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1"/>
      <c r="D909" s="1"/>
      <c r="E909" s="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1"/>
      <c r="D910" s="1"/>
      <c r="E910" s="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1"/>
      <c r="D911" s="1"/>
      <c r="E911" s="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1"/>
      <c r="D912" s="1"/>
      <c r="E912" s="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1"/>
      <c r="D913" s="1"/>
      <c r="E913" s="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1"/>
      <c r="D914" s="1"/>
      <c r="E914" s="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1"/>
      <c r="D915" s="1"/>
      <c r="E915" s="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1"/>
      <c r="D916" s="1"/>
      <c r="E916" s="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1"/>
      <c r="D917" s="1"/>
      <c r="E917" s="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1"/>
      <c r="D918" s="1"/>
      <c r="E918" s="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1"/>
      <c r="D919" s="1"/>
      <c r="E919" s="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1"/>
      <c r="D920" s="1"/>
      <c r="E920" s="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1"/>
      <c r="D921" s="1"/>
      <c r="E921" s="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1"/>
      <c r="D922" s="1"/>
      <c r="E922" s="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1"/>
      <c r="D923" s="1"/>
      <c r="E923" s="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1"/>
      <c r="D924" s="1"/>
      <c r="E924" s="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1"/>
      <c r="D925" s="1"/>
      <c r="E925" s="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1"/>
      <c r="D926" s="1"/>
      <c r="E926" s="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1"/>
      <c r="D927" s="1"/>
      <c r="E927" s="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1"/>
      <c r="D928" s="1"/>
      <c r="E928" s="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1"/>
      <c r="D929" s="1"/>
      <c r="E929" s="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1"/>
      <c r="D930" s="1"/>
      <c r="E930" s="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1"/>
      <c r="D931" s="1"/>
      <c r="E931" s="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1"/>
      <c r="D932" s="1"/>
      <c r="E932" s="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1"/>
      <c r="D933" s="1"/>
      <c r="E933" s="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1"/>
      <c r="D934" s="1"/>
      <c r="E934" s="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1"/>
      <c r="D935" s="1"/>
      <c r="E935" s="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1"/>
      <c r="D936" s="1"/>
      <c r="E936" s="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1"/>
      <c r="D937" s="1"/>
      <c r="E937" s="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1"/>
      <c r="D938" s="1"/>
      <c r="E938" s="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1"/>
      <c r="D939" s="1"/>
      <c r="E939" s="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1"/>
      <c r="D940" s="1"/>
      <c r="E940" s="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1"/>
      <c r="D941" s="1"/>
      <c r="E941" s="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1"/>
      <c r="D942" s="1"/>
      <c r="E942" s="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1"/>
      <c r="D943" s="1"/>
      <c r="E943" s="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1"/>
      <c r="D944" s="1"/>
      <c r="E944" s="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1"/>
      <c r="D945" s="1"/>
      <c r="E945" s="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1"/>
      <c r="D946" s="1"/>
      <c r="E946" s="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1"/>
      <c r="D947" s="1"/>
      <c r="E947" s="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1"/>
      <c r="D948" s="1"/>
      <c r="E948" s="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1"/>
      <c r="D949" s="1"/>
      <c r="E949" s="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1"/>
      <c r="D950" s="1"/>
      <c r="E950" s="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1"/>
      <c r="D951" s="1"/>
      <c r="E951" s="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1"/>
      <c r="D952" s="1"/>
      <c r="E952" s="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1"/>
      <c r="D953" s="1"/>
      <c r="E953" s="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1"/>
      <c r="D954" s="1"/>
      <c r="E954" s="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1"/>
      <c r="D955" s="1"/>
      <c r="E955" s="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1"/>
      <c r="D956" s="1"/>
      <c r="E956" s="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1"/>
      <c r="D957" s="1"/>
      <c r="E957" s="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1"/>
      <c r="D958" s="1"/>
      <c r="E958" s="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1"/>
      <c r="D959" s="1"/>
      <c r="E959" s="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1"/>
      <c r="D960" s="1"/>
      <c r="E960" s="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1"/>
      <c r="D961" s="1"/>
      <c r="E961" s="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1"/>
      <c r="D962" s="1"/>
      <c r="E962" s="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1"/>
      <c r="D963" s="1"/>
      <c r="E963" s="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1"/>
      <c r="D964" s="1"/>
      <c r="E964" s="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1"/>
      <c r="D965" s="1"/>
      <c r="E965" s="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1"/>
      <c r="D966" s="1"/>
      <c r="E966" s="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1"/>
      <c r="D967" s="1"/>
      <c r="E967" s="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1"/>
      <c r="D968" s="1"/>
      <c r="E968" s="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1"/>
      <c r="D969" s="1"/>
      <c r="E969" s="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1"/>
      <c r="D970" s="1"/>
      <c r="E970" s="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1"/>
      <c r="D971" s="1"/>
      <c r="E971" s="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1"/>
      <c r="D972" s="1"/>
      <c r="E972" s="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1"/>
      <c r="D973" s="1"/>
      <c r="E973" s="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1"/>
      <c r="D974" s="1"/>
      <c r="E974" s="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1"/>
      <c r="D975" s="1"/>
      <c r="E975" s="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1"/>
      <c r="D976" s="1"/>
      <c r="E976" s="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1"/>
      <c r="D977" s="1"/>
      <c r="E977" s="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1"/>
      <c r="D978" s="1"/>
      <c r="E978" s="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1"/>
      <c r="D979" s="1"/>
      <c r="E979" s="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1"/>
      <c r="D980" s="1"/>
      <c r="E980" s="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1"/>
      <c r="D981" s="1"/>
      <c r="E981" s="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1"/>
      <c r="D982" s="1"/>
      <c r="E982" s="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1"/>
      <c r="D983" s="1"/>
      <c r="E983" s="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1"/>
      <c r="D984" s="1"/>
      <c r="E984" s="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1"/>
      <c r="D985" s="1"/>
      <c r="E985" s="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1"/>
      <c r="D986" s="1"/>
      <c r="E986" s="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1"/>
      <c r="D987" s="1"/>
      <c r="E987" s="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1"/>
      <c r="D988" s="1"/>
      <c r="E988" s="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1"/>
      <c r="D989" s="1"/>
      <c r="E989" s="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1"/>
      <c r="D990" s="1"/>
      <c r="E990" s="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1"/>
      <c r="D991" s="1"/>
      <c r="E991" s="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1"/>
      <c r="D992" s="1"/>
      <c r="E992" s="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1"/>
      <c r="D993" s="1"/>
      <c r="E993" s="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1"/>
      <c r="D994" s="1"/>
      <c r="E994" s="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1"/>
      <c r="D995" s="1"/>
      <c r="E995" s="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1"/>
      <c r="D996" s="1"/>
      <c r="E996" s="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1"/>
      <c r="D997" s="1"/>
      <c r="E997" s="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1"/>
      <c r="D998" s="1"/>
      <c r="E998" s="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1"/>
      <c r="D999" s="1"/>
      <c r="E999" s="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1"/>
      <c r="D1000" s="1"/>
      <c r="E1000" s="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53">
    <mergeCell ref="B2:E2"/>
    <mergeCell ref="B3:E3"/>
    <mergeCell ref="B16:E16"/>
    <mergeCell ref="B18:E18"/>
    <mergeCell ref="B21:E21"/>
    <mergeCell ref="B23:E23"/>
    <mergeCell ref="B28:E28"/>
    <mergeCell ref="B46:E46"/>
    <mergeCell ref="B49:E49"/>
    <mergeCell ref="B57:E57"/>
    <mergeCell ref="B65:E65"/>
    <mergeCell ref="B73:E73"/>
    <mergeCell ref="B82:E82"/>
    <mergeCell ref="B107:E107"/>
    <mergeCell ref="B109:E109"/>
    <mergeCell ref="B110:E110"/>
    <mergeCell ref="B114:E114"/>
    <mergeCell ref="B115:E115"/>
    <mergeCell ref="B119:E119"/>
    <mergeCell ref="B120:E120"/>
    <mergeCell ref="B124:E124"/>
    <mergeCell ref="B125:E125"/>
    <mergeCell ref="B138:E138"/>
    <mergeCell ref="B139:E139"/>
    <mergeCell ref="B158:E158"/>
    <mergeCell ref="B159:E159"/>
    <mergeCell ref="B177:E177"/>
    <mergeCell ref="B188:E188"/>
    <mergeCell ref="B224:E224"/>
    <mergeCell ref="B229:E229"/>
    <mergeCell ref="B241:E241"/>
    <mergeCell ref="B251:E251"/>
    <mergeCell ref="B253:E253"/>
    <mergeCell ref="B255:E255"/>
    <mergeCell ref="B260:E260"/>
    <mergeCell ref="B278:E278"/>
    <mergeCell ref="B282:E282"/>
    <mergeCell ref="B290:E290"/>
    <mergeCell ref="B298:E298"/>
    <mergeCell ref="B306:E306"/>
    <mergeCell ref="B315:E315"/>
    <mergeCell ref="B340:E340"/>
    <mergeCell ref="B420:E420"/>
    <mergeCell ref="B421:E421"/>
    <mergeCell ref="B424:E424"/>
    <mergeCell ref="B428:E428"/>
    <mergeCell ref="B347:E347"/>
    <mergeCell ref="B367:E367"/>
    <mergeCell ref="B373:E373"/>
    <mergeCell ref="B378:E378"/>
    <mergeCell ref="B383:E383"/>
    <mergeCell ref="B384:E384"/>
    <mergeCell ref="B419:E419"/>
  </mergeCells>
  <conditionalFormatting sqref="B8 B11 D8:E8 D11:E11">
    <cfRule type="expression" dxfId="11" priority="1">
      <formula>$E$8="Cause: Multi Rack Configuration is only supported with vSAN as Principal Storage or vSAN Compute Clusters"</formula>
    </cfRule>
  </conditionalFormatting>
  <conditionalFormatting sqref="B11 D11:E11">
    <cfRule type="expression" dxfId="11" priority="2">
      <formula>" =AND((cluster_chosen=""Deploy a Multi-Rack Layer 3 Cluster""),AND((cluster_principal_storage_chosen&lt;&gt;""vSAN-ESA""),(cluster_principal_storage_chosen&lt;&gt;""vSAN-OSA""),(cluster_principal_storage_chosen&lt;&gt;""vSAN Compute Cluster"")))"</formula>
    </cfRule>
  </conditionalFormatting>
  <conditionalFormatting sqref="B14 D14:E14">
    <cfRule type="expression" dxfId="9" priority="3">
      <formula>$E$14="Cause: Stretched Cluster is not supported with Multi Rack Layer 3 Cluster"</formula>
    </cfRule>
  </conditionalFormatting>
  <conditionalFormatting 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
    <cfRule type="notContainsBlanks" dxfId="2" priority="4">
      <formula>LEN(TRIM(D19))&gt;0</formula>
    </cfRule>
  </conditionalFormatting>
  <conditionalFormatting sqref="D57">
    <cfRule type="expression" dxfId="3" priority="5">
      <formula>input_mgmt_principal_storage_chosen="VMFS on Fibre Channel (FC)"</formula>
    </cfRule>
  </conditionalFormatting>
  <conditionalFormatting sqref="D57">
    <cfRule type="containsBlanks" dxfId="7" priority="6">
      <formula>LEN(TRIM(D57))=0</formula>
    </cfRule>
  </conditionalFormatting>
  <conditionalFormatting sqref="D57">
    <cfRule type="notContainsBlanks" dxfId="0" priority="7">
      <formula>LEN(TRIM(D57))&gt;0</formula>
    </cfRule>
  </conditionalFormatting>
  <conditionalFormatting sqref="D19 D24:D27 D29:D44 D48 D50:D56 D58:D64 D66:D72 D74:D80 D84:D105 D112 D117 D122 D127:D136 D141:D156 D161:D162 D167:D198 D200:D203 D205:D208 D210:D213 D215:D218 D220:D223 D225:D228 D230:D240 D242:D249 D256:D259 D261:D276 D280:D281 D283:D289 D291:D297 D299:D305 D307:D313 D317:D338 D342:D345 D350:D366 D369:D372 D375:D377 D380:D382 D387:D418 D423 D426:D427 D430:D440">
    <cfRule type="containsBlanks" dxfId="10" priority="8">
      <formula>LEN(TRIM(D19))=0</formula>
    </cfRule>
  </conditionalFormatting>
  <conditionalFormatting sqref="D177">
    <cfRule type="notContainsBlanks" dxfId="0" priority="9" stopIfTrue="1">
      <formula>LEN(TRIM(D177))&gt;0</formula>
    </cfRule>
  </conditionalFormatting>
  <conditionalFormatting sqref="D177">
    <cfRule type="containsBlanks" dxfId="10" priority="10">
      <formula>LEN(TRIM(D177))=0</formula>
    </cfRule>
  </conditionalFormatting>
  <conditionalFormatting sqref="D230">
    <cfRule type="expression" dxfId="17" priority="11">
      <formula>$D$162="Unselected"</formula>
    </cfRule>
  </conditionalFormatting>
  <conditionalFormatting sqref="D235:D240 D242:D245">
    <cfRule type="expression" dxfId="6" priority="12">
      <formula>input_cluster_az1_host_overlay_new_pool_chosen="Re-use an existing Pool"</formula>
    </cfRule>
  </conditionalFormatting>
  <conditionalFormatting sqref="B8 D8:E8">
    <cfRule type="expression" dxfId="25" priority="13">
      <formula>$E$8="Cluster Deployment not selected on VCF &amp; VVF Planning Tab"</formula>
    </cfRule>
  </conditionalFormatting>
  <conditionalFormatting sqref="D8:E8">
    <cfRule type="expression" dxfId="21" priority="14">
      <formula>$E$9="Required: Minimum Number of hosts must be selected"</formula>
    </cfRule>
  </conditionalFormatting>
  <conditionalFormatting sqref="B9:B10 D9:E10">
    <cfRule type="expression" dxfId="18" priority="15">
      <formula>$E$9="Cause: Max number of Hosts per Cluster is 64."</formula>
    </cfRule>
  </conditionalFormatting>
  <conditionalFormatting sqref="E84:E99">
    <cfRule type="expression" dxfId="19" priority="16">
      <formula>OR((wld_vlcm_model_result="Excluded"),(wld_vlcm_model_chosen="Baselines"))</formula>
    </cfRule>
  </conditionalFormatting>
  <dataValidations>
    <dataValidation type="list" allowBlank="1" showErrorMessage="1" sqref="D172 D183 D194">
      <formula1>lag_load_balancing</formula1>
    </dataValidation>
    <dataValidation type="list" allowBlank="1" showErrorMessage="1" sqref="D403">
      <formula1>"Symmetric,Asymmetric"</formula1>
    </dataValidation>
    <dataValidation type="list" allowBlank="1" showErrorMessage="1" sqref="D161">
      <formula1>IF(cluster_secondary_storage_chosen="vSAN Storage Client Network",wld_cl01_vds_vsanmax_preconfigured_profiles,wld_cl01_vds_standard_preconfigured_profiles)</formula1>
    </dataValidation>
    <dataValidation type="list" allowBlank="1" showErrorMessage="1" sqref="D173 D184 D195">
      <formula1>"Slow,Fast"</formula1>
    </dataValidation>
    <dataValidation type="list" allowBlank="1" showErrorMessage="1" sqref="D53 D61 D69 D77 D286 D294 D302 D310 D359">
      <formula1>table_masks</formula1>
    </dataValidation>
    <dataValidation type="list" allowBlank="1" showErrorMessage="1" sqref="D132 D162 D225 D227:D228">
      <formula1>"Selected,Unselected"</formula1>
    </dataValidation>
    <dataValidation type="list" allowBlank="1" showErrorMessage="1" sqref="B9">
      <formula1>"Exclude,1,2,3,4,5,6,7,8,9,10,11,12,13,14,15,16"</formula1>
    </dataValidation>
    <dataValidation type="list" allowBlank="1" showErrorMessage="1" sqref="B10">
      <formula1>"Exclude,3,4,5,6,7"</formula1>
    </dataValidation>
    <dataValidation type="list" allowBlank="1" showErrorMessage="1" sqref="B14">
      <formula1>"Include,Exclude"</formula1>
    </dataValidation>
    <dataValidation type="list" allowBlank="1" showErrorMessage="1" sqref="D201 D206 D211 D216 D221">
      <formula1>"Route based on IP hash,Route based on source MAC hash,Route based on the source of the port ID,Use explicit failover order,Route Based on Physical NIC Load"</formula1>
    </dataValidation>
    <dataValidation type="list" allowBlank="1" showErrorMessage="1" sqref="D232">
      <formula1>"DHCP,Static IP Pool"</formula1>
    </dataValidation>
    <dataValidation type="list" allowBlank="1" showErrorMessage="1" sqref="B13 D280">
      <formula1>"Re-use an existing VCF Network Pool,Create a new VCF Network Pool"</formula1>
    </dataValidation>
    <dataValidation type="list" allowBlank="1" showErrorMessage="1" sqref="D404">
      <formula1>"Primary,Secondary"</formula1>
    </dataValidation>
    <dataValidation type="list" allowBlank="1" showErrorMessage="1" sqref="D131">
      <formula1>storage_ftt</formula1>
    </dataValidation>
    <dataValidation type="list" allowBlank="1" showErrorMessage="1" sqref="B8">
      <formula1>"Deploy a Single-Rack / Multi-Rack Layer 2 Cluster,Deploy a Multi-Rack Layer 3 Cluster"</formula1>
    </dataValidation>
    <dataValidation type="list" allowBlank="1" showErrorMessage="1" sqref="D233 D406">
      <formula1>"Re-use an existing Pool,Create New Static IP Pool"</formula1>
    </dataValidation>
    <dataValidation type="list" allowBlank="1" showErrorMessage="1" sqref="D202:D203 D207:D208 D212:D213 D217:D218 D222:D223">
      <formula1>"Active,Standby,Unused"</formula1>
    </dataValidation>
    <dataValidation type="list" allowBlank="1" showErrorMessage="1" sqref="D169 D180 D191">
      <formula1>"VDS Uplinks,VDS LAG"</formula1>
    </dataValidation>
    <dataValidation type="list" allowBlank="1" showErrorMessage="1" sqref="D171 D182 D193">
      <formula1>"Active,Passive"</formula1>
    </dataValidation>
    <dataValidation type="list" allowBlank="1" showErrorMessage="1" sqref="B11">
      <formula1>table_vcf_version9x_cluster_storage_type</formula1>
    </dataValidation>
    <dataValidation type="list" allowBlank="1" showErrorMessage="1" sqref="D226">
      <formula1>"Standard,Enhanced Datapath Standard,Enhanced Datapath Dedicated"</formula1>
    </dataValidation>
    <dataValidation type="list" allowBlank="1" showErrorMessage="1" sqref="B12">
      <formula1>"Exclude,Secondary NFS Storage Network,vSAN Storage Client Network"</formula1>
    </dataValidation>
    <dataValidation type="list" allowBlank="1" showErrorMessage="1" sqref="D247">
      <formula1>"Load Balance Source,Failover Order,Load Balance Source MAC Address"</formula1>
    </dataValidation>
  </dataValidations>
  <hyperlinks>
    <hyperlink r:id="rId1" ref="C142"/>
    <hyperlink r:id="rId2" ref="C143"/>
    <hyperlink r:id="rId3" ref="C144"/>
    <hyperlink r:id="rId4" ref="C145"/>
    <hyperlink r:id="rId5" ref="C146"/>
    <hyperlink r:id="rId6" ref="C147"/>
    <hyperlink r:id="rId7" ref="C148"/>
    <hyperlink r:id="rId8" ref="C149"/>
    <hyperlink r:id="rId9" ref="C150"/>
    <hyperlink r:id="rId10" ref="C151"/>
    <hyperlink r:id="rId11" ref="C152"/>
    <hyperlink r:id="rId12" ref="C153"/>
    <hyperlink r:id="rId13" ref="C154"/>
    <hyperlink r:id="rId14" ref="C155"/>
    <hyperlink r:id="rId15" ref="C156"/>
  </hyperlinks>
  <printOptions/>
  <pageMargins bottom="0.75" footer="0.0" header="0.0" left="0.7" right="0.7" top="0.75"/>
  <pageSetup paperSize="9" orientation="portrait"/>
  <drawing r:id="rId1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45.78"/>
    <col customWidth="1" min="3" max="3" width="43.67"/>
    <col customWidth="1" min="4" max="26" width="11.0"/>
  </cols>
  <sheetData>
    <row r="1" ht="15.75" customHeight="1">
      <c r="B1" s="307" t="s">
        <v>1625</v>
      </c>
      <c r="C1" s="307" t="s">
        <v>1626</v>
      </c>
    </row>
    <row r="2" ht="15.75" customHeight="1">
      <c r="B2" s="41" t="s">
        <v>1627</v>
      </c>
      <c r="C2" s="41" t="s">
        <v>1628</v>
      </c>
    </row>
    <row r="3" ht="15.75" customHeight="1">
      <c r="B3" s="41" t="s">
        <v>1629</v>
      </c>
      <c r="C3" s="41" t="s">
        <v>1630</v>
      </c>
    </row>
    <row r="4" ht="15.75" customHeight="1">
      <c r="B4" s="41" t="s">
        <v>1631</v>
      </c>
      <c r="C4" s="41" t="s">
        <v>1632</v>
      </c>
    </row>
    <row r="5" ht="15.75" customHeight="1">
      <c r="B5" s="41" t="s">
        <v>1633</v>
      </c>
      <c r="C5" s="41" t="s">
        <v>1634</v>
      </c>
    </row>
    <row r="6" ht="15.75" customHeight="1">
      <c r="B6" s="41" t="s">
        <v>1635</v>
      </c>
      <c r="C6" s="41" t="s">
        <v>1636</v>
      </c>
    </row>
    <row r="7" ht="15.75" customHeight="1">
      <c r="B7" s="41" t="s">
        <v>1637</v>
      </c>
      <c r="C7" s="41" t="s">
        <v>1638</v>
      </c>
    </row>
    <row r="8" ht="15.75" customHeight="1">
      <c r="B8" s="41" t="s">
        <v>1639</v>
      </c>
      <c r="C8" s="41" t="s">
        <v>1640</v>
      </c>
    </row>
    <row r="9" ht="15.75" customHeight="1">
      <c r="B9" s="41" t="s">
        <v>1641</v>
      </c>
      <c r="C9" s="41" t="s">
        <v>1642</v>
      </c>
    </row>
    <row r="10" ht="15.75" customHeight="1">
      <c r="B10" s="41" t="s">
        <v>1643</v>
      </c>
      <c r="C10" s="41" t="s">
        <v>1644</v>
      </c>
    </row>
    <row r="11" ht="15.75" customHeight="1">
      <c r="B11" s="41" t="s">
        <v>1645</v>
      </c>
      <c r="C11" s="41" t="s">
        <v>1646</v>
      </c>
    </row>
    <row r="12" ht="15.75" customHeight="1">
      <c r="B12" s="41" t="s">
        <v>1645</v>
      </c>
      <c r="C12" s="41" t="s">
        <v>1647</v>
      </c>
    </row>
    <row r="13" ht="15.75" customHeight="1">
      <c r="B13" s="41" t="s">
        <v>1648</v>
      </c>
      <c r="C13" s="41" t="s">
        <v>1649</v>
      </c>
    </row>
    <row r="14" ht="15.75" customHeight="1">
      <c r="B14" s="41" t="s">
        <v>1650</v>
      </c>
      <c r="C14" s="41" t="s">
        <v>1651</v>
      </c>
    </row>
    <row r="15" ht="15.75" customHeight="1">
      <c r="B15" s="41" t="s">
        <v>1652</v>
      </c>
      <c r="C15" s="41" t="s">
        <v>1629</v>
      </c>
    </row>
    <row r="16" ht="15.75" customHeight="1">
      <c r="B16" s="41" t="s">
        <v>1653</v>
      </c>
      <c r="C16" s="41" t="s">
        <v>1635</v>
      </c>
    </row>
    <row r="17" ht="15.75" customHeight="1">
      <c r="B17" s="41" t="s">
        <v>1654</v>
      </c>
      <c r="C17" s="41" t="s">
        <v>1655</v>
      </c>
    </row>
    <row r="18" ht="15.75" customHeight="1">
      <c r="B18" s="41" t="s">
        <v>1656</v>
      </c>
      <c r="C18" s="41" t="s">
        <v>1657</v>
      </c>
    </row>
    <row r="19" ht="15.75" customHeight="1">
      <c r="B19" s="41" t="s">
        <v>1658</v>
      </c>
      <c r="C19" s="41" t="s">
        <v>1659</v>
      </c>
    </row>
    <row r="20" ht="15.75" customHeight="1">
      <c r="B20" s="41" t="s">
        <v>1660</v>
      </c>
      <c r="C20" s="41" t="s">
        <v>1661</v>
      </c>
    </row>
    <row r="21" ht="15.75" customHeight="1">
      <c r="B21" s="41" t="s">
        <v>1662</v>
      </c>
      <c r="C21" s="41" t="s">
        <v>1663</v>
      </c>
    </row>
    <row r="22" ht="15.75" customHeight="1">
      <c r="B22" s="41" t="s">
        <v>1664</v>
      </c>
      <c r="C22" s="41" t="s">
        <v>1665</v>
      </c>
    </row>
    <row r="23" ht="15.75" customHeight="1">
      <c r="B23" s="41" t="s">
        <v>1666</v>
      </c>
      <c r="C23" s="41" t="s">
        <v>1667</v>
      </c>
    </row>
    <row r="24" ht="15.75" customHeight="1">
      <c r="B24" s="41" t="s">
        <v>1668</v>
      </c>
      <c r="C24" s="41" t="s">
        <v>1669</v>
      </c>
    </row>
    <row r="25" ht="15.75" customHeight="1">
      <c r="B25" s="41" t="s">
        <v>1670</v>
      </c>
      <c r="C25" s="41" t="s">
        <v>1671</v>
      </c>
    </row>
    <row r="26" ht="15.75" customHeight="1">
      <c r="B26" s="41" t="s">
        <v>1672</v>
      </c>
      <c r="C26" s="41" t="s">
        <v>1673</v>
      </c>
    </row>
    <row r="27" ht="15.75" customHeight="1">
      <c r="B27" s="41" t="s">
        <v>1674</v>
      </c>
      <c r="C27" s="41" t="s">
        <v>1675</v>
      </c>
    </row>
    <row r="28" ht="15.75" customHeight="1">
      <c r="B28" s="41" t="s">
        <v>1676</v>
      </c>
      <c r="C28" s="41" t="s">
        <v>1677</v>
      </c>
    </row>
    <row r="29" ht="15.75" customHeight="1">
      <c r="B29" s="41" t="s">
        <v>1678</v>
      </c>
      <c r="C29" s="41" t="s">
        <v>1679</v>
      </c>
    </row>
    <row r="30" ht="15.75" customHeight="1">
      <c r="B30" s="41" t="s">
        <v>1680</v>
      </c>
      <c r="C30" s="41" t="s">
        <v>1681</v>
      </c>
    </row>
    <row r="31" ht="15.75" customHeight="1">
      <c r="B31" s="41" t="s">
        <v>1682</v>
      </c>
      <c r="C31" s="41" t="s">
        <v>1683</v>
      </c>
    </row>
    <row r="32" ht="15.75" customHeight="1">
      <c r="B32" s="41" t="s">
        <v>1684</v>
      </c>
      <c r="C32" s="41" t="s">
        <v>1685</v>
      </c>
    </row>
    <row r="33" ht="15.75" customHeight="1">
      <c r="B33" s="41" t="s">
        <v>1686</v>
      </c>
      <c r="C33" s="41" t="s">
        <v>1687</v>
      </c>
    </row>
    <row r="34" ht="15.75" customHeight="1">
      <c r="B34" s="41" t="s">
        <v>1688</v>
      </c>
      <c r="C34" s="41" t="s">
        <v>1689</v>
      </c>
    </row>
    <row r="35" ht="15.75" customHeight="1">
      <c r="B35" s="41" t="s">
        <v>1690</v>
      </c>
      <c r="C35" s="41" t="s">
        <v>1691</v>
      </c>
    </row>
    <row r="36" ht="15.75" customHeight="1">
      <c r="B36" s="41" t="s">
        <v>1692</v>
      </c>
      <c r="C36" s="41" t="s">
        <v>1693</v>
      </c>
    </row>
    <row r="37" ht="15.75" customHeight="1">
      <c r="C37" s="4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72.11"/>
    <col customWidth="1" min="3" max="3" width="33.78"/>
    <col customWidth="1" min="4" max="4" width="2.78"/>
    <col customWidth="1" min="5" max="5" width="55.67"/>
    <col customWidth="1" min="6" max="6" width="40.0"/>
    <col customWidth="1" min="7" max="7" width="2.78"/>
    <col customWidth="1" min="8" max="8" width="55.67"/>
    <col customWidth="1" min="9" max="9" width="40.78"/>
    <col customWidth="1" min="10" max="10" width="2.78"/>
    <col customWidth="1" min="11" max="11" width="54.67"/>
    <col customWidth="1" min="12" max="12" width="49.67"/>
    <col customWidth="1" min="13" max="13" width="2.78"/>
    <col customWidth="1" min="14" max="14" width="54.67"/>
    <col customWidth="1" min="15" max="15" width="49.67"/>
    <col customWidth="1" min="16" max="16" width="4.33"/>
    <col customWidth="1" min="17" max="17" width="54.67"/>
    <col customWidth="1" min="18" max="18" width="49.67"/>
    <col customWidth="1" min="19" max="19" width="4.0"/>
    <col customWidth="1" min="20" max="20" width="54.67"/>
    <col customWidth="1" min="21" max="21" width="49.67"/>
    <col customWidth="1" min="22" max="22" width="3.44"/>
    <col customWidth="1" min="23" max="23" width="54.67"/>
    <col customWidth="1" min="24" max="24" width="49.67"/>
    <col customWidth="1" min="25" max="25" width="2.67"/>
    <col customWidth="1" min="26" max="26" width="54.67"/>
    <col customWidth="1" min="27" max="27" width="49.67"/>
    <col customWidth="1" min="28" max="28" width="2.78"/>
    <col customWidth="1" min="29" max="29" width="54.67"/>
    <col customWidth="1" min="30" max="30" width="49.67"/>
    <col customWidth="1" min="31" max="31" width="2.78"/>
    <col customWidth="1" min="32" max="32" width="2.33"/>
    <col customWidth="1" min="33" max="33" width="51.67"/>
    <col customWidth="1" min="34" max="34" width="50.78"/>
    <col customWidth="1" min="35" max="35" width="40.78"/>
    <col customWidth="1" min="36" max="37" width="2.78"/>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54.0" customHeight="1">
      <c r="A2" s="1"/>
      <c r="B2" s="1"/>
      <c r="C2" s="1"/>
      <c r="D2" s="1"/>
      <c r="E2" s="308" t="s">
        <v>1694</v>
      </c>
      <c r="F2" s="3"/>
      <c r="G2" s="3"/>
      <c r="H2" s="3"/>
      <c r="I2" s="3"/>
      <c r="J2" s="3"/>
      <c r="K2" s="3"/>
      <c r="L2" s="3"/>
      <c r="M2" s="4"/>
      <c r="N2" s="1"/>
      <c r="O2" s="1"/>
      <c r="P2" s="1"/>
      <c r="Q2" s="1"/>
      <c r="R2" s="1"/>
      <c r="S2" s="1"/>
      <c r="T2" s="1"/>
      <c r="U2" s="1"/>
      <c r="V2" s="1"/>
      <c r="W2" s="1"/>
      <c r="X2" s="1"/>
      <c r="Y2" s="1"/>
      <c r="Z2" s="1"/>
      <c r="AA2" s="1"/>
      <c r="AB2" s="1"/>
      <c r="AC2" s="1"/>
      <c r="AD2" s="1"/>
      <c r="AE2" s="1"/>
      <c r="AF2" s="1"/>
      <c r="AG2" s="1"/>
      <c r="AH2" s="1"/>
      <c r="AI2" s="1"/>
      <c r="AJ2" s="1"/>
      <c r="AK2" s="1"/>
    </row>
    <row r="3" ht="19.5" customHeight="1">
      <c r="A3" s="1"/>
      <c r="B3" s="1"/>
      <c r="C3" s="1"/>
      <c r="D3" s="1"/>
      <c r="E3" s="7" t="s">
        <v>1695</v>
      </c>
      <c r="F3" s="3"/>
      <c r="G3" s="3"/>
      <c r="H3" s="3"/>
      <c r="I3" s="3"/>
      <c r="J3" s="3"/>
      <c r="K3" s="3"/>
      <c r="L3" s="3"/>
      <c r="M3" s="4"/>
      <c r="N3" s="1"/>
      <c r="O3" s="1"/>
      <c r="P3" s="1"/>
      <c r="Q3" s="1"/>
      <c r="R3" s="1"/>
      <c r="S3" s="1"/>
      <c r="T3" s="1"/>
      <c r="U3" s="1"/>
      <c r="V3" s="1"/>
      <c r="W3" s="1"/>
      <c r="X3" s="1"/>
      <c r="Y3" s="1"/>
      <c r="Z3" s="1"/>
      <c r="AA3" s="1"/>
      <c r="AB3" s="1"/>
      <c r="AC3" s="1"/>
      <c r="AD3" s="1"/>
      <c r="AE3" s="1"/>
      <c r="AF3" s="1"/>
      <c r="AG3" s="1"/>
      <c r="AH3" s="1"/>
      <c r="AI3" s="1"/>
      <c r="AJ3" s="1"/>
      <c r="AK3" s="1"/>
    </row>
    <row r="4" ht="19.5" customHeight="1">
      <c r="A4" s="1"/>
      <c r="B4" s="1"/>
      <c r="C4" s="1"/>
      <c r="D4" s="1"/>
      <c r="E4" s="1"/>
      <c r="F4" s="1"/>
      <c r="G4" s="1"/>
      <c r="H4" s="1"/>
      <c r="I4" s="1"/>
      <c r="J4" s="1"/>
      <c r="K4" s="1"/>
      <c r="L4" s="1"/>
      <c r="M4" s="9"/>
      <c r="N4" s="1"/>
      <c r="O4" s="1"/>
      <c r="P4" s="1"/>
      <c r="Q4" s="1"/>
      <c r="R4" s="1"/>
      <c r="S4" s="1"/>
      <c r="T4" s="1"/>
      <c r="U4" s="1"/>
      <c r="V4" s="1"/>
      <c r="W4" s="1"/>
      <c r="X4" s="1"/>
      <c r="Y4" s="1"/>
      <c r="Z4" s="1"/>
      <c r="AA4" s="1"/>
      <c r="AB4" s="1"/>
      <c r="AC4" s="1"/>
      <c r="AD4" s="1"/>
      <c r="AE4" s="1"/>
      <c r="AF4" s="1"/>
      <c r="AG4" s="1"/>
      <c r="AH4" s="1"/>
      <c r="AI4" s="1"/>
      <c r="AJ4" s="1"/>
      <c r="AK4" s="1"/>
    </row>
    <row r="5" ht="19.5" customHeight="1">
      <c r="A5" s="1"/>
      <c r="B5" s="1"/>
      <c r="C5" s="1"/>
      <c r="D5" s="1"/>
      <c r="E5" s="1"/>
      <c r="F5" s="1"/>
      <c r="G5" s="1"/>
      <c r="H5" s="1"/>
      <c r="I5" s="1"/>
      <c r="J5" s="1"/>
      <c r="K5" s="1"/>
      <c r="L5" s="1"/>
      <c r="M5" s="9"/>
      <c r="N5" s="1"/>
      <c r="O5" s="1"/>
      <c r="P5" s="1"/>
      <c r="Q5" s="1"/>
      <c r="R5" s="1"/>
      <c r="S5" s="1"/>
      <c r="T5" s="1"/>
      <c r="U5" s="1"/>
      <c r="V5" s="1"/>
      <c r="W5" s="1"/>
      <c r="X5" s="1"/>
      <c r="Y5" s="1"/>
      <c r="Z5" s="1"/>
      <c r="AA5" s="1"/>
      <c r="AB5" s="1"/>
      <c r="AC5" s="1"/>
      <c r="AD5" s="1"/>
      <c r="AE5" s="1"/>
      <c r="AF5" s="1"/>
      <c r="AG5" s="1"/>
      <c r="AH5" s="1"/>
      <c r="AI5" s="1"/>
      <c r="AJ5" s="1"/>
      <c r="AK5" s="1"/>
    </row>
    <row r="6" ht="19.5" customHeight="1">
      <c r="A6" s="1"/>
      <c r="B6" s="197" t="s">
        <v>1696</v>
      </c>
      <c r="C6" s="38"/>
      <c r="D6" s="1"/>
      <c r="E6" s="197" t="s">
        <v>1697</v>
      </c>
      <c r="F6" s="38"/>
      <c r="G6" s="1"/>
      <c r="H6" s="235" t="s">
        <v>1698</v>
      </c>
      <c r="I6" s="236"/>
      <c r="J6" s="1"/>
      <c r="K6" s="235" t="s">
        <v>1699</v>
      </c>
      <c r="L6" s="236"/>
      <c r="M6" s="1"/>
      <c r="N6" s="235" t="s">
        <v>1700</v>
      </c>
      <c r="O6" s="236"/>
      <c r="P6" s="1"/>
      <c r="Q6" s="309" t="s">
        <v>1701</v>
      </c>
      <c r="R6" s="310"/>
      <c r="S6" s="1"/>
      <c r="T6" s="309" t="s">
        <v>1702</v>
      </c>
      <c r="U6" s="310"/>
      <c r="V6" s="1"/>
      <c r="W6" s="309" t="s">
        <v>1703</v>
      </c>
      <c r="X6" s="310"/>
      <c r="Y6" s="1"/>
      <c r="Z6" s="309" t="s">
        <v>1704</v>
      </c>
      <c r="AA6" s="310"/>
      <c r="AB6" s="35"/>
      <c r="AC6" s="309" t="s">
        <v>1705</v>
      </c>
      <c r="AD6" s="310"/>
      <c r="AE6" s="1"/>
      <c r="AF6" s="1"/>
      <c r="AG6" s="311" t="s">
        <v>1706</v>
      </c>
      <c r="AH6" s="14"/>
      <c r="AI6" s="1"/>
      <c r="AJ6" s="1"/>
      <c r="AK6" s="1"/>
    </row>
    <row r="7" ht="19.5" customHeight="1">
      <c r="A7" s="1"/>
      <c r="B7" s="15" t="s">
        <v>256</v>
      </c>
      <c r="C7" s="15" t="s">
        <v>137</v>
      </c>
      <c r="D7" s="1"/>
      <c r="E7" s="15" t="s">
        <v>256</v>
      </c>
      <c r="F7" s="15" t="s">
        <v>1707</v>
      </c>
      <c r="G7" s="1"/>
      <c r="H7" s="15" t="s">
        <v>256</v>
      </c>
      <c r="I7" s="15" t="s">
        <v>1707</v>
      </c>
      <c r="J7" s="1"/>
      <c r="K7" s="15" t="s">
        <v>256</v>
      </c>
      <c r="L7" s="15" t="s">
        <v>1707</v>
      </c>
      <c r="M7" s="1"/>
      <c r="N7" s="15" t="s">
        <v>256</v>
      </c>
      <c r="O7" s="15" t="s">
        <v>1707</v>
      </c>
      <c r="P7" s="1"/>
      <c r="Q7" s="15" t="s">
        <v>256</v>
      </c>
      <c r="R7" s="15" t="s">
        <v>1707</v>
      </c>
      <c r="S7" s="8"/>
      <c r="T7" s="15" t="s">
        <v>256</v>
      </c>
      <c r="U7" s="15" t="s">
        <v>1707</v>
      </c>
      <c r="V7" s="8"/>
      <c r="W7" s="15" t="s">
        <v>256</v>
      </c>
      <c r="X7" s="15" t="s">
        <v>1707</v>
      </c>
      <c r="Y7" s="8"/>
      <c r="Z7" s="15" t="s">
        <v>256</v>
      </c>
      <c r="AA7" s="15" t="s">
        <v>1707</v>
      </c>
      <c r="AB7" s="8"/>
      <c r="AC7" s="15" t="s">
        <v>256</v>
      </c>
      <c r="AD7" s="15" t="s">
        <v>1707</v>
      </c>
      <c r="AE7" s="1"/>
      <c r="AF7" s="1"/>
      <c r="AG7" s="312" t="s">
        <v>1708</v>
      </c>
      <c r="AH7" s="1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23</v>
      </c>
      <c r="AI7" s="1"/>
      <c r="AJ7" s="1"/>
      <c r="AK7" s="1"/>
    </row>
    <row r="8" ht="19.5" customHeight="1">
      <c r="A8" s="1"/>
      <c r="B8" s="84" t="s">
        <v>1709</v>
      </c>
      <c r="C8" s="18" t="str">
        <f>mgmt_offline_depot_chosen</f>
        <v>Offline</v>
      </c>
      <c r="D8" s="1"/>
      <c r="E8" s="84" t="s">
        <v>1710</v>
      </c>
      <c r="F8" s="18" t="str">
        <f>IF(ISBLANK('Deploy Management Domain'!L154),"Value Missing",'Deploy Management Domain'!L154)</f>
        <v>Value Missing</v>
      </c>
      <c r="G8" s="1"/>
      <c r="H8" s="84" t="s">
        <v>1710</v>
      </c>
      <c r="I8" s="18" t="str">
        <f>IF(ISBLANK(input_wld_az1_mgmt_vm_vlan),"Value Missing",input_wld_az1_mgmt_vm_vlan)</f>
        <v>Value Missing</v>
      </c>
      <c r="J8" s="1"/>
      <c r="K8" s="84" t="s">
        <v>1710</v>
      </c>
      <c r="L8" s="18" t="str">
        <f>IF(ISBLANK(input_wld_az1_rack2_mgmt_vm_vlan),"Value Missing",input_wld_az1_rack2_mgmt_vm_vlan)</f>
        <v>Value Missing</v>
      </c>
      <c r="M8" s="1"/>
      <c r="N8" s="84" t="s">
        <v>1710</v>
      </c>
      <c r="O8" s="18" t="str">
        <f>IF(ISBLANK(input_wld_az1_rack3_mgmt_vm_vlan),"Value Missing",input_wld_az1_rack3_mgmt_vm_vlan)</f>
        <v>Value Missing</v>
      </c>
      <c r="P8" s="1"/>
      <c r="Q8" s="84" t="s">
        <v>1710</v>
      </c>
      <c r="R8" s="18" t="str">
        <f>IF(ISBLANK(input_wld_az1_rack4_mgmt_vm_vlan),"Value Missing",input_wld_az1_rack4_mgmt_vm_vlan)</f>
        <v>Value Missing</v>
      </c>
      <c r="S8" s="1"/>
      <c r="T8" s="84" t="s">
        <v>1710</v>
      </c>
      <c r="U8" s="18" t="str">
        <f>IF(ISBLANK(input_wld_az1_rack5_mgmt_vm_vlan),"Value Missing",input_wld_az1_rack5_mgmt_vm_vlan)</f>
        <v>Value Missing</v>
      </c>
      <c r="V8" s="1"/>
      <c r="W8" s="84" t="s">
        <v>1710</v>
      </c>
      <c r="X8" s="18" t="str">
        <f>IF(ISBLANK(input_wld_az1_rack6_mgmt_vm_vlan),"Value Missing",input_wld_az1_rack6_mgmt_vm_vlan)</f>
        <v>Value Missing</v>
      </c>
      <c r="Y8" s="1"/>
      <c r="Z8" s="84" t="s">
        <v>1710</v>
      </c>
      <c r="AA8" s="18" t="str">
        <f>IF(ISBLANK(input_wld_az1_rack7_mgmt_vm_vlan),"Value Missing",input_wld_az1_rack7_mgmt_vm_vlan)</f>
        <v>Value Missing</v>
      </c>
      <c r="AB8" s="1"/>
      <c r="AC8" s="84" t="s">
        <v>1710</v>
      </c>
      <c r="AD8" s="18" t="str">
        <f>IF(ISBLANK(input_wld_az1_rack8_mgmt_vm_vlan),"Value Missing",input_wld_az1_rack8_mgmt_vm_vlan)</f>
        <v>Value Missing</v>
      </c>
      <c r="AE8" s="1"/>
      <c r="AF8" s="1"/>
      <c r="AG8" s="312" t="s">
        <v>1711</v>
      </c>
      <c r="AH8" s="1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24</v>
      </c>
      <c r="AI8" s="1"/>
      <c r="AJ8" s="1"/>
      <c r="AK8" s="1"/>
    </row>
    <row r="9" ht="19.5" customHeight="1">
      <c r="A9" s="1"/>
      <c r="B9" s="84" t="s">
        <v>760</v>
      </c>
      <c r="C9" s="18" t="str">
        <f>mgmt_offline_depot_fqdn</f>
        <v>Value Missing</v>
      </c>
      <c r="D9" s="1"/>
      <c r="E9" s="84" t="s">
        <v>1712</v>
      </c>
      <c r="F9" s="18" t="str">
        <f>IF(ISBLANK(input_mgmt_az1_mgmt_vlan),"Value Missing",input_mgmt_az1_mgmt_vlan)</f>
        <v>Value Missing</v>
      </c>
      <c r="G9" s="1"/>
      <c r="H9" s="84" t="s">
        <v>1712</v>
      </c>
      <c r="I9" s="18" t="str">
        <f>IF(ISBLANK(input_wld_az1_mgmt_vlan),"Value Missing",input_wld_az1_mgmt_vlan)</f>
        <v>Value Missing</v>
      </c>
      <c r="J9" s="1"/>
      <c r="K9" s="84" t="s">
        <v>1712</v>
      </c>
      <c r="L9" s="18" t="str">
        <f>IF(ISBLANK(input_wld_az1_rack2_mgmt_vlan),"Value Missing",input_wld_az1_rack2_mgmt_vlan)</f>
        <v>Value Missing</v>
      </c>
      <c r="M9" s="1"/>
      <c r="N9" s="84" t="s">
        <v>1712</v>
      </c>
      <c r="O9" s="18" t="str">
        <f>IF(ISBLANK(input_wld_az1_rack3_mgmt_vlan),"Value Missing",input_wld_az1_rack3_mgmt_vlan)</f>
        <v>Value Missing</v>
      </c>
      <c r="P9" s="1"/>
      <c r="Q9" s="84" t="s">
        <v>1712</v>
      </c>
      <c r="R9" s="18" t="str">
        <f>IF(ISBLANK(input_wld_az1_rack4_mgmt_vlan),"Value Missing",input_wld_az1_rack4_mgmt_vlan)</f>
        <v>Value Missing</v>
      </c>
      <c r="S9" s="1"/>
      <c r="T9" s="84" t="s">
        <v>1712</v>
      </c>
      <c r="U9" s="18" t="str">
        <f>IF(ISBLANK(input_wld_az1_rack5_mgmt_vlan),"Value Missing",input_wld_az1_rack5_mgmt_vlan)</f>
        <v>Value Missing</v>
      </c>
      <c r="V9" s="1"/>
      <c r="W9" s="84" t="s">
        <v>1712</v>
      </c>
      <c r="X9" s="18" t="str">
        <f>IF(ISBLANK(input_wld_az1_rack6_mgmt_vlan),"Value Missing",input_wld_az1_rack6_mgmt_vlan)</f>
        <v>Value Missing</v>
      </c>
      <c r="Y9" s="1"/>
      <c r="Z9" s="84" t="s">
        <v>1712</v>
      </c>
      <c r="AA9" s="18" t="str">
        <f>IF(ISBLANK(input_wld_az1_rack7_mgmt_vlan),"Value Missing",input_wld_az1_rack7_mgmt_vlan)</f>
        <v>Value Missing</v>
      </c>
      <c r="AB9" s="1"/>
      <c r="AC9" s="84" t="s">
        <v>1712</v>
      </c>
      <c r="AD9" s="18" t="str">
        <f>IF(ISBLANK(input_wld_az1_rack8_mgmt_vlan),"Value Missing",input_wld_az1_rack8_mgmt_vlan)</f>
        <v>Value Missing</v>
      </c>
      <c r="AE9" s="1"/>
      <c r="AF9" s="1"/>
      <c r="AG9" s="312" t="s">
        <v>1713</v>
      </c>
      <c r="AH9" s="18" t="str">
        <f>CONCATENATE("10.",prefix_wld_az1_rack_vlan,".")</f>
        <v>10.23.</v>
      </c>
      <c r="AI9" s="1"/>
      <c r="AJ9" s="1"/>
      <c r="AK9" s="1"/>
    </row>
    <row r="10" ht="19.5" customHeight="1">
      <c r="A10" s="1"/>
      <c r="B10" s="84" t="s">
        <v>526</v>
      </c>
      <c r="C10" s="18" t="str">
        <f>mgmt_offline_depot_port</f>
        <v>Value Missing</v>
      </c>
      <c r="D10" s="1"/>
      <c r="E10" s="84" t="s">
        <v>407</v>
      </c>
      <c r="F10" s="18" t="str">
        <f>IF(ISBLANK(input_mgmt_az1_vmotion_vlan),"Value Missing",input_mgmt_az1_vmotion_vlan)</f>
        <v>Value Missing</v>
      </c>
      <c r="G10" s="1"/>
      <c r="H10" s="84" t="s">
        <v>407</v>
      </c>
      <c r="I10" s="18" t="str">
        <f>IF(ISBLANK(input_wld_az1_vmotion_vlan),"Value Missing",input_wld_az1_vmotion_vlan)</f>
        <v>Value Missing</v>
      </c>
      <c r="J10" s="1"/>
      <c r="K10" s="84" t="s">
        <v>407</v>
      </c>
      <c r="L10" s="18" t="str">
        <f>IF(ISBLANK(input_wld_az1_rack2_vmotion_vlan),"Value Missing",input_wld_az1_rack2_vmotion_vlan)</f>
        <v>Value Missing</v>
      </c>
      <c r="M10" s="1"/>
      <c r="N10" s="84" t="s">
        <v>407</v>
      </c>
      <c r="O10" s="18" t="str">
        <f>IF(ISBLANK(input_wld_az1_rack3_vmotion_vlan),"Value Missing",input_wld_az1_rack3_vmotion_vlan)</f>
        <v>Value Missing</v>
      </c>
      <c r="P10" s="1"/>
      <c r="Q10" s="84" t="s">
        <v>407</v>
      </c>
      <c r="R10" s="18" t="str">
        <f>IF(ISBLANK(input_wld_az1_rack4_vmotion_vlan),"Value Missing",input_wld_az1_rack4_vmotion_vlan)</f>
        <v>Value Missing</v>
      </c>
      <c r="S10" s="1"/>
      <c r="T10" s="84" t="s">
        <v>407</v>
      </c>
      <c r="U10" s="18" t="str">
        <f>IF(ISBLANK(input_wld_az1_rack5_vmotion_vlan),"Value Missing",input_wld_az1_rack5_vmotion_vlan)</f>
        <v>Value Missing</v>
      </c>
      <c r="V10" s="1"/>
      <c r="W10" s="84" t="s">
        <v>407</v>
      </c>
      <c r="X10" s="18" t="str">
        <f>IF(ISBLANK(input_wld_az1_rack6_vmotion_vlan),"Value Missing",input_wld_az1_rack6_vmotion_vlan)</f>
        <v>Value Missing</v>
      </c>
      <c r="Y10" s="1"/>
      <c r="Z10" s="84" t="s">
        <v>407</v>
      </c>
      <c r="AA10" s="18" t="str">
        <f>IF(ISBLANK(input_wld_az1_rack7_vmotion_vlan),"Value Missing",input_wld_az1_rack7_vmotion_vlan)</f>
        <v>Value Missing</v>
      </c>
      <c r="AB10" s="1"/>
      <c r="AC10" s="84" t="s">
        <v>407</v>
      </c>
      <c r="AD10" s="18" t="str">
        <f>IF(ISBLANK(input_wld_az1_rack8_vmotion_vlan),"Value Missing",input_wld_az1_rack8_vmotion_vlan)</f>
        <v>Value Missing</v>
      </c>
      <c r="AE10" s="1"/>
      <c r="AF10" s="1"/>
      <c r="AG10" s="312" t="s">
        <v>1714</v>
      </c>
      <c r="AH10" s="18" t="str">
        <f>CONCATENATE("10.",prefix_wld_az2_rack_vlan)</f>
        <v>10.24</v>
      </c>
      <c r="AI10" s="1"/>
      <c r="AJ10" s="1"/>
      <c r="AK10" s="1"/>
    </row>
    <row r="11" ht="19.5" customHeight="1">
      <c r="A11" s="1"/>
      <c r="B11" s="84" t="s">
        <v>296</v>
      </c>
      <c r="C11" s="18" t="str">
        <f>svc_my_vmware_password</f>
        <v>Value Missing</v>
      </c>
      <c r="D11" s="1"/>
      <c r="E11" s="173" t="str">
        <f>CONCATENATE("Principal Storage Network ",wld_principal_storage_chosen)</f>
        <v>Principal Storage Network vSAN-ESA</v>
      </c>
      <c r="F11" s="18" t="str">
        <f>IF(ISBLANK(input_mgmt_az1_vsan_vlan),"Value Missing",input_mgmt_az1_vsan_vlan)</f>
        <v>Value Missing</v>
      </c>
      <c r="G11" s="1"/>
      <c r="H11" s="173" t="s">
        <v>410</v>
      </c>
      <c r="I11" s="18" t="str">
        <f>IF(ISBLANK(input_wld_az1_principal_storage_vlan),"Value Missing",input_wld_az1_principal_storage_vlan)</f>
        <v>Value Missing</v>
      </c>
      <c r="J11" s="1"/>
      <c r="K11" s="173" t="str">
        <f>CONCATENATE("Principal Storage Network ",wld_principal_storage_chosen)</f>
        <v>Principal Storage Network vSAN-ESA</v>
      </c>
      <c r="L11" s="18" t="str">
        <f>IF(ISBLANK(input_wld_az1_rack2_principal_storage_vlan),"Value Missing",input_wld_az1_rack2_principal_storage_vlan)</f>
        <v>Value Missing</v>
      </c>
      <c r="M11" s="1"/>
      <c r="N11" s="173" t="str">
        <f>CONCATENATE("Principal Storage Network ",wld_principal_storage_chosen)</f>
        <v>Principal Storage Network vSAN-ESA</v>
      </c>
      <c r="O11" s="18" t="str">
        <f>IF(ISBLANK(input_wld_az1_rack3_principal_storage_vlan),"Value Missing",input_wld_az1_rack3_principal_storage_vlan)</f>
        <v>Value Missing</v>
      </c>
      <c r="P11" s="1"/>
      <c r="Q11" s="173" t="str">
        <f>CONCATENATE("Principal Storage Network ",wld_principal_storage_chosen)</f>
        <v>Principal Storage Network vSAN-ESA</v>
      </c>
      <c r="R11" s="18" t="str">
        <f>IF(ISBLANK(input_wld_az1_rack4_principal_storage_vlan),"Value Missing",input_wld_az1_rack4_principal_storage_vlan)</f>
        <v>Value Missing</v>
      </c>
      <c r="S11" s="1"/>
      <c r="T11" s="173" t="str">
        <f>CONCATENATE("Principal Storage Network ",wld_principal_storage_chosen)</f>
        <v>Principal Storage Network vSAN-ESA</v>
      </c>
      <c r="U11" s="18" t="str">
        <f>IF(ISBLANK(input_wld_az1_rack5_principal_storage_vlan),"Value Missing",input_wld_az1_rack5_principal_storage_vlan)</f>
        <v>Value Missing</v>
      </c>
      <c r="V11" s="1"/>
      <c r="W11" s="173" t="str">
        <f>CONCATENATE("Principal Storage Network ",wld_principal_storage_chosen)</f>
        <v>Principal Storage Network vSAN-ESA</v>
      </c>
      <c r="X11" s="18" t="str">
        <f>IF(ISBLANK(input_wld_az1_rack6_principal_storage_vlan),"Value Missing",input_wld_az1_rack6_principal_storage_vlan)</f>
        <v>Value Missing</v>
      </c>
      <c r="Y11" s="1"/>
      <c r="Z11" s="173" t="str">
        <f>CONCATENATE("Principal Storage Network ",wld_principal_storage_chosen)</f>
        <v>Principal Storage Network vSAN-ESA</v>
      </c>
      <c r="AA11" s="18" t="str">
        <f>IF(ISBLANK(input_wld_az1_rack7_principal_storage_vlan),"Value Missing",input_wld_az1_rack7_principal_storage_vlan)</f>
        <v>Value Missing</v>
      </c>
      <c r="AB11" s="1"/>
      <c r="AC11" s="173" t="str">
        <f>CONCATENATE("Principal Storage Network ",wld_principal_storage_chosen)</f>
        <v>Principal Storage Network vSAN-ESA</v>
      </c>
      <c r="AD11" s="18" t="str">
        <f>IF(ISBLANK(input_wld_az1_rack8_principal_storage_vlan),"Value Missing",input_wld_az1_rack8_principal_storage_vlan)</f>
        <v>Value Missing</v>
      </c>
      <c r="AE11" s="1"/>
      <c r="AF11" s="1"/>
      <c r="AG11" s="41"/>
      <c r="AH11" s="1"/>
      <c r="AI11" s="1"/>
      <c r="AJ11" s="1"/>
      <c r="AK11" s="1"/>
    </row>
    <row r="12" ht="19.5" customHeight="1">
      <c r="A12" s="1"/>
      <c r="B12" s="84" t="s">
        <v>1715</v>
      </c>
      <c r="C12" s="18" t="str">
        <f>mgmt_offline_depot_chosen</f>
        <v>Offline</v>
      </c>
      <c r="D12" s="1"/>
      <c r="E12" s="84" t="s">
        <v>1716</v>
      </c>
      <c r="F12" s="18" t="str">
        <f>IF(ISBLANK(input_mgmt_az1_host_overlay_vlan),"Value Missing",input_mgmt_az1_host_overlay_vlan)</f>
        <v>Value Missing</v>
      </c>
      <c r="G12" s="1"/>
      <c r="H12" s="84" t="s">
        <v>1716</v>
      </c>
      <c r="I12" s="18" t="str">
        <f>IF(ISBLANK(input_wld_az1_host_overlay_vlan),"Value Missing",input_wld_az1_host_overlay_vlan)</f>
        <v>Value Missing</v>
      </c>
      <c r="J12" s="1"/>
      <c r="K12" s="84" t="s">
        <v>1716</v>
      </c>
      <c r="L12" s="18" t="str">
        <f>IF(ISBLANK(input_wld_az1_rack2_host_overlay_vlan),"Value Missing",input_wld_az1_rack2_host_overlay_vlan)</f>
        <v>Value Missing</v>
      </c>
      <c r="M12" s="1"/>
      <c r="N12" s="84" t="s">
        <v>1716</v>
      </c>
      <c r="O12" s="18" t="str">
        <f>IF(ISBLANK(input_wld_az1_rack3_host_overlay_vlan),"Value Missing",input_wld_az1_rack3_host_overlay_vlan)</f>
        <v>Value Missing</v>
      </c>
      <c r="P12" s="1"/>
      <c r="Q12" s="84" t="s">
        <v>1716</v>
      </c>
      <c r="R12" s="18" t="str">
        <f>IF(ISBLANK(input_wld_az1_rack4_host_overlay_vlan),"Value Missing",input_wld_az1_rack4_host_overlay_vlan)</f>
        <v>Value Missing</v>
      </c>
      <c r="S12" s="1"/>
      <c r="T12" s="84" t="s">
        <v>1716</v>
      </c>
      <c r="U12" s="18" t="str">
        <f>IF(ISBLANK(input_wld_az1_rack5_host_overlay_vlan),"Value Missing",input_wld_az1_rack5_host_overlay_vlan)</f>
        <v>Value Missing</v>
      </c>
      <c r="V12" s="1"/>
      <c r="W12" s="84" t="s">
        <v>1716</v>
      </c>
      <c r="X12" s="18" t="str">
        <f>IF(ISBLANK(input_wld_az1_rack6_host_overlay_vlan),"Value Missing",input_wld_az1_rack6_host_overlay_vlan)</f>
        <v>Value Missing</v>
      </c>
      <c r="Y12" s="1"/>
      <c r="Z12" s="84" t="s">
        <v>1716</v>
      </c>
      <c r="AA12" s="18" t="str">
        <f>IF(ISBLANK(input_wld_az1_rack7_host_overlay_vlan),"Value Missing",input_wld_az1_rack7_host_overlay_vlan)</f>
        <v>Value Missing</v>
      </c>
      <c r="AB12" s="1"/>
      <c r="AC12" s="84" t="s">
        <v>1716</v>
      </c>
      <c r="AD12" s="18" t="str">
        <f>IF(ISBLANK(input_wld_az1_rack8_host_overlay_vlan),"Value Missing",input_wld_az1_rack8_host_overlay_vlan)</f>
        <v>Value Missing</v>
      </c>
      <c r="AE12" s="1"/>
      <c r="AF12" s="1"/>
      <c r="AG12" s="1"/>
      <c r="AH12" s="1"/>
      <c r="AI12" s="1"/>
      <c r="AJ12" s="1"/>
      <c r="AK12" s="1"/>
    </row>
    <row r="13" ht="19.5" customHeight="1">
      <c r="A13" s="1"/>
      <c r="B13" s="84" t="s">
        <v>287</v>
      </c>
      <c r="C13" s="18" t="str">
        <f>mgmt_internet_proxy_type_chosen</f>
        <v>HTTP</v>
      </c>
      <c r="D13" s="1"/>
      <c r="E13" s="313" t="s">
        <v>1717</v>
      </c>
      <c r="F13" s="18" t="str">
        <f>IF(ISBLANK(input_mgmt_az1_secondary_storage_vlan),"Value Missing",input_mgmt_az1_secondary_storage_vlan)</f>
        <v>Value Missing</v>
      </c>
      <c r="G13" s="1"/>
      <c r="H13" s="84" t="s">
        <v>1717</v>
      </c>
      <c r="I13" s="18" t="str">
        <f>IF(ISBLANK(input_wld_az1_secondary_storage_vlan),"Value Missing",input_wld_az1_secondary_storage_vlan)</f>
        <v>Value Missing</v>
      </c>
      <c r="J13" s="1"/>
      <c r="K13" s="84" t="s">
        <v>1717</v>
      </c>
      <c r="L13" s="18" t="str">
        <f>IF(ISBLANK(input_wld_az1_rack2_secondary_storage_vlan),"Value Missing",input_wld_az1_rack2_secondary_storage_vlan)</f>
        <v>Value Missing</v>
      </c>
      <c r="M13" s="1"/>
      <c r="N13" s="84" t="s">
        <v>1717</v>
      </c>
      <c r="O13" s="18" t="str">
        <f>IF(ISBLANK(input_wld_az1_rack3_secondary_storage_vlan),"Value Missing",input_wld_az1_rack3_secondary_storage_vlan)</f>
        <v>Value Missing</v>
      </c>
      <c r="P13" s="1"/>
      <c r="Q13" s="84" t="s">
        <v>1717</v>
      </c>
      <c r="R13" s="18" t="str">
        <f>IF(ISBLANK(input_wld_az1_rack4_secondary_storage_vlan),"Value Missing",input_wld_az1_rack4_secondary_storage_vlan)</f>
        <v>Value Missing</v>
      </c>
      <c r="S13" s="1"/>
      <c r="T13" s="84" t="s">
        <v>1717</v>
      </c>
      <c r="U13" s="18" t="str">
        <f>IF(ISBLANK(input_wld_az1_rack5_secondary_storage_vlan),"Value Missing",input_wld_az1_rack5_secondary_storage_vlan)</f>
        <v>Value Missing</v>
      </c>
      <c r="V13" s="1"/>
      <c r="W13" s="84" t="s">
        <v>1717</v>
      </c>
      <c r="X13" s="18" t="str">
        <f>IF(ISBLANK(input_wld_az1_rack6_secondary_storage_vlan),"Value Missing",input_wld_az1_rack6_secondary_storage_vlan)</f>
        <v>Value Missing</v>
      </c>
      <c r="Y13" s="1"/>
      <c r="Z13" s="84" t="s">
        <v>1717</v>
      </c>
      <c r="AA13" s="18" t="str">
        <f>IF(ISBLANK(input_wld_az1_rack7_secondary_storage_vlan),"Value Missing",input_wld_az1_rack7_secondary_storage_vlan)</f>
        <v>Value Missing</v>
      </c>
      <c r="AB13" s="1"/>
      <c r="AC13" s="84" t="s">
        <v>1717</v>
      </c>
      <c r="AD13" s="18" t="str">
        <f>IF(ISBLANK(input_wld_az1_rack8_secondary_storage_vlan),"Value Missing",input_wld_az1_rack8_secondary_storage_vlan)</f>
        <v>Value Missing</v>
      </c>
      <c r="AE13" s="1"/>
      <c r="AF13" s="1"/>
      <c r="AG13" s="1"/>
      <c r="AH13" s="1"/>
      <c r="AI13" s="1"/>
      <c r="AJ13" s="1"/>
      <c r="AK13" s="1"/>
    </row>
    <row r="14" ht="19.5" customHeight="1">
      <c r="A14" s="1"/>
      <c r="B14" s="84" t="s">
        <v>1718</v>
      </c>
      <c r="C14" s="1" t="str">
        <f>mgmt_internet_proxy_chosen</f>
        <v>Selected</v>
      </c>
      <c r="D14" s="1"/>
      <c r="E14" s="313"/>
      <c r="F14" s="18"/>
      <c r="G14" s="1"/>
      <c r="H14" s="84" t="s">
        <v>1244</v>
      </c>
      <c r="I14" s="18" t="str">
        <f>IF(ISBLANK(input_wld_az1_storage_cluster_vlan),"Value Missing",input_wld_az1_storage_cluster_vlan)</f>
        <v>Value Missing</v>
      </c>
      <c r="J14" s="1"/>
      <c r="K14" s="187" t="s">
        <v>1244</v>
      </c>
      <c r="L14" s="18"/>
      <c r="M14" s="1"/>
      <c r="N14" s="187" t="s">
        <v>1244</v>
      </c>
      <c r="O14" s="18"/>
      <c r="P14" s="1"/>
      <c r="Q14" s="187" t="s">
        <v>1244</v>
      </c>
      <c r="R14" s="18"/>
      <c r="S14" s="1"/>
      <c r="T14" s="187" t="s">
        <v>1244</v>
      </c>
      <c r="U14" s="18"/>
      <c r="V14" s="1"/>
      <c r="W14" s="187" t="s">
        <v>1244</v>
      </c>
      <c r="X14" s="18"/>
      <c r="Y14" s="1"/>
      <c r="Z14" s="187" t="s">
        <v>1244</v>
      </c>
      <c r="AA14" s="18"/>
      <c r="AB14" s="1"/>
      <c r="AC14" s="187" t="s">
        <v>1244</v>
      </c>
      <c r="AD14" s="18"/>
      <c r="AE14" s="1"/>
      <c r="AF14" s="1"/>
      <c r="AG14" s="1"/>
      <c r="AH14" s="1"/>
      <c r="AI14" s="1"/>
      <c r="AJ14" s="1"/>
      <c r="AK14" s="1"/>
    </row>
    <row r="15" ht="19.5" customHeight="1">
      <c r="A15" s="1"/>
      <c r="B15" s="84" t="s">
        <v>290</v>
      </c>
      <c r="C15" s="18" t="str">
        <f>IF(ISBLANK(input_mgmt_internet_proxy_address),"Value Missing",input_mgmt_internet_proxy_address)</f>
        <v>Value Missing</v>
      </c>
      <c r="D15" s="1"/>
      <c r="E15" s="84" t="s">
        <v>1719</v>
      </c>
      <c r="F15" s="18" t="str">
        <f>IF(ISBLANK(input_mgmt_az1_uplink01_vlan),"Value Missing",input_mgmt_az1_uplink01_vlan)</f>
        <v>Value Missing</v>
      </c>
      <c r="G15" s="1"/>
      <c r="H15" s="84" t="s">
        <v>1719</v>
      </c>
      <c r="I15" s="18" t="str">
        <f>IF(ISBLANK(input_wld_az1_uplink01_vlan),"Value Missing",input_wld_az1_uplink01_vlan)</f>
        <v>Value Missing</v>
      </c>
      <c r="J15" s="1"/>
      <c r="K15" s="84" t="s">
        <v>1719</v>
      </c>
      <c r="L15" s="18" t="str">
        <f>IF(ISBLANK(input_wld_az1_rack2_uplink01_vlan),"Value Missing",input_wld_az1_rack2_uplink01_vlan)</f>
        <v>Value Missing</v>
      </c>
      <c r="M15" s="1"/>
      <c r="N15" s="84" t="s">
        <v>1719</v>
      </c>
      <c r="O15" s="18" t="str">
        <f>IF(ISBLANK(input_wld_az1_rack3_uplink01_vlan),"Value Missing",input_wld_az1_rack3_uplink01_vlan)</f>
        <v>Value Missing</v>
      </c>
      <c r="P15" s="1"/>
      <c r="Q15" s="84" t="s">
        <v>1719</v>
      </c>
      <c r="R15" s="18" t="str">
        <f>IF(ISBLANK(input_wld_az1_rack4_uplink01_vlan),"Value Missing",input_wld_az1_rack4_uplink01_vlan)</f>
        <v>Value Missing</v>
      </c>
      <c r="S15" s="1"/>
      <c r="T15" s="84" t="s">
        <v>1719</v>
      </c>
      <c r="U15" s="18" t="str">
        <f>IF(ISBLANK(input_wld_az1_rack5_uplink01_vlan),"Value Missing",input_wld_az1_rack5_uplink01_vlan)</f>
        <v>Value Missing</v>
      </c>
      <c r="V15" s="1"/>
      <c r="W15" s="84" t="s">
        <v>1719</v>
      </c>
      <c r="X15" s="18" t="str">
        <f>IF(ISBLANK(input_wld_az1_rack6_uplink01_vlan),"Value Missing",input_wld_az1_rack6_uplink01_vlan)</f>
        <v>Value Missing</v>
      </c>
      <c r="Y15" s="1"/>
      <c r="Z15" s="84" t="s">
        <v>1719</v>
      </c>
      <c r="AA15" s="314" t="str">
        <f>IF(ISBLANK(input_wld_az1_rack7_uplink01_vlan),"Value Missing",input_wld_az1_rack7_uplink01_vlan)</f>
        <v>Value Missing</v>
      </c>
      <c r="AB15" s="1"/>
      <c r="AC15" s="84" t="s">
        <v>1719</v>
      </c>
      <c r="AD15" s="18" t="str">
        <f>IF(ISBLANK(input_wld_az1_rack8_uplink01_vlan),"Value Missing",input_wld_az1_rack8_uplink01_vlan)</f>
        <v>Value Missing</v>
      </c>
      <c r="AE15" s="1"/>
      <c r="AF15" s="1"/>
      <c r="AG15" s="1"/>
      <c r="AH15" s="1"/>
      <c r="AI15" s="1"/>
      <c r="AJ15" s="1"/>
      <c r="AK15" s="1"/>
    </row>
    <row r="16" ht="19.5" customHeight="1">
      <c r="A16" s="1"/>
      <c r="B16" s="84" t="s">
        <v>292</v>
      </c>
      <c r="C16" s="18" t="str">
        <f>mgmt_internet_proxy_port</f>
        <v>Value Missing</v>
      </c>
      <c r="D16" s="1"/>
      <c r="E16" s="84" t="s">
        <v>1720</v>
      </c>
      <c r="F16" s="18" t="str">
        <f>IF(ISBLANK(input_mgmt_az1_uplink02_vlan),"Value Missing",input_mgmt_az1_uplink02_vlan)</f>
        <v>Value Missing</v>
      </c>
      <c r="G16" s="1"/>
      <c r="H16" s="84" t="s">
        <v>1720</v>
      </c>
      <c r="I16" s="18" t="str">
        <f>IF(ISBLANK(input_wld_az1_uplink02_vlan),"Value Missing",input_wld_az1_uplink02_vlan)</f>
        <v>Value Missing</v>
      </c>
      <c r="J16" s="1"/>
      <c r="K16" s="84" t="s">
        <v>1720</v>
      </c>
      <c r="L16" s="18" t="str">
        <f>IF(ISBLANK(input_wld_az1_rack2_uplink02_vlan),"Value Missing",input_wld_az1_rack2_uplink02_vlan)</f>
        <v>Value Missing</v>
      </c>
      <c r="M16" s="1"/>
      <c r="N16" s="84" t="s">
        <v>1720</v>
      </c>
      <c r="O16" s="18" t="str">
        <f>IF(ISBLANK(input_wld_az1_rack3_uplink02_vlan),"Value Missing",input_wld_az1_rack3_uplink02_vlan)</f>
        <v>Value Missing</v>
      </c>
      <c r="P16" s="1"/>
      <c r="Q16" s="84" t="s">
        <v>1720</v>
      </c>
      <c r="R16" s="18" t="str">
        <f>IF(ISBLANK(input_wld_az1_rack4_uplink02_vlan),"Value Missing",input_wld_az1_rack4_uplink02_vlan)</f>
        <v>Value Missing</v>
      </c>
      <c r="S16" s="1"/>
      <c r="T16" s="84" t="s">
        <v>1720</v>
      </c>
      <c r="U16" s="18" t="str">
        <f>IF(ISBLANK(input_wld_az1_rack5_uplink02_vlan),"Value Missing",input_wld_az1_rack5_uplink02_vlan)</f>
        <v>Value Missing</v>
      </c>
      <c r="V16" s="1"/>
      <c r="W16" s="84" t="s">
        <v>1720</v>
      </c>
      <c r="X16" s="18" t="str">
        <f>IF(ISBLANK(input_wld_az1_rack6_uplink02_vlan),"Value Missing",input_wld_az1_rack6_uplink02_vlan)</f>
        <v>Value Missing</v>
      </c>
      <c r="Y16" s="1"/>
      <c r="Z16" s="84" t="s">
        <v>1720</v>
      </c>
      <c r="AA16" s="18" t="str">
        <f>IF(ISBLANK(input_wld_az1_rack7_uplink02_vlan),"Value Missing",input_wld_az1_rack7_uplink02_vlan)</f>
        <v>Value Missing</v>
      </c>
      <c r="AB16" s="1"/>
      <c r="AC16" s="84" t="s">
        <v>1720</v>
      </c>
      <c r="AD16" s="18" t="str">
        <f>IF(ISBLANK(input_wld_az1_rack8_uplink02_vlan),"Value Missing",input_wld_az1_rack8_uplink02_vlan)</f>
        <v>Value Missing</v>
      </c>
      <c r="AE16" s="1"/>
      <c r="AF16" s="1"/>
      <c r="AG16" s="1"/>
      <c r="AH16" s="1"/>
      <c r="AI16" s="1"/>
      <c r="AJ16" s="1"/>
      <c r="AK16" s="1"/>
    </row>
    <row r="17" ht="19.5" customHeight="1">
      <c r="A17" s="1"/>
      <c r="B17" s="84" t="s">
        <v>1721</v>
      </c>
      <c r="C17" s="1" t="str">
        <f>mgmt_internet_proxy_auth_chosen</f>
        <v>Selected</v>
      </c>
      <c r="D17" s="1"/>
      <c r="E17" s="84" t="s">
        <v>1722</v>
      </c>
      <c r="F17" s="18" t="str">
        <f>IF(ISBLANK(input_mgmt_az1_edge_overlay_vlan),"Value Missing",input_mgmt_az1_edge_overlay_vlan)</f>
        <v>Value Missing</v>
      </c>
      <c r="G17" s="1"/>
      <c r="H17" s="84" t="s">
        <v>1722</v>
      </c>
      <c r="I17" s="18" t="str">
        <f>IF(ISBLANK(input_wld_az1_edge_overlay_vlan),"Value Missing",input_wld_az1_edge_overlay_vlan)</f>
        <v>Value Missing</v>
      </c>
      <c r="J17" s="1"/>
      <c r="K17" s="84" t="s">
        <v>1722</v>
      </c>
      <c r="L17" s="18" t="str">
        <f>IF(ISBLANK(input_wld_az1_rack2_edge_overlay_vlan),"Value Missing",input_wld_az1_rack2_edge_overlay_vlan)</f>
        <v>Value Missing</v>
      </c>
      <c r="M17" s="1"/>
      <c r="N17" s="84" t="s">
        <v>1722</v>
      </c>
      <c r="O17" s="18" t="str">
        <f>IF(ISBLANK(input_wld_az1_rack3_edge_overlay_vlan),"Value Missing",input_wld_az1_rack3_edge_overlay_vlan)</f>
        <v>Value Missing</v>
      </c>
      <c r="P17" s="1"/>
      <c r="Q17" s="84" t="s">
        <v>1722</v>
      </c>
      <c r="R17" s="18" t="str">
        <f>IF(ISBLANK(input_wld_az1_rack4_edge_overlay_vlan),"Value Missing",input_wld_az1_rack4_edge_overlay_vlan)</f>
        <v>Value Missing</v>
      </c>
      <c r="S17" s="1"/>
      <c r="T17" s="84" t="s">
        <v>1722</v>
      </c>
      <c r="U17" s="18" t="str">
        <f>IF(ISBLANK(input_wld_az1_rack5_edge_overlay_vlan),"Value Missing",input_wld_az1_rack5_edge_overlay_vlan)</f>
        <v>Value Missing</v>
      </c>
      <c r="V17" s="1"/>
      <c r="W17" s="84" t="s">
        <v>1722</v>
      </c>
      <c r="X17" s="18" t="str">
        <f>IF(ISBLANK(input_wld_az1_rack6_edge_overlay_vlan),"Value Missing",input_wld_az1_rack6_edge_overlay_vlan)</f>
        <v>Value Missing</v>
      </c>
      <c r="Y17" s="1"/>
      <c r="Z17" s="84" t="s">
        <v>1722</v>
      </c>
      <c r="AA17" s="18" t="str">
        <f>IF(ISBLANK(input_wld_az1_rack7_edge_overlay_vlan),"Value Missing",input_wld_az1_rack7_edge_overlay_vlan)</f>
        <v>Value Missing</v>
      </c>
      <c r="AB17" s="1"/>
      <c r="AC17" s="84" t="s">
        <v>1722</v>
      </c>
      <c r="AD17" s="18" t="str">
        <f>IF(ISBLANK(input_wld_az1_rack8_edge_overlay_vlan),"Value Missing",input_wld_az1_rack8_edge_overlay_vlan)</f>
        <v>Value Missing</v>
      </c>
      <c r="AE17" s="1"/>
      <c r="AF17" s="1"/>
      <c r="AG17" s="311" t="s">
        <v>1723</v>
      </c>
      <c r="AH17" s="38"/>
      <c r="AI17" s="1"/>
      <c r="AJ17" s="1"/>
      <c r="AK17" s="1"/>
    </row>
    <row r="18" ht="19.5" customHeight="1">
      <c r="A18" s="1"/>
      <c r="B18" s="84" t="s">
        <v>294</v>
      </c>
      <c r="C18" s="18" t="str">
        <f>IF(ISBLANK(input_mgmt_internet_proxy_email),"Value Missing",input_mgmt_internet_proxy_email)</f>
        <v>Value Missing</v>
      </c>
      <c r="D18" s="1"/>
      <c r="E18" s="84" t="s">
        <v>1724</v>
      </c>
      <c r="F18" s="18" t="str">
        <f>IF(ISBLANK(input_mgmt_az1_rtep_overlay_vlan),"Value Missing",input_mgmt_az1_rtep_overlay_vlan)</f>
        <v>Value Missing</v>
      </c>
      <c r="G18" s="1"/>
      <c r="H18" s="84" t="s">
        <v>1724</v>
      </c>
      <c r="I18" s="18" t="str">
        <f>IF(ISBLANK(input_wld_az1_rtep_overlay_vlan),"Value Missing",input_wld_az1_rtep_overlay_vlan)</f>
        <v>Value Missing</v>
      </c>
      <c r="J18" s="1"/>
      <c r="K18" s="84" t="s">
        <v>1724</v>
      </c>
      <c r="L18" s="18"/>
      <c r="M18" s="1"/>
      <c r="N18" s="84" t="s">
        <v>1724</v>
      </c>
      <c r="O18" s="18"/>
      <c r="P18" s="1"/>
      <c r="Q18" s="84" t="s">
        <v>1724</v>
      </c>
      <c r="R18" s="18"/>
      <c r="S18" s="1"/>
      <c r="T18" s="84" t="s">
        <v>1724</v>
      </c>
      <c r="U18" s="18"/>
      <c r="V18" s="1"/>
      <c r="W18" s="84" t="s">
        <v>1724</v>
      </c>
      <c r="X18" s="18"/>
      <c r="Y18" s="1"/>
      <c r="Z18" s="84" t="s">
        <v>1724</v>
      </c>
      <c r="AA18" s="18"/>
      <c r="AB18" s="1"/>
      <c r="AC18" s="84" t="s">
        <v>1724</v>
      </c>
      <c r="AD18" s="18"/>
      <c r="AE18" s="1"/>
      <c r="AF18" s="1"/>
      <c r="AG18" s="18" t="s">
        <v>1725</v>
      </c>
      <c r="AH18" s="18">
        <f>IF(this_instance="sfo",1,2)</f>
        <v>2</v>
      </c>
      <c r="AI18" s="1"/>
      <c r="AJ18" s="1"/>
      <c r="AK18" s="1"/>
    </row>
    <row r="19" ht="19.5" customHeight="1">
      <c r="A19" s="1"/>
      <c r="B19" s="84" t="s">
        <v>296</v>
      </c>
      <c r="C19" s="18" t="str">
        <f>IF(ISBLANK(input_mgmt_internet_proxy_password),"Value Missing",input_mgmt_internet_proxy_password)</f>
        <v>Value Missing</v>
      </c>
      <c r="D19" s="1"/>
      <c r="E19" s="84" t="s">
        <v>1726</v>
      </c>
      <c r="F19" s="18" t="str">
        <f>IF(ISBLANK(input_mgmt_az1_vrms_vlan),"Value Missing",input_mgmt_az1_vrms_vlan)</f>
        <v>Value Missing</v>
      </c>
      <c r="G19" s="1"/>
      <c r="H19" s="84" t="s">
        <v>1726</v>
      </c>
      <c r="I19" s="18" t="str">
        <f>IF(ISBLANK(input_wld_az1_vrms_vlan),"Value Missing",input_wld_az1_vrms_vlan)</f>
        <v>Value Missing</v>
      </c>
      <c r="J19" s="1"/>
      <c r="K19" s="84" t="s">
        <v>1726</v>
      </c>
      <c r="L19" s="18"/>
      <c r="M19" s="1"/>
      <c r="N19" s="84" t="s">
        <v>1726</v>
      </c>
      <c r="O19" s="18"/>
      <c r="P19" s="1"/>
      <c r="Q19" s="84" t="s">
        <v>1726</v>
      </c>
      <c r="R19" s="18"/>
      <c r="S19" s="1"/>
      <c r="T19" s="84" t="s">
        <v>1726</v>
      </c>
      <c r="U19" s="18"/>
      <c r="V19" s="1"/>
      <c r="W19" s="84" t="s">
        <v>1726</v>
      </c>
      <c r="X19" s="18"/>
      <c r="Y19" s="1"/>
      <c r="Z19" s="84" t="s">
        <v>1726</v>
      </c>
      <c r="AA19" s="18"/>
      <c r="AB19" s="1"/>
      <c r="AC19" s="84" t="s">
        <v>1726</v>
      </c>
      <c r="AD19" s="18"/>
      <c r="AE19" s="1"/>
      <c r="AF19" s="1"/>
      <c r="AG19" s="18" t="s">
        <v>1727</v>
      </c>
      <c r="AH19" s="18">
        <v>1.0</v>
      </c>
      <c r="AI19" s="1"/>
      <c r="AJ19" s="1"/>
      <c r="AK19" s="1"/>
    </row>
    <row r="20" ht="19.5" customHeight="1">
      <c r="A20" s="1"/>
      <c r="B20" s="80"/>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8" t="s">
        <v>1728</v>
      </c>
      <c r="AH20" s="18">
        <v>2.0</v>
      </c>
      <c r="AI20" s="1"/>
      <c r="AJ20" s="1"/>
      <c r="AK20" s="1"/>
    </row>
    <row r="21" ht="19.5" customHeight="1">
      <c r="A21" s="1"/>
      <c r="B21" s="197" t="s">
        <v>1729</v>
      </c>
      <c r="C21" s="38"/>
      <c r="D21" s="1"/>
      <c r="E21" s="235" t="s">
        <v>1730</v>
      </c>
      <c r="F21" s="236"/>
      <c r="G21" s="1"/>
      <c r="H21" s="235" t="s">
        <v>1731</v>
      </c>
      <c r="I21" s="236"/>
      <c r="J21" s="1"/>
      <c r="K21" s="235" t="s">
        <v>1732</v>
      </c>
      <c r="L21" s="236"/>
      <c r="M21" s="1"/>
      <c r="N21" s="235" t="s">
        <v>1733</v>
      </c>
      <c r="O21" s="236"/>
      <c r="P21" s="1"/>
      <c r="Q21" s="309" t="s">
        <v>1734</v>
      </c>
      <c r="R21" s="310"/>
      <c r="S21" s="1"/>
      <c r="T21" s="309" t="s">
        <v>1735</v>
      </c>
      <c r="U21" s="310"/>
      <c r="V21" s="1"/>
      <c r="W21" s="309" t="s">
        <v>1736</v>
      </c>
      <c r="X21" s="310"/>
      <c r="Y21" s="1"/>
      <c r="Z21" s="309" t="s">
        <v>1737</v>
      </c>
      <c r="AA21" s="310"/>
      <c r="AB21" s="1"/>
      <c r="AC21" s="309" t="s">
        <v>1738</v>
      </c>
      <c r="AD21" s="310"/>
      <c r="AE21" s="1"/>
      <c r="AF21" s="1"/>
      <c r="AG21" s="18" t="s">
        <v>1739</v>
      </c>
      <c r="AH21" s="18">
        <f>IF(wld_domain_number_chosen=1,3,IF(wld_domain_number_chosen=2,5,7))</f>
        <v>3</v>
      </c>
      <c r="AI21" s="1"/>
      <c r="AJ21" s="1"/>
      <c r="AK21" s="1"/>
    </row>
    <row r="22" ht="19.5" customHeight="1">
      <c r="A22" s="1"/>
      <c r="B22" s="15" t="s">
        <v>256</v>
      </c>
      <c r="C22" s="15" t="s">
        <v>137</v>
      </c>
      <c r="D22" s="1"/>
      <c r="E22" s="15" t="s">
        <v>256</v>
      </c>
      <c r="F22" s="15" t="s">
        <v>1707</v>
      </c>
      <c r="G22" s="1"/>
      <c r="H22" s="15" t="s">
        <v>256</v>
      </c>
      <c r="I22" s="15" t="s">
        <v>1707</v>
      </c>
      <c r="J22" s="1"/>
      <c r="K22" s="15" t="s">
        <v>256</v>
      </c>
      <c r="L22" s="15" t="s">
        <v>1707</v>
      </c>
      <c r="M22" s="1"/>
      <c r="N22" s="15" t="s">
        <v>256</v>
      </c>
      <c r="O22" s="15" t="s">
        <v>1707</v>
      </c>
      <c r="P22" s="1"/>
      <c r="Q22" s="15" t="s">
        <v>256</v>
      </c>
      <c r="R22" s="15" t="s">
        <v>1707</v>
      </c>
      <c r="S22" s="8"/>
      <c r="T22" s="15" t="s">
        <v>256</v>
      </c>
      <c r="U22" s="15" t="s">
        <v>1707</v>
      </c>
      <c r="V22" s="8"/>
      <c r="W22" s="15" t="s">
        <v>256</v>
      </c>
      <c r="X22" s="15" t="s">
        <v>1707</v>
      </c>
      <c r="Y22" s="8"/>
      <c r="Z22" s="15" t="s">
        <v>256</v>
      </c>
      <c r="AA22" s="15" t="s">
        <v>1707</v>
      </c>
      <c r="AB22" s="8"/>
      <c r="AC22" s="15" t="s">
        <v>256</v>
      </c>
      <c r="AD22" s="15" t="s">
        <v>1707</v>
      </c>
      <c r="AE22" s="1"/>
      <c r="AF22" s="1"/>
      <c r="AG22" s="18" t="s">
        <v>1740</v>
      </c>
      <c r="AH22" s="18">
        <f>IF(wld_domain_number_chosen=1,4,IF(wld_domain_number_chosen=2,6,8))</f>
        <v>4</v>
      </c>
      <c r="AI22" s="1"/>
      <c r="AJ22" s="1"/>
      <c r="AK22" s="1"/>
    </row>
    <row r="23" ht="19.5" customHeight="1">
      <c r="A23" s="1"/>
      <c r="B23" s="84" t="s">
        <v>122</v>
      </c>
      <c r="C23" s="18" t="str">
        <f>mgmt_domain_deployment_type_chosen</f>
        <v>VMware Cloud Foundation</v>
      </c>
      <c r="D23" s="1"/>
      <c r="E23" s="84" t="s">
        <v>1710</v>
      </c>
      <c r="F23" s="18" t="str">
        <f>IF(ISBLANK(input_mgmt_az1_mgmt_vm_cidr),"Value Missing",input_mgmt_az1_mgmt_vm_cidr)</f>
        <v>Value Missing</v>
      </c>
      <c r="G23" s="1"/>
      <c r="H23" s="84" t="s">
        <v>1710</v>
      </c>
      <c r="I23" s="18" t="str">
        <f>IF(ISBLANK(input_wld_az1_mgmt_vm_cidr),"Value Missing",input_wld_az1_mgmt_vm_cidr)</f>
        <v>Value Missing</v>
      </c>
      <c r="J23" s="1"/>
      <c r="K23" s="84" t="s">
        <v>1710</v>
      </c>
      <c r="L23" s="18" t="str">
        <f>IF(ISBLANK(input_wld_az1_rack2_mgmt_vm_cidr),"Value Missing",input_wld_az1_rack2_mgmt_vm_cidr)</f>
        <v>Value Missing</v>
      </c>
      <c r="M23" s="1"/>
      <c r="N23" s="84" t="s">
        <v>1710</v>
      </c>
      <c r="O23" s="18" t="str">
        <f>IF(ISBLANK(input_wld_az1_rack3_mgmt_vm_cidr),"Value Missing",input_wld_az1_rack3_mgmt_vm_cidr)</f>
        <v>Value Missing</v>
      </c>
      <c r="P23" s="1"/>
      <c r="Q23" s="84" t="s">
        <v>1710</v>
      </c>
      <c r="R23" s="18" t="str">
        <f>IF(ISBLANK(input_wld_az1_rack4_mgmt_vm_cidr),"Value Missing",input_wld_az1_rack4_mgmt_vm_cidr)</f>
        <v>Value Missing</v>
      </c>
      <c r="S23" s="1"/>
      <c r="T23" s="84" t="s">
        <v>1710</v>
      </c>
      <c r="U23" s="18" t="str">
        <f>IF(ISBLANK(input_wld_az1_rack5_mgmt_vm_cidr),"Value Missing",input_wld_az1_rack5_mgmt_vm_cidr)</f>
        <v>Value Missing</v>
      </c>
      <c r="V23" s="1"/>
      <c r="W23" s="84" t="s">
        <v>1710</v>
      </c>
      <c r="X23" s="18" t="str">
        <f>IF(ISBLANK(input_wld_az1_rack6_mgmt_vm_cidr),"Value Missing",input_wld_az1_rack6_mgmt_vm_cidr)</f>
        <v>Value Missing</v>
      </c>
      <c r="Y23" s="1"/>
      <c r="Z23" s="84" t="s">
        <v>1710</v>
      </c>
      <c r="AA23" s="18" t="str">
        <f>IF(ISBLANK(input_wld_az1_rack7_mgmt_vm_cidr),"Value Missing",input_wld_az1_rack7_mgmt_vm_cidr)</f>
        <v>Value Missing</v>
      </c>
      <c r="AB23" s="1"/>
      <c r="AC23" s="84" t="s">
        <v>1710</v>
      </c>
      <c r="AD23" s="18" t="str">
        <f>IF(ISBLANK(input_wld_az1_rack8_mgmt_vm_cidr),"Value Missing",input_wld_az1_rack8_mgmt_vm_cidr)</f>
        <v>Value Missing</v>
      </c>
      <c r="AE23" s="1"/>
      <c r="AF23" s="1"/>
      <c r="AG23" s="41"/>
      <c r="AH23" s="1"/>
      <c r="AI23" s="1"/>
      <c r="AJ23" s="1"/>
      <c r="AK23" s="1"/>
    </row>
    <row r="24" ht="19.5" customHeight="1">
      <c r="A24" s="1"/>
      <c r="B24" s="84" t="s">
        <v>1741</v>
      </c>
      <c r="C24" s="18" t="str">
        <f>IF(ISBLANK(input_mgmt_sddc_domain),"Value Missing",input_mgmt_sddc_domain)</f>
        <v>Value Missing</v>
      </c>
      <c r="D24" s="1"/>
      <c r="E24" s="84" t="s">
        <v>1712</v>
      </c>
      <c r="F24" s="18" t="str">
        <f>IF(ISBLANK(input_mgmt_az1_mgmt_cidr),"Value Missing",input_mgmt_az1_mgmt_cidr)</f>
        <v>Value Missing</v>
      </c>
      <c r="G24" s="1"/>
      <c r="H24" s="84" t="s">
        <v>1712</v>
      </c>
      <c r="I24" s="18" t="str">
        <f>IF(ISBLANK(input_wld_az1_mgmt_cidr),"Value Missing",input_wld_az1_mgmt_cidr)</f>
        <v>Value Missing</v>
      </c>
      <c r="J24" s="1"/>
      <c r="K24" s="84" t="s">
        <v>1712</v>
      </c>
      <c r="L24" s="18" t="str">
        <f>IF(ISBLANK(input_wld_az1_rack2_mgmt_cidr),"Value Missing",input_wld_az1_rack2_mgmt_cidr)</f>
        <v>Value Missing</v>
      </c>
      <c r="M24" s="1"/>
      <c r="N24" s="84" t="s">
        <v>1712</v>
      </c>
      <c r="O24" s="18" t="str">
        <f>IF(ISBLANK(input_wld_az1_rack3_mgmt_cidr),"Value Missing",input_wld_az1_rack3_mgmt_cidr)</f>
        <v>Value Missing</v>
      </c>
      <c r="P24" s="1"/>
      <c r="Q24" s="84" t="s">
        <v>1712</v>
      </c>
      <c r="R24" s="18" t="str">
        <f>IF(ISBLANK(input_wld_az1_rack4_mgmt_cidr),"Value Missing",input_wld_az1_rack4_mgmt_cidr)</f>
        <v>Value Missing</v>
      </c>
      <c r="S24" s="1"/>
      <c r="T24" s="84" t="s">
        <v>1712</v>
      </c>
      <c r="U24" s="18" t="str">
        <f>IF(ISBLANK(input_wld_az1_rack5_mgmt_cidr),"Value Missing",input_wld_az1_rack5_mgmt_cidr)</f>
        <v>Value Missing</v>
      </c>
      <c r="V24" s="1"/>
      <c r="W24" s="84" t="s">
        <v>1712</v>
      </c>
      <c r="X24" s="18" t="str">
        <f>IF(ISBLANK(input_wld_az1_rack6_mgmt_cidr),"Value Missing",input_wld_az1_rack6_mgmt_cidr)</f>
        <v>Value Missing</v>
      </c>
      <c r="Y24" s="1"/>
      <c r="Z24" s="84" t="s">
        <v>1712</v>
      </c>
      <c r="AA24" s="18" t="str">
        <f>IF(ISBLANK(input_wld_az1_rack7_mgmt_cidr),"Value Missing",input_wld_az1_rack7_mgmt_cidr)</f>
        <v>Value Missing</v>
      </c>
      <c r="AB24" s="1"/>
      <c r="AC24" s="84" t="s">
        <v>1712</v>
      </c>
      <c r="AD24" s="18" t="str">
        <f>IF(ISBLANK(input_wld_az1_rack8_mgmt_cidr),"Value Missing",input_wld_az1_rack8_mgmt_cidr)</f>
        <v>Value Missing</v>
      </c>
      <c r="AE24" s="1"/>
      <c r="AF24" s="1"/>
      <c r="AG24" s="41"/>
      <c r="AH24" s="1"/>
      <c r="AI24" s="1"/>
      <c r="AJ24" s="1"/>
      <c r="AK24" s="1"/>
    </row>
    <row r="25" ht="19.5" customHeight="1">
      <c r="A25" s="1"/>
      <c r="B25" s="84" t="s">
        <v>120</v>
      </c>
      <c r="C25" s="18" t="str">
        <f>vcf_version</f>
        <v>9.0.2.0</v>
      </c>
      <c r="D25" s="1"/>
      <c r="E25" s="84" t="s">
        <v>407</v>
      </c>
      <c r="F25" s="18" t="str">
        <f>IF(ISBLANK(input_mgmt_az1_vmotion_cidr),"Value Missing",input_mgmt_az1_vmotion_cidr)</f>
        <v>Value Missing</v>
      </c>
      <c r="G25" s="1"/>
      <c r="H25" s="84" t="s">
        <v>407</v>
      </c>
      <c r="I25" s="18" t="str">
        <f>IF(OR(wld_az1_vmotion_network="Value Missing",wld_az1_vmotion_mask="Value Missing"),"Value Missing",(CONCATENATE(wld_az1_vmotion_network,"/",VLOOKUP(wld_az1_vmotion_mask,table_mask_to_cidr,2,FALSE))))</f>
        <v>Value Missing</v>
      </c>
      <c r="J25" s="1"/>
      <c r="K25" s="84" t="s">
        <v>407</v>
      </c>
      <c r="L25" s="18" t="str">
        <f>IF(OR(wld_az1_rack2_vmotion_network="Value Missing",wld_az1_rack2_vmotion_mask="Value Missing"),"Value Missing",(CONCATENATE(wld_az1_rack2_vmotion_network,"/",VLOOKUP(wld_az1_rack2_vmotion_mask,table_mask_to_cidr,2,FALSE))))</f>
        <v>Value Missing</v>
      </c>
      <c r="M25" s="1"/>
      <c r="N25" s="84" t="s">
        <v>407</v>
      </c>
      <c r="O25" s="18" t="str">
        <f>IF(OR(wld_az1_rack3_vmotion_network="Value Missing",wld_az1_rack3_vmotion_mask="Value Missing"),"Value Missing",(CONCATENATE(wld_az1_rack3_vmotion_network,"/",VLOOKUP(wld_az1_rack3_vmotion_mask,table_mask_to_cidr,2,FALSE))))</f>
        <v>Value Missing</v>
      </c>
      <c r="P25" s="1"/>
      <c r="Q25" s="84" t="s">
        <v>407</v>
      </c>
      <c r="R25" s="18" t="str">
        <f>IF(OR(wld_az1_rack4_vmotion_network="Value Missing",wld_az1_rack4_vmotion_mask="Value Missing"),"Value Missing",(CONCATENATE(wld_az1_rack4_vmotion_network,"/",VLOOKUP(wld_az1_rack4_vmotion_mask,table_mask_to_cidr,2,FALSE))))</f>
        <v>Value Missing</v>
      </c>
      <c r="S25" s="1"/>
      <c r="T25" s="84" t="s">
        <v>407</v>
      </c>
      <c r="U25" s="18" t="str">
        <f>IF(OR(wld_az1_rack5_vmotion_network="Value Missing",wld_az1_rack5_vmotion_mask="Value Missing"),"Value Missing",(CONCATENATE(wld_az1_rack5_vmotion_network,"/",VLOOKUP(wld_az1_rack5_vmotion_mask,table_mask_to_cidr,2,FALSE))))</f>
        <v>Value Missing</v>
      </c>
      <c r="V25" s="1"/>
      <c r="W25" s="84" t="s">
        <v>407</v>
      </c>
      <c r="X25" s="18" t="str">
        <f>IF(OR(wld_az1_rack6_vmotion_network="Value Missing",wld_az1_rack6_vmotion_mask="Value Missing"),"Value Missing",(CONCATENATE(wld_az1_rack6_vmotion_network,"/",VLOOKUP(wld_az1_rack6_vmotion_mask,table_mask_to_cidr,2,FALSE))))</f>
        <v>Value Missing</v>
      </c>
      <c r="Y25" s="1"/>
      <c r="Z25" s="84" t="s">
        <v>407</v>
      </c>
      <c r="AA25" s="18" t="str">
        <f>IF(OR(wld_az1_rack7_vmotion_network="Value Missing",wld_az1_rack7_vmotion_mask="Value Missing"),"Value Missing",(CONCATENATE(wld_az1_rack7_vmotion_network,"/",VLOOKUP(wld_az1_rack7_vmotion_mask,table_mask_to_cidr,2,FALSE))))</f>
        <v>Value Missing</v>
      </c>
      <c r="AB25" s="1"/>
      <c r="AC25" s="84" t="s">
        <v>407</v>
      </c>
      <c r="AD25" s="18" t="str">
        <f>IF(OR(wld_az1_rack8_vmotion_network="Value Missing",wld_az1_rack8_vmotion_mask="Value Missing"),"Value Missing",(CONCATENATE(wld_az1_rack8_vmotion_network,"/",VLOOKUP(wld_az1_rack8_vmotion_mask,table_mask_to_cidr,2,FALSE))))</f>
        <v>Value Missing</v>
      </c>
      <c r="AE25" s="1"/>
      <c r="AF25" s="1"/>
      <c r="AG25" s="1"/>
      <c r="AH25" s="1"/>
      <c r="AI25" s="1"/>
      <c r="AJ25" s="1"/>
      <c r="AK25" s="1"/>
    </row>
    <row r="26" ht="19.5" customHeight="1">
      <c r="A26" s="1"/>
      <c r="B26" s="84" t="s">
        <v>1742</v>
      </c>
      <c r="C26" s="18" t="str">
        <f>mgmt_domain_vcf_operations_ha_mode_chosen</f>
        <v>High Availability (Three-Node)</v>
      </c>
      <c r="D26" s="1"/>
      <c r="E26" s="173" t="str">
        <f>CONCATENATE("Principal Storage Network ",wld_principal_storage_chosen)</f>
        <v>Principal Storage Network vSAN-ESA</v>
      </c>
      <c r="F26" s="18" t="str">
        <f>IF(ISBLANK(input_mgmt_az1_vsan_cidr),"Value Missing",input_mgmt_az1_vsan_cidr)</f>
        <v>Value Missing</v>
      </c>
      <c r="G26" s="1"/>
      <c r="H26" s="173" t="s">
        <v>410</v>
      </c>
      <c r="I26" s="18" t="str">
        <f>IF(OR(wld_az1_principal_storage_network="Value Missing",wld_az1_principal_storage_mask="Value Missing"),"Value Missing",(CONCATENATE(wld_az1_principal_storage_network,"/",VLOOKUP(wld_az1_principal_storage_mask,table_mask_to_cidr,2,FALSE))))</f>
        <v>Value Missing</v>
      </c>
      <c r="J26" s="1"/>
      <c r="K26" s="173" t="str">
        <f>CONCATENATE("Principal Storage Network ",wld_principal_storage_chosen)</f>
        <v>Principal Storage Network vSAN-ESA</v>
      </c>
      <c r="L26" s="18" t="str">
        <f>IF(OR(wld_az1_rack2_principal_storage_network="Value Missing",wld_az1_rack2_principal_storage_mask="Value Missing"),"Value Missing",(CONCATENATE(wld_az1_rack2_principal_storage_network,"/",VLOOKUP(wld_az1_rack2_principal_storage_mask,table_mask_to_cidr,2,FALSE))))</f>
        <v>Value Missing</v>
      </c>
      <c r="M26" s="1"/>
      <c r="N26" s="173" t="str">
        <f>CONCATENATE("Principal Storage Network ",wld_principal_storage_chosen)</f>
        <v>Principal Storage Network vSAN-ESA</v>
      </c>
      <c r="O26" s="18" t="str">
        <f>IF(OR(wld_az1_rack3_principal_storage_network="Value Missing",wld_az1_rack3_principal_storage_mask="Value Missing"),"Value Missing",(CONCATENATE(wld_az1_rack3_principal_storage_network,"/",VLOOKUP(wld_az1_rack3_principal_storage_mask,table_mask_to_cidr,2,FALSE))))</f>
        <v>Value Missing</v>
      </c>
      <c r="P26" s="1"/>
      <c r="Q26" s="173" t="str">
        <f>CONCATENATE("Principal Storage Network ",wld_principal_storage_chosen)</f>
        <v>Principal Storage Network vSAN-ESA</v>
      </c>
      <c r="R26" s="18" t="str">
        <f>IF(OR(wld_az1_rack4_principal_storage_network="Value Missing",wld_az1_rack4_principal_storage_mask="Value Missing"),"Value Missing",(CONCATENATE(wld_az1_rack4_principal_storage_network,"/",VLOOKUP(wld_az1_rack4_principal_storage_mask,table_mask_to_cidr,2,FALSE))))</f>
        <v>Value Missing</v>
      </c>
      <c r="S26" s="1"/>
      <c r="T26" s="173" t="str">
        <f>CONCATENATE("Principal Storage Network ",wld_principal_storage_chosen)</f>
        <v>Principal Storage Network vSAN-ESA</v>
      </c>
      <c r="U26" s="18" t="str">
        <f>IF(OR(wld_az1_rack5_principal_storage_network="Value Missing",wld_az1_rack5_principal_storage_mask="Value Missing"),"Value Missing",(CONCATENATE(wld_az1_rack5_principal_storage_network,"/",VLOOKUP(wld_az1_rack5_principal_storage_mask,table_mask_to_cidr,2,FALSE))))</f>
        <v>Value Missing</v>
      </c>
      <c r="V26" s="1"/>
      <c r="W26" s="173" t="str">
        <f>CONCATENATE("Principal Storage Network ",wld_principal_storage_chosen)</f>
        <v>Principal Storage Network vSAN-ESA</v>
      </c>
      <c r="X26" s="18" t="str">
        <f>IF(OR(wld_az1_rack6_principal_storage_network="Value Missing",wld_az1_rack6_principal_storage_mask="Value Missing"),"Value Missing",(CONCATENATE(wld_az1_rack6_principal_storage_network,"/",VLOOKUP(wld_az1_rack6_principal_storage_mask,table_mask_to_cidr,2,FALSE))))</f>
        <v>Value Missing</v>
      </c>
      <c r="Y26" s="1"/>
      <c r="Z26" s="173" t="str">
        <f>CONCATENATE("Principal Storage Network ",wld_principal_storage_chosen)</f>
        <v>Principal Storage Network vSAN-ESA</v>
      </c>
      <c r="AA26" s="18" t="str">
        <f>IF(OR(wld_az1_rack7_principal_storage_network="Value Missing",wld_az1_rack7_principal_storage_mask="Value Missing"),"Value Missing",(CONCATENATE(wld_az1_rack7_principal_storage_network,"/",VLOOKUP(wld_az1_rack7_principal_storage_mask,table_mask_to_cidr,2,FALSE))))</f>
        <v>Value Missing</v>
      </c>
      <c r="AB26" s="1"/>
      <c r="AC26" s="173" t="str">
        <f>CONCATENATE("Principal Storage Network ",wld_principal_storage_chosen)</f>
        <v>Principal Storage Network vSAN-ESA</v>
      </c>
      <c r="AD26" s="18" t="str">
        <f>IF(OR(wld_az1_rack8_principal_storage_network="Value Missing",wld_az1_rack8_principal_storage_mask="Value Missing"),"Value Missing",(CONCATENATE(wld_az1_rack8_principal_storage_network,"/",VLOOKUP(wld_az1_rack8_principal_storage_mask,table_mask_to_cidr,2,FALSE))))</f>
        <v>Value Missing</v>
      </c>
      <c r="AE26" s="1"/>
      <c r="AF26" s="1"/>
      <c r="AG26" s="41"/>
      <c r="AH26" s="1"/>
      <c r="AI26" s="1"/>
      <c r="AJ26" s="1"/>
      <c r="AK26" s="1"/>
    </row>
    <row r="27" ht="19.5" customHeight="1">
      <c r="A27" s="1"/>
      <c r="B27" s="84" t="s">
        <v>1743</v>
      </c>
      <c r="C27" s="18" t="str">
        <f>IF(mgmt_domain_password_creation_chosen="Included","Selected","Unselected")</f>
        <v>Unselected</v>
      </c>
      <c r="D27" s="1"/>
      <c r="E27" s="84" t="s">
        <v>1716</v>
      </c>
      <c r="F27" s="18" t="str">
        <f>IF(ISBLANK(input_mgmt_az1_host_overlay_cidr),"Value Missing",input_mgmt_az1_host_overlay_cidr)</f>
        <v>Value Missing</v>
      </c>
      <c r="G27" s="1"/>
      <c r="H27" s="84" t="s">
        <v>1716</v>
      </c>
      <c r="I27" s="18" t="str">
        <f>IF(ISBLANK(input_wld_az1_host_overlay_cidr),"Value Missing",input_wld_az1_host_overlay_cidr)</f>
        <v>Value Missing</v>
      </c>
      <c r="J27" s="1"/>
      <c r="K27" s="84" t="s">
        <v>1716</v>
      </c>
      <c r="L27" s="18" t="str">
        <f>IF(OR(wld_az1_rack2_host_overlay_network="Value Missing",wld_az1_rack2_host_overlay_mask="Value Missing"),"Value Missing",(CONCATENATE(wld_az1_rack2_host_overlay_network,"/",VLOOKUP(wld_az1_rack2_host_overlay_mask,table_mask_to_cidr,2,FALSE))))</f>
        <v>Value Missing</v>
      </c>
      <c r="M27" s="1"/>
      <c r="N27" s="84" t="s">
        <v>1716</v>
      </c>
      <c r="O27" s="18" t="str">
        <f>IF(OR(wld_az1_rack3_host_overlay_network="Value Missing",wld_az1_rack3_host_overlay_mask="Value Missing"),"Value Missing",(CONCATENATE(wld_az1_rack3_host_overlay_network,"/",VLOOKUP(wld_az1_rack3_host_overlay_mask,table_mask_to_cidr,2,FALSE))))</f>
        <v>Value Missing</v>
      </c>
      <c r="P27" s="1"/>
      <c r="Q27" s="84" t="s">
        <v>1716</v>
      </c>
      <c r="R27" s="18" t="str">
        <f>IF(OR(wld_az1_rack4_host_overlay_network="Value Missing",wld_az1_rack4_host_overlay_mask="Value Missing"),"Value Missing",(CONCATENATE(wld_az1_rack4_host_overlay_network,"/",VLOOKUP(wld_az1_rack4_host_overlay_mask,table_mask_to_cidr,2,FALSE))))</f>
        <v>Value Missing</v>
      </c>
      <c r="S27" s="1"/>
      <c r="T27" s="84" t="s">
        <v>1716</v>
      </c>
      <c r="U27" s="18" t="str">
        <f>IF(OR(wld_az1_rack5_host_overlay_network="Value Missing",wld_az1_rack5_host_overlay_mask="Value Missing"),"Value Missing",(CONCATENATE(wld_az1_rack5_host_overlay_network,"/",VLOOKUP(wld_az1_rack5_host_overlay_mask,table_mask_to_cidr,2,FALSE))))</f>
        <v>Value Missing</v>
      </c>
      <c r="V27" s="1"/>
      <c r="W27" s="84" t="s">
        <v>1716</v>
      </c>
      <c r="X27" s="18" t="str">
        <f>IF(OR(wld_az1_rack6_host_overlay_network="Value Missing",wld_az1_rack6_host_overlay_mask="Value Missing"),"Value Missing",(CONCATENATE(wld_az1_rack6_host_overlay_network,"/",VLOOKUP(wld_az1_rack6_host_overlay_mask,table_mask_to_cidr,2,FALSE))))</f>
        <v>Value Missing</v>
      </c>
      <c r="Y27" s="1"/>
      <c r="Z27" s="84" t="s">
        <v>1716</v>
      </c>
      <c r="AA27" s="18" t="str">
        <f>IF(OR(wld_az1_rack7_host_overlay_network="Value Missing",wld_az1_rack7_host_overlay_mask="Value Missing"),"Value Missing",(CONCATENATE(wld_az1_rack7_host_overlay_network,"/",VLOOKUP(wld_az1_rack7_host_overlay_mask,table_mask_to_cidr,2,FALSE))))</f>
        <v>Value Missing</v>
      </c>
      <c r="AB27" s="1"/>
      <c r="AC27" s="84" t="s">
        <v>1716</v>
      </c>
      <c r="AD27" s="18" t="str">
        <f>IF(OR(wld_az1_rack8_host_overlay_network="Value Missing",wld_az1_rack8_host_overlay_mask="Value Missing"),"Value Missing",(CONCATENATE(wld_az1_rack8_host_overlay_network,"/",VLOOKUP(wld_az1_rack8_host_overlay_mask,table_mask_to_cidr,2,FALSE))))</f>
        <v>Value Missing</v>
      </c>
      <c r="AE27" s="1"/>
      <c r="AF27" s="1"/>
      <c r="AG27" s="41"/>
      <c r="AH27" s="1"/>
      <c r="AI27" s="1"/>
      <c r="AJ27" s="1"/>
      <c r="AK27" s="1"/>
    </row>
    <row r="28" ht="19.5" customHeight="1">
      <c r="A28" s="1"/>
      <c r="B28" s="84" t="s">
        <v>1744</v>
      </c>
      <c r="C28" s="18" t="str">
        <f>mgmt_flt_fm_reuse_password_chosen</f>
        <v>Unselected</v>
      </c>
      <c r="D28" s="1"/>
      <c r="E28" s="313" t="s">
        <v>1717</v>
      </c>
      <c r="F28" s="18" t="str">
        <f>IF(ISBLANK(input_mgmt_az1_secondary_storage_cidr),"Value Missing",input_mgmt_az1_secondary_storage_cidr)</f>
        <v>Value Missing</v>
      </c>
      <c r="G28" s="1"/>
      <c r="H28" s="84" t="s">
        <v>1717</v>
      </c>
      <c r="I28" s="18" t="str">
        <f>IF(OR(wld_az1_secondary_storage_network="Value Missing",wld_az1_secondary_storage_mask="Value Missing"),"Value Missing",(CONCATENATE(wld_az1_secondary_storage_network,"/",VLOOKUP(wld_az1_secondary_storage_mask,table_mask_to_cidr,2,FALSE))))</f>
        <v>Value Missing</v>
      </c>
      <c r="J28" s="1"/>
      <c r="K28" s="84" t="s">
        <v>1717</v>
      </c>
      <c r="L28" s="18" t="str">
        <f>IF(OR(wld_az1_rack2_secondary_storage_network="Value Missing",wld_az1_rack2_secondary_storage_mask="Value Missing"),"Value Missing",(CONCATENATE(wld_az1_rack2_secondary_storage_network,"/",VLOOKUP(wld_az1_rack2_secondary_storage_mask,table_mask_to_cidr,2,FALSE))))</f>
        <v>Value Missing</v>
      </c>
      <c r="M28" s="1"/>
      <c r="N28" s="84" t="s">
        <v>1717</v>
      </c>
      <c r="O28" s="18" t="str">
        <f>IF(OR(wld_az1_rack3_secondary_storage_network="Value Missing",wld_az1_rack3_secondary_storage_mask="Value Missing"),"Value Missing",(CONCATENATE(wld_az1_rack3_secondary_storage_network,"/",VLOOKUP(wld_az1_rack3_secondary_storage_mask,table_mask_to_cidr,2,FALSE))))</f>
        <v>Value Missing</v>
      </c>
      <c r="P28" s="1"/>
      <c r="Q28" s="84" t="s">
        <v>1717</v>
      </c>
      <c r="R28" s="18" t="str">
        <f>IF(OR(wld_az1_rack4_secondary_storage_network="Value Missing",wld_az1_rack4_secondary_storage_mask="Value Missing"),"Value Missing",(CONCATENATE(wld_az1_rack4_secondary_storage_network,"/",VLOOKUP(wld_az1_rack4_secondary_storage_mask,table_mask_to_cidr,2,FALSE))))</f>
        <v>Value Missing</v>
      </c>
      <c r="S28" s="1"/>
      <c r="T28" s="84" t="s">
        <v>1717</v>
      </c>
      <c r="U28" s="18" t="str">
        <f>IF(OR(wld_az1_rack5_secondary_storage_network="Value Missing",wld_az1_rack5_secondary_storage_mask="Value Missing"),"Value Missing",(CONCATENATE(wld_az1_rack5_secondary_storage_network,"/",VLOOKUP(wld_az1_rack5_secondary_storage_mask,table_mask_to_cidr,2,FALSE))))</f>
        <v>Value Missing</v>
      </c>
      <c r="V28" s="1"/>
      <c r="W28" s="84" t="s">
        <v>1717</v>
      </c>
      <c r="X28" s="18" t="str">
        <f>IF(OR(wld_az1_rack6_secondary_storage_network="Value Missing",wld_az1_rack6_secondary_storage_mask="Value Missing"),"Value Missing",(CONCATENATE(wld_az1_rack6_secondary_storage_network,"/",VLOOKUP(wld_az1_rack6_secondary_storage_mask,table_mask_to_cidr,2,FALSE))))</f>
        <v>Value Missing</v>
      </c>
      <c r="Y28" s="1"/>
      <c r="Z28" s="84" t="s">
        <v>1717</v>
      </c>
      <c r="AA28" s="18" t="str">
        <f>IF(OR(wld_az1_rack7_secondary_storage_network="Value Missing",wld_az1_rack7_secondary_storage_mask="Value Missing"),"Value Missing",(CONCATENATE(wld_az1_rack7_secondary_storage_network,"/",VLOOKUP(wld_az1_rack7_secondary_storage_mask,table_mask_to_cidr,2,FALSE))))</f>
        <v>Value Missing</v>
      </c>
      <c r="AB28" s="1"/>
      <c r="AC28" s="84" t="s">
        <v>1717</v>
      </c>
      <c r="AD28" s="18" t="str">
        <f>IF(OR(wld_az1_rack7_secondary_storage_network="Value Missing",wld_az1_rack8_secondary_storage_mask="Value Missing"),"Value Missing",(CONCATENATE(wld_az1_rack8_secondary_storage_network,"/",VLOOKUP(wld_az1_rack8_secondary_storage_mask,table_mask_to_cidr,2,FALSE))))</f>
        <v>Value Missing</v>
      </c>
      <c r="AE28" s="1"/>
      <c r="AF28" s="1"/>
      <c r="AG28" s="41"/>
      <c r="AH28" s="1"/>
      <c r="AI28" s="1"/>
      <c r="AJ28" s="1"/>
      <c r="AK28" s="1"/>
    </row>
    <row r="29" ht="19.5" customHeight="1">
      <c r="A29" s="1"/>
      <c r="B29" s="84" t="s">
        <v>1745</v>
      </c>
      <c r="C29" s="18" t="str">
        <f>mgmt_ops_collector_reuse_password_chosen</f>
        <v>Unselected</v>
      </c>
      <c r="D29" s="1"/>
      <c r="E29" s="313"/>
      <c r="F29" s="18"/>
      <c r="G29" s="1"/>
      <c r="H29" s="84" t="s">
        <v>1244</v>
      </c>
      <c r="I29" s="18" t="str">
        <f>IF(OR(wld_az1_storage_cluster_network="Value Missing",wld_az1_storage_cluster_mask="Value Missing"),"Value Missing",(CONCATENATE(wld_az1_storage_cluster_network,"/",VLOOKUP(wld_az1_storage_cluster_mask,table_mask_to_cidr,2,FALSE))))</f>
        <v>Value Missing</v>
      </c>
      <c r="J29" s="1"/>
      <c r="K29" s="187" t="s">
        <v>1244</v>
      </c>
      <c r="L29" s="18"/>
      <c r="M29" s="1"/>
      <c r="N29" s="187" t="s">
        <v>1244</v>
      </c>
      <c r="O29" s="18"/>
      <c r="P29" s="1"/>
      <c r="Q29" s="187" t="s">
        <v>1244</v>
      </c>
      <c r="R29" s="18"/>
      <c r="S29" s="1"/>
      <c r="T29" s="187" t="s">
        <v>1244</v>
      </c>
      <c r="U29" s="18"/>
      <c r="V29" s="1"/>
      <c r="W29" s="187" t="s">
        <v>1244</v>
      </c>
      <c r="X29" s="18"/>
      <c r="Y29" s="1"/>
      <c r="Z29" s="187" t="s">
        <v>1244</v>
      </c>
      <c r="AA29" s="18"/>
      <c r="AB29" s="1"/>
      <c r="AC29" s="187" t="s">
        <v>1244</v>
      </c>
      <c r="AD29" s="18"/>
      <c r="AE29" s="1"/>
      <c r="AF29" s="1"/>
      <c r="AG29" s="41"/>
      <c r="AH29" s="1"/>
      <c r="AI29" s="1"/>
      <c r="AJ29" s="1"/>
      <c r="AK29" s="1"/>
    </row>
    <row r="30" ht="19.5" customHeight="1">
      <c r="A30" s="1"/>
      <c r="B30" s="1"/>
      <c r="C30" s="1"/>
      <c r="D30" s="1"/>
      <c r="E30" s="84" t="s">
        <v>1719</v>
      </c>
      <c r="F30" s="18" t="str">
        <f>IF(ISBLANK(input_mgmt_az1_uplink01_cidr),"Value Missing",input_mgmt_az1_uplink01_cidr)</f>
        <v>Value Missing</v>
      </c>
      <c r="G30" s="1"/>
      <c r="H30" s="84" t="s">
        <v>1719</v>
      </c>
      <c r="I30" s="18" t="str">
        <f>IF(ISBLANK(input_wld_az1_uplink01_cidr),"Value Missing",input_wld_az1_uplink01_cidr)</f>
        <v>Value Missing</v>
      </c>
      <c r="J30" s="1"/>
      <c r="K30" s="84" t="s">
        <v>1719</v>
      </c>
      <c r="L30" s="18" t="str">
        <f>IF(OR(wld_az1_rack2_uplink01_network="Value Missing",wld_az1_rack2_uplink01_mask="Value Missing"),"Value Missing",(CONCATENATE(wld_az1_rack2_uplink01_network,"/",VLOOKUP(wld_az1_rack2_uplink01_mask,table_mask_to_cidr,2,FALSE))))</f>
        <v>Value Missing</v>
      </c>
      <c r="M30" s="1"/>
      <c r="N30" s="84" t="s">
        <v>1719</v>
      </c>
      <c r="O30" s="18" t="str">
        <f>IF(OR(wld_az1_rack3_uplink01_network="Value Missing",wld_az1_rack3_uplink01_mask="Value Missing"),"Value Missing",(CONCATENATE(wld_az1_rack3_uplink01_network,"/",VLOOKUP(wld_az1_rack3_uplink01_mask,table_mask_to_cidr,2,FALSE))))</f>
        <v>Value Missing</v>
      </c>
      <c r="P30" s="1"/>
      <c r="Q30" s="84" t="s">
        <v>1719</v>
      </c>
      <c r="R30" s="18" t="str">
        <f>IF(OR(wld_az1_rack4_uplink01_network="Value Missing",wld_az1_rack4_uplink01_mask="Value Missing"),"Value Missing",(CONCATENATE(wld_az1_rack4_uplink01_network,"/",VLOOKUP(wld_az1_rack4_uplink01_mask,table_mask_to_cidr,2,FALSE))))</f>
        <v>Value Missing</v>
      </c>
      <c r="S30" s="1"/>
      <c r="T30" s="84" t="s">
        <v>1719</v>
      </c>
      <c r="U30" s="18" t="str">
        <f>IF(OR(wld_az1_rack5_uplink01_network="Value Missing",wld_az1_rack5_uplink01_mask="Value Missing"),"Value Missing",(CONCATENATE(wld_az1_rack5_uplink01_network,"/",VLOOKUP(wld_az1_rack5_uplink01_mask,table_mask_to_cidr,2,FALSE))))</f>
        <v>Value Missing</v>
      </c>
      <c r="V30" s="1"/>
      <c r="W30" s="84" t="s">
        <v>1719</v>
      </c>
      <c r="X30" s="18" t="str">
        <f>IF(OR(wld_az1_rack6_uplink01_network="Value Missing",wld_az1_rack6_uplink01_mask="Value Missing"),"Value Missing",(CONCATENATE(wld_az1_rack6_uplink01_network,"/",VLOOKUP(wld_az1_rack6_uplink01_mask,table_mask_to_cidr,2,FALSE))))</f>
        <v>Value Missing</v>
      </c>
      <c r="Y30" s="1"/>
      <c r="Z30" s="84" t="s">
        <v>1719</v>
      </c>
      <c r="AA30" s="18" t="str">
        <f>IF(OR(wld_az1_rack7_uplink01_network="Value Missing",wld_az1_rack7_uplink01_mask="Value Missing"),"Value Missing",(CONCATENATE(wld_az1_rack7_uplink01_network,"/",VLOOKUP(wld_az1_rack7_uplink01_mask,table_mask_to_cidr,2,FALSE))))</f>
        <v>Value Missing</v>
      </c>
      <c r="AB30" s="1"/>
      <c r="AC30" s="84" t="s">
        <v>1719</v>
      </c>
      <c r="AD30" s="18" t="str">
        <f>IF(OR(wld_az1_rack8_uplink01_network="Value Missing",wld_az1_rack8_uplink01_mask="Value Missing"),"Value Missing",(CONCATENATE(wld_az1_rack8_uplink01_network,"/",VLOOKUP(wld_az1_rack8_uplink01_mask,table_mask_to_cidr,2,FALSE))))</f>
        <v>Value Missing</v>
      </c>
      <c r="AE30" s="1"/>
      <c r="AF30" s="1"/>
      <c r="AG30" s="41"/>
      <c r="AH30" s="1"/>
      <c r="AI30" s="1"/>
      <c r="AJ30" s="1"/>
      <c r="AK30" s="1"/>
    </row>
    <row r="31" ht="19.5" customHeight="1">
      <c r="A31" s="1"/>
      <c r="B31" s="197" t="s">
        <v>1746</v>
      </c>
      <c r="C31" s="38"/>
      <c r="D31" s="1"/>
      <c r="E31" s="84" t="s">
        <v>1720</v>
      </c>
      <c r="F31" s="18" t="str">
        <f>IF(ISBLANK(input_mgmt_az1_uplink02_cidr),"Value Missing",input_mgmt_az1_uplink02_cidr)</f>
        <v>Value Missing</v>
      </c>
      <c r="G31" s="1"/>
      <c r="H31" s="84" t="s">
        <v>1720</v>
      </c>
      <c r="I31" s="18" t="str">
        <f>IF(ISBLANK(input_wld_az1_uplink02_cidr),"Value Missing",input_wld_az1_uplink02_cidr)</f>
        <v>Value Missing</v>
      </c>
      <c r="J31" s="1"/>
      <c r="K31" s="84" t="s">
        <v>1720</v>
      </c>
      <c r="L31" s="18" t="str">
        <f>IF(OR(wld_az1_rack2_uplink02_network="Value Missing",wld_az1_rack2_uplink02_mask="Value Missing"),"Value Missing",(CONCATENATE(wld_az1_rack2_uplink02_network,"/",VLOOKUP(wld_az1_rack2_uplink02_mask,table_mask_to_cidr,2,FALSE))))</f>
        <v>Value Missing</v>
      </c>
      <c r="M31" s="1"/>
      <c r="N31" s="84" t="s">
        <v>1720</v>
      </c>
      <c r="O31" s="18" t="str">
        <f>IF(OR(wld_az1_rack3_uplink02_network="Value Missing",wld_az1_rack3_uplink02_mask="Value Missing"),"Value Missing",(CONCATENATE(wld_az1_rack3_uplink02_network,"/",VLOOKUP(wld_az1_rack3_uplink02_mask,table_mask_to_cidr,2,FALSE))))</f>
        <v>Value Missing</v>
      </c>
      <c r="P31" s="1"/>
      <c r="Q31" s="84" t="s">
        <v>1720</v>
      </c>
      <c r="R31" s="18" t="str">
        <f>IF(OR(wld_az1_rack4_uplink02_network="Value Missing",wld_az1_rack4_uplink02_mask="Value Missing"),"Value Missing",(CONCATENATE(wld_az1_rack4_uplink02_network,"/",VLOOKUP(wld_az1_rack4_uplink02_mask,table_mask_to_cidr,2,FALSE))))</f>
        <v>Value Missing</v>
      </c>
      <c r="S31" s="1"/>
      <c r="T31" s="84" t="s">
        <v>1720</v>
      </c>
      <c r="U31" s="18" t="str">
        <f>IF(OR(wld_az1_rack5_uplink02_network="Value Missing",wld_az1_rack5_uplink02_mask="Value Missing"),"Value Missing",(CONCATENATE(wld_az1_rack5_uplink02_network,"/",VLOOKUP(wld_az1_rack5_uplink02_mask,table_mask_to_cidr,2,FALSE))))</f>
        <v>Value Missing</v>
      </c>
      <c r="V31" s="1"/>
      <c r="W31" s="84" t="s">
        <v>1720</v>
      </c>
      <c r="X31" s="18" t="str">
        <f>IF(OR(wld_az1_rack6_uplink02_network="Value Missing",wld_az1_rack6_uplink02_mask="Value Missing"),"Value Missing",(CONCATENATE(wld_az1_rack6_uplink02_network,"/",VLOOKUP(wld_az1_rack6_uplink02_mask,table_mask_to_cidr,2,FALSE))))</f>
        <v>Value Missing</v>
      </c>
      <c r="Y31" s="1"/>
      <c r="Z31" s="84" t="s">
        <v>1720</v>
      </c>
      <c r="AA31" s="18" t="str">
        <f>IF(OR(wld_az1_rack7_uplink02_network="Value Missing",wld_az1_rack7_uplink02_mask="Value Missing"),"Value Missing",(CONCATENATE(wld_az1_rack7_uplink02_network,"/",VLOOKUP(wld_az1_rack7_uplink02_mask,table_mask_to_cidr,2,FALSE))))</f>
        <v>Value Missing</v>
      </c>
      <c r="AB31" s="1"/>
      <c r="AC31" s="84" t="s">
        <v>1720</v>
      </c>
      <c r="AD31" s="18" t="str">
        <f>IF(OR(wld_az1_rack8_uplink02_network="Value Missing",wld_az1_rack8_uplink02_mask="Value Missing"),"Value Missing",(CONCATENATE(wld_az1_rack8_uplink02_network,"/",VLOOKUP(wld_az1_rack8_uplink02_mask,table_mask_to_cidr,2,FALSE))))</f>
        <v>Value Missing</v>
      </c>
      <c r="AE31" s="1"/>
      <c r="AF31" s="1"/>
      <c r="AG31" s="41"/>
      <c r="AH31" s="1"/>
      <c r="AI31" s="1"/>
      <c r="AJ31" s="1"/>
      <c r="AK31" s="1"/>
    </row>
    <row r="32" ht="19.5" customHeight="1">
      <c r="A32" s="1"/>
      <c r="B32" s="15" t="s">
        <v>256</v>
      </c>
      <c r="C32" s="15" t="s">
        <v>137</v>
      </c>
      <c r="D32" s="1"/>
      <c r="E32" s="84" t="s">
        <v>1722</v>
      </c>
      <c r="F32" s="18" t="str">
        <f>IF(ISBLANK(input_mgmt_az1_edge_overlay_cidr),"Value Missing",input_mgmt_az1_edge_overlay_cidr)</f>
        <v>Value Missing</v>
      </c>
      <c r="G32" s="1"/>
      <c r="H32" s="84" t="s">
        <v>1722</v>
      </c>
      <c r="I32" s="18" t="str">
        <f>IF(ISBLANK(input_wld_az1_edge_overlay_cidr),"Value Missing",input_wld_az1_edge_overlay_cidr)</f>
        <v>Value Missing</v>
      </c>
      <c r="J32" s="1"/>
      <c r="K32" s="84" t="s">
        <v>1722</v>
      </c>
      <c r="L32" s="18" t="str">
        <f>IF(OR(wld_az1_rack2_edge_overlay_network="Value Missing",wld_az1_rack2_edge_overlay_mask="Value Missing"),"Value Missing",(CONCATENATE(wld_az1_rack2_edge_overlay_network,"/",VLOOKUP(wld_az1_rack2_edge_overlay_mask,table_mask_to_cidr,2,FALSE))))</f>
        <v>Value Missing</v>
      </c>
      <c r="M32" s="1"/>
      <c r="N32" s="84" t="s">
        <v>1722</v>
      </c>
      <c r="O32" s="18" t="str">
        <f>IF(OR(wld_az1_rack3_edge_overlay_network="Value Missing",wld_az1_rack3_edge_overlay_mask="Value Missing"),"Value Missing",(CONCATENATE(wld_az1_rack3_edge_overlay_network,"/",VLOOKUP(wld_az1_rack3_edge_overlay_mask,table_mask_to_cidr,2,FALSE))))</f>
        <v>Value Missing</v>
      </c>
      <c r="P32" s="1"/>
      <c r="Q32" s="84" t="s">
        <v>1722</v>
      </c>
      <c r="R32" s="18" t="str">
        <f>IF(OR(wld_az1_rack4_edge_overlay_network="Value Missing",wld_az1_rack4_edge_overlay_mask="Value Missing"),"Value Missing",(CONCATENATE(wld_az1_rack4_edge_overlay_network,"/",VLOOKUP(wld_az1_rack4_edge_overlay_mask,table_mask_to_cidr,2,FALSE))))</f>
        <v>Value Missing</v>
      </c>
      <c r="S32" s="1"/>
      <c r="T32" s="84" t="s">
        <v>1722</v>
      </c>
      <c r="U32" s="18" t="str">
        <f>IF(OR(wld_az1_rack5_edge_overlay_network="Value Missing",wld_az1_rack5_edge_overlay_mask="Value Missing"),"Value Missing",(CONCATENATE(wld_az1_rack5_edge_overlay_network,"/",VLOOKUP(wld_az1_rack5_edge_overlay_mask,table_mask_to_cidr,2,FALSE))))</f>
        <v>Value Missing</v>
      </c>
      <c r="V32" s="1"/>
      <c r="W32" s="84" t="s">
        <v>1722</v>
      </c>
      <c r="X32" s="18" t="str">
        <f>IF(OR(wld_az1_rack6_edge_overlay_network="Value Missing",wld_az1_rack6_edge_overlay_mask="Value Missing"),"Value Missing",(CONCATENATE(wld_az1_rack6_edge_overlay_network,"/",VLOOKUP(wld_az1_rack6_edge_overlay_mask,table_mask_to_cidr,2,FALSE))))</f>
        <v>Value Missing</v>
      </c>
      <c r="Y32" s="1"/>
      <c r="Z32" s="84" t="s">
        <v>1722</v>
      </c>
      <c r="AA32" s="18" t="str">
        <f>IF(OR(wld_az1_rack7_edge_overlay_network="Value Missing",wld_az1_rack7_edge_overlay_mask="Value Missing"),"Value Missing",(CONCATENATE(wld_az1_rack7_edge_overlay_network,"/",VLOOKUP(wld_az1_rack7_edge_overlay_mask,table_mask_to_cidr,2,FALSE))))</f>
        <v>Value Missing</v>
      </c>
      <c r="AB32" s="1"/>
      <c r="AC32" s="84" t="s">
        <v>1722</v>
      </c>
      <c r="AD32" s="18" t="str">
        <f>IF(OR(wld_az1_rack8_edge_overlay_network="Value Missing",wld_az1_rack8_edge_overlay_mask="Value Missing"),"Value Missing",(CONCATENATE(wld_az1_rack8_edge_overlay_network,"/",VLOOKUP(wld_az1_rack8_edge_overlay_mask,table_mask_to_cidr,2,FALSE))))</f>
        <v>Value Missing</v>
      </c>
      <c r="AE32" s="1"/>
      <c r="AF32" s="1"/>
      <c r="AG32" s="41"/>
      <c r="AH32" s="1"/>
      <c r="AI32" s="1"/>
      <c r="AJ32" s="1"/>
      <c r="AK32" s="1"/>
    </row>
    <row r="33" ht="19.5" customHeight="1">
      <c r="A33" s="1"/>
      <c r="B33" s="15" t="s">
        <v>88</v>
      </c>
      <c r="C33" s="15"/>
      <c r="D33" s="1"/>
      <c r="E33" s="84" t="s">
        <v>1724</v>
      </c>
      <c r="F33" s="18" t="str">
        <f>IF(ISBLANK(input_mgmt_az1_rtep_overlay_cidr),"Value Missing",input_mgmt_az1_rtep_overlay_cidr)</f>
        <v>Value Missing</v>
      </c>
      <c r="G33" s="1"/>
      <c r="H33" s="84" t="s">
        <v>1724</v>
      </c>
      <c r="I33" s="18" t="str">
        <f>IF(ISBLANK(input_wld_az1_rtep_overlay_cidr),"Value Missing",input_wld_az1_rtep_overlay_cidr)</f>
        <v>Value Missing</v>
      </c>
      <c r="J33" s="1"/>
      <c r="K33" s="84" t="s">
        <v>1724</v>
      </c>
      <c r="L33" s="18"/>
      <c r="M33" s="1"/>
      <c r="N33" s="84" t="s">
        <v>1724</v>
      </c>
      <c r="O33" s="18"/>
      <c r="P33" s="1"/>
      <c r="Q33" s="84" t="s">
        <v>1724</v>
      </c>
      <c r="R33" s="18"/>
      <c r="S33" s="1"/>
      <c r="T33" s="84" t="s">
        <v>1724</v>
      </c>
      <c r="U33" s="18"/>
      <c r="V33" s="1"/>
      <c r="W33" s="84" t="s">
        <v>1724</v>
      </c>
      <c r="X33" s="18"/>
      <c r="Y33" s="1"/>
      <c r="Z33" s="84" t="s">
        <v>1724</v>
      </c>
      <c r="AA33" s="18"/>
      <c r="AB33" s="1"/>
      <c r="AC33" s="84" t="s">
        <v>1724</v>
      </c>
      <c r="AD33" s="18"/>
      <c r="AE33" s="1"/>
      <c r="AF33" s="1"/>
      <c r="AG33" s="41"/>
      <c r="AH33" s="1"/>
      <c r="AI33" s="1"/>
      <c r="AJ33" s="1"/>
      <c r="AK33" s="1"/>
    </row>
    <row r="34" ht="19.5" customHeight="1">
      <c r="A34" s="1"/>
      <c r="B34" s="84" t="s">
        <v>1747</v>
      </c>
      <c r="C34" s="18" t="str">
        <f>parent_dns_zone</f>
        <v>Value Missing</v>
      </c>
      <c r="D34" s="1"/>
      <c r="E34" s="84" t="s">
        <v>1726</v>
      </c>
      <c r="F34" s="18"/>
      <c r="G34" s="1"/>
      <c r="H34" s="84" t="s">
        <v>1726</v>
      </c>
      <c r="I34" s="18" t="str">
        <f>IF(ISBLANK(input_wld_az1_vrms_cidr),"Value Missing",input_wld_az1_vrms_cidr)</f>
        <v>Value Missing</v>
      </c>
      <c r="J34" s="1"/>
      <c r="K34" s="84" t="s">
        <v>1726</v>
      </c>
      <c r="L34" s="18"/>
      <c r="M34" s="1"/>
      <c r="N34" s="84" t="s">
        <v>1726</v>
      </c>
      <c r="O34" s="18"/>
      <c r="P34" s="1"/>
      <c r="Q34" s="84" t="s">
        <v>1726</v>
      </c>
      <c r="R34" s="18"/>
      <c r="S34" s="1"/>
      <c r="T34" s="84" t="s">
        <v>1726</v>
      </c>
      <c r="U34" s="18"/>
      <c r="V34" s="1"/>
      <c r="W34" s="84" t="s">
        <v>1726</v>
      </c>
      <c r="X34" s="18"/>
      <c r="Y34" s="1"/>
      <c r="Z34" s="84" t="s">
        <v>1726</v>
      </c>
      <c r="AA34" s="18"/>
      <c r="AB34" s="1"/>
      <c r="AC34" s="84" t="s">
        <v>1726</v>
      </c>
      <c r="AD34" s="18"/>
      <c r="AE34" s="1"/>
      <c r="AF34" s="1"/>
      <c r="AG34" s="41"/>
      <c r="AH34" s="41"/>
      <c r="AI34" s="1"/>
      <c r="AJ34" s="1"/>
      <c r="AK34" s="1"/>
    </row>
    <row r="35" ht="19.5" customHeight="1">
      <c r="A35" s="1"/>
      <c r="B35" s="84" t="s">
        <v>321</v>
      </c>
      <c r="C35" s="18" t="str">
        <f>region_dns1_ip</f>
        <v>Value Missing</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41"/>
      <c r="AH35" s="41"/>
      <c r="AI35" s="1"/>
      <c r="AJ35" s="1"/>
      <c r="AK35" s="1"/>
    </row>
    <row r="36" ht="19.5" customHeight="1">
      <c r="A36" s="1"/>
      <c r="B36" s="84" t="s">
        <v>322</v>
      </c>
      <c r="C36" s="18" t="str">
        <f>region_dns2_ip</f>
        <v>Value Missing</v>
      </c>
      <c r="D36" s="1"/>
      <c r="E36" s="235" t="s">
        <v>1748</v>
      </c>
      <c r="F36" s="236"/>
      <c r="G36" s="1"/>
      <c r="H36" s="235" t="s">
        <v>1749</v>
      </c>
      <c r="I36" s="236"/>
      <c r="J36" s="1"/>
      <c r="K36" s="235" t="s">
        <v>1750</v>
      </c>
      <c r="L36" s="236"/>
      <c r="M36" s="1"/>
      <c r="N36" s="235" t="s">
        <v>1751</v>
      </c>
      <c r="O36" s="236"/>
      <c r="P36" s="1"/>
      <c r="Q36" s="309" t="s">
        <v>1752</v>
      </c>
      <c r="R36" s="310"/>
      <c r="S36" s="1"/>
      <c r="T36" s="309" t="s">
        <v>1753</v>
      </c>
      <c r="U36" s="310"/>
      <c r="V36" s="1"/>
      <c r="W36" s="309" t="s">
        <v>1754</v>
      </c>
      <c r="X36" s="310"/>
      <c r="Y36" s="1"/>
      <c r="Z36" s="309" t="s">
        <v>1755</v>
      </c>
      <c r="AA36" s="310"/>
      <c r="AB36" s="1"/>
      <c r="AC36" s="309" t="s">
        <v>1756</v>
      </c>
      <c r="AD36" s="310"/>
      <c r="AE36" s="1"/>
      <c r="AF36" s="1"/>
      <c r="AG36" s="41"/>
      <c r="AH36" s="41"/>
      <c r="AI36" s="1"/>
      <c r="AJ36" s="1"/>
      <c r="AK36" s="1"/>
    </row>
    <row r="37" ht="19.5" customHeight="1">
      <c r="A37" s="1"/>
      <c r="B37" s="15" t="s">
        <v>100</v>
      </c>
      <c r="C37" s="15"/>
      <c r="D37" s="1"/>
      <c r="E37" s="15" t="s">
        <v>256</v>
      </c>
      <c r="F37" s="15" t="s">
        <v>1707</v>
      </c>
      <c r="G37" s="1"/>
      <c r="H37" s="15" t="s">
        <v>256</v>
      </c>
      <c r="I37" s="15" t="s">
        <v>1707</v>
      </c>
      <c r="J37" s="1"/>
      <c r="K37" s="15" t="s">
        <v>256</v>
      </c>
      <c r="L37" s="15" t="s">
        <v>1707</v>
      </c>
      <c r="M37" s="1"/>
      <c r="N37" s="15" t="s">
        <v>256</v>
      </c>
      <c r="O37" s="15" t="s">
        <v>1707</v>
      </c>
      <c r="P37" s="1"/>
      <c r="Q37" s="15" t="s">
        <v>256</v>
      </c>
      <c r="R37" s="15" t="s">
        <v>1707</v>
      </c>
      <c r="S37" s="8"/>
      <c r="T37" s="15" t="s">
        <v>256</v>
      </c>
      <c r="U37" s="15" t="s">
        <v>1707</v>
      </c>
      <c r="V37" s="8"/>
      <c r="W37" s="15" t="s">
        <v>256</v>
      </c>
      <c r="X37" s="15" t="s">
        <v>1707</v>
      </c>
      <c r="Y37" s="8"/>
      <c r="Z37" s="15" t="s">
        <v>256</v>
      </c>
      <c r="AA37" s="15" t="s">
        <v>1707</v>
      </c>
      <c r="AB37" s="8"/>
      <c r="AC37" s="15" t="s">
        <v>256</v>
      </c>
      <c r="AD37" s="15" t="s">
        <v>1707</v>
      </c>
      <c r="AE37" s="1"/>
      <c r="AF37" s="1"/>
      <c r="AG37" s="41"/>
      <c r="AH37" s="41"/>
      <c r="AI37" s="1"/>
      <c r="AJ37" s="1"/>
      <c r="AK37" s="1"/>
    </row>
    <row r="38" ht="19.5" customHeight="1">
      <c r="A38" s="1"/>
      <c r="B38" s="84" t="s">
        <v>321</v>
      </c>
      <c r="C38" s="18" t="str">
        <f>region_ntp1_server</f>
        <v>Value Missing</v>
      </c>
      <c r="D38" s="1"/>
      <c r="E38" s="84" t="s">
        <v>1710</v>
      </c>
      <c r="F38" s="18" t="str">
        <f>IF(mgmt_az1_mgmt_vm_cidr="Value Missing",mgmt_az1_mgmt_vm_cidr,(LEFT(mgmt_az1_mgmt_vm_cidr,(FIND("/",mgmt_az1_mgmt_vm_cidr)-1))))</f>
        <v>Value Missing</v>
      </c>
      <c r="G38" s="1"/>
      <c r="H38" s="84" t="s">
        <v>1710</v>
      </c>
      <c r="I38" s="18" t="str">
        <f>IF(wld_az1_mgmt_vm_cidr="Value Missing","Value Missing",IF(ISBLANK(wld_az1_mgmt_vm_cidr),"Value Missing",LEFT(wld_az1_mgmt_vm_cidr,(FIND("/",wld_az1_mgmt_vm_cidr)-1))))</f>
        <v>Value Missing</v>
      </c>
      <c r="J38" s="1"/>
      <c r="K38" s="84" t="s">
        <v>1710</v>
      </c>
      <c r="L38" s="1"/>
      <c r="M38" s="1"/>
      <c r="N38" s="84" t="s">
        <v>1710</v>
      </c>
      <c r="O38" s="1"/>
      <c r="P38" s="1"/>
      <c r="Q38" s="84" t="s">
        <v>1710</v>
      </c>
      <c r="R38" s="1"/>
      <c r="S38" s="1"/>
      <c r="T38" s="84" t="s">
        <v>1710</v>
      </c>
      <c r="U38" s="1"/>
      <c r="V38" s="1"/>
      <c r="W38" s="84" t="s">
        <v>1710</v>
      </c>
      <c r="X38" s="1"/>
      <c r="Y38" s="1"/>
      <c r="Z38" s="84" t="s">
        <v>1710</v>
      </c>
      <c r="AA38" s="1"/>
      <c r="AB38" s="1"/>
      <c r="AC38" s="84" t="s">
        <v>1710</v>
      </c>
      <c r="AD38" s="1"/>
      <c r="AE38" s="1"/>
      <c r="AF38" s="1"/>
      <c r="AG38" s="41"/>
      <c r="AH38" s="41"/>
      <c r="AI38" s="1"/>
      <c r="AJ38" s="1"/>
      <c r="AK38" s="1"/>
    </row>
    <row r="39" ht="19.5" customHeight="1">
      <c r="A39" s="1"/>
      <c r="B39" s="84" t="s">
        <v>322</v>
      </c>
      <c r="C39" s="18" t="str">
        <f>region_ntp2_server</f>
        <v>Value Missing</v>
      </c>
      <c r="D39" s="1"/>
      <c r="E39" s="84" t="s">
        <v>1712</v>
      </c>
      <c r="F39" s="18" t="str">
        <f>IF(mgmt_az1_mgmt_cidr="Value Missing",mgmt_az1_mgmt_cidr,LEFT(mgmt_az1_mgmt_cidr,(FIND("/",mgmt_az1_mgmt_cidr)-1)))</f>
        <v>Value Missing</v>
      </c>
      <c r="G39" s="1"/>
      <c r="H39" s="84" t="s">
        <v>1712</v>
      </c>
      <c r="I39" s="18" t="str">
        <f>IF(wld_az1_mgmt_cidr="Value Missing","Value Missing",IF(ISBLANK(wld_az1_mgmt_cidr),"Value Missing",LEFT(wld_az1_mgmt_cidr,(FIND("/",wld_az1_mgmt_cidr)-1))))</f>
        <v>Value Missing</v>
      </c>
      <c r="J39" s="1"/>
      <c r="K39" s="84" t="s">
        <v>1712</v>
      </c>
      <c r="L39" s="18" t="str">
        <f>IF(wld_az1_rack2_mgmt_cidr="Value Missing","Value Missing",IF(ISBLANK(wld_az1_rack2_mgmt_cidr),"Value Missing",LEFT(wld_az1_rack2_mgmt_cidr,(FIND("/",wld_az1_rack2_mgmt_cidr)-1))))</f>
        <v>Value Missing</v>
      </c>
      <c r="M39" s="1"/>
      <c r="N39" s="84" t="s">
        <v>1712</v>
      </c>
      <c r="O39" s="18" t="str">
        <f>IF(wld_az1_rack3_mgmt_cidr="Value Missing","Value Missing",IF(ISBLANK(wld_az1_rack3_mgmt_cidr),"Value Missing",LEFT(wld_az1_rack3_mgmt_cidr,(FIND("/",wld_az1_rack3_mgmt_cidr)-1))))</f>
        <v>Value Missing</v>
      </c>
      <c r="P39" s="1"/>
      <c r="Q39" s="84" t="s">
        <v>1712</v>
      </c>
      <c r="R39" s="18" t="str">
        <f>IF(wld_az1_rack4_mgmt_cidr="Value Missing","Value Missing",IF(ISBLANK(wld_az1_rack4_mgmt_cidr),"Value Missing",LEFT(wld_az1_rack4_mgmt_cidr,(FIND("/",wld_az1_rack4_mgmt_cidr)-1))))</f>
        <v>Value Missing</v>
      </c>
      <c r="S39" s="1"/>
      <c r="T39" s="84" t="s">
        <v>1712</v>
      </c>
      <c r="U39" s="18" t="str">
        <f>IF(wld_az1_rack5_mgmt_cidr="Value Missing","Value Missing",IF(ISBLANK(wld_az1_rack5_mgmt_cidr),"Value Missing",LEFT(wld_az1_rack5_mgmt_cidr,(FIND("/",wld_az1_rack5_mgmt_cidr)-1))))</f>
        <v>Value Missing</v>
      </c>
      <c r="V39" s="1"/>
      <c r="W39" s="84" t="s">
        <v>1712</v>
      </c>
      <c r="X39" s="18" t="str">
        <f>IF(wld_az1_rack6_mgmt_cidr="Value Missing","Value Missing",IF(ISBLANK(wld_az1_rack6_mgmt_cidr),"Value Missing",LEFT(wld_az1_rack6_mgmt_cidr,(FIND("/",wld_az1_rack6_mgmt_cidr)-1))))</f>
        <v>Value Missing</v>
      </c>
      <c r="Y39" s="1"/>
      <c r="Z39" s="84" t="s">
        <v>1712</v>
      </c>
      <c r="AA39" s="18" t="str">
        <f>IF(wld_az1_rack7_mgmt_cidr="Value Missing","Value Missing",IF(ISBLANK(wld_az1_rack7_mgmt_cidr),"Value Missing",LEFT(wld_az1_rack7_mgmt_cidr,(FIND("/",wld_az1_rack7_mgmt_cidr)-1))))</f>
        <v>Value Missing</v>
      </c>
      <c r="AB39" s="1"/>
      <c r="AC39" s="84" t="s">
        <v>1712</v>
      </c>
      <c r="AD39" s="18" t="str">
        <f>IF(wld_az1_rack8_mgmt_cidr="Value Missing","Value Missing",IF(ISBLANK(wld_az1_rack8_mgmt_cidr),"Value Missing",LEFT(wld_az1_rack8_mgmt_cidr,(FIND("/",wld_az1_rack8_mgmt_cidr)-1))))</f>
        <v>Value Missing</v>
      </c>
      <c r="AE39" s="1"/>
      <c r="AF39" s="1"/>
      <c r="AG39" s="41"/>
      <c r="AH39" s="41"/>
      <c r="AI39" s="1"/>
      <c r="AJ39" s="1"/>
      <c r="AK39" s="1"/>
    </row>
    <row r="40" ht="19.5" customHeight="1">
      <c r="A40" s="1"/>
      <c r="B40" s="145" t="s">
        <v>1757</v>
      </c>
      <c r="C40" s="18"/>
      <c r="D40" s="1"/>
      <c r="E40" s="84" t="s">
        <v>407</v>
      </c>
      <c r="F40" s="18" t="str">
        <f>IF(mgmt_az1_vmotion_cidr="Value Missing",mgmt_az1_vmotion_cidr,LEFT(mgmt_az1_vmotion_cidr,(FIND("/",mgmt_az1_vmotion_cidr)-1)))</f>
        <v>Value Missing</v>
      </c>
      <c r="G40" s="1"/>
      <c r="H40" s="84" t="s">
        <v>407</v>
      </c>
      <c r="I40" s="18" t="str">
        <f>IF(ISBLANK(input_wld_az1_vmotion_network),"Value Missing",input_wld_az1_vmotion_network)</f>
        <v>Value Missing</v>
      </c>
      <c r="J40" s="1"/>
      <c r="K40" s="84" t="s">
        <v>407</v>
      </c>
      <c r="L40" s="18" t="str">
        <f>IF(ISBLANK(input_wld_az1_rack2_vmotion_network),"Value Missing",input_wld_az1_rack2_vmotion_network)</f>
        <v>Value Missing</v>
      </c>
      <c r="M40" s="1"/>
      <c r="N40" s="84" t="s">
        <v>407</v>
      </c>
      <c r="O40" s="18" t="str">
        <f>IF(ISBLANK(input_wld_az1_rack3_vmotion_network),"Value Missing",input_wld_az1_rack3_vmotion_network)</f>
        <v>Value Missing</v>
      </c>
      <c r="P40" s="1"/>
      <c r="Q40" s="84" t="s">
        <v>407</v>
      </c>
      <c r="R40" s="18" t="str">
        <f>IF(ISBLANK(input_wld_az1_rack4_vmotion_network),"Value Missing",input_wld_az1_rack4_vmotion_network)</f>
        <v>Value Missing</v>
      </c>
      <c r="S40" s="1"/>
      <c r="T40" s="84" t="s">
        <v>407</v>
      </c>
      <c r="U40" s="18" t="str">
        <f>IF(ISBLANK(input_wld_az1_rack5_vmotion_network),"Value Missing",input_wld_az1_rack5_vmotion_network)</f>
        <v>Value Missing</v>
      </c>
      <c r="V40" s="1"/>
      <c r="W40" s="84" t="s">
        <v>407</v>
      </c>
      <c r="X40" s="18" t="str">
        <f>IF(ISBLANK(input_wld_az1_rack6_vmotion_network),"Value Missing",input_wld_az1_rack6_vmotion_network)</f>
        <v>Value Missing</v>
      </c>
      <c r="Y40" s="1"/>
      <c r="Z40" s="84" t="s">
        <v>407</v>
      </c>
      <c r="AA40" s="18" t="str">
        <f>IF(ISBLANK(input_wld_az1_rack7_vmotion_network),"Value Missing",input_wld_az1_rack7_vmotion_network)</f>
        <v>Value Missing</v>
      </c>
      <c r="AB40" s="1"/>
      <c r="AC40" s="84" t="s">
        <v>407</v>
      </c>
      <c r="AD40" s="18" t="str">
        <f>IF(ISBLANK(input_wld_az1_rack8_vmotion_network),"Value Missing",input_wld_az1_rack8_vmotion_network)</f>
        <v>Value Missing</v>
      </c>
      <c r="AE40" s="1"/>
      <c r="AF40" s="1"/>
      <c r="AG40" s="41"/>
      <c r="AH40" s="41"/>
      <c r="AI40" s="1"/>
      <c r="AJ40" s="1"/>
      <c r="AK40" s="1"/>
    </row>
    <row r="41" ht="19.5" customHeight="1">
      <c r="A41" s="1"/>
      <c r="B41" s="84" t="s">
        <v>324</v>
      </c>
      <c r="C41" s="18" t="str">
        <f>IF(ISBLANK(mgmt_ceip_status_chosen),"Value Missing",mgmt_ceip_status_chosen)</f>
        <v>Unselected</v>
      </c>
      <c r="D41" s="1"/>
      <c r="E41" s="173" t="str">
        <f>CONCATENATE("Principal Storage Network ",wld_principal_storage_chosen)</f>
        <v>Principal Storage Network vSAN-ESA</v>
      </c>
      <c r="F41" s="18" t="str">
        <f>IF(mgmt_az1_vsan_cidr="Value Missing",mgmt_az1_vsan_cidr,LEFT(mgmt_az1_vsan_cidr,(FIND("/",mgmt_az1_vsan_cidr)-1)))</f>
        <v>Value Missing</v>
      </c>
      <c r="G41" s="1"/>
      <c r="H41" s="173" t="s">
        <v>410</v>
      </c>
      <c r="I41" s="18" t="str">
        <f>IF(ISBLANK(input_wld_az1_principal_storage_network),"Value Missing",input_wld_az1_principal_storage_network)</f>
        <v>Value Missing</v>
      </c>
      <c r="J41" s="1"/>
      <c r="K41" s="173" t="str">
        <f>CONCATENATE("Principal Storage Network ",wld_principal_storage_chosen)</f>
        <v>Principal Storage Network vSAN-ESA</v>
      </c>
      <c r="L41" s="18" t="str">
        <f>IF(ISBLANK(input_wld_az1_rack2_principal_storage_network),"Value Missing",input_wld_az1_rack2_principal_storage_network)</f>
        <v>Value Missing</v>
      </c>
      <c r="M41" s="1"/>
      <c r="N41" s="173" t="str">
        <f>CONCATENATE("Principal Storage Network ",wld_principal_storage_chosen)</f>
        <v>Principal Storage Network vSAN-ESA</v>
      </c>
      <c r="O41" s="18" t="str">
        <f>IF(ISBLANK(input_wld_az1_rack3_principal_storage_network),"Value Missing",input_wld_az1_rack3_principal_storage_network)</f>
        <v>Value Missing</v>
      </c>
      <c r="P41" s="1"/>
      <c r="Q41" s="173" t="str">
        <f>CONCATENATE("Principal Storage Network ",wld_principal_storage_chosen)</f>
        <v>Principal Storage Network vSAN-ESA</v>
      </c>
      <c r="R41" s="18" t="str">
        <f>IF(ISBLANK(input_wld_az1_rack4_principal_storage_network),"Value Missing",input_wld_az1_rack4_principal_storage_network)</f>
        <v>Value Missing</v>
      </c>
      <c r="S41" s="1"/>
      <c r="T41" s="173" t="str">
        <f>CONCATENATE("Principal Storage Network ",wld_principal_storage_chosen)</f>
        <v>Principal Storage Network vSAN-ESA</v>
      </c>
      <c r="U41" s="18" t="str">
        <f>IF(ISBLANK(input_wld_az1_rack5_principal_storage_network),"Value Missing",input_wld_az1_rack5_principal_storage_network)</f>
        <v>Value Missing</v>
      </c>
      <c r="V41" s="1"/>
      <c r="W41" s="173" t="str">
        <f>CONCATENATE("Principal Storage Network ",wld_principal_storage_chosen)</f>
        <v>Principal Storage Network vSAN-ESA</v>
      </c>
      <c r="X41" s="18" t="str">
        <f>IF(ISBLANK(input_wld_az1_rack6_principal_storage_network),"Value Missing",input_wld_az1_rack6_principal_storage_network)</f>
        <v>Value Missing</v>
      </c>
      <c r="Y41" s="1"/>
      <c r="Z41" s="173" t="str">
        <f>CONCATENATE("Principal Storage Network ",wld_principal_storage_chosen)</f>
        <v>Principal Storage Network vSAN-ESA</v>
      </c>
      <c r="AA41" s="18" t="str">
        <f>IF(ISBLANK(input_wld_az1_rack7_principal_storage_network),"Value Missing",input_wld_az1_rack7_principal_storage_network)</f>
        <v>Value Missing</v>
      </c>
      <c r="AB41" s="1"/>
      <c r="AC41" s="173" t="str">
        <f>CONCATENATE("Principal Storage Network ",wld_principal_storage_chosen)</f>
        <v>Principal Storage Network vSAN-ESA</v>
      </c>
      <c r="AD41" s="18" t="str">
        <f>IF(ISBLANK(input_wld_az1_rack8_principal_storage_network),"Value Missing",input_wld_az1_rack8_principal_storage_network)</f>
        <v>Value Missing</v>
      </c>
      <c r="AE41" s="1"/>
      <c r="AF41" s="1"/>
      <c r="AG41" s="41"/>
      <c r="AH41" s="41"/>
      <c r="AI41" s="1"/>
      <c r="AJ41" s="1"/>
      <c r="AK41" s="1"/>
    </row>
    <row r="42" ht="19.5" customHeight="1">
      <c r="A42" s="1"/>
      <c r="B42" s="1"/>
      <c r="C42" s="1"/>
      <c r="D42" s="1"/>
      <c r="E42" s="84" t="s">
        <v>1716</v>
      </c>
      <c r="F42" s="18" t="str">
        <f>IF(mgmt_az1_host_overlay_cidr="Value Missing",mgmt_az1_host_overlay_cidr,LEFT(mgmt_az1_host_overlay_cidr,(FIND("/",mgmt_az1_host_overlay_cidr)-1)))</f>
        <v>Value Missing</v>
      </c>
      <c r="G42" s="1"/>
      <c r="H42" s="84" t="s">
        <v>1716</v>
      </c>
      <c r="I42" s="18" t="str">
        <f>IF(wld_az1_host_overlay_cidr="Value Missing","Value Missing",IF(ISBLANK(wld_az1_host_overlay_cidr),"Value Missing",LEFT(wld_az1_host_overlay_cidr,(FIND("/",wld_az1_host_overlay_cidr)-1))))</f>
        <v>Value Missing</v>
      </c>
      <c r="J42" s="1"/>
      <c r="K42" s="84" t="s">
        <v>1716</v>
      </c>
      <c r="L42" s="18" t="str">
        <f>IF(ISBLANK(input_wld_az1_rack2_host_overlay_network),"Value Missing",input_wld_az1_rack2_host_overlay_network)</f>
        <v>Value Missing</v>
      </c>
      <c r="M42" s="1"/>
      <c r="N42" s="84" t="s">
        <v>1716</v>
      </c>
      <c r="O42" s="18" t="str">
        <f>IF(ISBLANK(input_wld_az1_rack2_host_overlay_network),"Value Missing",input_wld_az1_rack3_host_overlay_network)</f>
        <v>Value Missing</v>
      </c>
      <c r="P42" s="1"/>
      <c r="Q42" s="84" t="s">
        <v>1716</v>
      </c>
      <c r="R42" s="18" t="str">
        <f>IF(ISBLANK(input_wld_az1_rack4_host_overlay_network),"Value Missing",input_wld_az1_rack4_host_overlay_network)</f>
        <v>Value Missing</v>
      </c>
      <c r="S42" s="1"/>
      <c r="T42" s="84" t="s">
        <v>1716</v>
      </c>
      <c r="U42" s="18" t="str">
        <f>IF(ISBLANK(input_wld_az1_rack5_host_overlay_network),"Value Missing",input_wld_az1_rack5_host_overlay_network)</f>
        <v>Value Missing</v>
      </c>
      <c r="V42" s="1"/>
      <c r="W42" s="84" t="s">
        <v>1716</v>
      </c>
      <c r="X42" s="18" t="str">
        <f>IF(ISBLANK(input_wld_az1_rack6_host_overlay_network),"Value Missing",input_wld_az1_rack6_host_overlay_network)</f>
        <v>Value Missing</v>
      </c>
      <c r="Y42" s="1"/>
      <c r="Z42" s="84" t="s">
        <v>1716</v>
      </c>
      <c r="AA42" s="18" t="str">
        <f>IF(ISBLANK(input_wld_az1_rack7_host_overlay_network),"Value Missing",input_wld_az1_rack7_host_overlay_network)</f>
        <v>Value Missing</v>
      </c>
      <c r="AB42" s="1"/>
      <c r="AC42" s="84" t="s">
        <v>1716</v>
      </c>
      <c r="AD42" s="18" t="str">
        <f>IF(ISBLANK(input_wld_az1_rack8_host_overlay_network),"Value Missing",input_wld_az1_rack8_host_overlay_network)</f>
        <v>Value Missing</v>
      </c>
      <c r="AE42" s="1"/>
      <c r="AF42" s="1"/>
      <c r="AG42" s="41"/>
      <c r="AH42" s="41"/>
      <c r="AI42" s="1"/>
      <c r="AJ42" s="1"/>
      <c r="AK42" s="1"/>
    </row>
    <row r="43" ht="19.5" customHeight="1">
      <c r="A43" s="1"/>
      <c r="B43" s="197" t="s">
        <v>299</v>
      </c>
      <c r="C43" s="38"/>
      <c r="D43" s="1"/>
      <c r="E43" s="313" t="s">
        <v>1717</v>
      </c>
      <c r="F43" s="18" t="str">
        <f>IF(mgmt_az1_secondary_storage_cidr="Value Missing",mgmt_az1_secondary_storage_cidr,LEFT(mgmt_az1_secondary_storage_cidr,(FIND("/",mgmt_az1_secondary_storage_cidr)-1)))</f>
        <v>Value Missing</v>
      </c>
      <c r="G43" s="1"/>
      <c r="H43" s="84" t="s">
        <v>1717</v>
      </c>
      <c r="I43" s="18" t="str">
        <f>IF(ISBLANK(input_wld_az1_secondary_storage_network),"Value Missing",input_wld_az1_secondary_storage_network)</f>
        <v>Value Missing</v>
      </c>
      <c r="J43" s="1"/>
      <c r="K43" s="187" t="s">
        <v>1244</v>
      </c>
      <c r="L43" s="18"/>
      <c r="M43" s="1"/>
      <c r="N43" s="187" t="s">
        <v>1244</v>
      </c>
      <c r="O43" s="18"/>
      <c r="P43" s="1"/>
      <c r="Q43" s="187" t="s">
        <v>1244</v>
      </c>
      <c r="R43" s="18"/>
      <c r="S43" s="1"/>
      <c r="T43" s="187" t="s">
        <v>1244</v>
      </c>
      <c r="U43" s="18"/>
      <c r="V43" s="1"/>
      <c r="W43" s="187" t="s">
        <v>1244</v>
      </c>
      <c r="X43" s="18"/>
      <c r="Y43" s="1"/>
      <c r="Z43" s="187" t="s">
        <v>1244</v>
      </c>
      <c r="AA43" s="18"/>
      <c r="AB43" s="1"/>
      <c r="AC43" s="187" t="s">
        <v>1244</v>
      </c>
      <c r="AD43" s="18"/>
      <c r="AE43" s="1"/>
      <c r="AF43" s="1"/>
      <c r="AG43" s="41"/>
      <c r="AH43" s="41"/>
      <c r="AI43" s="1"/>
      <c r="AJ43" s="1"/>
      <c r="AK43" s="1"/>
    </row>
    <row r="44" ht="19.5" customHeight="1">
      <c r="A44" s="1"/>
      <c r="B44" s="15" t="s">
        <v>256</v>
      </c>
      <c r="C44" s="15" t="s">
        <v>137</v>
      </c>
      <c r="D44" s="1"/>
      <c r="E44" s="313"/>
      <c r="F44" s="18"/>
      <c r="G44" s="1"/>
      <c r="H44" s="84" t="s">
        <v>1244</v>
      </c>
      <c r="I44" s="18" t="str">
        <f>IF(ISBLANK(input_wld_az1_storage_cluster_network),"Value Missing",input_wld_az1_storage_cluster_network)</f>
        <v>Value Missing</v>
      </c>
      <c r="J44" s="1"/>
      <c r="K44" s="313" t="s">
        <v>1717</v>
      </c>
      <c r="L44" s="18" t="str">
        <f>IF(ISBLANK(input_wld_az1_rack2_secondary_storage_network),"Value Missing",input_wld_az1_rack2_secondary_storage_network)</f>
        <v>Value Missing</v>
      </c>
      <c r="M44" s="1"/>
      <c r="N44" s="313" t="s">
        <v>1717</v>
      </c>
      <c r="O44" s="18" t="str">
        <f>IF(ISBLANK(input_wld_az1_rack3_secondary_storage_network),"Value Missing",input_wld_az1_rack3_secondary_storage_network)</f>
        <v>Value Missing</v>
      </c>
      <c r="P44" s="1"/>
      <c r="Q44" s="313" t="s">
        <v>1717</v>
      </c>
      <c r="R44" s="18" t="str">
        <f>IF(ISBLANK(input_wld_az1_rack4_secondary_storage_network),"Value Missing",input_wld_az1_rack4_secondary_storage_network)</f>
        <v>Value Missing</v>
      </c>
      <c r="S44" s="1"/>
      <c r="T44" s="313" t="s">
        <v>1717</v>
      </c>
      <c r="U44" s="18" t="str">
        <f>IF(ISBLANK(input_wld_az1_rack5_secondary_storage_network),"Value Missing",input_wld_az1_rack5_secondary_storage_network)</f>
        <v>Value Missing</v>
      </c>
      <c r="V44" s="1"/>
      <c r="W44" s="313" t="s">
        <v>1717</v>
      </c>
      <c r="X44" s="18" t="str">
        <f>IF(ISBLANK(input_wld_az1_rack6_secondary_storage_network),"Value Missing",input_wld_az1_rack6_secondary_storage_network)</f>
        <v>Value Missing</v>
      </c>
      <c r="Y44" s="1"/>
      <c r="Z44" s="313" t="s">
        <v>1717</v>
      </c>
      <c r="AA44" s="18" t="str">
        <f>IF(ISBLANK(input_wld_az1_rack7_secondary_storage_network),"Value Missing",input_wld_az1_rack7_secondary_storage_network)</f>
        <v>Value Missing</v>
      </c>
      <c r="AB44" s="1"/>
      <c r="AC44" s="313" t="s">
        <v>1717</v>
      </c>
      <c r="AD44" s="18" t="str">
        <f>IF(ISBLANK(input_wld_az1_rack8_secondary_storage_network),"Value Missing",input_wld_az1_rack8_secondary_storage_network)</f>
        <v>Value Missing</v>
      </c>
      <c r="AE44" s="1"/>
      <c r="AF44" s="1"/>
      <c r="AG44" s="41"/>
      <c r="AH44" s="41"/>
      <c r="AI44" s="1"/>
      <c r="AJ44" s="1"/>
      <c r="AK44" s="1"/>
    </row>
    <row r="45" ht="19.5" customHeight="1">
      <c r="A45" s="1"/>
      <c r="B45" s="84" t="s">
        <v>537</v>
      </c>
      <c r="C45" s="18" t="str">
        <f>IF(ISBLANK(mgmt_vc_fqdn),"Value Missing",mgmt_vc_fqdn)</f>
        <v>Value Missing</v>
      </c>
      <c r="D45" s="1"/>
      <c r="E45" s="84" t="s">
        <v>1719</v>
      </c>
      <c r="F45" s="18" t="str">
        <f>IF(mgmt_az1_uplink01_cidr="Value Missing",mgmt_az1_uplink01_cidr,LEFT(mgmt_az1_uplink01_cidr,(FIND("/",mgmt_az1_uplink01_cidr)-1)))</f>
        <v>Value Missing</v>
      </c>
      <c r="G45" s="1"/>
      <c r="H45" s="84" t="s">
        <v>1719</v>
      </c>
      <c r="I45" s="18" t="str">
        <f>IF(wld_az1_uplink01_cidr="Value Missing",wld_az1_uplink01_cidr,IF(ISBLANK(wld_az1_uplink01_cidr),"Value Missing",LEFT(wld_az1_uplink01_cidr,(FIND("/",wld_az1_uplink01_cidr)-1))))</f>
        <v>Value Missing</v>
      </c>
      <c r="J45" s="1"/>
      <c r="K45" s="84" t="s">
        <v>1719</v>
      </c>
      <c r="L45" s="18" t="str">
        <f>IF(ISBLANK(input_wld_az1_rack2_uplink01_network),"Value Missing",input_wld_az1_rack2_uplink01_network)</f>
        <v>Value Missing</v>
      </c>
      <c r="M45" s="1"/>
      <c r="N45" s="84" t="s">
        <v>1719</v>
      </c>
      <c r="O45" s="18" t="str">
        <f>IF(ISBLANK(input_wld_az1_rack3_uplink01_network),"Value Missing",input_wld_az1_rack3_uplink01_network)</f>
        <v>Value Missing</v>
      </c>
      <c r="P45" s="1"/>
      <c r="Q45" s="84" t="s">
        <v>1719</v>
      </c>
      <c r="R45" s="18" t="str">
        <f>IF(ISBLANK(input_wld_az1_rack4_uplink01_network),"Value Missing",input_wld_az1_rack4_uplink01_network)</f>
        <v>Value Missing</v>
      </c>
      <c r="S45" s="1"/>
      <c r="T45" s="84" t="s">
        <v>1719</v>
      </c>
      <c r="U45" s="18" t="str">
        <f>IF(ISBLANK(input_wld_az1_rack5_uplink01_network),"Value Missing",input_wld_az1_rack5_uplink01_network)</f>
        <v>Value Missing</v>
      </c>
      <c r="V45" s="1"/>
      <c r="W45" s="84" t="s">
        <v>1719</v>
      </c>
      <c r="X45" s="18" t="str">
        <f>IF(ISBLANK(input_wld_az1_rack6_uplink01_network),"Value Missing",input_wld_az1_rack6_uplink01_network)</f>
        <v>Value Missing</v>
      </c>
      <c r="Y45" s="1"/>
      <c r="Z45" s="84" t="s">
        <v>1719</v>
      </c>
      <c r="AA45" s="18" t="str">
        <f>IF(ISBLANK(input_wld_az1_rack7_uplink01_network),"Value Missing",input_wld_az1_rack7_uplink01_network)</f>
        <v>Value Missing</v>
      </c>
      <c r="AB45" s="1"/>
      <c r="AC45" s="84" t="s">
        <v>1719</v>
      </c>
      <c r="AD45" s="18" t="str">
        <f>IF(ISBLANK(input_wld_az1_rack8_uplink01_network),"Value Missing",input_wld_az1_rack8_uplink01_network)</f>
        <v>Value Missing</v>
      </c>
      <c r="AE45" s="1"/>
      <c r="AF45" s="1"/>
      <c r="AG45" s="41"/>
      <c r="AH45" s="41"/>
      <c r="AI45" s="1"/>
      <c r="AJ45" s="1"/>
      <c r="AK45" s="1"/>
    </row>
    <row r="46" ht="19.5" customHeight="1">
      <c r="A46" s="1"/>
      <c r="B46" s="84" t="s">
        <v>351</v>
      </c>
      <c r="C46" s="18" t="str">
        <f>mgmt_vcenter_appliance_size_chosen</f>
        <v>Medium</v>
      </c>
      <c r="D46" s="1"/>
      <c r="E46" s="84" t="s">
        <v>1720</v>
      </c>
      <c r="F46" s="18" t="str">
        <f>IF(mgmt_az1_uplink02_cidr="Value Missing",mgmt_az1_uplink02_cidr,LEFT(mgmt_az1_uplink02_cidr,(FIND("/",mgmt_az1_uplink02_cidr)-1)))</f>
        <v>Value Missing</v>
      </c>
      <c r="G46" s="1"/>
      <c r="H46" s="84" t="s">
        <v>1720</v>
      </c>
      <c r="I46" s="18" t="str">
        <f>IF(wld_az1_uplink02_cidr="Value Missing",wld_az1_uplink02_cidr,IF(ISBLANK(wld_az1_uplink02_cidr),"Value Missing",LEFT(wld_az1_uplink02_cidr,(FIND("/",wld_az1_uplink02_cidr)-1))))</f>
        <v>Value Missing</v>
      </c>
      <c r="J46" s="1"/>
      <c r="K46" s="84" t="s">
        <v>1720</v>
      </c>
      <c r="L46" s="18" t="str">
        <f>IF(ISBLANK(input_wld_az1_rack2_uplink02_network),"Value Missing",input_wld_az1_rack2_uplink02_network)</f>
        <v>Value Missing</v>
      </c>
      <c r="M46" s="1"/>
      <c r="N46" s="84" t="s">
        <v>1720</v>
      </c>
      <c r="O46" s="18" t="str">
        <f>IF(ISBLANK(input_wld_az1_rack3_uplink02_network),"Value Missing",input_wld_az1_rack3_uplink02_network)</f>
        <v>Value Missing</v>
      </c>
      <c r="P46" s="1"/>
      <c r="Q46" s="84" t="s">
        <v>1720</v>
      </c>
      <c r="R46" s="18" t="str">
        <f>IF(ISBLANK(input_wld_az1_rack4_uplink02_network),"Value Missing",input_wld_az1_rack4_uplink02_network)</f>
        <v>Value Missing</v>
      </c>
      <c r="S46" s="1"/>
      <c r="T46" s="84" t="s">
        <v>1720</v>
      </c>
      <c r="U46" s="18" t="str">
        <f>IF(ISBLANK(input_wld_az1_rack5_uplink02_network),"Value Missing",input_wld_az1_rack5_uplink02_network)</f>
        <v>Value Missing</v>
      </c>
      <c r="V46" s="1"/>
      <c r="W46" s="84" t="s">
        <v>1720</v>
      </c>
      <c r="X46" s="18" t="str">
        <f>IF(ISBLANK(input_wld_az1_rack6_uplink02_network),"Value Missing",input_wld_az1_rack6_uplink02_network)</f>
        <v>Value Missing</v>
      </c>
      <c r="Y46" s="1"/>
      <c r="Z46" s="84" t="s">
        <v>1720</v>
      </c>
      <c r="AA46" s="18" t="str">
        <f>IF(ISBLANK(input_wld_az1_rack7_uplink02_network),"Value Missing",input_wld_az1_rack7_uplink02_network)</f>
        <v>Value Missing</v>
      </c>
      <c r="AB46" s="1"/>
      <c r="AC46" s="84" t="s">
        <v>1720</v>
      </c>
      <c r="AD46" s="18" t="str">
        <f>IF(ISBLANK(input_wld_az1_rack8_uplink02_network),"Value Missing",input_wld_az1_rack8_uplink02_network)</f>
        <v>Value Missing</v>
      </c>
      <c r="AE46" s="1"/>
      <c r="AF46" s="1"/>
      <c r="AG46" s="41"/>
      <c r="AH46" s="1"/>
      <c r="AI46" s="1"/>
      <c r="AJ46" s="1"/>
      <c r="AK46" s="1"/>
    </row>
    <row r="47" ht="19.5" customHeight="1">
      <c r="A47" s="1"/>
      <c r="B47" s="84" t="s">
        <v>353</v>
      </c>
      <c r="C47" s="18" t="str">
        <f>sizing_m01_vcenter_storage_size_chosen</f>
        <v>Default</v>
      </c>
      <c r="D47" s="1"/>
      <c r="E47" s="84" t="s">
        <v>1722</v>
      </c>
      <c r="F47" s="18" t="str">
        <f>IF(mgmt_az1_edge_overlay_cidr="Value Missing",mgmt_az1_edge_overlay_cidr,(LEFT(mgmt_az1_edge_overlay_cidr,(FIND("/",mgmt_az1_edge_overlay_cidr)-1))))</f>
        <v>Value Missing</v>
      </c>
      <c r="G47" s="1"/>
      <c r="H47" s="84" t="s">
        <v>1722</v>
      </c>
      <c r="I47" s="18" t="str">
        <f>IF(wld_az1_edge_overlay_cidr="Value Missing",wld_az1_edge_overlay_cidr,IF(ISBLANK(wld_az1_edge_overlay_cidr),"Value Missing",LEFT(wld_az1_edge_overlay_cidr,(FIND("/",wld_az1_edge_overlay_cidr)-1))))</f>
        <v>Value Missing</v>
      </c>
      <c r="J47" s="1"/>
      <c r="K47" s="84" t="s">
        <v>1722</v>
      </c>
      <c r="L47" s="18" t="str">
        <f>IF(ISBLANK(input_wld_az1_rack2_edge_overlay_network),"Value Missing",input_wld_az1_rack2_edge_overlay_network)</f>
        <v>Value Missing</v>
      </c>
      <c r="M47" s="1"/>
      <c r="N47" s="84" t="s">
        <v>1722</v>
      </c>
      <c r="O47" s="18" t="str">
        <f>IF(ISBLANK(input_wld_az1_rack3_edge_overlay_network),"Value Missing",input_wld_az1_rack3_edge_overlay_network)</f>
        <v>Value Missing</v>
      </c>
      <c r="P47" s="1"/>
      <c r="Q47" s="84" t="s">
        <v>1722</v>
      </c>
      <c r="R47" s="18" t="str">
        <f>IF(ISBLANK(input_wld_az1_rack4_edge_overlay_network),"Value Missing",input_wld_az1_rack4_edge_overlay_network)</f>
        <v>Value Missing</v>
      </c>
      <c r="S47" s="1"/>
      <c r="T47" s="84" t="s">
        <v>1722</v>
      </c>
      <c r="U47" s="18" t="str">
        <f>IF(ISBLANK(input_wld_az1_rack5_edge_overlay_network),"Value Missing",input_wld_az1_rack5_edge_overlay_network)</f>
        <v>Value Missing</v>
      </c>
      <c r="V47" s="1"/>
      <c r="W47" s="84" t="s">
        <v>1722</v>
      </c>
      <c r="X47" s="18" t="str">
        <f>IF(ISBLANK(input_wld_az1_rack6_edge_overlay_network),"Value Missing",input_wld_az1_rack6_edge_overlay_network)</f>
        <v>Value Missing</v>
      </c>
      <c r="Y47" s="1"/>
      <c r="Z47" s="84" t="s">
        <v>1722</v>
      </c>
      <c r="AA47" s="18" t="str">
        <f>IF(ISBLANK(input_wld_az1_rack7_edge_overlay_network),"Value Missing",input_wld_az1_rack7_edge_overlay_network)</f>
        <v>Value Missing</v>
      </c>
      <c r="AB47" s="1"/>
      <c r="AC47" s="84" t="s">
        <v>1722</v>
      </c>
      <c r="AD47" s="18" t="str">
        <f>IF(ISBLANK(input_wld_az1_rack8_edge_overlay_network),"Value Missing",input_wld_az1_rack8_edge_overlay_network)</f>
        <v>Value Missing</v>
      </c>
      <c r="AE47" s="1"/>
      <c r="AF47" s="1"/>
      <c r="AG47" s="41"/>
      <c r="AH47" s="1"/>
      <c r="AI47" s="1"/>
      <c r="AJ47" s="1"/>
      <c r="AK47" s="1"/>
    </row>
    <row r="48" ht="19.5" customHeight="1">
      <c r="A48" s="1"/>
      <c r="B48" s="84" t="s">
        <v>1758</v>
      </c>
      <c r="C48" s="18" t="str">
        <f>IF(ISBLANK(input_mgmt_datacenter),"Value Missing",input_mgmt_datacenter)</f>
        <v>Value Missing</v>
      </c>
      <c r="D48" s="1"/>
      <c r="E48" s="84" t="s">
        <v>1724</v>
      </c>
      <c r="F48" s="18" t="str">
        <f>IF(mgmt_az1_rtep_overlay_cidr="Value Missing",mgmt_az1_rtep_overlay_cidr,(LEFT(mgmt_az1_rtep_overlay_cidr,(FIND("/",mgmt_az1_rtep_overlay_cidr)-1))))</f>
        <v>Value Missing</v>
      </c>
      <c r="G48" s="1"/>
      <c r="H48" s="84" t="s">
        <v>1724</v>
      </c>
      <c r="I48" s="18" t="str">
        <f>IF(wld_az1_rtep_overlay_cidr="Value Missing",wld_az1_rtep_overlay_cidr,(LEFT(wld_az1_rtep_overlay_cidr,(FIND("/",wld_az1_rtep_overlay_cidr)-1))))</f>
        <v>Value Missing</v>
      </c>
      <c r="J48" s="1"/>
      <c r="K48" s="84" t="s">
        <v>1724</v>
      </c>
      <c r="L48" s="1"/>
      <c r="M48" s="1"/>
      <c r="N48" s="84" t="s">
        <v>1724</v>
      </c>
      <c r="O48" s="1"/>
      <c r="P48" s="1"/>
      <c r="Q48" s="84" t="s">
        <v>1724</v>
      </c>
      <c r="R48" s="1"/>
      <c r="S48" s="1"/>
      <c r="T48" s="84" t="s">
        <v>1724</v>
      </c>
      <c r="U48" s="1"/>
      <c r="V48" s="1"/>
      <c r="W48" s="84" t="s">
        <v>1724</v>
      </c>
      <c r="X48" s="1"/>
      <c r="Y48" s="1"/>
      <c r="Z48" s="84" t="s">
        <v>1724</v>
      </c>
      <c r="AA48" s="1"/>
      <c r="AB48" s="1"/>
      <c r="AC48" s="84" t="s">
        <v>1724</v>
      </c>
      <c r="AD48" s="1"/>
      <c r="AE48" s="1"/>
      <c r="AF48" s="1"/>
      <c r="AG48" s="41"/>
      <c r="AH48" s="1"/>
      <c r="AI48" s="1"/>
      <c r="AJ48" s="1"/>
      <c r="AK48" s="1"/>
    </row>
    <row r="49" ht="19.5" customHeight="1">
      <c r="A49" s="1"/>
      <c r="B49" s="84" t="s">
        <v>1759</v>
      </c>
      <c r="C49" s="18" t="str">
        <f>IF(ISBLANK(input_mgmt_cl01_cluster),"Value Missing",input_mgmt_cl01_cluster)</f>
        <v>Value Missing</v>
      </c>
      <c r="D49" s="1"/>
      <c r="E49" s="84" t="s">
        <v>1726</v>
      </c>
      <c r="F49" s="18"/>
      <c r="G49" s="1"/>
      <c r="H49" s="84" t="s">
        <v>1726</v>
      </c>
      <c r="I49" s="18" t="str">
        <f>IF(wld_az1_vrms_cidr="Value Missing",wld_az1_vrms_cidr,(LEFT(wld_az1_vrms_cidr,(FIND("/",wld_az1_vrms_cidr)-1))))</f>
        <v>Value Missing</v>
      </c>
      <c r="J49" s="1"/>
      <c r="K49" s="84" t="s">
        <v>1726</v>
      </c>
      <c r="L49" s="1"/>
      <c r="M49" s="1"/>
      <c r="N49" s="84" t="s">
        <v>1726</v>
      </c>
      <c r="O49" s="1"/>
      <c r="P49" s="1"/>
      <c r="Q49" s="84" t="s">
        <v>1726</v>
      </c>
      <c r="R49" s="1"/>
      <c r="S49" s="1"/>
      <c r="T49" s="84" t="s">
        <v>1726</v>
      </c>
      <c r="U49" s="1"/>
      <c r="V49" s="1"/>
      <c r="W49" s="84" t="s">
        <v>1726</v>
      </c>
      <c r="X49" s="1"/>
      <c r="Y49" s="1"/>
      <c r="Z49" s="84" t="s">
        <v>1726</v>
      </c>
      <c r="AA49" s="1"/>
      <c r="AB49" s="1"/>
      <c r="AC49" s="84" t="s">
        <v>1726</v>
      </c>
      <c r="AD49" s="1"/>
      <c r="AE49" s="1"/>
      <c r="AF49" s="1"/>
      <c r="AG49" s="41"/>
      <c r="AH49" s="1"/>
      <c r="AI49" s="1"/>
      <c r="AJ49" s="1"/>
      <c r="AK49" s="1"/>
    </row>
    <row r="50" ht="19.5" customHeight="1">
      <c r="A50" s="1"/>
      <c r="B50" s="1"/>
      <c r="C50" s="1"/>
      <c r="D50" s="1"/>
      <c r="E50" s="1"/>
      <c r="F50" s="1"/>
      <c r="G50" s="1"/>
      <c r="H50" s="1"/>
      <c r="I50" s="1"/>
      <c r="J50" s="1"/>
      <c r="K50" s="1"/>
      <c r="L50" s="1"/>
      <c r="M50" s="1"/>
      <c r="N50" s="1"/>
      <c r="O50" s="1"/>
      <c r="P50" s="1"/>
      <c r="Q50" s="35"/>
      <c r="R50" s="35"/>
      <c r="S50" s="1"/>
      <c r="T50" s="1"/>
      <c r="U50" s="1"/>
      <c r="V50" s="1"/>
      <c r="W50" s="1"/>
      <c r="X50" s="1"/>
      <c r="Y50" s="1"/>
      <c r="Z50" s="1"/>
      <c r="AA50" s="1"/>
      <c r="AB50" s="1"/>
      <c r="AC50" s="1"/>
      <c r="AD50" s="1"/>
      <c r="AE50" s="1"/>
      <c r="AF50" s="1"/>
      <c r="AG50" s="41"/>
      <c r="AH50" s="1"/>
      <c r="AI50" s="1"/>
      <c r="AJ50" s="1"/>
      <c r="AK50" s="1"/>
    </row>
    <row r="51" ht="19.5" customHeight="1">
      <c r="A51" s="1"/>
      <c r="B51" s="197" t="s">
        <v>717</v>
      </c>
      <c r="C51" s="38"/>
      <c r="D51" s="1"/>
      <c r="E51" s="284" t="s">
        <v>1760</v>
      </c>
      <c r="F51" s="285"/>
      <c r="G51" s="1"/>
      <c r="H51" s="284" t="s">
        <v>1761</v>
      </c>
      <c r="I51" s="285"/>
      <c r="J51" s="1"/>
      <c r="K51" s="284" t="s">
        <v>1762</v>
      </c>
      <c r="L51" s="285"/>
      <c r="M51" s="1"/>
      <c r="N51" s="284" t="s">
        <v>1763</v>
      </c>
      <c r="O51" s="285"/>
      <c r="P51" s="1"/>
      <c r="Q51" s="284" t="s">
        <v>1764</v>
      </c>
      <c r="R51" s="285"/>
      <c r="S51" s="1"/>
      <c r="T51" s="284" t="s">
        <v>1765</v>
      </c>
      <c r="U51" s="285"/>
      <c r="V51" s="1"/>
      <c r="W51" s="284" t="s">
        <v>1766</v>
      </c>
      <c r="X51" s="285"/>
      <c r="Y51" s="1"/>
      <c r="Z51" s="284" t="s">
        <v>1767</v>
      </c>
      <c r="AA51" s="285"/>
      <c r="AB51" s="1"/>
      <c r="AC51" s="284" t="s">
        <v>1768</v>
      </c>
      <c r="AD51" s="285"/>
      <c r="AE51" s="1"/>
      <c r="AF51" s="1"/>
      <c r="AG51" s="41"/>
      <c r="AH51" s="1"/>
      <c r="AI51" s="1"/>
      <c r="AJ51" s="1"/>
      <c r="AK51" s="1"/>
    </row>
    <row r="52" ht="19.5" customHeight="1">
      <c r="A52" s="1"/>
      <c r="B52" s="15" t="s">
        <v>256</v>
      </c>
      <c r="C52" s="15" t="s">
        <v>137</v>
      </c>
      <c r="D52" s="1"/>
      <c r="E52" s="315" t="s">
        <v>256</v>
      </c>
      <c r="F52" s="316" t="s">
        <v>1707</v>
      </c>
      <c r="G52" s="1"/>
      <c r="H52" s="315" t="s">
        <v>256</v>
      </c>
      <c r="I52" s="316" t="s">
        <v>1707</v>
      </c>
      <c r="J52" s="1"/>
      <c r="K52" s="315" t="s">
        <v>256</v>
      </c>
      <c r="L52" s="316" t="s">
        <v>1707</v>
      </c>
      <c r="M52" s="1"/>
      <c r="N52" s="315" t="s">
        <v>256</v>
      </c>
      <c r="O52" s="316" t="s">
        <v>1707</v>
      </c>
      <c r="P52" s="1"/>
      <c r="Q52" s="315" t="s">
        <v>256</v>
      </c>
      <c r="R52" s="316" t="s">
        <v>1707</v>
      </c>
      <c r="S52" s="1"/>
      <c r="T52" s="315" t="s">
        <v>256</v>
      </c>
      <c r="U52" s="316" t="s">
        <v>1707</v>
      </c>
      <c r="V52" s="1"/>
      <c r="W52" s="315" t="s">
        <v>256</v>
      </c>
      <c r="X52" s="316" t="s">
        <v>1707</v>
      </c>
      <c r="Y52" s="1"/>
      <c r="Z52" s="315" t="s">
        <v>256</v>
      </c>
      <c r="AA52" s="316" t="s">
        <v>1707</v>
      </c>
      <c r="AB52" s="1"/>
      <c r="AC52" s="315" t="s">
        <v>256</v>
      </c>
      <c r="AD52" s="316" t="s">
        <v>1707</v>
      </c>
      <c r="AE52" s="1"/>
      <c r="AF52" s="1"/>
      <c r="AG52" s="41"/>
      <c r="AH52" s="1"/>
      <c r="AI52" s="1"/>
      <c r="AJ52" s="1"/>
      <c r="AK52" s="1"/>
    </row>
    <row r="53" ht="19.5" customHeight="1">
      <c r="A53" s="1"/>
      <c r="B53" s="18" t="s">
        <v>351</v>
      </c>
      <c r="C53" s="18" t="str">
        <f>sizing_m01_nsxt_appliance_size</f>
        <v>Medium</v>
      </c>
      <c r="D53" s="1"/>
      <c r="E53" s="187" t="s">
        <v>1710</v>
      </c>
      <c r="F53" s="18" t="str">
        <f>IF(mgmt_az1_mgmt_vm_cidr="Value Missing",mgmt_az1_mgmt_vm_cidr,VLOOKUP(INT(RIGHT(mgmt_az1_mgmt_vm_cidr,LEN(mgmt_az1_mgmt_vm_cidr)-FIND("/",mgmt_az1_mgmt_vm_cidr))),table_cidr_to_mask,2,FALSE))</f>
        <v>Value Missing</v>
      </c>
      <c r="G53" s="1"/>
      <c r="H53" s="187" t="s">
        <v>1710</v>
      </c>
      <c r="I53" s="317" t="str">
        <f>IF(ISBLANK(input_wld_az1_mgmt_vm_cidr),"Value Missing",VLOOKUP(INT(RIGHT(input_wld_az1_mgmt_vm_cidr,LEN(input_wld_az1_mgmt_vm_cidr)-FIND("/",input_wld_az1_mgmt_vm_cidr))),table_cidr_to_mask,2,FALSE))</f>
        <v>Value Missing</v>
      </c>
      <c r="J53" s="1"/>
      <c r="K53" s="187" t="s">
        <v>1710</v>
      </c>
      <c r="L53" s="317"/>
      <c r="M53" s="1"/>
      <c r="N53" s="187" t="s">
        <v>1710</v>
      </c>
      <c r="O53" s="317"/>
      <c r="P53" s="1"/>
      <c r="Q53" s="187" t="s">
        <v>1710</v>
      </c>
      <c r="R53" s="317"/>
      <c r="S53" s="1"/>
      <c r="T53" s="187" t="s">
        <v>1710</v>
      </c>
      <c r="U53" s="317"/>
      <c r="V53" s="1"/>
      <c r="W53" s="187" t="s">
        <v>1710</v>
      </c>
      <c r="X53" s="317"/>
      <c r="Y53" s="1"/>
      <c r="Z53" s="187" t="s">
        <v>1710</v>
      </c>
      <c r="AA53" s="317"/>
      <c r="AB53" s="1"/>
      <c r="AC53" s="187" t="s">
        <v>1710</v>
      </c>
      <c r="AD53" s="317"/>
      <c r="AE53" s="1"/>
      <c r="AF53" s="1"/>
      <c r="AG53" s="41"/>
      <c r="AH53" s="1"/>
      <c r="AI53" s="1"/>
      <c r="AJ53" s="1"/>
      <c r="AK53" s="1"/>
    </row>
    <row r="54" ht="19.5" customHeight="1">
      <c r="A54" s="1"/>
      <c r="B54" s="18" t="s">
        <v>362</v>
      </c>
      <c r="C54" s="18" t="str">
        <f>IF(ISBLANK(mgmt_nsxt_mgra_fqdn),"Value Missing",mgmt_nsxt_mgra_fqdn)</f>
        <v>Value Missing</v>
      </c>
      <c r="D54" s="1"/>
      <c r="E54" s="187" t="s">
        <v>1712</v>
      </c>
      <c r="F54" s="18" t="str">
        <f>IF(mgmt_az1_mgmt_cidr="Value Missing",mgmt_az1_mgmt_cidr,VLOOKUP(INT(RIGHT(mgmt_az1_mgmt_cidr,LEN(mgmt_az1_mgmt_cidr)-FIND("/",mgmt_az1_mgmt_cidr))),table_cidr_to_mask,2,FALSE))</f>
        <v>Value Missing</v>
      </c>
      <c r="G54" s="1"/>
      <c r="H54" s="187" t="s">
        <v>1712</v>
      </c>
      <c r="I54" s="18" t="str">
        <f>IF(wld_az1_mgmt_cidr="Value Missing","Value Missing",IF(ISBLANK(wld_az1_mgmt_cidr),"Value Missing",VLOOKUP(INT(RIGHT(wld_az1_mgmt_cidr,LEN(wld_az1_mgmt_cidr)-FIND("/",wld_az1_mgmt_cidr))),table_cidr_to_mask,2,FALSE)))</f>
        <v>Value Missing</v>
      </c>
      <c r="J54" s="1"/>
      <c r="K54" s="187" t="s">
        <v>1712</v>
      </c>
      <c r="L54" s="18" t="str">
        <f>IF(wld_az1_rack2_mgmt_cidr="Value Missing","Value Missing",IF(ISBLANK(wld_az1_rack2_mgmt_cidr),"Value Missing",VLOOKUP(INT(RIGHT(wld_az1_rack2_mgmt_cidr,LEN(wld_az1_rack2_mgmt_cidr)-FIND("/",wld_az1_rack2_mgmt_cidr))),table_cidr_to_mask,2,FALSE)))</f>
        <v>Value Missing</v>
      </c>
      <c r="M54" s="1"/>
      <c r="N54" s="187" t="s">
        <v>1712</v>
      </c>
      <c r="O54" s="18" t="str">
        <f>IF(wld_az1_rack3_mgmt_cidr="Value Missing","Value Missing",IF(ISBLANK(wld_az1_rack3_mgmt_cidr),"Value Missing",VLOOKUP(INT(RIGHT(wld_az1_rack3_mgmt_cidr,LEN(wld_az1_rack3_mgmt_cidr)-FIND("/",wld_az1_rack3_mgmt_cidr))),table_cidr_to_mask,2,FALSE)))</f>
        <v>Value Missing</v>
      </c>
      <c r="P54" s="1"/>
      <c r="Q54" s="187" t="s">
        <v>1712</v>
      </c>
      <c r="R54" s="18" t="str">
        <f>IF(wld_az1_rack4_mgmt_cidr="Value Missing","Value Missing",IF(ISBLANK(wld_az1_rack4_mgmt_cidr),"Value Missing",VLOOKUP(INT(RIGHT(wld_az1_rack4_mgmt_cidr,LEN(wld_az1_rack4_mgmt_cidr)-FIND("/",wld_az1_rack4_mgmt_cidr))),table_cidr_to_mask,2,FALSE)))</f>
        <v>Value Missing</v>
      </c>
      <c r="S54" s="1"/>
      <c r="T54" s="187" t="s">
        <v>1712</v>
      </c>
      <c r="U54" s="18" t="str">
        <f>IF(wld_az1_rack5_mgmt_cidr="Value Missing","Value Missing",IF(ISBLANK(wld_az1_rack5_mgmt_cidr),"Value Missing",VLOOKUP(INT(RIGHT(wld_az1_rack5_mgmt_cidr,LEN(wld_az1_rack5_mgmt_cidr)-FIND("/",wld_az1_rack5_mgmt_cidr))),table_cidr_to_mask,2,FALSE)))</f>
        <v>Value Missing</v>
      </c>
      <c r="V54" s="1"/>
      <c r="W54" s="187" t="s">
        <v>1712</v>
      </c>
      <c r="X54" s="18" t="str">
        <f>IF(wld_az1_rack6_mgmt_cidr="Value Missing","Value Missing",IF(ISBLANK(wld_az1_rack6_mgmt_cidr),"Value Missing",VLOOKUP(INT(RIGHT(wld_az1_rack6_mgmt_cidr,LEN(wld_az1_rack6_mgmt_cidr)-FIND("/",wld_az1_rack6_mgmt_cidr))),table_cidr_to_mask,2,FALSE)))</f>
        <v>Value Missing</v>
      </c>
      <c r="Y54" s="1"/>
      <c r="Z54" s="187" t="s">
        <v>1712</v>
      </c>
      <c r="AA54" s="18" t="str">
        <f>IF(wld_az1_rack7_mgmt_cidr="Value Missing","Value Missing",IF(ISBLANK(wld_az1_rack7_mgmt_cidr),"Value Missing",VLOOKUP(INT(RIGHT(wld_az1_rack7_mgmt_cidr,LEN(wld_az1_rack7_mgmt_cidr)-FIND("/",wld_az1_rack7_mgmt_cidr))),table_cidr_to_mask,2,FALSE)))</f>
        <v>Value Missing</v>
      </c>
      <c r="AB54" s="1"/>
      <c r="AC54" s="187" t="s">
        <v>1712</v>
      </c>
      <c r="AD54" s="18" t="str">
        <f>IF(wld_az1_rack8_mgmt_cidr="Value Missing","Value Missing",IF(ISBLANK(wld_az1_rack8_mgmt_cidr),"Value Missing",VLOOKUP(INT(RIGHT(wld_az1_rack8_mgmt_cidr,LEN(wld_az1_rack8_mgmt_cidr)-FIND("/",wld_az1_rack8_mgmt_cidr))),table_cidr_to_mask,2,FALSE)))</f>
        <v>Value Missing</v>
      </c>
      <c r="AE54" s="1"/>
      <c r="AF54" s="1"/>
      <c r="AG54" s="41"/>
      <c r="AH54" s="1"/>
      <c r="AI54" s="1"/>
      <c r="AJ54" s="1"/>
      <c r="AK54" s="1"/>
    </row>
    <row r="55" ht="19.5" customHeight="1">
      <c r="A55" s="1"/>
      <c r="B55" s="18" t="s">
        <v>363</v>
      </c>
      <c r="C55" s="18" t="str">
        <f>IF(ISBLANK(mgmt_nsxt_mgrb_fqdn),"Value Missing",mgmt_nsxt_mgrb_fqdn)</f>
        <v>Value Missing</v>
      </c>
      <c r="D55" s="1"/>
      <c r="E55" s="187" t="s">
        <v>407</v>
      </c>
      <c r="F55" s="18" t="str">
        <f>IF(mgmt_az1_vmotion_cidr="Value Missing",mgmt_az1_vmotion_cidr,VLOOKUP(INT(RIGHT(mgmt_az1_vmotion_cidr,LEN(mgmt_az1_vmotion_cidr)-FIND("/",mgmt_az1_vmotion_cidr))),table_cidr_to_mask,2,FALSE))</f>
        <v>Value Missing</v>
      </c>
      <c r="G55" s="1"/>
      <c r="H55" s="187" t="s">
        <v>407</v>
      </c>
      <c r="I55" s="18" t="str">
        <f>IF(ISBLANK(input_wld_az1_vmotion_mask),"Value Missing",input_wld_az1_vmotion_mask)</f>
        <v>Value Missing</v>
      </c>
      <c r="J55" s="1"/>
      <c r="K55" s="187" t="s">
        <v>407</v>
      </c>
      <c r="L55" s="18" t="str">
        <f>IF(ISBLANK(input_wld_az1_rack2_vmotion_mask),"Value Missing",input_wld_az1_rack2_vmotion_mask)</f>
        <v>Value Missing</v>
      </c>
      <c r="M55" s="1"/>
      <c r="N55" s="187" t="s">
        <v>407</v>
      </c>
      <c r="O55" s="18" t="str">
        <f>IF(ISBLANK(input_wld_az1_rack3_vmotion_mask),"Value Missing",input_wld_az1_rack3_vmotion_mask)</f>
        <v>Value Missing</v>
      </c>
      <c r="P55" s="1"/>
      <c r="Q55" s="187" t="s">
        <v>407</v>
      </c>
      <c r="R55" s="18" t="str">
        <f>IF(ISBLANK(input_wld_az1_rack4_vmotion_mask),"Value Missing",input_wld_az1_rack4_vmotion_mask)</f>
        <v>Value Missing</v>
      </c>
      <c r="S55" s="1"/>
      <c r="T55" s="187" t="s">
        <v>407</v>
      </c>
      <c r="U55" s="18" t="str">
        <f>IF(ISBLANK(input_wld_az1_rack5_vmotion_mask),"Value Missing",input_wld_az1_rack5_vmotion_mask)</f>
        <v>Value Missing</v>
      </c>
      <c r="V55" s="1"/>
      <c r="W55" s="187" t="s">
        <v>407</v>
      </c>
      <c r="X55" s="18" t="str">
        <f>IF(ISBLANK(input_wld_az1_rack6_vmotion_mask),"Value Missing",input_wld_az1_rack6_vmotion_mask)</f>
        <v>Value Missing</v>
      </c>
      <c r="Y55" s="1"/>
      <c r="Z55" s="187" t="s">
        <v>407</v>
      </c>
      <c r="AA55" s="18" t="str">
        <f>IF(ISBLANK(input_wld_az1_rack7_vmotion_mask),"Value Missing",input_wld_az1_rack7_vmotion_mask)</f>
        <v>Value Missing</v>
      </c>
      <c r="AB55" s="1"/>
      <c r="AC55" s="187" t="s">
        <v>407</v>
      </c>
      <c r="AD55" s="18" t="str">
        <f>IF(ISBLANK(input_wld_az1_rack8_vmotion_mask),"Value Missing",input_wld_az1_rack8_vmotion_mask)</f>
        <v>Value Missing</v>
      </c>
      <c r="AE55" s="1"/>
      <c r="AF55" s="1"/>
      <c r="AG55" s="41"/>
      <c r="AH55" s="1"/>
      <c r="AI55" s="1"/>
      <c r="AJ55" s="1"/>
      <c r="AK55" s="1"/>
    </row>
    <row r="56" ht="19.5" customHeight="1">
      <c r="A56" s="1"/>
      <c r="B56" s="18" t="s">
        <v>364</v>
      </c>
      <c r="C56" s="18" t="str">
        <f>IF(ISBLANK(mgmt_nsxt_mgrc_fqdn),"Value Missing",mgmt_nsxt_mgrc_fqdn)</f>
        <v>Value Missing</v>
      </c>
      <c r="D56" s="1"/>
      <c r="E56" s="187" t="s">
        <v>1769</v>
      </c>
      <c r="F56" s="18" t="str">
        <f>IF(mgmt_az1_vsan_cidr="Value Missing",mgmt_az1_vsan_cidr,VLOOKUP(INT(RIGHT(mgmt_az1_vsan_cidr,LEN(mgmt_az1_vsan_cidr)-FIND("/",mgmt_az1_vsan_cidr))),table_cidr_to_mask,2,FALSE))</f>
        <v>Value Missing</v>
      </c>
      <c r="G56" s="1"/>
      <c r="H56" s="187" t="s">
        <v>1769</v>
      </c>
      <c r="I56" s="18" t="str">
        <f>IF(ISBLANK(input_wld_az1_principal_storage_mask),"Value Missing",input_wld_az1_principal_storage_mask)</f>
        <v>Value Missing</v>
      </c>
      <c r="J56" s="1"/>
      <c r="K56" s="187" t="s">
        <v>1769</v>
      </c>
      <c r="L56" s="18" t="str">
        <f>IF(ISBLANK(input_wld_az1_rack2_principal_storage_mask),"Value Missing",input_wld_az1_rack2_principal_storage_mask)</f>
        <v>Value Missing</v>
      </c>
      <c r="M56" s="1"/>
      <c r="N56" s="187" t="s">
        <v>1769</v>
      </c>
      <c r="O56" s="18" t="str">
        <f>IF(ISBLANK(input_wld_az1_rack3_principal_storage_mask),"Value Missing",input_wld_az1_rack3_principal_storage_mask)</f>
        <v>Value Missing</v>
      </c>
      <c r="P56" s="1"/>
      <c r="Q56" s="187" t="s">
        <v>1769</v>
      </c>
      <c r="R56" s="18" t="str">
        <f>IF(ISBLANK(input_wld_az1_rack4_principal_storage_mask),"Value Missing",input_wld_az1_rack4_principal_storage_mask)</f>
        <v>Value Missing</v>
      </c>
      <c r="S56" s="1"/>
      <c r="T56" s="187" t="s">
        <v>1769</v>
      </c>
      <c r="U56" s="18" t="str">
        <f>IF(ISBLANK(input_wld_az1_rack5_principal_storage_mask),"Value Missing",input_wld_az1_rack5_principal_storage_mask)</f>
        <v>Value Missing</v>
      </c>
      <c r="V56" s="1"/>
      <c r="W56" s="187" t="s">
        <v>1769</v>
      </c>
      <c r="X56" s="18" t="str">
        <f>IF(ISBLANK(input_wld_az1_rack6_principal_storage_mask),"Value Missing",input_wld_az1_rack6_principal_storage_mask)</f>
        <v>Value Missing</v>
      </c>
      <c r="Y56" s="1"/>
      <c r="Z56" s="187" t="s">
        <v>1769</v>
      </c>
      <c r="AA56" s="18" t="str">
        <f>IF(ISBLANK(input_wld_az1_rack7_principal_storage_mask),"Value Missing",input_wld_az1_rack7_principal_storage_mask)</f>
        <v>Value Missing</v>
      </c>
      <c r="AB56" s="1"/>
      <c r="AC56" s="187" t="s">
        <v>1769</v>
      </c>
      <c r="AD56" s="18" t="str">
        <f>IF(ISBLANK(input_wld_az1_rack8_principal_storage_mask),"Value Missing",input_wld_az1_rack8_principal_storage_mask)</f>
        <v>Value Missing</v>
      </c>
      <c r="AE56" s="1"/>
      <c r="AF56" s="1"/>
      <c r="AG56" s="41"/>
      <c r="AH56" s="1"/>
      <c r="AI56" s="1"/>
      <c r="AJ56" s="1"/>
      <c r="AK56" s="1"/>
    </row>
    <row r="57" ht="19.5" customHeight="1">
      <c r="A57" s="1"/>
      <c r="B57" s="18" t="s">
        <v>1231</v>
      </c>
      <c r="C57" s="18" t="str">
        <f>IF(ISBLANK(mgmt_nsxt_vip_fqdn),"Value Missing",mgmt_nsxt_vip_fqdn)</f>
        <v>Value Missing</v>
      </c>
      <c r="D57" s="1"/>
      <c r="E57" s="187" t="s">
        <v>1716</v>
      </c>
      <c r="F57" s="18" t="str">
        <f>IF(mgmt_az1_host_overlay_cidr="Value Missing",mgmt_az1_host_overlay_cidr,VLOOKUP(INT(RIGHT(mgmt_az1_host_overlay_cidr,LEN(mgmt_az1_host_overlay_cidr)-FIND("/",mgmt_az1_host_overlay_cidr))),table_cidr_to_mask,2,FALSE))</f>
        <v>Value Missing</v>
      </c>
      <c r="G57" s="1"/>
      <c r="H57" s="187" t="s">
        <v>1716</v>
      </c>
      <c r="I57" s="18" t="str">
        <f>IF(wld_az1_host_overlay_cidr="Value Missing","Value Missing",VLOOKUP(INT(RIGHT(wld_az1_host_overlay_cidr,LEN(wld_az1_host_overlay_cidr)-FIND("/",wld_az1_host_overlay_cidr))),table_cidr_to_mask,2,FALSE))</f>
        <v>Value Missing</v>
      </c>
      <c r="J57" s="1"/>
      <c r="K57" s="187" t="s">
        <v>1716</v>
      </c>
      <c r="L57" s="18" t="str">
        <f>IF(ISBLANK(input_wld_az1_rack2_host_overlay_mask),"Value Missing",input_wld_az1_rack2_host_overlay_mask)</f>
        <v>Value Missing</v>
      </c>
      <c r="M57" s="1"/>
      <c r="N57" s="187" t="s">
        <v>1716</v>
      </c>
      <c r="O57" s="18" t="str">
        <f>IF(ISBLANK(input_wld_az1_rack3_host_overlay_mask),"Value Missing",input_wld_az1_rack3_host_overlay_mask)</f>
        <v>Value Missing</v>
      </c>
      <c r="P57" s="1"/>
      <c r="Q57" s="187" t="s">
        <v>1716</v>
      </c>
      <c r="R57" s="18" t="str">
        <f>IF(ISBLANK(input_wld_az1_rack4_host_overlay_mask),"Value Missing",input_wld_az1_rack4_host_overlay_mask)</f>
        <v>Value Missing</v>
      </c>
      <c r="S57" s="1"/>
      <c r="T57" s="187" t="s">
        <v>1716</v>
      </c>
      <c r="U57" s="18" t="str">
        <f>IF(ISBLANK(input_wld_az1_rack5_host_overlay_mask),"Value Missing",input_wld_az1_rack5_host_overlay_mask)</f>
        <v>Value Missing</v>
      </c>
      <c r="V57" s="1"/>
      <c r="W57" s="187" t="s">
        <v>1716</v>
      </c>
      <c r="X57" s="18" t="str">
        <f>IF(ISBLANK(input_wld_az1_rack6_host_overlay_mask),"Value Missing",input_wld_az1_rack6_host_overlay_mask)</f>
        <v>Value Missing</v>
      </c>
      <c r="Y57" s="1"/>
      <c r="Z57" s="187" t="s">
        <v>1716</v>
      </c>
      <c r="AA57" s="18" t="str">
        <f>IF(ISBLANK(input_wld_az1_rack7_host_overlay_mask),"Value Missing",input_wld_az1_rack7_host_overlay_mask)</f>
        <v>Value Missing</v>
      </c>
      <c r="AB57" s="1"/>
      <c r="AC57" s="187" t="s">
        <v>1716</v>
      </c>
      <c r="AD57" s="18" t="str">
        <f>IF(ISBLANK(input_wld_az1_rack8_host_overlay_mask),"Value Missing",input_wld_az1_rack8_host_overlay_mask)</f>
        <v>Value Missing</v>
      </c>
      <c r="AE57" s="1"/>
      <c r="AF57" s="1"/>
      <c r="AG57" s="41"/>
      <c r="AH57" s="1"/>
      <c r="AI57" s="1"/>
      <c r="AJ57" s="1"/>
      <c r="AK57" s="1"/>
    </row>
    <row r="58" ht="19.5" customHeight="1">
      <c r="A58" s="1"/>
      <c r="B58" s="1"/>
      <c r="C58" s="1"/>
      <c r="D58" s="1"/>
      <c r="E58" s="187"/>
      <c r="F58" s="18"/>
      <c r="G58" s="1"/>
      <c r="H58" s="187" t="s">
        <v>1717</v>
      </c>
      <c r="I58" s="18" t="str">
        <f>IF(ISBLANK(input_wld_az1_secondary_storage_mask),"Value Missing",input_wld_az1_secondary_storage_mask)</f>
        <v>Value Missing</v>
      </c>
      <c r="J58" s="1"/>
      <c r="K58" s="187" t="s">
        <v>1717</v>
      </c>
      <c r="L58" s="18" t="str">
        <f>IF(ISBLANK(input_wld_az1_rack2_secondary_storage_mask),"Value Missing",input_wld_az1_rack2_secondary_storage_mask)</f>
        <v>Value Missing</v>
      </c>
      <c r="M58" s="1"/>
      <c r="N58" s="187" t="s">
        <v>1717</v>
      </c>
      <c r="O58" s="18" t="str">
        <f>IF(ISBLANK(input_wld_az1_rack3_secondary_storage_mask),"Value Missing",input_wld_az1_rack3_secondary_storage_mask)</f>
        <v>Value Missing</v>
      </c>
      <c r="P58" s="1"/>
      <c r="Q58" s="187" t="s">
        <v>1717</v>
      </c>
      <c r="R58" s="18" t="str">
        <f>IF(ISBLANK(input_wld_az1_rack4_secondary_storage_mask),"Value Missing",input_wld_az1_rack4_secondary_storage_mask)</f>
        <v>Value Missing</v>
      </c>
      <c r="S58" s="1"/>
      <c r="T58" s="187" t="s">
        <v>1717</v>
      </c>
      <c r="U58" s="18" t="str">
        <f>IF(ISBLANK(input_wld_az1_rack5_secondary_storage_mask),"Value Missing",input_wld_az1_rack5_secondary_storage_mask)</f>
        <v>Value Missing</v>
      </c>
      <c r="V58" s="1"/>
      <c r="W58" s="187" t="s">
        <v>1717</v>
      </c>
      <c r="X58" s="18" t="str">
        <f>IF(ISBLANK(input_wld_az1_rack6_secondary_storage_mask),"Value Missing",input_wld_az1_rack6_secondary_storage_mask)</f>
        <v>Value Missing</v>
      </c>
      <c r="Y58" s="1"/>
      <c r="Z58" s="187" t="s">
        <v>1717</v>
      </c>
      <c r="AA58" s="18" t="str">
        <f>IF(ISBLANK(input_wld_az1_rack7_secondary_storage_mask),"Value Missing",input_wld_az1_rack7_secondary_storage_mask)</f>
        <v>Value Missing</v>
      </c>
      <c r="AB58" s="1"/>
      <c r="AC58" s="187" t="s">
        <v>1717</v>
      </c>
      <c r="AD58" s="18" t="str">
        <f>IF(ISBLANK(input_wld_az1_rack8_secondary_storage_mask),"Value Missing",input_wld_az1_rack8_secondary_storage_mask)</f>
        <v>Value Missing</v>
      </c>
      <c r="AE58" s="1"/>
      <c r="AF58" s="1"/>
      <c r="AG58" s="41"/>
      <c r="AH58" s="1"/>
      <c r="AI58" s="1"/>
      <c r="AJ58" s="1"/>
      <c r="AK58" s="1"/>
    </row>
    <row r="59" ht="19.5" customHeight="1">
      <c r="A59" s="1"/>
      <c r="B59" s="197" t="s">
        <v>183</v>
      </c>
      <c r="C59" s="38"/>
      <c r="D59" s="1"/>
      <c r="E59" s="318" t="s">
        <v>1717</v>
      </c>
      <c r="F59" s="18" t="str">
        <f>IF(mgmt_az1_secondary_storage_cidr="Value Missing",mgmt_az1_secondary_storage_cidr,VLOOKUP(INT(RIGHT(mgmt_az1_secondary_storage_cidr,LEN(mgmt_az1_secondary_storage_cidr)-FIND("/",mgmt_az1_secondary_storage_cidr))),table_cidr_to_mask,2,FALSE))</f>
        <v>Value Missing</v>
      </c>
      <c r="G59" s="1"/>
      <c r="H59" s="187" t="s">
        <v>1244</v>
      </c>
      <c r="I59" s="18" t="str">
        <f>IF(ISBLANK(input_wld_az1_storage_cluster_mask),"Value Missing",input_wld_az1_storage_cluster_mask)</f>
        <v>Value Missing</v>
      </c>
      <c r="J59" s="1"/>
      <c r="K59" s="187" t="s">
        <v>1244</v>
      </c>
      <c r="L59" s="18"/>
      <c r="M59" s="1"/>
      <c r="N59" s="187" t="s">
        <v>1244</v>
      </c>
      <c r="O59" s="18"/>
      <c r="P59" s="1"/>
      <c r="Q59" s="187" t="s">
        <v>1244</v>
      </c>
      <c r="R59" s="18"/>
      <c r="S59" s="1"/>
      <c r="T59" s="187" t="s">
        <v>1244</v>
      </c>
      <c r="U59" s="18"/>
      <c r="V59" s="1"/>
      <c r="W59" s="187" t="s">
        <v>1244</v>
      </c>
      <c r="X59" s="18"/>
      <c r="Y59" s="1"/>
      <c r="Z59" s="187" t="s">
        <v>1244</v>
      </c>
      <c r="AA59" s="18"/>
      <c r="AB59" s="1"/>
      <c r="AC59" s="187" t="s">
        <v>1244</v>
      </c>
      <c r="AD59" s="18"/>
      <c r="AE59" s="1"/>
      <c r="AF59" s="1"/>
      <c r="AG59" s="41"/>
      <c r="AH59" s="1"/>
      <c r="AI59" s="1"/>
      <c r="AJ59" s="1"/>
      <c r="AK59" s="1"/>
    </row>
    <row r="60" ht="19.5" customHeight="1">
      <c r="A60" s="1"/>
      <c r="B60" s="15" t="s">
        <v>256</v>
      </c>
      <c r="C60" s="15" t="s">
        <v>137</v>
      </c>
      <c r="D60" s="1"/>
      <c r="E60" s="187" t="s">
        <v>1719</v>
      </c>
      <c r="F60" s="18" t="str">
        <f>IF(mgmt_az1_uplink01_cidr="Value Missing",mgmt_az1_uplink01_cidr,VLOOKUP(INT(RIGHT(mgmt_az1_uplink01_cidr,LEN(mgmt_az1_uplink01_cidr)-FIND("/",mgmt_az1_uplink01_cidr))),table_cidr_to_mask,2,FALSE))</f>
        <v>Value Missing</v>
      </c>
      <c r="G60" s="1"/>
      <c r="H60" s="187" t="s">
        <v>1719</v>
      </c>
      <c r="I60" s="18" t="str">
        <f>IF(wld_az1_uplink01_cidr="Value Missing",wld_az1_uplink01_cidr,VLOOKUP(INT(RIGHT(wld_az1_uplink01_cidr,LEN(wld_az1_uplink01_cidr)-FIND("/",wld_az1_uplink01_cidr))),table_cidr_to_mask,2,FALSE))</f>
        <v>Value Missing</v>
      </c>
      <c r="J60" s="1"/>
      <c r="K60" s="187" t="s">
        <v>1719</v>
      </c>
      <c r="L60" s="18" t="str">
        <f>IF(ISBLANK(input_wld_az1_rack2_uplink01_mask),"Value Missing",input_wld_az1_rack2_uplink01_mask)</f>
        <v>Value Missing</v>
      </c>
      <c r="M60" s="1"/>
      <c r="N60" s="187" t="s">
        <v>1719</v>
      </c>
      <c r="O60" s="18" t="str">
        <f>IF(ISBLANK(input_wld_az1_rack3_uplink01_mask),"Value Missing",input_wld_az1_rack3_uplink01_mask)</f>
        <v>Value Missing</v>
      </c>
      <c r="P60" s="1"/>
      <c r="Q60" s="187" t="s">
        <v>1719</v>
      </c>
      <c r="R60" s="18" t="str">
        <f>IF(ISBLANK(input_wld_az1_rack4_uplink01_mask),"Value Missing",input_wld_az1_rack4_uplink01_mask)</f>
        <v>Value Missing</v>
      </c>
      <c r="S60" s="1"/>
      <c r="T60" s="187" t="s">
        <v>1719</v>
      </c>
      <c r="U60" s="18" t="str">
        <f>IF(ISBLANK(input_wld_az1_rack5_uplink01_mask),"Value Missing",input_wld_az1_rack5_uplink01_mask)</f>
        <v>Value Missing</v>
      </c>
      <c r="V60" s="1"/>
      <c r="W60" s="187" t="s">
        <v>1719</v>
      </c>
      <c r="X60" s="18" t="str">
        <f>IF(ISBLANK(input_wld_az1_rack6_uplink01_mask),"Value Missing",input_wld_az1_rack6_uplink01_mask)</f>
        <v>Value Missing</v>
      </c>
      <c r="Y60" s="1"/>
      <c r="Z60" s="187" t="s">
        <v>1719</v>
      </c>
      <c r="AA60" s="18" t="str">
        <f>IF(ISBLANK(input_wld_az1_rack7_uplink01_mask),"Value Missing",input_wld_az1_rack7_uplink01_mask)</f>
        <v>Value Missing</v>
      </c>
      <c r="AB60" s="1"/>
      <c r="AC60" s="187" t="s">
        <v>1719</v>
      </c>
      <c r="AD60" s="18" t="str">
        <f>IF(ISBLANK(input_wld_az1_rack8_uplink01_mask),"Value Missing",input_wld_az1_rack8_uplink01_mask)</f>
        <v>Value Missing</v>
      </c>
      <c r="AE60" s="1"/>
      <c r="AF60" s="1"/>
      <c r="AG60" s="41"/>
      <c r="AH60" s="1"/>
      <c r="AI60" s="1"/>
      <c r="AJ60" s="1"/>
      <c r="AK60" s="1"/>
    </row>
    <row r="61" ht="19.5" customHeight="1">
      <c r="A61" s="1"/>
      <c r="B61" s="18" t="s">
        <v>1770</v>
      </c>
      <c r="C61" s="18" t="str">
        <f>'Value Reference Tables'!R89</f>
        <v>Value Missing</v>
      </c>
      <c r="D61" s="1"/>
      <c r="E61" s="187" t="s">
        <v>1720</v>
      </c>
      <c r="F61" s="18" t="str">
        <f>IF(mgmt_az1_uplink02_cidr="Value Missing",mgmt_az1_uplink02_cidr,VLOOKUP(INT(RIGHT(mgmt_az1_uplink02_cidr,LEN(mgmt_az1_uplink02_cidr)-FIND("/",mgmt_az1_uplink02_cidr))),table_cidr_to_mask,2,FALSE))</f>
        <v>Value Missing</v>
      </c>
      <c r="G61" s="1"/>
      <c r="H61" s="187" t="s">
        <v>1720</v>
      </c>
      <c r="I61" s="18" t="str">
        <f>IF(wld_az1_uplink02_cidr="Value Missing",wld_az1_uplink02_cidr,VLOOKUP(INT(RIGHT(wld_az1_uplink02_cidr,LEN(wld_az1_uplink02_cidr)-FIND("/",wld_az1_uplink02_cidr))),table_cidr_to_mask,2,FALSE))</f>
        <v>Value Missing</v>
      </c>
      <c r="J61" s="1"/>
      <c r="K61" s="187" t="s">
        <v>1720</v>
      </c>
      <c r="L61" s="18" t="str">
        <f>IF(ISBLANK(input_wld_az1_rack2_uplink02_mask),"Value Missing",input_wld_az1_rack2_uplink02_mask)</f>
        <v>Value Missing</v>
      </c>
      <c r="M61" s="1"/>
      <c r="N61" s="187" t="s">
        <v>1720</v>
      </c>
      <c r="O61" s="18" t="str">
        <f>IF(ISBLANK(input_wld_az1_rack3_uplink02_mask),"Value Missing",input_wld_az1_rack3_uplink02_mask)</f>
        <v>Value Missing</v>
      </c>
      <c r="P61" s="1"/>
      <c r="Q61" s="187" t="s">
        <v>1720</v>
      </c>
      <c r="R61" s="18" t="str">
        <f>IF(ISBLANK(input_wld_az1_rack4_uplink02_mask),"Value Missing",input_wld_az1_rack4_uplink02_mask)</f>
        <v>Value Missing</v>
      </c>
      <c r="S61" s="1"/>
      <c r="T61" s="187" t="s">
        <v>1720</v>
      </c>
      <c r="U61" s="18" t="str">
        <f>IF(ISBLANK(input_wld_az1_rack5_uplink02_mask),"Value Missing",input_wld_az1_rack5_uplink02_mask)</f>
        <v>Value Missing</v>
      </c>
      <c r="V61" s="1"/>
      <c r="W61" s="187" t="s">
        <v>1720</v>
      </c>
      <c r="X61" s="18" t="str">
        <f>IF(ISBLANK(input_wld_az1_rack6_uplink02_mask),"Value Missing",input_wld_az1_rack6_uplink02_mask)</f>
        <v>Value Missing</v>
      </c>
      <c r="Y61" s="1"/>
      <c r="Z61" s="187" t="s">
        <v>1720</v>
      </c>
      <c r="AA61" s="18" t="str">
        <f>IF(ISBLANK(input_wld_az1_rack7_uplink02_mask),"Value Missing",input_wld_az1_rack7_uplink02_mask)</f>
        <v>Value Missing</v>
      </c>
      <c r="AB61" s="1"/>
      <c r="AC61" s="187" t="s">
        <v>1720</v>
      </c>
      <c r="AD61" s="18" t="str">
        <f>IF(ISBLANK(input_wld_az1_rack8_uplink02_mask),"Value Missing",input_wld_az1_rack8_uplink02_mask)</f>
        <v>Value Missing</v>
      </c>
      <c r="AE61" s="1"/>
      <c r="AF61" s="1"/>
      <c r="AG61" s="41"/>
      <c r="AH61" s="1"/>
      <c r="AI61" s="1"/>
      <c r="AJ61" s="1"/>
      <c r="AK61" s="1"/>
    </row>
    <row r="62" ht="19.5" customHeight="1">
      <c r="A62" s="1"/>
      <c r="B62" s="1"/>
      <c r="C62" s="1"/>
      <c r="D62" s="1"/>
      <c r="E62" s="187" t="s">
        <v>1722</v>
      </c>
      <c r="F62" s="18" t="str">
        <f>IF(ISBLANK(input_mgmt_az1_edge_overlay_mask),"Value Missing",input_mgmt_az1_edge_overlay_mask)</f>
        <v>Value Missing</v>
      </c>
      <c r="G62" s="1"/>
      <c r="H62" s="187" t="s">
        <v>1722</v>
      </c>
      <c r="I62" s="18" t="str">
        <f>IF(ISBLANK(input_wld_az1_edge_overlay_mask),"Value Missing",input_wld_az1_edge_overlay_mask)</f>
        <v>Value Missing</v>
      </c>
      <c r="J62" s="1"/>
      <c r="K62" s="187" t="s">
        <v>1722</v>
      </c>
      <c r="L62" s="18" t="str">
        <f>IF(ISBLANK(input_wld_az1_rack2_edge_overlay_mask),"Value Missing",input_wld_az1_rack2_edge_overlay_mask)</f>
        <v>Value Missing</v>
      </c>
      <c r="M62" s="1"/>
      <c r="N62" s="187" t="s">
        <v>1722</v>
      </c>
      <c r="O62" s="18" t="str">
        <f>IF(ISBLANK(input_wld_az1_rack3_edge_overlay_mask),"Value Missing",input_wld_az1_rack3_edge_overlay_mask)</f>
        <v>Value Missing</v>
      </c>
      <c r="P62" s="1"/>
      <c r="Q62" s="187" t="s">
        <v>1722</v>
      </c>
      <c r="R62" s="18" t="str">
        <f>IF(ISBLANK(input_wld_az1_rack4_edge_overlay_mask),"Value Missing",input_wld_az1_rack4_edge_overlay_mask)</f>
        <v>Value Missing</v>
      </c>
      <c r="S62" s="1"/>
      <c r="T62" s="187" t="s">
        <v>1722</v>
      </c>
      <c r="U62" s="18" t="str">
        <f>IF(ISBLANK(input_wld_az1_rack5_edge_overlay_mask),"Value Missing",input_wld_az1_rack5_edge_overlay_mask)</f>
        <v>Value Missing</v>
      </c>
      <c r="V62" s="1"/>
      <c r="W62" s="187" t="s">
        <v>1722</v>
      </c>
      <c r="X62" s="18" t="str">
        <f>IF(ISBLANK(input_wld_az1_rack6_edge_overlay_mask),"Value Missing",input_wld_az1_rack6_edge_overlay_mask)</f>
        <v>Value Missing</v>
      </c>
      <c r="Y62" s="1"/>
      <c r="Z62" s="187" t="s">
        <v>1722</v>
      </c>
      <c r="AA62" s="18" t="str">
        <f>IF(ISBLANK(input_wld_az1_rack7_edge_overlay_mask),"Value Missing",input_wld_az1_rack7_edge_overlay_mask)</f>
        <v>Value Missing</v>
      </c>
      <c r="AB62" s="1"/>
      <c r="AC62" s="187" t="s">
        <v>1722</v>
      </c>
      <c r="AD62" s="18" t="str">
        <f>IF(ISBLANK(input_wld_az1_rack8_edge_overlay_mask),"Value Missing",input_wld_az1_rack8_edge_overlay_mask)</f>
        <v>Value Missing</v>
      </c>
      <c r="AE62" s="1"/>
      <c r="AF62" s="1"/>
      <c r="AG62" s="41"/>
      <c r="AH62" s="1"/>
      <c r="AI62" s="1"/>
      <c r="AJ62" s="1"/>
      <c r="AK62" s="1"/>
    </row>
    <row r="63" ht="19.5" customHeight="1">
      <c r="A63" s="1"/>
      <c r="B63" s="1"/>
      <c r="C63" s="1"/>
      <c r="D63" s="1"/>
      <c r="E63" s="187" t="s">
        <v>1724</v>
      </c>
      <c r="F63" s="18" t="str">
        <f>IF(mgmt_az1_rtep_overlay_cidr="Value Missing",mgmt_az1_rtep_overlay_cidr,VLOOKUP(INT(RIGHT(mgmt_az1_rtep_overlay_cidr,LEN(mgmt_az1_rtep_overlay_cidr)-FIND("/",mgmt_az1_rtep_overlay_cidr))),table_cidr_to_mask,2,FALSE))</f>
        <v>Value Missing</v>
      </c>
      <c r="G63" s="1"/>
      <c r="H63" s="187" t="s">
        <v>1724</v>
      </c>
      <c r="I63" s="18" t="str">
        <f>IF(wld_az1_rtep_overlay_cidr="Value Missing",wld_az1_rtep_overlay_cidr,VLOOKUP(INT(RIGHT(wld_az1_rtep_overlay_cidr,LEN(wld_az1_rtep_overlay_cidr)-FIND("/",wld_az1_rtep_overlay_cidr))),table_cidr_to_mask,2,FALSE))</f>
        <v>Value Missing</v>
      </c>
      <c r="J63" s="1"/>
      <c r="K63" s="187" t="s">
        <v>1724</v>
      </c>
      <c r="L63" s="18"/>
      <c r="M63" s="1"/>
      <c r="N63" s="187" t="s">
        <v>1724</v>
      </c>
      <c r="O63" s="18"/>
      <c r="P63" s="1"/>
      <c r="Q63" s="187" t="s">
        <v>1724</v>
      </c>
      <c r="R63" s="18"/>
      <c r="S63" s="1"/>
      <c r="T63" s="187" t="s">
        <v>1724</v>
      </c>
      <c r="U63" s="18"/>
      <c r="V63" s="1"/>
      <c r="W63" s="187" t="s">
        <v>1724</v>
      </c>
      <c r="X63" s="18"/>
      <c r="Y63" s="1"/>
      <c r="Z63" s="187" t="s">
        <v>1724</v>
      </c>
      <c r="AA63" s="18"/>
      <c r="AB63" s="1"/>
      <c r="AC63" s="187" t="s">
        <v>1724</v>
      </c>
      <c r="AD63" s="18"/>
      <c r="AE63" s="1"/>
      <c r="AF63" s="1"/>
      <c r="AG63" s="41"/>
      <c r="AH63" s="1"/>
      <c r="AI63" s="1"/>
      <c r="AJ63" s="1"/>
      <c r="AK63" s="1"/>
    </row>
    <row r="64" ht="19.5" customHeight="1">
      <c r="A64" s="1"/>
      <c r="B64" s="1"/>
      <c r="C64" s="1"/>
      <c r="D64" s="1"/>
      <c r="E64" s="187" t="s">
        <v>1726</v>
      </c>
      <c r="F64" s="18"/>
      <c r="G64" s="1"/>
      <c r="H64" s="187" t="s">
        <v>1726</v>
      </c>
      <c r="I64" s="18" t="str">
        <f>IF(wld_az1_vrms_cidr="Value Missing",wld_az1_vrms_cidr,VLOOKUP(INT(RIGHT(wld_az1_vrms_cidr,LEN(wld_az1_vrms_cidr)-FIND("/",wld_az1_vrms_cidr))),table_cidr_to_mask,2,FALSE))</f>
        <v>Value Missing</v>
      </c>
      <c r="J64" s="1"/>
      <c r="K64" s="187" t="s">
        <v>1726</v>
      </c>
      <c r="L64" s="18"/>
      <c r="M64" s="1"/>
      <c r="N64" s="187" t="s">
        <v>1726</v>
      </c>
      <c r="O64" s="18"/>
      <c r="P64" s="1"/>
      <c r="Q64" s="187" t="s">
        <v>1726</v>
      </c>
      <c r="R64" s="18"/>
      <c r="S64" s="1"/>
      <c r="T64" s="187" t="s">
        <v>1726</v>
      </c>
      <c r="U64" s="18"/>
      <c r="V64" s="1"/>
      <c r="W64" s="187" t="s">
        <v>1726</v>
      </c>
      <c r="X64" s="18"/>
      <c r="Y64" s="1"/>
      <c r="Z64" s="187" t="s">
        <v>1726</v>
      </c>
      <c r="AA64" s="18"/>
      <c r="AB64" s="1"/>
      <c r="AC64" s="187" t="s">
        <v>1726</v>
      </c>
      <c r="AD64" s="18"/>
      <c r="AE64" s="1"/>
      <c r="AF64" s="1"/>
      <c r="AG64" s="114"/>
      <c r="AH64" s="35"/>
      <c r="AI64" s="1"/>
      <c r="AJ64" s="1"/>
      <c r="AK64" s="1"/>
    </row>
    <row r="65" ht="19.5" customHeight="1">
      <c r="A65" s="1"/>
      <c r="B65" s="1"/>
      <c r="C65" s="1"/>
      <c r="D65" s="1"/>
      <c r="E65" s="1"/>
      <c r="F65" s="1"/>
      <c r="G65" s="1"/>
      <c r="H65" s="81"/>
      <c r="I65" s="81"/>
      <c r="J65" s="1"/>
      <c r="K65" s="1"/>
      <c r="L65" s="1"/>
      <c r="M65" s="1"/>
      <c r="N65" s="1"/>
      <c r="O65" s="1"/>
      <c r="P65" s="1"/>
      <c r="Q65" s="1"/>
      <c r="R65" s="1"/>
      <c r="S65" s="1"/>
      <c r="T65" s="1"/>
      <c r="U65" s="1"/>
      <c r="V65" s="1"/>
      <c r="W65" s="1"/>
      <c r="X65" s="1"/>
      <c r="Y65" s="1"/>
      <c r="Z65" s="1"/>
      <c r="AA65" s="1"/>
      <c r="AB65" s="1"/>
      <c r="AC65" s="1"/>
      <c r="AD65" s="1"/>
      <c r="AE65" s="1"/>
      <c r="AF65" s="1"/>
      <c r="AG65" s="41"/>
      <c r="AH65" s="1"/>
      <c r="AI65" s="1"/>
      <c r="AJ65" s="1"/>
      <c r="AK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41"/>
      <c r="AH66" s="1"/>
      <c r="AI66" s="1"/>
      <c r="AJ66" s="1"/>
      <c r="AK66" s="1"/>
    </row>
    <row r="67" ht="19.5" customHeight="1">
      <c r="A67" s="1"/>
      <c r="B67" s="1"/>
      <c r="C67" s="1"/>
      <c r="D67" s="1"/>
      <c r="E67" s="235" t="s">
        <v>1771</v>
      </c>
      <c r="F67" s="236"/>
      <c r="G67" s="1"/>
      <c r="H67" s="235" t="s">
        <v>1772</v>
      </c>
      <c r="I67" s="236"/>
      <c r="J67" s="1"/>
      <c r="K67" s="235" t="s">
        <v>1773</v>
      </c>
      <c r="L67" s="236"/>
      <c r="M67" s="1"/>
      <c r="N67" s="235" t="s">
        <v>1774</v>
      </c>
      <c r="O67" s="236"/>
      <c r="P67" s="1"/>
      <c r="Q67" s="309" t="s">
        <v>1775</v>
      </c>
      <c r="R67" s="310"/>
      <c r="S67" s="1"/>
      <c r="T67" s="309" t="s">
        <v>1776</v>
      </c>
      <c r="U67" s="310"/>
      <c r="V67" s="1"/>
      <c r="W67" s="309" t="s">
        <v>1777</v>
      </c>
      <c r="X67" s="310"/>
      <c r="Y67" s="1"/>
      <c r="Z67" s="309" t="s">
        <v>1778</v>
      </c>
      <c r="AA67" s="310"/>
      <c r="AB67" s="1"/>
      <c r="AC67" s="309" t="s">
        <v>1779</v>
      </c>
      <c r="AD67" s="310"/>
      <c r="AE67" s="1"/>
      <c r="AF67" s="1"/>
      <c r="AG67" s="41"/>
      <c r="AH67" s="41"/>
      <c r="AI67" s="1"/>
      <c r="AJ67" s="1"/>
      <c r="AK67" s="1"/>
    </row>
    <row r="68" ht="19.5" customHeight="1">
      <c r="A68" s="1"/>
      <c r="B68" s="1"/>
      <c r="C68" s="1"/>
      <c r="D68" s="1"/>
      <c r="E68" s="15" t="s">
        <v>256</v>
      </c>
      <c r="F68" s="15" t="s">
        <v>1707</v>
      </c>
      <c r="G68" s="1"/>
      <c r="H68" s="15" t="s">
        <v>256</v>
      </c>
      <c r="I68" s="15" t="s">
        <v>1707</v>
      </c>
      <c r="J68" s="1"/>
      <c r="K68" s="15" t="s">
        <v>256</v>
      </c>
      <c r="L68" s="15" t="s">
        <v>1707</v>
      </c>
      <c r="M68" s="1"/>
      <c r="N68" s="15" t="s">
        <v>256</v>
      </c>
      <c r="O68" s="15" t="s">
        <v>1707</v>
      </c>
      <c r="P68" s="1"/>
      <c r="Q68" s="15" t="s">
        <v>256</v>
      </c>
      <c r="R68" s="15" t="s">
        <v>1707</v>
      </c>
      <c r="S68" s="8"/>
      <c r="T68" s="15" t="s">
        <v>256</v>
      </c>
      <c r="U68" s="15" t="s">
        <v>1707</v>
      </c>
      <c r="V68" s="8"/>
      <c r="W68" s="15" t="s">
        <v>256</v>
      </c>
      <c r="X68" s="15" t="s">
        <v>1707</v>
      </c>
      <c r="Y68" s="8"/>
      <c r="Z68" s="15" t="s">
        <v>256</v>
      </c>
      <c r="AA68" s="15" t="s">
        <v>1707</v>
      </c>
      <c r="AB68" s="8"/>
      <c r="AC68" s="15" t="s">
        <v>256</v>
      </c>
      <c r="AD68" s="15" t="s">
        <v>1707</v>
      </c>
      <c r="AE68" s="1"/>
      <c r="AF68" s="1"/>
      <c r="AG68" s="41"/>
      <c r="AH68" s="41"/>
      <c r="AI68" s="1"/>
      <c r="AJ68" s="1"/>
      <c r="AK68" s="1"/>
    </row>
    <row r="69" ht="19.5" customHeight="1">
      <c r="A69" s="1"/>
      <c r="B69" s="1"/>
      <c r="C69" s="1"/>
      <c r="D69" s="1"/>
      <c r="E69" s="84" t="s">
        <v>1710</v>
      </c>
      <c r="F69" s="18" t="str">
        <f>IF(ISBLANK(input_mgmt_az1_mgmt_vm_mtu),"Value Missing",input_mgmt_az1_mgmt_vm_mtu)</f>
        <v>Value Missing</v>
      </c>
      <c r="G69" s="1"/>
      <c r="H69" s="84" t="s">
        <v>1710</v>
      </c>
      <c r="I69" s="18" t="str">
        <f>IF(ISBLANK(input_wld_az1_mgmt_vm_mtu),"Value Missing",input_wld_az1_mgmt_vm_mtu)</f>
        <v>Value Missing</v>
      </c>
      <c r="J69" s="1"/>
      <c r="K69" s="84" t="s">
        <v>1710</v>
      </c>
      <c r="L69" s="18" t="str">
        <f>IF(ISBLANK(input_wld_az1_rack2_mgmt_vm_mtu),"Value Missing",input_wld_az1_rack2_mgmt_vm_mtu)</f>
        <v>Value Missing</v>
      </c>
      <c r="M69" s="1"/>
      <c r="N69" s="84" t="s">
        <v>1710</v>
      </c>
      <c r="O69" s="18" t="str">
        <f>IF(ISBLANK(input_wld_az1_rack3_mgmt_vm_mtu),"Value Missing",input_wld_az1_rack3_mgmt_vm_mtu)</f>
        <v>Value Missing</v>
      </c>
      <c r="P69" s="1"/>
      <c r="Q69" s="84" t="s">
        <v>1710</v>
      </c>
      <c r="R69" s="18" t="str">
        <f>IF(ISBLANK(input_wld_az1_rack4_mgmt_vm_mtu),"Value Missing",input_wld_az1_rack4_mgmt_vm_mtu)</f>
        <v>Value Missing</v>
      </c>
      <c r="S69" s="1"/>
      <c r="T69" s="84" t="s">
        <v>1710</v>
      </c>
      <c r="U69" s="18" t="str">
        <f>IF(ISBLANK(input_wld_az1_rack5_mgmt_vm_mtu),"Value Missing",input_wld_az1_rack5_mgmt_vm_mtu)</f>
        <v>Value Missing</v>
      </c>
      <c r="V69" s="1"/>
      <c r="W69" s="84" t="s">
        <v>1710</v>
      </c>
      <c r="X69" s="18" t="str">
        <f>IF(ISBLANK(input_wld_az1_rack6_mgmt_vm_mtu),"Value Missing",input_wld_az1_rack6_mgmt_vm_mtu)</f>
        <v>Value Missing</v>
      </c>
      <c r="Y69" s="1"/>
      <c r="Z69" s="84" t="s">
        <v>1710</v>
      </c>
      <c r="AA69" s="18" t="str">
        <f>IF(ISBLANK(input_wld_az1_rack7_mgmt_vm_mtu),"Value Missing",input_wld_az1_rack7_mgmt_vm_mtu)</f>
        <v>Value Missing</v>
      </c>
      <c r="AB69" s="1"/>
      <c r="AC69" s="84" t="s">
        <v>1710</v>
      </c>
      <c r="AD69" s="18" t="str">
        <f>IF(ISBLANK(input_wld_az1_rack8_mgmt_vm_mtu),"Value Missing",input_wld_az1_rack8_mgmt_vm_mtu)</f>
        <v>Value Missing</v>
      </c>
      <c r="AE69" s="1"/>
      <c r="AF69" s="1"/>
      <c r="AG69" s="41"/>
      <c r="AH69" s="41"/>
      <c r="AI69" s="1"/>
      <c r="AJ69" s="1"/>
      <c r="AK69" s="1"/>
    </row>
    <row r="70" ht="19.5" customHeight="1">
      <c r="A70" s="1"/>
      <c r="B70" s="1"/>
      <c r="C70" s="1"/>
      <c r="D70" s="1"/>
      <c r="E70" s="84" t="s">
        <v>1712</v>
      </c>
      <c r="F70" s="18" t="str">
        <f>IF(ISBLANK(input_mgmt_az1_mgmt_mtu),"Value Missing",input_mgmt_az1_mgmt_mtu)</f>
        <v>Value Missing</v>
      </c>
      <c r="G70" s="1"/>
      <c r="H70" s="84" t="s">
        <v>1712</v>
      </c>
      <c r="I70" s="18" t="str">
        <f>IF(ISBLANK(input_wld_az1_mgmt_mtu),"Value Missing",input_wld_az1_mgmt_mtu)</f>
        <v>Value Missing</v>
      </c>
      <c r="J70" s="1"/>
      <c r="K70" s="84" t="s">
        <v>1712</v>
      </c>
      <c r="L70" s="18" t="str">
        <f>IF(ISBLANK(input_wld_az1_rack2_mgmt_mtu),"Value Missing",input_wld_az1_rack2_mgmt_mtu)</f>
        <v>Value Missing</v>
      </c>
      <c r="M70" s="1"/>
      <c r="N70" s="84" t="s">
        <v>1712</v>
      </c>
      <c r="O70" s="18" t="str">
        <f>IF(ISBLANK(input_wld_az1_rack3_mgmt_mtu),"Value Missing",input_wld_az1_rack3_mgmt_mtu)</f>
        <v>Value Missing</v>
      </c>
      <c r="P70" s="1"/>
      <c r="Q70" s="84" t="s">
        <v>1712</v>
      </c>
      <c r="R70" s="18" t="str">
        <f>IF(ISBLANK(input_wld_az1_rack4_mgmt_mtu),"Value Missing",input_wld_az1_rack4_mgmt_mtu)</f>
        <v>Value Missing</v>
      </c>
      <c r="S70" s="1"/>
      <c r="T70" s="84" t="s">
        <v>1712</v>
      </c>
      <c r="U70" s="18" t="str">
        <f>IF(ISBLANK(input_wld_az1_rack5_mgmt_mtu),"Value Missing",input_wld_az1_rack5_mgmt_mtu)</f>
        <v>Value Missing</v>
      </c>
      <c r="V70" s="1"/>
      <c r="W70" s="84" t="s">
        <v>1712</v>
      </c>
      <c r="X70" s="18" t="str">
        <f>IF(ISBLANK(input_wld_az1_rack6_mgmt_mtu),"Value Missing",input_wld_az1_rack6_mgmt_mtu)</f>
        <v>Value Missing</v>
      </c>
      <c r="Y70" s="1"/>
      <c r="Z70" s="84" t="s">
        <v>1712</v>
      </c>
      <c r="AA70" s="18" t="str">
        <f>IF(ISBLANK(input_wld_az1_rack7_mgmt_mtu),"Value Missing",input_wld_az1_rack7_mgmt_mtu)</f>
        <v>Value Missing</v>
      </c>
      <c r="AB70" s="1"/>
      <c r="AC70" s="84" t="s">
        <v>1712</v>
      </c>
      <c r="AD70" s="18" t="str">
        <f>IF(ISBLANK(input_wld_az1_rack8_mgmt_mtu),"Value Missing",input_wld_az1_rack8_mgmt_mtu)</f>
        <v>Value Missing</v>
      </c>
      <c r="AE70" s="1"/>
      <c r="AF70" s="1"/>
      <c r="AG70" s="41"/>
      <c r="AH70" s="41"/>
      <c r="AI70" s="1"/>
      <c r="AJ70" s="1"/>
      <c r="AK70" s="1"/>
    </row>
    <row r="71" ht="19.5" customHeight="1">
      <c r="A71" s="1"/>
      <c r="B71" s="1"/>
      <c r="C71" s="1"/>
      <c r="D71" s="1"/>
      <c r="E71" s="84" t="s">
        <v>407</v>
      </c>
      <c r="F71" s="18" t="str">
        <f>IF(ISBLANK(input_mgmt_az1_vmotion_mtu),"Value Missing",input_mgmt_az1_vmotion_mtu)</f>
        <v>Value Missing</v>
      </c>
      <c r="G71" s="1"/>
      <c r="H71" s="84" t="s">
        <v>407</v>
      </c>
      <c r="I71" s="18" t="str">
        <f>IF(ISBLANK(input_wld_az1_vmotion_mtu),"Value Missing",input_wld_az1_vmotion_mtu)</f>
        <v>Value Missing</v>
      </c>
      <c r="J71" s="1"/>
      <c r="K71" s="84" t="s">
        <v>407</v>
      </c>
      <c r="L71" s="18" t="str">
        <f>IF(ISBLANK(input_wld_az1_rack2_vmotion_mtu),"Value Missing",input_wld_az1_rack2_vmotion_mtu)</f>
        <v>Value Missing</v>
      </c>
      <c r="M71" s="1"/>
      <c r="N71" s="84" t="s">
        <v>407</v>
      </c>
      <c r="O71" s="18" t="str">
        <f>IF(ISBLANK(input_wld_az1_rack3_vmotion_mtu),"Value Missing",input_wld_az1_rack3_vmotion_mtu)</f>
        <v>Value Missing</v>
      </c>
      <c r="P71" s="1"/>
      <c r="Q71" s="84" t="s">
        <v>407</v>
      </c>
      <c r="R71" s="18" t="str">
        <f>IF(ISBLANK(input_wld_az1_rack4_vmotion_mtu),"Value Missing",input_wld_az1_rack4_vmotion_mtu)</f>
        <v>Value Missing</v>
      </c>
      <c r="S71" s="1"/>
      <c r="T71" s="84" t="s">
        <v>407</v>
      </c>
      <c r="U71" s="18" t="str">
        <f>IF(ISBLANK(input_wld_az1_rack5_vmotion_mtu),"Value Missing",input_wld_az1_rack5_vmotion_mtu)</f>
        <v>Value Missing</v>
      </c>
      <c r="V71" s="1"/>
      <c r="W71" s="84" t="s">
        <v>407</v>
      </c>
      <c r="X71" s="18" t="str">
        <f>IF(ISBLANK(input_wld_az1_rack6_vmotion_mtu),"Value Missing",input_wld_az1_rack6_vmotion_mtu)</f>
        <v>Value Missing</v>
      </c>
      <c r="Y71" s="1"/>
      <c r="Z71" s="84" t="s">
        <v>407</v>
      </c>
      <c r="AA71" s="18" t="str">
        <f>IF(ISBLANK(input_wld_az1_rack7_vmotion_mtu),"Value Missing",input_wld_az1_rack7_vmotion_mtu)</f>
        <v>Value Missing</v>
      </c>
      <c r="AB71" s="1"/>
      <c r="AC71" s="84" t="s">
        <v>407</v>
      </c>
      <c r="AD71" s="18" t="str">
        <f>IF(ISBLANK(input_wld_az1_rack8_vmotion_mtu),"Value Missing",input_wld_az1_rack8_vmotion_mtu)</f>
        <v>Value Missing</v>
      </c>
      <c r="AE71" s="1"/>
      <c r="AF71" s="1"/>
      <c r="AG71" s="41"/>
      <c r="AH71" s="41"/>
      <c r="AI71" s="1"/>
      <c r="AJ71" s="1"/>
      <c r="AK71" s="1"/>
    </row>
    <row r="72" ht="19.5" customHeight="1">
      <c r="A72" s="1"/>
      <c r="B72" s="1"/>
      <c r="C72" s="1"/>
      <c r="D72" s="1"/>
      <c r="E72" s="173" t="str">
        <f>CONCATENATE("Principal Storage Network ",wld_principal_storage_chosen)</f>
        <v>Principal Storage Network vSAN-ESA</v>
      </c>
      <c r="F72" s="18" t="str">
        <f>IF(ISBLANK(input_mgmt_az1_vsan_mtu),"Value Missing",input_mgmt_az1_vsan_mtu)</f>
        <v>Value Missing</v>
      </c>
      <c r="G72" s="1"/>
      <c r="H72" s="173" t="s">
        <v>410</v>
      </c>
      <c r="I72" s="18" t="str">
        <f>IF(ISBLANK(input_wld_az1_principal_storage_mtu),"Value Missing",input_wld_az1_principal_storage_mtu)</f>
        <v>Value Missing</v>
      </c>
      <c r="J72" s="1"/>
      <c r="K72" s="173" t="str">
        <f>CONCATENATE("Principal Storage Network ",wld_principal_storage_chosen)</f>
        <v>Principal Storage Network vSAN-ESA</v>
      </c>
      <c r="L72" s="18" t="str">
        <f>IF(ISBLANK(input_wld_az1_rack2_principal_storage_mtu),"Value Missing",input_wld_az1_rack2_principal_storage_mtu)</f>
        <v>Value Missing</v>
      </c>
      <c r="M72" s="1"/>
      <c r="N72" s="173" t="str">
        <f>CONCATENATE("Principal Storage Network ",wld_principal_storage_chosen)</f>
        <v>Principal Storage Network vSAN-ESA</v>
      </c>
      <c r="O72" s="18" t="str">
        <f>IF(ISBLANK(input_wld_az1_rack3_principal_storage_mtu),"Value Missing",input_wld_az1_rack3_principal_storage_mtu)</f>
        <v>Value Missing</v>
      </c>
      <c r="P72" s="1"/>
      <c r="Q72" s="173" t="str">
        <f>CONCATENATE("Principal Storage Network ",wld_principal_storage_chosen)</f>
        <v>Principal Storage Network vSAN-ESA</v>
      </c>
      <c r="R72" s="18" t="str">
        <f>IF(ISBLANK(input_wld_az1_rack4_principal_storage_mtu),"Value Missing",input_wld_az1_rack4_principal_storage_mtu)</f>
        <v>Value Missing</v>
      </c>
      <c r="S72" s="1"/>
      <c r="T72" s="173" t="str">
        <f>CONCATENATE("Principal Storage Network ",wld_principal_storage_chosen)</f>
        <v>Principal Storage Network vSAN-ESA</v>
      </c>
      <c r="U72" s="18" t="str">
        <f>IF(ISBLANK(input_wld_az1_rack5_principal_storage_mtu),"Value Missing",input_wld_az1_rack5_principal_storage_mtu)</f>
        <v>Value Missing</v>
      </c>
      <c r="V72" s="1"/>
      <c r="W72" s="173" t="str">
        <f>CONCATENATE("Principal Storage Network ",wld_principal_storage_chosen)</f>
        <v>Principal Storage Network vSAN-ESA</v>
      </c>
      <c r="X72" s="18" t="str">
        <f>IF(ISBLANK(input_wld_az1_rack6_principal_storage_mtu),"Value Missing",input_wld_az1_rack6_principal_storage_mtu)</f>
        <v>Value Missing</v>
      </c>
      <c r="Y72" s="1"/>
      <c r="Z72" s="173" t="str">
        <f>CONCATENATE("Principal Storage Network ",wld_principal_storage_chosen)</f>
        <v>Principal Storage Network vSAN-ESA</v>
      </c>
      <c r="AA72" s="18" t="str">
        <f>IF(ISBLANK(input_wld_az1_rack7_principal_storage_mtu),"Value Missing",input_wld_az1_rack7_principal_storage_mtu)</f>
        <v>Value Missing</v>
      </c>
      <c r="AB72" s="1"/>
      <c r="AC72" s="173" t="str">
        <f>CONCATENATE("Principal Storage Network ",wld_principal_storage_chosen)</f>
        <v>Principal Storage Network vSAN-ESA</v>
      </c>
      <c r="AD72" s="18" t="str">
        <f>IF(ISBLANK(input_wld_az1_rack8_principal_storage_mtu),"Value Missing",input_wld_az1_rack8_principal_storage_mtu)</f>
        <v>Value Missing</v>
      </c>
      <c r="AE72" s="1"/>
      <c r="AF72" s="1"/>
      <c r="AG72" s="41"/>
      <c r="AH72" s="41"/>
      <c r="AI72" s="1"/>
      <c r="AJ72" s="1"/>
      <c r="AK72" s="1"/>
    </row>
    <row r="73" ht="19.5" customHeight="1">
      <c r="A73" s="1"/>
      <c r="B73" s="1"/>
      <c r="C73" s="1"/>
      <c r="D73" s="1"/>
      <c r="E73" s="84" t="s">
        <v>1716</v>
      </c>
      <c r="F73" s="18" t="str">
        <f>IF(ISBLANK(input_mgmt_az1_host_overlay_mtu),"Value Missing",input_mgmt_az1_host_overlay_mtu)</f>
        <v>Value Missing</v>
      </c>
      <c r="G73" s="1"/>
      <c r="H73" s="84" t="s">
        <v>1716</v>
      </c>
      <c r="I73" s="18" t="str">
        <f>IF(ISBLANK(input_wld_az1_host_overlay_mtu),"Value Missing",input_wld_az1_host_overlay_mtu)</f>
        <v>Value Missing</v>
      </c>
      <c r="J73" s="1"/>
      <c r="K73" s="84" t="s">
        <v>1716</v>
      </c>
      <c r="L73" s="18" t="str">
        <f>IF(ISBLANK(input_wld_az1_rack2_host_overlay_mtu),"Value Missing",input_wld_az1_rack2_host_overlay_mtu)</f>
        <v>Value Missing</v>
      </c>
      <c r="M73" s="1"/>
      <c r="N73" s="84" t="s">
        <v>1716</v>
      </c>
      <c r="O73" s="18" t="str">
        <f>IF(ISBLANK(input_wld_az1_rack3_host_overlay_mtu),"Value Missing",input_wld_az1_rack3_host_overlay_mtu)</f>
        <v>Value Missing</v>
      </c>
      <c r="P73" s="1"/>
      <c r="Q73" s="84" t="s">
        <v>1716</v>
      </c>
      <c r="R73" s="18" t="str">
        <f>IF(ISBLANK(input_wld_az1_rack4_host_overlay_mtu),"Value Missing",input_wld_az1_rack4_host_overlay_mtu)</f>
        <v>Value Missing</v>
      </c>
      <c r="S73" s="1"/>
      <c r="T73" s="84" t="s">
        <v>1716</v>
      </c>
      <c r="U73" s="18" t="str">
        <f>IF(ISBLANK(input_wld_az1_rack5_host_overlay_mtu),"Value Missing",input_wld_az1_rack5_host_overlay_mtu)</f>
        <v>Value Missing</v>
      </c>
      <c r="V73" s="1"/>
      <c r="W73" s="84" t="s">
        <v>1716</v>
      </c>
      <c r="X73" s="18" t="str">
        <f>IF(ISBLANK(input_wld_az1_rack6_host_overlay_mtu),"Value Missing",input_wld_az1_rack6_host_overlay_mtu)</f>
        <v>Value Missing</v>
      </c>
      <c r="Y73" s="1"/>
      <c r="Z73" s="84" t="s">
        <v>1716</v>
      </c>
      <c r="AA73" s="18" t="str">
        <f>IF(ISBLANK(input_wld_az1_rack7_host_overlay_mtu),"Value Missing",input_wld_az1_rack7_host_overlay_mtu)</f>
        <v>Value Missing</v>
      </c>
      <c r="AB73" s="1"/>
      <c r="AC73" s="84" t="s">
        <v>1716</v>
      </c>
      <c r="AD73" s="18" t="str">
        <f>IF(ISBLANK(input_wld_az1_rack8_host_overlay_mtu),"Value Missing",input_wld_az1_rack8_host_overlay_mtu)</f>
        <v>Value Missing</v>
      </c>
      <c r="AE73" s="1"/>
      <c r="AF73" s="1"/>
      <c r="AG73" s="41"/>
      <c r="AH73" s="41"/>
      <c r="AI73" s="1"/>
      <c r="AJ73" s="1"/>
      <c r="AK73" s="1"/>
    </row>
    <row r="74" ht="19.5" customHeight="1">
      <c r="A74" s="1"/>
      <c r="B74" s="1"/>
      <c r="C74" s="1"/>
      <c r="D74" s="1"/>
      <c r="E74" s="313" t="s">
        <v>1717</v>
      </c>
      <c r="F74" s="18" t="str">
        <f>IF(ISBLANK(input_mgmt_az1_secondary_storage_mtu),"Value Missing",input_mgmt_az1_secondary_storage_mtu)</f>
        <v>Value Missing</v>
      </c>
      <c r="G74" s="1"/>
      <c r="H74" s="84" t="s">
        <v>1717</v>
      </c>
      <c r="I74" s="18" t="str">
        <f>IF(ISBLANK(input_wld_az1_secondary_storage_mtu),"Value Missing",input_wld_az1_secondary_storage_mtu)</f>
        <v>Value Missing</v>
      </c>
      <c r="J74" s="1"/>
      <c r="K74" s="84" t="s">
        <v>1717</v>
      </c>
      <c r="L74" s="18" t="str">
        <f>IF(ISBLANK(input_wld_az1_rack2_secondary_storage_mtu),"Value Missing",input_wld_az1_rack2_secondary_storage_mtu)</f>
        <v>Value Missing</v>
      </c>
      <c r="M74" s="1"/>
      <c r="N74" s="84" t="s">
        <v>1717</v>
      </c>
      <c r="O74" s="18" t="str">
        <f>IF(ISBLANK(input_wld_az1_rack3_secondary_storage_mtu),"Value Missing",input_wld_az1_rack3_secondary_storage_mtu)</f>
        <v>Value Missing</v>
      </c>
      <c r="P74" s="1"/>
      <c r="Q74" s="84" t="s">
        <v>1717</v>
      </c>
      <c r="R74" s="18" t="str">
        <f>IF(ISBLANK(input_wld_az1_rack4_secondary_storage_mtu),"Value Missing",input_wld_az1_rack4_secondary_storage_mtu)</f>
        <v>Value Missing</v>
      </c>
      <c r="S74" s="1"/>
      <c r="T74" s="84" t="s">
        <v>1717</v>
      </c>
      <c r="U74" s="18" t="str">
        <f>IF(ISBLANK(input_wld_az1_rack5_secondary_storage_mtu),"Value Missing",input_wld_az1_rack5_secondary_storage_mtu)</f>
        <v>Value Missing</v>
      </c>
      <c r="V74" s="1"/>
      <c r="W74" s="84" t="s">
        <v>1717</v>
      </c>
      <c r="X74" s="18" t="str">
        <f>IF(ISBLANK(input_wld_az1_rack6_secondary_storage_mtu),"Value Missing",input_wld_az1_rack6_secondary_storage_mtu)</f>
        <v>Value Missing</v>
      </c>
      <c r="Y74" s="1"/>
      <c r="Z74" s="84" t="s">
        <v>1717</v>
      </c>
      <c r="AA74" s="18" t="str">
        <f>IF(ISBLANK(input_wld_az1_rack7_secondary_storage_mtu),"Value Missing",input_wld_az1_rack7_secondary_storage_mtu)</f>
        <v>Value Missing</v>
      </c>
      <c r="AB74" s="1"/>
      <c r="AC74" s="84" t="s">
        <v>1717</v>
      </c>
      <c r="AD74" s="18" t="str">
        <f>IF(ISBLANK(input_wld_az1_rack8_secondary_storage_mtu),"Value Missing",input_wld_az1_rack8_secondary_storage_mtu)</f>
        <v>Value Missing</v>
      </c>
      <c r="AE74" s="1"/>
      <c r="AF74" s="1"/>
      <c r="AG74" s="41"/>
      <c r="AH74" s="41"/>
      <c r="AI74" s="1"/>
      <c r="AJ74" s="1"/>
      <c r="AK74" s="1"/>
    </row>
    <row r="75" ht="19.5" customHeight="1">
      <c r="A75" s="1"/>
      <c r="B75" s="1"/>
      <c r="C75" s="1"/>
      <c r="D75" s="1"/>
      <c r="E75" s="313"/>
      <c r="F75" s="18"/>
      <c r="G75" s="1"/>
      <c r="H75" s="84" t="s">
        <v>1244</v>
      </c>
      <c r="I75" s="18" t="str">
        <f>IF(ISBLANK(input_wld_az1_storage_cluster_mtu),"Value Missing",input_wld_az1_storage_cluster_mtu)</f>
        <v>Value Missing</v>
      </c>
      <c r="J75" s="1"/>
      <c r="K75" s="84"/>
      <c r="L75" s="18"/>
      <c r="M75" s="1"/>
      <c r="N75" s="84"/>
      <c r="O75" s="18"/>
      <c r="P75" s="1"/>
      <c r="Q75" s="84"/>
      <c r="R75" s="18"/>
      <c r="S75" s="1"/>
      <c r="T75" s="84"/>
      <c r="U75" s="18"/>
      <c r="V75" s="1"/>
      <c r="W75" s="84"/>
      <c r="X75" s="18"/>
      <c r="Y75" s="1"/>
      <c r="Z75" s="84"/>
      <c r="AA75" s="18"/>
      <c r="AB75" s="1"/>
      <c r="AC75" s="84"/>
      <c r="AD75" s="18"/>
      <c r="AE75" s="1"/>
      <c r="AF75" s="1"/>
      <c r="AG75" s="41"/>
      <c r="AH75" s="41"/>
      <c r="AI75" s="1"/>
      <c r="AJ75" s="1"/>
      <c r="AK75" s="1"/>
    </row>
    <row r="76" ht="19.5" customHeight="1">
      <c r="A76" s="1"/>
      <c r="B76" s="1"/>
      <c r="C76" s="1"/>
      <c r="D76" s="1"/>
      <c r="E76" s="84" t="s">
        <v>1719</v>
      </c>
      <c r="F76" s="18" t="str">
        <f>IF(ISBLANK(input_mgmt_az1_uplink01_mtu),"Value Missing",input_mgmt_az1_uplink01_mtu)</f>
        <v>Value Missing</v>
      </c>
      <c r="G76" s="1"/>
      <c r="H76" s="84" t="s">
        <v>1719</v>
      </c>
      <c r="I76" s="18" t="str">
        <f>IF(ISBLANK(input_wld_az1_uplink01_mtu),"Value Missing",input_wld_az1_uplink01_mtu)</f>
        <v>Value Missing</v>
      </c>
      <c r="J76" s="1"/>
      <c r="K76" s="84" t="s">
        <v>1719</v>
      </c>
      <c r="L76" s="18" t="str">
        <f>IF(ISBLANK(input_wld_az1_rack2_uplink01_mtu),"Value Missing",input_wld_az1_rack2_uplink01_mtu)</f>
        <v>Value Missing</v>
      </c>
      <c r="M76" s="1"/>
      <c r="N76" s="84" t="s">
        <v>1719</v>
      </c>
      <c r="O76" s="18" t="str">
        <f>IF(ISBLANK(input_wld_az1_rack3_uplink01_mtu),"Value Missing",input_wld_az1_rack3_uplink01_mtu)</f>
        <v>Value Missing</v>
      </c>
      <c r="P76" s="1"/>
      <c r="Q76" s="84" t="s">
        <v>1719</v>
      </c>
      <c r="R76" s="18" t="str">
        <f>IF(ISBLANK(input_wld_az1_rack4_uplink01_mtu),"Value Missing",input_wld_az1_rack4_uplink01_mtu)</f>
        <v>Value Missing</v>
      </c>
      <c r="S76" s="1"/>
      <c r="T76" s="84" t="s">
        <v>1719</v>
      </c>
      <c r="U76" s="18" t="str">
        <f>IF(ISBLANK(input_wld_az1_rack5_uplink01_mtu),"Value Missing",input_wld_az1_rack5_uplink01_mtu)</f>
        <v>Value Missing</v>
      </c>
      <c r="V76" s="1"/>
      <c r="W76" s="84" t="s">
        <v>1719</v>
      </c>
      <c r="X76" s="18" t="str">
        <f>IF(ISBLANK(input_wld_az1_rack6_uplink01_mtu),"Value Missing",input_wld_az1_rack6_uplink01_mtu)</f>
        <v>Value Missing</v>
      </c>
      <c r="Y76" s="1"/>
      <c r="Z76" s="84" t="s">
        <v>1719</v>
      </c>
      <c r="AA76" s="18" t="str">
        <f>IF(ISBLANK(input_wld_az1_rack7_uplink01_mtu),"Value Missing",input_wld_az1_rack7_uplink01_mtu)</f>
        <v>Value Missing</v>
      </c>
      <c r="AB76" s="1"/>
      <c r="AC76" s="84" t="s">
        <v>1719</v>
      </c>
      <c r="AD76" s="18" t="str">
        <f>IF(ISBLANK(input_wld_az1_rack8_uplink01_mtu),"Value Missing",input_wld_az1_rack8_uplink01_mtu)</f>
        <v>Value Missing</v>
      </c>
      <c r="AE76" s="1"/>
      <c r="AF76" s="1"/>
      <c r="AG76" s="41"/>
      <c r="AH76" s="41"/>
      <c r="AI76" s="1"/>
      <c r="AJ76" s="1"/>
      <c r="AK76" s="1"/>
    </row>
    <row r="77" ht="19.5" customHeight="1">
      <c r="A77" s="1"/>
      <c r="B77" s="1"/>
      <c r="C77" s="1"/>
      <c r="D77" s="1"/>
      <c r="E77" s="84" t="s">
        <v>1720</v>
      </c>
      <c r="F77" s="18" t="str">
        <f>IF(ISBLANK(input_mgmt_az1_uplink02_mtu),"Value Missing",input_mgmt_az1_uplink02_mtu)</f>
        <v>Value Missing</v>
      </c>
      <c r="G77" s="1"/>
      <c r="H77" s="84" t="s">
        <v>1720</v>
      </c>
      <c r="I77" s="18" t="str">
        <f>IF(ISBLANK(input_wld_az1_uplink02_mtu),"Value Missing",input_wld_az1_uplink02_mtu)</f>
        <v>Value Missing</v>
      </c>
      <c r="J77" s="1"/>
      <c r="K77" s="84" t="s">
        <v>1720</v>
      </c>
      <c r="L77" s="18" t="str">
        <f>IF(ISBLANK(input_wld_az1_rack2_uplink02_mtu),"Value Missing",input_wld_az1_rack2_uplink02_mtu)</f>
        <v>Value Missing</v>
      </c>
      <c r="M77" s="1"/>
      <c r="N77" s="84" t="s">
        <v>1720</v>
      </c>
      <c r="O77" s="18" t="str">
        <f>IF(ISBLANK(input_wld_az1_rack3_uplink02_mtu),"Value Missing",input_wld_az1_rack3_uplink02_mtu)</f>
        <v>Value Missing</v>
      </c>
      <c r="P77" s="1"/>
      <c r="Q77" s="84" t="s">
        <v>1720</v>
      </c>
      <c r="R77" s="18" t="str">
        <f>IF(ISBLANK(input_wld_az1_rack4_uplink02_mtu),"Value Missing",input_wld_az1_rack4_uplink02_mtu)</f>
        <v>Value Missing</v>
      </c>
      <c r="S77" s="1"/>
      <c r="T77" s="84" t="s">
        <v>1720</v>
      </c>
      <c r="U77" s="18" t="str">
        <f>IF(ISBLANK(input_wld_az1_rack5_uplink02_mtu),"Value Missing",input_wld_az1_rack5_uplink02_mtu)</f>
        <v>Value Missing</v>
      </c>
      <c r="V77" s="1"/>
      <c r="W77" s="84" t="s">
        <v>1720</v>
      </c>
      <c r="X77" s="18" t="str">
        <f>IF(ISBLANK(input_wld_az1_rack6_uplink02_mtu),"Value Missing",input_wld_az1_rack6_uplink02_mtu)</f>
        <v>Value Missing</v>
      </c>
      <c r="Y77" s="1"/>
      <c r="Z77" s="84" t="s">
        <v>1720</v>
      </c>
      <c r="AA77" s="18" t="str">
        <f>IF(ISBLANK(input_wld_az1_rack7_uplink02_mtu),"Value Missing",input_wld_az1_rack7_uplink02_mtu)</f>
        <v>Value Missing</v>
      </c>
      <c r="AB77" s="1"/>
      <c r="AC77" s="84" t="s">
        <v>1720</v>
      </c>
      <c r="AD77" s="18" t="str">
        <f>IF(ISBLANK(input_wld_az1_rack8_uplink02_mtu),"Value Missing",input_wld_az1_rack8_uplink02_mtu)</f>
        <v>Value Missing</v>
      </c>
      <c r="AE77" s="1"/>
      <c r="AF77" s="1"/>
      <c r="AG77" s="41"/>
      <c r="AH77" s="41"/>
      <c r="AI77" s="1"/>
      <c r="AJ77" s="1"/>
      <c r="AK77" s="1"/>
    </row>
    <row r="78" ht="19.5" customHeight="1">
      <c r="A78" s="1"/>
      <c r="B78" s="1"/>
      <c r="C78" s="1"/>
      <c r="D78" s="1"/>
      <c r="E78" s="84" t="s">
        <v>1722</v>
      </c>
      <c r="F78" s="18" t="str">
        <f>IF(ISBLANK(input_mgmt_az1_edge_overlay_mtu),"Value Missing",input_mgmt_az1_edge_overlay_mtu)</f>
        <v>Value Missing</v>
      </c>
      <c r="G78" s="1"/>
      <c r="H78" s="84" t="s">
        <v>1722</v>
      </c>
      <c r="I78" s="18" t="s">
        <v>502</v>
      </c>
      <c r="J78" s="1"/>
      <c r="K78" s="84" t="s">
        <v>1722</v>
      </c>
      <c r="L78" s="18" t="str">
        <f>IF(ISBLANK(input_wld_az1_rack2_edge_overlay_mtu),"Value Missing",input_wld_az1_rack2_edge_overlay_mtu)</f>
        <v>Value Missing</v>
      </c>
      <c r="M78" s="1"/>
      <c r="N78" s="84" t="s">
        <v>1722</v>
      </c>
      <c r="O78" s="18" t="str">
        <f>IF(ISBLANK(input_wld_az1_rack3_edge_overlay_mtu),"Value Missing",input_wld_az1_rack3_edge_overlay_mtu)</f>
        <v>Value Missing</v>
      </c>
      <c r="P78" s="1"/>
      <c r="Q78" s="84" t="s">
        <v>1722</v>
      </c>
      <c r="R78" s="190" t="str">
        <f>IF(ISBLANK(input_wld_az1_rack4_edge_overlay_mtu),"Value Missing",input_wld_az1_rack4_edge_overlay_mtu)</f>
        <v>Value Missing</v>
      </c>
      <c r="S78" s="1"/>
      <c r="T78" s="84" t="s">
        <v>1722</v>
      </c>
      <c r="U78" s="18" t="str">
        <f>IF(ISBLANK(input_wld_az1_rack5_edge_overlay_mtu),"Value Missing",input_wld_az1_rack5_edge_overlay_mtu)</f>
        <v>Value Missing</v>
      </c>
      <c r="V78" s="1"/>
      <c r="W78" s="84" t="s">
        <v>1722</v>
      </c>
      <c r="X78" s="18" t="str">
        <f>IF(ISBLANK(input_wld_az1_rack6_edge_overlay_mtu),"Value Missing",input_wld_az1_rack6_edge_overlay_mtu)</f>
        <v>Value Missing</v>
      </c>
      <c r="Y78" s="1"/>
      <c r="Z78" s="84" t="s">
        <v>1722</v>
      </c>
      <c r="AA78" s="18" t="str">
        <f>IF(ISBLANK(input_wld_az1_rack7_edge_overlay_mtu),"Value Missing",input_wld_az1_rack7_edge_overlay_mtu)</f>
        <v>Value Missing</v>
      </c>
      <c r="AB78" s="1"/>
      <c r="AC78" s="84" t="s">
        <v>1722</v>
      </c>
      <c r="AD78" s="18" t="str">
        <f>IF(ISBLANK(input_wld_az1_rack8_edge_overlay_mtu),"Value Missing",input_wld_az1_rack8_edge_overlay_mtu)</f>
        <v>Value Missing</v>
      </c>
      <c r="AE78" s="1"/>
      <c r="AF78" s="1"/>
      <c r="AG78" s="41"/>
      <c r="AH78" s="41"/>
      <c r="AI78" s="1"/>
      <c r="AJ78" s="1"/>
      <c r="AK78" s="1"/>
    </row>
    <row r="79" ht="19.5" customHeight="1">
      <c r="A79" s="1"/>
      <c r="B79" s="1"/>
      <c r="C79" s="1"/>
      <c r="D79" s="1"/>
      <c r="E79" s="84" t="s">
        <v>1724</v>
      </c>
      <c r="F79" s="18"/>
      <c r="G79" s="1"/>
      <c r="H79" s="84" t="s">
        <v>1724</v>
      </c>
      <c r="I79" s="18"/>
      <c r="J79" s="1"/>
      <c r="K79" s="84" t="s">
        <v>1724</v>
      </c>
      <c r="L79" s="18"/>
      <c r="M79" s="1"/>
      <c r="N79" s="84" t="s">
        <v>1724</v>
      </c>
      <c r="O79" s="18"/>
      <c r="P79" s="1"/>
      <c r="Q79" s="84" t="s">
        <v>1724</v>
      </c>
      <c r="R79" s="18"/>
      <c r="S79" s="1"/>
      <c r="T79" s="84" t="s">
        <v>1724</v>
      </c>
      <c r="U79" s="18"/>
      <c r="V79" s="1"/>
      <c r="W79" s="84" t="s">
        <v>1724</v>
      </c>
      <c r="X79" s="18"/>
      <c r="Y79" s="1"/>
      <c r="Z79" s="84" t="s">
        <v>1724</v>
      </c>
      <c r="AA79" s="18"/>
      <c r="AB79" s="1"/>
      <c r="AC79" s="84" t="s">
        <v>1724</v>
      </c>
      <c r="AD79" s="18"/>
      <c r="AE79" s="1"/>
      <c r="AF79" s="1"/>
      <c r="AG79" s="41"/>
      <c r="AH79" s="41"/>
      <c r="AI79" s="1"/>
      <c r="AJ79" s="1"/>
      <c r="AK79" s="1"/>
    </row>
    <row r="80" ht="19.5" customHeight="1">
      <c r="A80" s="1"/>
      <c r="B80" s="1"/>
      <c r="C80" s="1"/>
      <c r="D80" s="1"/>
      <c r="E80" s="84" t="s">
        <v>1726</v>
      </c>
      <c r="F80" s="18" t="str">
        <f>IF(ISBLANK(input_mgmt_az1_vrms_mtu),"Value Missing",input_mgmt_az1_vrms_mtu)</f>
        <v>Value Missing</v>
      </c>
      <c r="G80" s="1"/>
      <c r="H80" s="84" t="s">
        <v>1726</v>
      </c>
      <c r="I80" s="18" t="str">
        <f>IF(ISBLANK(input_wld_az1_vrms_mtu),"Value Missing",input_wld_az1_vrms_mtu)</f>
        <v>Value Missing</v>
      </c>
      <c r="J80" s="1"/>
      <c r="K80" s="84" t="s">
        <v>1726</v>
      </c>
      <c r="L80" s="18"/>
      <c r="M80" s="1"/>
      <c r="N80" s="84" t="s">
        <v>1726</v>
      </c>
      <c r="O80" s="18"/>
      <c r="P80" s="1"/>
      <c r="Q80" s="84" t="s">
        <v>1726</v>
      </c>
      <c r="R80" s="18"/>
      <c r="S80" s="1"/>
      <c r="T80" s="84" t="s">
        <v>1726</v>
      </c>
      <c r="U80" s="18"/>
      <c r="V80" s="1"/>
      <c r="W80" s="84" t="s">
        <v>1726</v>
      </c>
      <c r="X80" s="18"/>
      <c r="Y80" s="1"/>
      <c r="Z80" s="84" t="s">
        <v>1726</v>
      </c>
      <c r="AA80" s="18"/>
      <c r="AB80" s="1"/>
      <c r="AC80" s="84" t="s">
        <v>1726</v>
      </c>
      <c r="AD80" s="18"/>
      <c r="AE80" s="1"/>
      <c r="AF80" s="1"/>
      <c r="AG80" s="41"/>
      <c r="AH80" s="41"/>
      <c r="AI80" s="1"/>
      <c r="AJ80" s="1"/>
      <c r="AK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41"/>
      <c r="AH81" s="41"/>
      <c r="AI81" s="41"/>
      <c r="AJ81" s="41"/>
      <c r="AK81" s="1"/>
    </row>
    <row r="82" ht="19.5" customHeight="1">
      <c r="A82" s="1"/>
      <c r="B82" s="41"/>
      <c r="C82" s="4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41"/>
      <c r="AH82" s="41"/>
      <c r="AI82" s="41"/>
      <c r="AJ82" s="41"/>
      <c r="AK82" s="1"/>
    </row>
    <row r="83" ht="19.5" customHeight="1">
      <c r="A83" s="1"/>
      <c r="B83" s="41"/>
      <c r="C83" s="41"/>
      <c r="D83" s="1"/>
      <c r="E83" s="235" t="s">
        <v>1780</v>
      </c>
      <c r="F83" s="236"/>
      <c r="G83" s="1"/>
      <c r="H83" s="235" t="s">
        <v>1781</v>
      </c>
      <c r="I83" s="236"/>
      <c r="J83" s="1"/>
      <c r="K83" s="235" t="s">
        <v>1782</v>
      </c>
      <c r="L83" s="236"/>
      <c r="M83" s="1"/>
      <c r="N83" s="235" t="s">
        <v>1783</v>
      </c>
      <c r="O83" s="236"/>
      <c r="P83" s="1"/>
      <c r="Q83" s="309" t="s">
        <v>1784</v>
      </c>
      <c r="R83" s="310"/>
      <c r="S83" s="1"/>
      <c r="T83" s="309" t="s">
        <v>1785</v>
      </c>
      <c r="U83" s="310"/>
      <c r="V83" s="1"/>
      <c r="W83" s="309" t="s">
        <v>1786</v>
      </c>
      <c r="X83" s="310"/>
      <c r="Y83" s="1"/>
      <c r="Z83" s="309" t="s">
        <v>1787</v>
      </c>
      <c r="AA83" s="310"/>
      <c r="AB83" s="1"/>
      <c r="AC83" s="309" t="s">
        <v>1788</v>
      </c>
      <c r="AD83" s="310"/>
      <c r="AE83" s="1"/>
      <c r="AF83" s="1"/>
      <c r="AG83" s="41"/>
      <c r="AH83" s="41"/>
      <c r="AI83" s="41"/>
      <c r="AJ83" s="41"/>
      <c r="AK83" s="1"/>
    </row>
    <row r="84" ht="19.5" customHeight="1">
      <c r="A84" s="1"/>
      <c r="B84" s="80"/>
      <c r="C84" s="1"/>
      <c r="D84" s="1"/>
      <c r="E84" s="15" t="s">
        <v>256</v>
      </c>
      <c r="F84" s="15" t="s">
        <v>1707</v>
      </c>
      <c r="G84" s="1"/>
      <c r="H84" s="15" t="s">
        <v>256</v>
      </c>
      <c r="I84" s="15" t="s">
        <v>1707</v>
      </c>
      <c r="J84" s="1"/>
      <c r="K84" s="15" t="s">
        <v>256</v>
      </c>
      <c r="L84" s="15" t="s">
        <v>1707</v>
      </c>
      <c r="M84" s="1"/>
      <c r="N84" s="15" t="s">
        <v>256</v>
      </c>
      <c r="O84" s="15" t="s">
        <v>1707</v>
      </c>
      <c r="P84" s="1"/>
      <c r="Q84" s="15" t="s">
        <v>256</v>
      </c>
      <c r="R84" s="15" t="s">
        <v>1707</v>
      </c>
      <c r="S84" s="8"/>
      <c r="T84" s="15" t="s">
        <v>256</v>
      </c>
      <c r="U84" s="15" t="s">
        <v>1707</v>
      </c>
      <c r="V84" s="8"/>
      <c r="W84" s="15" t="s">
        <v>256</v>
      </c>
      <c r="X84" s="15" t="s">
        <v>1707</v>
      </c>
      <c r="Y84" s="8"/>
      <c r="Z84" s="15" t="s">
        <v>256</v>
      </c>
      <c r="AA84" s="15" t="s">
        <v>1707</v>
      </c>
      <c r="AB84" s="8"/>
      <c r="AC84" s="15" t="s">
        <v>256</v>
      </c>
      <c r="AD84" s="15" t="s">
        <v>1707</v>
      </c>
      <c r="AE84" s="1"/>
      <c r="AF84" s="1"/>
      <c r="AG84" s="41"/>
      <c r="AH84" s="41"/>
      <c r="AI84" s="41"/>
      <c r="AJ84" s="41"/>
      <c r="AK84" s="1"/>
    </row>
    <row r="85" ht="19.5" customHeight="1">
      <c r="A85" s="1"/>
      <c r="B85" s="80"/>
      <c r="C85" s="319"/>
      <c r="D85" s="1"/>
      <c r="E85" s="84" t="s">
        <v>1710</v>
      </c>
      <c r="F85" s="18" t="str">
        <f>IF(ISBLANK(input_mgmt_az1_mgmt_vm_gateway_ip),"Value Missing",input_mgmt_az1_mgmt_vm_gateway_ip)</f>
        <v>Value Missing</v>
      </c>
      <c r="G85" s="1"/>
      <c r="H85" s="84" t="s">
        <v>1710</v>
      </c>
      <c r="I85" s="18" t="str">
        <f>IF(ISBLANK(input_wld_az1_mgmt_vm_gateway_ip),"Value Missing",input_wld_az1_mgmt_vm_gateway_ip)</f>
        <v>Value Missing</v>
      </c>
      <c r="J85" s="1"/>
      <c r="K85" s="84" t="s">
        <v>1710</v>
      </c>
      <c r="L85" s="18" t="str">
        <f>IF(ISBLANK(input_wld_az1_rack2_mgmt_vm_gateway_ip),"Value Missing",input_wld_az1_rack2_mgmt_vm_gateway_ip)</f>
        <v>Value Missing</v>
      </c>
      <c r="M85" s="1"/>
      <c r="N85" s="84" t="s">
        <v>1710</v>
      </c>
      <c r="O85" s="18" t="str">
        <f>IF(ISBLANK(input_wld_az1_rack3_mgmt_vm_gateway_ip),"Value Missing",input_wld_az1_rack3_mgmt_vm_gateway_ip)</f>
        <v>Value Missing</v>
      </c>
      <c r="P85" s="1"/>
      <c r="Q85" s="84" t="s">
        <v>1710</v>
      </c>
      <c r="R85" s="18" t="str">
        <f>IF(ISBLANK(input_wld_az1_rack4_mgmt_vm_gateway_ip),"Value Missing",input_wld_az1_rack4_mgmt_vm_gateway_ip)</f>
        <v>Value Missing</v>
      </c>
      <c r="S85" s="1"/>
      <c r="T85" s="84" t="s">
        <v>1710</v>
      </c>
      <c r="U85" s="18" t="str">
        <f>IF(ISBLANK(input_wld_az1_rack5_mgmt_vm_gateway_ip),"Value Missing",input_wld_az1_rack5_mgmt_vm_gateway_ip)</f>
        <v>Value Missing</v>
      </c>
      <c r="V85" s="1"/>
      <c r="W85" s="84" t="s">
        <v>1710</v>
      </c>
      <c r="X85" s="18" t="str">
        <f>IF(ISBLANK(input_wld_az1_rack6_mgmt_vm_gateway_ip),"Value Missing",input_wld_az1_rack6_mgmt_vm_gateway_ip)</f>
        <v>Value Missing</v>
      </c>
      <c r="Y85" s="1"/>
      <c r="Z85" s="84" t="s">
        <v>1710</v>
      </c>
      <c r="AA85" s="18" t="str">
        <f>IF(ISBLANK(input_wld_az1_rack7_mgmt_vm_gateway_ip),"Value Missing",input_wld_az1_rack7_mgmt_vm_gateway_ip)</f>
        <v>Value Missing</v>
      </c>
      <c r="AB85" s="1"/>
      <c r="AC85" s="84" t="s">
        <v>1710</v>
      </c>
      <c r="AD85" s="18" t="str">
        <f>IF(ISBLANK(input_wld_az1_rack8_mgmt_vm_gateway_ip),"Value Missing",input_wld_az1_rack8_mgmt_vm_gateway_ip)</f>
        <v>Value Missing</v>
      </c>
      <c r="AE85" s="1"/>
      <c r="AF85" s="1"/>
      <c r="AG85" s="41"/>
      <c r="AH85" s="41"/>
      <c r="AI85" s="41"/>
      <c r="AJ85" s="41"/>
      <c r="AK85" s="1"/>
    </row>
    <row r="86" ht="19.5" customHeight="1">
      <c r="A86" s="1"/>
      <c r="B86" s="80"/>
      <c r="C86" s="1"/>
      <c r="D86" s="1"/>
      <c r="E86" s="84" t="s">
        <v>1712</v>
      </c>
      <c r="F86" s="18" t="str">
        <f>IF(ISBLANK(input_mgmt_az1_mgmt_gateway_ip),"Value Missing",input_mgmt_az1_mgmt_gateway_ip)</f>
        <v>Value Missing</v>
      </c>
      <c r="G86" s="1"/>
      <c r="H86" s="84" t="s">
        <v>1712</v>
      </c>
      <c r="I86" s="18" t="str">
        <f>IF(ISBLANK(input_wld_az1_mgmt_gateway_ip),"Value Missing",input_wld_az1_mgmt_gateway_ip)</f>
        <v>Value Missing</v>
      </c>
      <c r="J86" s="1"/>
      <c r="K86" s="84" t="s">
        <v>1712</v>
      </c>
      <c r="L86" s="18" t="str">
        <f>IF(ISBLANK(input_wld_az1_rack2_mgmt_gateway_ip),"Value Missing",input_wld_az1_rack2_mgmt_gateway_ip)</f>
        <v>Value Missing</v>
      </c>
      <c r="M86" s="1"/>
      <c r="N86" s="84" t="s">
        <v>1712</v>
      </c>
      <c r="O86" s="18" t="str">
        <f>IF(ISBLANK(input_wld_az1_rack3_mgmt_gateway_ip),"Value Missing",input_wld_az1_rack3_mgmt_gateway_ip)</f>
        <v>Value Missing</v>
      </c>
      <c r="P86" s="1"/>
      <c r="Q86" s="84" t="s">
        <v>1712</v>
      </c>
      <c r="R86" s="18" t="str">
        <f>IF(ISBLANK(input_wld_az1_rack4_mgmt_gateway_ip),"Value Missing",input_wld_az1_rack4_mgmt_gateway_ip)</f>
        <v>Value Missing</v>
      </c>
      <c r="S86" s="1"/>
      <c r="T86" s="84" t="s">
        <v>1712</v>
      </c>
      <c r="U86" s="18" t="str">
        <f>IF(ISBLANK(input_wld_az1_rack5_mgmt_gateway_ip),"Value Missing",input_wld_az1_rack5_mgmt_gateway_ip)</f>
        <v>Value Missing</v>
      </c>
      <c r="V86" s="1"/>
      <c r="W86" s="84" t="s">
        <v>1712</v>
      </c>
      <c r="X86" s="18" t="str">
        <f>IF(ISBLANK(input_wld_az1_rack6_mgmt_gateway_ip),"Value Missing",input_wld_az1_rack6_mgmt_gateway_ip)</f>
        <v>Value Missing</v>
      </c>
      <c r="Y86" s="1"/>
      <c r="Z86" s="84" t="s">
        <v>1712</v>
      </c>
      <c r="AA86" s="18" t="str">
        <f>IF(ISBLANK(input_wld_az1_rack7_mgmt_gateway_ip),"Value Missing",input_wld_az1_rack7_mgmt_gateway_ip)</f>
        <v>Value Missing</v>
      </c>
      <c r="AB86" s="1"/>
      <c r="AC86" s="84" t="s">
        <v>1712</v>
      </c>
      <c r="AD86" s="18" t="str">
        <f>IF(ISBLANK(input_wld_az1_rack8_mgmt_gateway_ip),"Value Missing",input_wld_az1_rack8_mgmt_gateway_ip)</f>
        <v>Value Missing</v>
      </c>
      <c r="AE86" s="1"/>
      <c r="AF86" s="1"/>
      <c r="AG86" s="41"/>
      <c r="AH86" s="41"/>
      <c r="AI86" s="41"/>
      <c r="AJ86" s="41"/>
      <c r="AK86" s="1"/>
    </row>
    <row r="87" ht="19.5" customHeight="1">
      <c r="A87" s="1"/>
      <c r="B87" s="262"/>
      <c r="C87" s="1"/>
      <c r="D87" s="1"/>
      <c r="E87" s="84" t="s">
        <v>407</v>
      </c>
      <c r="F87" s="18" t="str">
        <f>IF(ISBLANK(input_mgmt_az1_vmotion_gateway_ip),"Value Missing",input_mgmt_az1_vmotion_gateway_ip)</f>
        <v>Value Missing</v>
      </c>
      <c r="G87" s="1"/>
      <c r="H87" s="84" t="s">
        <v>407</v>
      </c>
      <c r="I87" s="18" t="str">
        <f>IF(ISBLANK(input_wld_az1_vmotion_gateway_ip),"Value Missing",input_wld_az1_vmotion_gateway_ip)</f>
        <v>Value Missing</v>
      </c>
      <c r="J87" s="1"/>
      <c r="K87" s="84" t="s">
        <v>407</v>
      </c>
      <c r="L87" s="18" t="str">
        <f>IF(ISBLANK(input_wld_az1_rack2_vmotion_gateway_ip),"Value Missing",input_wld_az1_rack2_vmotion_gateway_ip)</f>
        <v>Value Missing</v>
      </c>
      <c r="M87" s="1"/>
      <c r="N87" s="84" t="s">
        <v>407</v>
      </c>
      <c r="O87" s="18" t="str">
        <f>IF(ISBLANK(input_wld_az1_rack3_vmotion_gateway_ip),"Value Missing",input_wld_az1_rack3_vmotion_gateway_ip)</f>
        <v>Value Missing</v>
      </c>
      <c r="P87" s="1"/>
      <c r="Q87" s="84" t="s">
        <v>407</v>
      </c>
      <c r="R87" s="18" t="str">
        <f>IF(ISBLANK(input_wld_az1_rack4_vmotion_gateway_ip),"Value Missing",input_wld_az1_rack4_vmotion_gateway_ip)</f>
        <v>Value Missing</v>
      </c>
      <c r="S87" s="1"/>
      <c r="T87" s="84" t="s">
        <v>407</v>
      </c>
      <c r="U87" s="18" t="str">
        <f>IF(ISBLANK(input_wld_az1_rack5_vmotion_gateway_ip),"Value Missing",input_wld_az1_rack5_vmotion_gateway_ip)</f>
        <v>Value Missing</v>
      </c>
      <c r="V87" s="1"/>
      <c r="W87" s="84" t="s">
        <v>407</v>
      </c>
      <c r="X87" s="18" t="str">
        <f>IF(ISBLANK(input_wld_az1_rack6_vmotion_gateway_ip),"Value Missing",input_wld_az1_rack6_vmotion_gateway_ip)</f>
        <v>Value Missing</v>
      </c>
      <c r="Y87" s="1"/>
      <c r="Z87" s="84" t="s">
        <v>407</v>
      </c>
      <c r="AA87" s="18" t="str">
        <f>IF(ISBLANK(input_wld_az1_rack7_vmotion_gateway_ip),"Value Missing",input_wld_az1_rack7_vmotion_gateway_ip)</f>
        <v>Value Missing</v>
      </c>
      <c r="AB87" s="1"/>
      <c r="AC87" s="84" t="s">
        <v>407</v>
      </c>
      <c r="AD87" s="18" t="str">
        <f>IF(ISBLANK(input_wld_az1_rack8_vmotion_gateway_ip),"Value Missing",input_wld_az1_rack8_vmotion_gateway_ip)</f>
        <v>Value Missing</v>
      </c>
      <c r="AE87" s="1"/>
      <c r="AF87" s="1"/>
      <c r="AG87" s="41"/>
      <c r="AH87" s="41"/>
      <c r="AI87" s="41"/>
      <c r="AJ87" s="41"/>
      <c r="AK87" s="1"/>
    </row>
    <row r="88" ht="19.5" customHeight="1">
      <c r="A88" s="1"/>
      <c r="B88" s="262"/>
      <c r="C88" s="1"/>
      <c r="D88" s="1"/>
      <c r="E88" s="173" t="str">
        <f>CONCATENATE("Principal Storage Network ",wld_principal_storage_chosen)</f>
        <v>Principal Storage Network vSAN-ESA</v>
      </c>
      <c r="F88" s="18" t="str">
        <f>IF(ISBLANK(input_mgmt_az1_vsan_gateway_ip),"Value Missing",input_mgmt_az1_vsan_gateway_ip)</f>
        <v>Value Missing</v>
      </c>
      <c r="G88" s="1"/>
      <c r="H88" s="173" t="s">
        <v>410</v>
      </c>
      <c r="I88" s="18" t="str">
        <f>IF(ISBLANK(input_wld_az1_principal_storage_gateway_ip),"Value Missing",input_wld_az1_principal_storage_gateway_ip)</f>
        <v>Value Missing</v>
      </c>
      <c r="J88" s="1"/>
      <c r="K88" s="173" t="str">
        <f>CONCATENATE("Principal Storage Network ",wld_principal_storage_chosen)</f>
        <v>Principal Storage Network vSAN-ESA</v>
      </c>
      <c r="L88" s="18" t="str">
        <f>IF(ISBLANK(input_wld_az1_rack2_principal_storage_gateway_ip),"Value Missing",input_wld_az1_rack2_principal_storage_gateway_ip)</f>
        <v>Value Missing</v>
      </c>
      <c r="M88" s="1"/>
      <c r="N88" s="173" t="str">
        <f>CONCATENATE("Principal Storage Network ",wld_principal_storage_chosen)</f>
        <v>Principal Storage Network vSAN-ESA</v>
      </c>
      <c r="O88" s="18" t="str">
        <f>IF(ISBLANK(input_wld_az1_rack3_principal_storage_gateway_ip),"Value Missing",input_wld_az1_rack3_principal_storage_gateway_ip)</f>
        <v>Value Missing</v>
      </c>
      <c r="P88" s="1"/>
      <c r="Q88" s="173" t="str">
        <f>CONCATENATE("Principal Storage Network ",wld_principal_storage_chosen)</f>
        <v>Principal Storage Network vSAN-ESA</v>
      </c>
      <c r="R88" s="18" t="str">
        <f>IF(ISBLANK(input_wld_az1_rack4_principal_storage_gateway_ip),"Value Missing",input_wld_az1_rack4_principal_storage_gateway_ip)</f>
        <v>Value Missing</v>
      </c>
      <c r="S88" s="1"/>
      <c r="T88" s="173" t="str">
        <f>CONCATENATE("Principal Storage Network ",wld_principal_storage_chosen)</f>
        <v>Principal Storage Network vSAN-ESA</v>
      </c>
      <c r="U88" s="18" t="str">
        <f>IF(ISBLANK(input_wld_az1_rack5_principal_storage_gateway_ip),"Value Missing",input_wld_az1_rack5_principal_storage_gateway_ip)</f>
        <v>Value Missing</v>
      </c>
      <c r="V88" s="1"/>
      <c r="W88" s="173" t="str">
        <f>CONCATENATE("Principal Storage Network ",wld_principal_storage_chosen)</f>
        <v>Principal Storage Network vSAN-ESA</v>
      </c>
      <c r="X88" s="18" t="str">
        <f>IF(ISBLANK(input_wld_az1_rack6_principal_storage_gateway_ip),"Value Missing",input_wld_az1_rack6_principal_storage_gateway_ip)</f>
        <v>Value Missing</v>
      </c>
      <c r="Y88" s="1"/>
      <c r="Z88" s="173" t="str">
        <f>CONCATENATE("Principal Storage Network ",wld_principal_storage_chosen)</f>
        <v>Principal Storage Network vSAN-ESA</v>
      </c>
      <c r="AA88" s="18" t="str">
        <f>IF(ISBLANK(input_wld_az1_rack7_principal_storage_gateway_ip),"Value Missing",input_wld_az1_rack7_principal_storage_gateway_ip)</f>
        <v>Value Missing</v>
      </c>
      <c r="AB88" s="1"/>
      <c r="AC88" s="173" t="str">
        <f>CONCATENATE("Principal Storage Network ",wld_principal_storage_chosen)</f>
        <v>Principal Storage Network vSAN-ESA</v>
      </c>
      <c r="AD88" s="18" t="str">
        <f>IF(ISBLANK(input_wld_az1_rack8_principal_storage_gateway_ip),"Value Missing",input_wld_az1_rack8_principal_storage_gateway_ip)</f>
        <v>Value Missing</v>
      </c>
      <c r="AE88" s="1"/>
      <c r="AF88" s="1"/>
      <c r="AG88" s="41"/>
      <c r="AH88" s="41"/>
      <c r="AI88" s="41"/>
      <c r="AJ88" s="41"/>
      <c r="AK88" s="1"/>
    </row>
    <row r="89" ht="19.5" customHeight="1">
      <c r="A89" s="1"/>
      <c r="B89" s="80"/>
      <c r="C89" s="1"/>
      <c r="D89" s="1"/>
      <c r="E89" s="84" t="s">
        <v>1716</v>
      </c>
      <c r="F89" s="18" t="str">
        <f>IF(ISBLANK(input_mgmt_az1_host_overlay_gateway_ip),"Value Missing",input_mgmt_az1_host_overlay_gateway_ip)</f>
        <v>Value Missing</v>
      </c>
      <c r="G89" s="1"/>
      <c r="H89" s="84" t="s">
        <v>1716</v>
      </c>
      <c r="I89" s="18" t="str">
        <f>IF(ISBLANK(input_wld_az1_host_overlay_gateway_ip),"Value Missing",input_wld_az1_host_overlay_gateway_ip)</f>
        <v>Value Missing</v>
      </c>
      <c r="J89" s="1"/>
      <c r="K89" s="84" t="s">
        <v>1716</v>
      </c>
      <c r="L89" s="18" t="str">
        <f>IF(ISBLANK(input_wld_az1_rack2_host_overlay_gateway_ip),"Value Missing",input_wld_az1_rack2_host_overlay_gateway_ip)</f>
        <v>Value Missing</v>
      </c>
      <c r="M89" s="1"/>
      <c r="N89" s="84" t="s">
        <v>1716</v>
      </c>
      <c r="O89" s="18" t="str">
        <f>IF(ISBLANK(input_wld_az1_rack3_host_overlay_gateway_ip),"Value Missing",input_wld_az1_rack3_host_overlay_gateway_ip)</f>
        <v>Value Missing</v>
      </c>
      <c r="P89" s="1"/>
      <c r="Q89" s="84" t="s">
        <v>1716</v>
      </c>
      <c r="R89" s="18" t="str">
        <f>IF(ISBLANK(input_wld_az1_rack4_host_overlay_gateway_ip),"Value Missing",input_wld_az1_rack4_host_overlay_gateway_ip)</f>
        <v>Value Missing</v>
      </c>
      <c r="S89" s="1"/>
      <c r="T89" s="84" t="s">
        <v>1716</v>
      </c>
      <c r="U89" s="18" t="str">
        <f>IF(ISBLANK(input_wld_az1_rack5_host_overlay_gateway_ip),"Value Missing",input_wld_az1_rack5_host_overlay_gateway_ip)</f>
        <v>Value Missing</v>
      </c>
      <c r="V89" s="1"/>
      <c r="W89" s="84" t="s">
        <v>1716</v>
      </c>
      <c r="X89" s="18" t="str">
        <f>IF(ISBLANK(input_wld_az1_rack6_host_overlay_gateway_ip),"Value Missing",input_wld_az1_rack6_host_overlay_gateway_ip)</f>
        <v>Value Missing</v>
      </c>
      <c r="Y89" s="1"/>
      <c r="Z89" s="84" t="s">
        <v>1716</v>
      </c>
      <c r="AA89" s="18" t="str">
        <f>IF(ISBLANK(input_wld_az1_rack7_host_overlay_gateway_ip),"Value Missing",input_wld_az1_rack7_host_overlay_gateway_ip)</f>
        <v>Value Missing</v>
      </c>
      <c r="AB89" s="1"/>
      <c r="AC89" s="84" t="s">
        <v>1716</v>
      </c>
      <c r="AD89" s="18" t="str">
        <f>IF(ISBLANK(input_wld_az1_rack8_host_overlay_gateway_ip),"Value Missing",input_wld_az1_rack8_host_overlay_gateway_ip)</f>
        <v>Value Missing</v>
      </c>
      <c r="AE89" s="1"/>
      <c r="AF89" s="1"/>
      <c r="AG89" s="41"/>
      <c r="AH89" s="41"/>
      <c r="AI89" s="41"/>
      <c r="AJ89" s="41"/>
      <c r="AK89" s="1"/>
    </row>
    <row r="90" ht="19.5" customHeight="1">
      <c r="A90" s="1"/>
      <c r="B90" s="1"/>
      <c r="C90" s="1"/>
      <c r="D90" s="1"/>
      <c r="E90" s="84" t="s">
        <v>1717</v>
      </c>
      <c r="F90" s="18" t="str">
        <f>IF(ISBLANK(input_mgmt_az1_secondary_storage_gateway_ip),"Value Missing",input_mgmt_az1_secondary_storage_gateway_ip)</f>
        <v>Value Missing</v>
      </c>
      <c r="G90" s="1"/>
      <c r="H90" s="84" t="s">
        <v>1717</v>
      </c>
      <c r="I90" s="18" t="str">
        <f>IF(ISBLANK(input_wld_az1_secondary_storage_gateway_ip),"Value Missing",input_wld_az1_secondary_storage_gateway_ip)</f>
        <v>Value Missing</v>
      </c>
      <c r="J90" s="1"/>
      <c r="K90" s="84" t="s">
        <v>1717</v>
      </c>
      <c r="L90" s="18" t="str">
        <f>IF(ISBLANK(input_wld_az1_rack2_secondary_storage_gateway_ip),"Value Missing",input_wld_az1_rack2_secondary_storage_gateway_ip)</f>
        <v>Value Missing</v>
      </c>
      <c r="M90" s="1"/>
      <c r="N90" s="84" t="s">
        <v>1717</v>
      </c>
      <c r="O90" s="18" t="str">
        <f>IF(ISBLANK(input_wld_az1_rack3_secondary_storage_gateway_ip),"Value Missing",input_wld_az1_rack3_secondary_storage_gateway_ip)</f>
        <v>Value Missing</v>
      </c>
      <c r="P90" s="1"/>
      <c r="Q90" s="84" t="s">
        <v>1717</v>
      </c>
      <c r="R90" s="18" t="str">
        <f>IF(ISBLANK(input_wld_az1_rack4_secondary_storage_gateway_ip),"Value Missing",input_wld_az1_rack4_secondary_storage_gateway_ip)</f>
        <v>Value Missing</v>
      </c>
      <c r="S90" s="1"/>
      <c r="T90" s="84" t="s">
        <v>1717</v>
      </c>
      <c r="U90" s="18" t="str">
        <f>IF(ISBLANK(input_wld_az1_rack5_secondary_storage_gateway_ip),"Value Missing",input_wld_az1_rack5_secondary_storage_gateway_ip)</f>
        <v>Value Missing</v>
      </c>
      <c r="V90" s="1"/>
      <c r="W90" s="84" t="s">
        <v>1717</v>
      </c>
      <c r="X90" s="18" t="str">
        <f>IF(ISBLANK(input_wld_az1_rack6_secondary_storage_gateway_ip),"Value Missing",input_wld_az1_rack6_secondary_storage_gateway_ip)</f>
        <v>Value Missing</v>
      </c>
      <c r="Y90" s="1"/>
      <c r="Z90" s="84" t="s">
        <v>1717</v>
      </c>
      <c r="AA90" s="18" t="str">
        <f>IF(ISBLANK(input_wld_az1_rack7_secondary_storage_gateway_ip),"Value Missing",input_wld_az1_rack7_secondary_storage_gateway_ip)</f>
        <v>Value Missing</v>
      </c>
      <c r="AB90" s="1"/>
      <c r="AC90" s="84" t="s">
        <v>1717</v>
      </c>
      <c r="AD90" s="18" t="str">
        <f>IF(ISBLANK(input_wld_az1_rack8_secondary_storage_gateway_ip),"Value Missing",input_wld_az1_rack8_secondary_storage_gateway_ip)</f>
        <v>Value Missing</v>
      </c>
      <c r="AE90" s="1"/>
      <c r="AF90" s="1"/>
      <c r="AG90" s="41"/>
      <c r="AH90" s="41"/>
      <c r="AI90" s="41"/>
      <c r="AJ90" s="41"/>
      <c r="AK90" s="1"/>
    </row>
    <row r="91" ht="19.5" customHeight="1">
      <c r="A91" s="1"/>
      <c r="B91" s="1"/>
      <c r="C91" s="1"/>
      <c r="D91" s="1"/>
      <c r="E91" s="84"/>
      <c r="F91" s="18"/>
      <c r="G91" s="1"/>
      <c r="H91" s="84" t="s">
        <v>1244</v>
      </c>
      <c r="I91" s="18" t="str">
        <f>IF(ISBLANK(input_wld_az1_storage_cluster_gateway_ip),"Value Missing",input_wld_az1_storage_cluster_gateway_ip)</f>
        <v>Value Missing</v>
      </c>
      <c r="J91" s="1"/>
      <c r="K91" s="84"/>
      <c r="L91" s="18"/>
      <c r="M91" s="1"/>
      <c r="N91" s="84"/>
      <c r="O91" s="18"/>
      <c r="P91" s="1"/>
      <c r="Q91" s="84"/>
      <c r="R91" s="18"/>
      <c r="S91" s="1"/>
      <c r="T91" s="84"/>
      <c r="U91" s="18"/>
      <c r="V91" s="1"/>
      <c r="W91" s="84"/>
      <c r="X91" s="18"/>
      <c r="Y91" s="1"/>
      <c r="Z91" s="84"/>
      <c r="AA91" s="18"/>
      <c r="AB91" s="1"/>
      <c r="AC91" s="84"/>
      <c r="AD91" s="18"/>
      <c r="AE91" s="1"/>
      <c r="AF91" s="1"/>
      <c r="AG91" s="41"/>
      <c r="AH91" s="41"/>
      <c r="AI91" s="41"/>
      <c r="AJ91" s="41"/>
      <c r="AK91" s="1"/>
    </row>
    <row r="92" ht="19.5" customHeight="1">
      <c r="A92" s="1"/>
      <c r="B92" s="1"/>
      <c r="C92" s="1"/>
      <c r="D92" s="1"/>
      <c r="E92" s="84" t="s">
        <v>1719</v>
      </c>
      <c r="F92" s="18" t="str">
        <f>IF(ISBLANK(input_mgmt_az1_uplink01_gateway_ip),"Value Missing",input_mgmt_az1_uplink01_gateway_ip)</f>
        <v>Value Missing</v>
      </c>
      <c r="G92" s="1"/>
      <c r="H92" s="84" t="s">
        <v>1719</v>
      </c>
      <c r="I92" s="18" t="str">
        <f>IF(ISBLANK(input_wld_az1_uplink01_gateway_ip),"Value Missing",input_wld_az1_uplink01_gateway_ip)</f>
        <v>Value Missing</v>
      </c>
      <c r="J92" s="1"/>
      <c r="K92" s="84" t="s">
        <v>1719</v>
      </c>
      <c r="L92" s="18" t="str">
        <f>IF(ISBLANK(input_wld_az1_rack2_uplink01_gateway_ip),"Value Missing",input_wld_az1_rack2_uplink01_gateway_ip)</f>
        <v>Value Missing</v>
      </c>
      <c r="M92" s="1"/>
      <c r="N92" s="84" t="s">
        <v>1719</v>
      </c>
      <c r="O92" s="18" t="str">
        <f>IF(ISBLANK(input_wld_az1_rack3_uplink01_gateway_ip),"Value Missing",input_wld_az1_rack3_uplink01_gateway_ip)</f>
        <v>Value Missing</v>
      </c>
      <c r="P92" s="1"/>
      <c r="Q92" s="84" t="s">
        <v>1719</v>
      </c>
      <c r="R92" s="18" t="str">
        <f>IF(ISBLANK(input_wld_az1_rack4_uplink01_gateway_ip),"Value Missing",input_wld_az1_rack4_uplink01_gateway_ip)</f>
        <v>Value Missing</v>
      </c>
      <c r="S92" s="1"/>
      <c r="T92" s="84" t="s">
        <v>1719</v>
      </c>
      <c r="U92" s="18" t="str">
        <f>IF(ISBLANK(input_wld_az1_rack5_uplink01_gateway_ip),"Value Missing",input_wld_az1_rack5_uplink01_gateway_ip)</f>
        <v>Value Missing</v>
      </c>
      <c r="V92" s="1"/>
      <c r="W92" s="84" t="s">
        <v>1719</v>
      </c>
      <c r="X92" s="18" t="str">
        <f>IF(ISBLANK(input_wld_az1_rack6_uplink01_gateway_ip),"Value Missing",input_wld_az1_rack6_uplink01_gateway_ip)</f>
        <v>Value Missing</v>
      </c>
      <c r="Y92" s="1"/>
      <c r="Z92" s="84" t="s">
        <v>1719</v>
      </c>
      <c r="AA92" s="18" t="str">
        <f>IF(ISBLANK(input_wld_az1_rack7_uplink01_gateway_ip),"Value Missing",input_wld_az1_rack7_uplink01_gateway_ip)</f>
        <v>Value Missing</v>
      </c>
      <c r="AB92" s="1"/>
      <c r="AC92" s="84" t="s">
        <v>1719</v>
      </c>
      <c r="AD92" s="18" t="str">
        <f>IF(ISBLANK(input_wld_az1_rack8_uplink01_gateway_ip),"Value Missing",input_wld_az1_rack8_uplink01_gateway_ip)</f>
        <v>Value Missing</v>
      </c>
      <c r="AE92" s="1"/>
      <c r="AF92" s="1"/>
      <c r="AG92" s="41"/>
      <c r="AH92" s="41"/>
      <c r="AI92" s="41"/>
      <c r="AJ92" s="41"/>
      <c r="AK92" s="1"/>
    </row>
    <row r="93" ht="19.5" customHeight="1">
      <c r="A93" s="1"/>
      <c r="B93" s="1"/>
      <c r="C93" s="1"/>
      <c r="D93" s="1"/>
      <c r="E93" s="84" t="s">
        <v>1720</v>
      </c>
      <c r="F93" s="18" t="str">
        <f>IF(ISBLANK(input_mgmt_az1_uplink02_gateway_ip),"Value Missing",input_mgmt_az1_uplink02_gateway_ip)</f>
        <v>Value Missing</v>
      </c>
      <c r="G93" s="8"/>
      <c r="H93" s="84" t="s">
        <v>1720</v>
      </c>
      <c r="I93" s="18" t="str">
        <f>IF(ISBLANK(input_wld_az1_uplink02_gateway_ip),"Value Missing",input_wld_az1_uplink02_gateway_ip)</f>
        <v>Value Missing</v>
      </c>
      <c r="J93" s="8"/>
      <c r="K93" s="84" t="s">
        <v>1720</v>
      </c>
      <c r="L93" s="18" t="str">
        <f>IF(ISBLANK(input_wld_az1_rack2_uplink02_gateway_ip),"Value Missing",input_wld_az1_rack2_uplink02_gateway_ip)</f>
        <v>Value Missing</v>
      </c>
      <c r="M93" s="1"/>
      <c r="N93" s="84" t="s">
        <v>1720</v>
      </c>
      <c r="O93" s="18" t="str">
        <f>IF(ISBLANK(input_wld_az1_rack3_uplink02_gateway_ip),"Value Missing",input_wld_az1_rack3_uplink02_gateway_ip)</f>
        <v>Value Missing</v>
      </c>
      <c r="P93" s="1"/>
      <c r="Q93" s="84" t="s">
        <v>1720</v>
      </c>
      <c r="R93" s="18" t="str">
        <f>IF(ISBLANK(input_wld_az1_rack4_uplink02_gateway_ip),"Value Missing",input_wld_az1_rack4_uplink02_gateway_ip)</f>
        <v>Value Missing</v>
      </c>
      <c r="S93" s="1"/>
      <c r="T93" s="84" t="s">
        <v>1720</v>
      </c>
      <c r="U93" s="18" t="str">
        <f>IF(ISBLANK(input_wld_az1_rack5_uplink02_gateway_ip),"Value Missing",input_wld_az1_rack5_uplink02_gateway_ip)</f>
        <v>Value Missing</v>
      </c>
      <c r="V93" s="1"/>
      <c r="W93" s="84" t="s">
        <v>1720</v>
      </c>
      <c r="X93" s="18" t="str">
        <f>IF(ISBLANK(input_wld_az1_rack6_uplink02_gateway_ip),"Value Missing",input_wld_az1_rack6_uplink02_gateway_ip)</f>
        <v>Value Missing</v>
      </c>
      <c r="Y93" s="1"/>
      <c r="Z93" s="84" t="s">
        <v>1720</v>
      </c>
      <c r="AA93" s="18" t="str">
        <f>IF(ISBLANK(input_wld_az1_rack7_uplink02_gateway_ip),"Value Missing",input_wld_az1_rack7_uplink02_gateway_ip)</f>
        <v>Value Missing</v>
      </c>
      <c r="AB93" s="1"/>
      <c r="AC93" s="84" t="s">
        <v>1720</v>
      </c>
      <c r="AD93" s="18" t="str">
        <f>IF(ISBLANK(input_wld_az1_rack8_uplink02_gateway_ip),"Value Missing",input_wld_az1_rack8_uplink02_gateway_ip)</f>
        <v>Value Missing</v>
      </c>
      <c r="AE93" s="1"/>
      <c r="AF93" s="1"/>
      <c r="AG93" s="41"/>
      <c r="AH93" s="41"/>
      <c r="AI93" s="41"/>
      <c r="AJ93" s="41"/>
      <c r="AK93" s="1"/>
    </row>
    <row r="94" ht="19.5" customHeight="1">
      <c r="A94" s="1"/>
      <c r="B94" s="1"/>
      <c r="C94" s="1"/>
      <c r="D94" s="1"/>
      <c r="E94" s="84" t="s">
        <v>1722</v>
      </c>
      <c r="F94" s="18" t="str">
        <f>IF(ISBLANK(input_mgmt_az1_edge_overlay_gateway_ip),"Value Missing",input_mgmt_az1_edge_overlay_gateway_ip)</f>
        <v>Value Missing</v>
      </c>
      <c r="G94" s="1"/>
      <c r="H94" s="84" t="s">
        <v>1722</v>
      </c>
      <c r="I94" s="18" t="str">
        <f>IF(ISBLANK(input_wld_az1_edge_overlay_gateway_ip),"Value Missing",input_wld_az1_edge_overlay_gateway_ip)</f>
        <v>Value Missing</v>
      </c>
      <c r="J94" s="1"/>
      <c r="K94" s="84" t="s">
        <v>1722</v>
      </c>
      <c r="L94" s="18" t="str">
        <f>IF(ISBLANK(input_wld_az1_rack2_edge_overlay_gateway_ip),"Value Missing",input_wld_az1_rack2_edge_overlay_gateway_ip)</f>
        <v>Value Missing</v>
      </c>
      <c r="M94" s="8"/>
      <c r="N94" s="84" t="s">
        <v>1722</v>
      </c>
      <c r="O94" s="18" t="str">
        <f>IF(ISBLANK(input_wld_az1_rack3_edge_overlay_gateway_ip),"Value Missing",input_wld_az1_rack3_edge_overlay_gateway_ip)</f>
        <v>Value Missing</v>
      </c>
      <c r="P94" s="1"/>
      <c r="Q94" s="84" t="s">
        <v>1722</v>
      </c>
      <c r="R94" s="18" t="str">
        <f>IF(ISBLANK(input_wld_az1_rack4_edge_overlay_gateway_ip),"Value Missing",input_wld_az1_rack4_edge_overlay_gateway_ip)</f>
        <v>Value Missing</v>
      </c>
      <c r="S94" s="1"/>
      <c r="T94" s="84" t="s">
        <v>1722</v>
      </c>
      <c r="U94" s="18" t="str">
        <f>IF(ISBLANK(input_wld_az1_rack5_edge_overlay_gateway_ip),"Value Missing",input_wld_az1_rack5_edge_overlay_gateway_ip)</f>
        <v>Value Missing</v>
      </c>
      <c r="V94" s="1"/>
      <c r="W94" s="84" t="s">
        <v>1722</v>
      </c>
      <c r="X94" s="18" t="str">
        <f>IF(ISBLANK(input_wld_az1_rack6_edge_overlay_gateway_ip),"Value Missing",input_wld_az1_rack6_edge_overlay_gateway_ip)</f>
        <v>Value Missing</v>
      </c>
      <c r="Y94" s="1"/>
      <c r="Z94" s="84" t="s">
        <v>1722</v>
      </c>
      <c r="AA94" s="18" t="str">
        <f>IF(ISBLANK(input_wld_az1_rack7_edge_overlay_gateway_ip),"Value Missing",input_wld_az1_rack7_edge_overlay_gateway_ip)</f>
        <v>Value Missing</v>
      </c>
      <c r="AB94" s="1"/>
      <c r="AC94" s="84" t="s">
        <v>1722</v>
      </c>
      <c r="AD94" s="18" t="str">
        <f>IF(ISBLANK(input_wld_az1_rack8_edge_overlay_gateway_ip),"Value Missing",input_wld_az1_rack8_edge_overlay_gateway_ip)</f>
        <v>Value Missing</v>
      </c>
      <c r="AE94" s="1"/>
      <c r="AF94" s="1"/>
      <c r="AG94" s="41"/>
      <c r="AH94" s="41"/>
      <c r="AI94" s="41"/>
      <c r="AJ94" s="41"/>
      <c r="AK94" s="1"/>
    </row>
    <row r="95" ht="19.5" customHeight="1">
      <c r="A95" s="1"/>
      <c r="B95" s="1"/>
      <c r="C95" s="1"/>
      <c r="D95" s="1"/>
      <c r="E95" s="84" t="s">
        <v>1724</v>
      </c>
      <c r="F95" s="18" t="str">
        <f>IF(ISBLANK(input_mgmt_az1_rtep_overlay_gateway_ip),"Value Missing",input_mgmt_az1_rtep_overlay_gateway_ip)</f>
        <v>Value Missing</v>
      </c>
      <c r="G95" s="1"/>
      <c r="H95" s="84" t="s">
        <v>1724</v>
      </c>
      <c r="I95" s="18" t="str">
        <f>IF(ISBLANK(input_wld_az1_rtep_overlay_gateway_ip),"Value Missing",input_wld_az1_rtep_overlay_gateway_ip)</f>
        <v>Value Missing</v>
      </c>
      <c r="J95" s="1"/>
      <c r="K95" s="84" t="s">
        <v>1724</v>
      </c>
      <c r="L95" s="18"/>
      <c r="M95" s="1"/>
      <c r="N95" s="84" t="s">
        <v>1724</v>
      </c>
      <c r="O95" s="18"/>
      <c r="P95" s="1"/>
      <c r="Q95" s="84" t="s">
        <v>1724</v>
      </c>
      <c r="R95" s="18"/>
      <c r="S95" s="1"/>
      <c r="T95" s="84" t="s">
        <v>1724</v>
      </c>
      <c r="U95" s="18"/>
      <c r="V95" s="1"/>
      <c r="W95" s="84" t="s">
        <v>1724</v>
      </c>
      <c r="X95" s="18"/>
      <c r="Y95" s="1"/>
      <c r="Z95" s="84" t="s">
        <v>1724</v>
      </c>
      <c r="AA95" s="18"/>
      <c r="AB95" s="1"/>
      <c r="AC95" s="84" t="s">
        <v>1724</v>
      </c>
      <c r="AD95" s="18"/>
      <c r="AE95" s="1"/>
      <c r="AF95" s="1"/>
      <c r="AG95" s="41"/>
      <c r="AH95" s="41"/>
      <c r="AI95" s="41"/>
      <c r="AJ95" s="41"/>
      <c r="AK95" s="1"/>
    </row>
    <row r="96" ht="19.5" customHeight="1">
      <c r="A96" s="1"/>
      <c r="B96" s="1"/>
      <c r="C96" s="1"/>
      <c r="D96" s="1"/>
      <c r="E96" s="84" t="s">
        <v>1726</v>
      </c>
      <c r="F96" s="18"/>
      <c r="G96" s="1"/>
      <c r="H96" s="84" t="s">
        <v>1726</v>
      </c>
      <c r="I96" s="18" t="str">
        <f>IF(ISBLANK(input_wld_az1_vrms_gateway_ip),"Value Missing",input_wld_az1_vrms_gateway_ip)</f>
        <v>Value Missing</v>
      </c>
      <c r="J96" s="1"/>
      <c r="K96" s="84" t="s">
        <v>1726</v>
      </c>
      <c r="L96" s="18"/>
      <c r="M96" s="1"/>
      <c r="N96" s="84" t="s">
        <v>1726</v>
      </c>
      <c r="O96" s="18"/>
      <c r="P96" s="1"/>
      <c r="Q96" s="84" t="s">
        <v>1726</v>
      </c>
      <c r="R96" s="18"/>
      <c r="S96" s="1"/>
      <c r="T96" s="84" t="s">
        <v>1726</v>
      </c>
      <c r="U96" s="18"/>
      <c r="V96" s="1"/>
      <c r="W96" s="84" t="s">
        <v>1726</v>
      </c>
      <c r="X96" s="18"/>
      <c r="Y96" s="1"/>
      <c r="Z96" s="84" t="s">
        <v>1726</v>
      </c>
      <c r="AA96" s="18"/>
      <c r="AB96" s="1"/>
      <c r="AC96" s="84" t="s">
        <v>1726</v>
      </c>
      <c r="AD96" s="18"/>
      <c r="AE96" s="1"/>
      <c r="AF96" s="1"/>
      <c r="AG96" s="41"/>
      <c r="AH96" s="41"/>
      <c r="AI96" s="41"/>
      <c r="AJ96" s="41"/>
      <c r="AK96" s="1"/>
    </row>
    <row r="97" ht="19.5" customHeight="1">
      <c r="A97" s="41"/>
      <c r="B97" s="1"/>
      <c r="C97" s="1"/>
      <c r="D97" s="41"/>
      <c r="E97" s="1"/>
      <c r="F97" s="1"/>
      <c r="G97" s="1"/>
      <c r="H97" s="1"/>
      <c r="I97" s="1"/>
      <c r="J97" s="1"/>
      <c r="K97" s="1"/>
      <c r="L97" s="1"/>
      <c r="M97" s="1"/>
      <c r="N97" s="1"/>
      <c r="O97" s="1"/>
      <c r="P97" s="1"/>
      <c r="Q97" s="1"/>
      <c r="R97" s="1"/>
      <c r="S97" s="1"/>
      <c r="T97" s="1"/>
      <c r="U97" s="1"/>
      <c r="V97" s="1"/>
      <c r="W97" s="1"/>
      <c r="X97" s="1"/>
      <c r="Y97" s="1"/>
      <c r="Z97" s="1"/>
      <c r="AA97" s="1"/>
      <c r="AB97" s="1"/>
      <c r="AC97" s="1"/>
      <c r="AD97" s="1"/>
      <c r="AE97" s="41"/>
      <c r="AF97" s="41"/>
      <c r="AG97" s="41"/>
      <c r="AH97" s="41"/>
      <c r="AI97" s="41"/>
      <c r="AJ97" s="41"/>
      <c r="AK97" s="41"/>
    </row>
    <row r="98" ht="19.5" customHeight="1">
      <c r="A98" s="41"/>
      <c r="B98" s="1"/>
      <c r="C98" s="1"/>
      <c r="D98" s="41"/>
      <c r="E98" s="309" t="s">
        <v>1789</v>
      </c>
      <c r="F98" s="310"/>
      <c r="G98" s="1"/>
      <c r="H98" s="309" t="s">
        <v>1790</v>
      </c>
      <c r="I98" s="310"/>
      <c r="J98" s="1"/>
      <c r="K98" s="309" t="s">
        <v>1791</v>
      </c>
      <c r="L98" s="310"/>
      <c r="M98" s="1"/>
      <c r="N98" s="309" t="s">
        <v>1792</v>
      </c>
      <c r="O98" s="310"/>
      <c r="P98" s="35"/>
      <c r="Q98" s="309" t="s">
        <v>1793</v>
      </c>
      <c r="R98" s="310"/>
      <c r="S98" s="1"/>
      <c r="T98" s="309" t="s">
        <v>1794</v>
      </c>
      <c r="U98" s="310"/>
      <c r="V98" s="1"/>
      <c r="W98" s="309" t="s">
        <v>1795</v>
      </c>
      <c r="X98" s="310"/>
      <c r="Y98" s="1"/>
      <c r="Z98" s="309" t="s">
        <v>1796</v>
      </c>
      <c r="AA98" s="310"/>
      <c r="AB98" s="1"/>
      <c r="AC98" s="309" t="s">
        <v>1797</v>
      </c>
      <c r="AD98" s="310"/>
      <c r="AE98" s="41"/>
      <c r="AF98" s="41"/>
      <c r="AG98" s="41"/>
      <c r="AH98" s="41"/>
      <c r="AI98" s="41"/>
      <c r="AJ98" s="41"/>
      <c r="AK98" s="41"/>
    </row>
    <row r="99" ht="19.5" customHeight="1">
      <c r="A99" s="1"/>
      <c r="B99" s="1"/>
      <c r="C99" s="1"/>
      <c r="D99" s="1"/>
      <c r="E99" s="15" t="s">
        <v>256</v>
      </c>
      <c r="F99" s="15" t="s">
        <v>1707</v>
      </c>
      <c r="G99" s="1"/>
      <c r="H99" s="15" t="s">
        <v>256</v>
      </c>
      <c r="I99" s="15" t="s">
        <v>1707</v>
      </c>
      <c r="J99" s="1"/>
      <c r="K99" s="15" t="s">
        <v>256</v>
      </c>
      <c r="L99" s="15" t="s">
        <v>1707</v>
      </c>
      <c r="M99" s="1"/>
      <c r="N99" s="15" t="s">
        <v>256</v>
      </c>
      <c r="O99" s="15" t="s">
        <v>1707</v>
      </c>
      <c r="P99" s="8"/>
      <c r="Q99" s="15" t="s">
        <v>256</v>
      </c>
      <c r="R99" s="15" t="s">
        <v>1707</v>
      </c>
      <c r="S99" s="8"/>
      <c r="T99" s="15" t="s">
        <v>256</v>
      </c>
      <c r="U99" s="15" t="s">
        <v>1707</v>
      </c>
      <c r="V99" s="8"/>
      <c r="W99" s="15" t="s">
        <v>256</v>
      </c>
      <c r="X99" s="15" t="s">
        <v>1707</v>
      </c>
      <c r="Y99" s="8"/>
      <c r="Z99" s="15" t="s">
        <v>256</v>
      </c>
      <c r="AA99" s="15" t="s">
        <v>1707</v>
      </c>
      <c r="AB99" s="8"/>
      <c r="AC99" s="15" t="s">
        <v>256</v>
      </c>
      <c r="AD99" s="15" t="s">
        <v>1707</v>
      </c>
      <c r="AE99" s="1"/>
      <c r="AF99" s="1"/>
      <c r="AG99" s="41"/>
      <c r="AH99" s="41"/>
      <c r="AI99" s="41"/>
      <c r="AJ99" s="41"/>
      <c r="AK99" s="1"/>
    </row>
    <row r="100" ht="19.5" customHeight="1">
      <c r="A100" s="319"/>
      <c r="B100" s="1"/>
      <c r="C100" s="1"/>
      <c r="D100" s="319"/>
      <c r="E100" s="84" t="s">
        <v>1439</v>
      </c>
      <c r="F100" s="18" t="str">
        <f>IF(ISBLANK(input_mgmt_en_asn),"Value Missing",input_mgmt_en_asn)</f>
        <v>Value Missing</v>
      </c>
      <c r="G100" s="1"/>
      <c r="H100" s="84" t="s">
        <v>1439</v>
      </c>
      <c r="I100" s="18" t="str">
        <f>IF(ISBLANK(input_wld_en_asn),"Value Missing",input_wld_en_asn)</f>
        <v>Value Missing</v>
      </c>
      <c r="J100" s="1"/>
      <c r="K100" s="84" t="s">
        <v>1439</v>
      </c>
      <c r="L100" s="18" t="str">
        <f>IF(ISBLANK(input_wld_rack2_en_asn),"Value Missing",input_wld_rack2_en_asn)</f>
        <v>Value Missing</v>
      </c>
      <c r="M100" s="1"/>
      <c r="N100" s="84" t="s">
        <v>1439</v>
      </c>
      <c r="O100" s="18" t="str">
        <f>IF(ISBLANK(input_wld_rack3_en_asn),"Value Missing",input_wld_rack3_en_asn)</f>
        <v>Value Missing</v>
      </c>
      <c r="P100" s="1"/>
      <c r="Q100" s="84" t="s">
        <v>1439</v>
      </c>
      <c r="R100" s="18" t="str">
        <f>IF(ISBLANK(input_wld_rack4_en_asn),"Value Missing",input_wld_rack4_en_asn)</f>
        <v>Value Missing</v>
      </c>
      <c r="S100" s="1"/>
      <c r="T100" s="84" t="s">
        <v>1439</v>
      </c>
      <c r="U100" s="18" t="str">
        <f>IF(ISBLANK(input_wld_rack5_en_asn),"Value Missing",input_wld_rack5_en_asn)</f>
        <v>Value Missing</v>
      </c>
      <c r="V100" s="1"/>
      <c r="W100" s="84" t="s">
        <v>1439</v>
      </c>
      <c r="X100" s="18" t="str">
        <f>IF(ISBLANK(input_wld_rack6_en_asn),"Value Missing",input_wld_rack6_en_asn)</f>
        <v>Value Missing</v>
      </c>
      <c r="Y100" s="1"/>
      <c r="Z100" s="84" t="s">
        <v>1439</v>
      </c>
      <c r="AA100" s="18" t="str">
        <f>IF(ISBLANK(input_wld_rack7_en_asn),"Value Missing",input_wld_rack7_en_asn)</f>
        <v>Value Missing</v>
      </c>
      <c r="AB100" s="1"/>
      <c r="AC100" s="84" t="s">
        <v>1439</v>
      </c>
      <c r="AD100" s="18" t="str">
        <f>IF(ISBLANK(input_wld_rack8_en_asn),"Value Missing",input_wld_rack8_en_asn)</f>
        <v>Value Missing</v>
      </c>
      <c r="AE100" s="319"/>
      <c r="AF100" s="319"/>
      <c r="AG100" s="195"/>
      <c r="AH100" s="195"/>
      <c r="AI100" s="195"/>
      <c r="AJ100" s="195"/>
      <c r="AK100" s="319"/>
    </row>
    <row r="101" ht="19.5" customHeight="1">
      <c r="A101" s="1"/>
      <c r="B101" s="1"/>
      <c r="C101" s="1"/>
      <c r="D101" s="1"/>
      <c r="E101" s="84" t="s">
        <v>658</v>
      </c>
      <c r="F101" s="18" t="str">
        <f>IF(ISBLANK(input_mgmt_az1_tor1_peer_ip),"Value Missing",input_mgmt_az1_tor1_peer_ip)</f>
        <v>Value Missing</v>
      </c>
      <c r="G101" s="1"/>
      <c r="H101" s="84" t="s">
        <v>658</v>
      </c>
      <c r="I101" s="18" t="str">
        <f>IF(ISBLANK(input_wld_az1_tor1_peer_ip),"Value Missing",input_wld_az1_tor1_peer_ip)</f>
        <v>Value Missing</v>
      </c>
      <c r="J101" s="1"/>
      <c r="K101" s="84" t="s">
        <v>658</v>
      </c>
      <c r="L101" s="18" t="str">
        <f>IF(ISBLANK(input_wld_az1_rack2_tor1_peer_ip),"Value Missing",input_wld_az1_rack2_tor1_peer_ip)</f>
        <v>Value Missing</v>
      </c>
      <c r="M101" s="1"/>
      <c r="N101" s="84" t="s">
        <v>658</v>
      </c>
      <c r="O101" s="18" t="str">
        <f>IF(ISBLANK(input_wld_az1_rack3_tor1_peer_ip),"Value Missing",input_wld_az1_rack3_tor1_peer_ip)</f>
        <v>Value Missing</v>
      </c>
      <c r="P101" s="1"/>
      <c r="Q101" s="84" t="s">
        <v>658</v>
      </c>
      <c r="R101" s="18" t="str">
        <f>IF(ISBLANK(input_wld_az1_rack4_tor1_peer_ip),"Value Missing",input_wld_az1_rack4_tor1_peer_ip)</f>
        <v>Value Missing</v>
      </c>
      <c r="S101" s="1"/>
      <c r="T101" s="84" t="s">
        <v>658</v>
      </c>
      <c r="U101" s="18" t="str">
        <f>IF(ISBLANK(input_wld_az1_rack5_tor1_peer_ip),"Value Missing",input_wld_az1_rack5_tor1_peer_ip)</f>
        <v>Value Missing</v>
      </c>
      <c r="V101" s="1"/>
      <c r="W101" s="84" t="s">
        <v>658</v>
      </c>
      <c r="X101" s="18" t="str">
        <f>IF(ISBLANK(input_wld_az1_rack6_tor1_peer_ip),"Value Missing",input_wld_az1_rack6_tor1_peer_ip)</f>
        <v>Value Missing</v>
      </c>
      <c r="Y101" s="1"/>
      <c r="Z101" s="84" t="s">
        <v>658</v>
      </c>
      <c r="AA101" s="18" t="str">
        <f>IF(ISBLANK(input_wld_az1_rack7_tor1_peer_ip),"Value Missing",input_wld_az1_rack7_tor1_peer_ip)</f>
        <v>Value Missing</v>
      </c>
      <c r="AB101" s="1"/>
      <c r="AC101" s="84" t="s">
        <v>658</v>
      </c>
      <c r="AD101" s="18" t="str">
        <f>IF(ISBLANK(input_wld_az1_rack8_tor1_peer_ip),"Value Missing",input_wld_az1_rack8_tor1_peer_ip)</f>
        <v>Value Missing</v>
      </c>
      <c r="AE101" s="1"/>
      <c r="AF101" s="1"/>
      <c r="AG101" s="41"/>
      <c r="AH101" s="41"/>
      <c r="AI101" s="41"/>
      <c r="AJ101" s="41"/>
      <c r="AK101" s="1"/>
    </row>
    <row r="102" ht="19.5" customHeight="1">
      <c r="A102" s="1"/>
      <c r="B102" s="1"/>
      <c r="C102" s="1"/>
      <c r="D102" s="1"/>
      <c r="E102" s="84" t="s">
        <v>659</v>
      </c>
      <c r="F102" s="18" t="str">
        <f>IF(ISBLANK(input_mgmt_az1_tor1_peer_asn),"Value Missing",input_mgmt_az1_tor1_peer_asn)</f>
        <v>Value Missing</v>
      </c>
      <c r="G102" s="1"/>
      <c r="H102" s="84" t="s">
        <v>659</v>
      </c>
      <c r="I102" s="18" t="str">
        <f>IF(ISBLANK(input_wld_az1_tor1_peer_asn),"Value Missing",input_wld_az1_tor1_peer_asn)</f>
        <v>Value Missing</v>
      </c>
      <c r="J102" s="1"/>
      <c r="K102" s="84" t="s">
        <v>659</v>
      </c>
      <c r="L102" s="18" t="str">
        <f>IF(ISBLANK(input_wld_az1_rack2_tor1_peer_asn),"Value Missing",input_wld_az1_rack2_tor1_peer_asn)</f>
        <v>Value Missing</v>
      </c>
      <c r="M102" s="1"/>
      <c r="N102" s="84" t="s">
        <v>659</v>
      </c>
      <c r="O102" s="18" t="str">
        <f>IF(ISBLANK(input_wld_az1_rack3_tor1_peer_asn),"Value Missing",input_wld_az1_rack3_tor1_peer_asn)</f>
        <v>Value Missing</v>
      </c>
      <c r="P102" s="1"/>
      <c r="Q102" s="84" t="s">
        <v>659</v>
      </c>
      <c r="R102" s="18" t="str">
        <f>IF(ISBLANK(input_wld_az1_rack4_tor1_peer_asn),"Value Missing",input_wld_az1_rack4_tor1_peer_asn)</f>
        <v>Value Missing</v>
      </c>
      <c r="S102" s="1"/>
      <c r="T102" s="84" t="s">
        <v>659</v>
      </c>
      <c r="U102" s="18" t="str">
        <f>IF(ISBLANK(input_wld_az1_rack5_tor1_peer_asn),"Value Missing",input_wld_az1_rack5_tor1_peer_asn)</f>
        <v>Value Missing</v>
      </c>
      <c r="V102" s="1"/>
      <c r="W102" s="84" t="s">
        <v>659</v>
      </c>
      <c r="X102" s="18" t="str">
        <f>IF(ISBLANK(input_wld_az1_rack6_tor1_peer_asn),"Value Missing",input_wld_az1_rack6_tor1_peer_asn)</f>
        <v>Value Missing</v>
      </c>
      <c r="Y102" s="1"/>
      <c r="Z102" s="84" t="s">
        <v>659</v>
      </c>
      <c r="AA102" s="18" t="str">
        <f>IF(ISBLANK(input_wld_az1_rack7_tor1_peer_asn),"Value Missing",input_wld_az1_rack7_tor1_peer_asn)</f>
        <v>Value Missing</v>
      </c>
      <c r="AB102" s="1"/>
      <c r="AC102" s="84" t="s">
        <v>659</v>
      </c>
      <c r="AD102" s="18" t="str">
        <f>IF(ISBLANK(input_wld_az1_rack8_tor1_peer_asn),"Value Missing",input_wld_az1_rack8_tor1_peer_asn)</f>
        <v>Value Missing</v>
      </c>
      <c r="AE102" s="1"/>
      <c r="AF102" s="1"/>
      <c r="AG102" s="41"/>
      <c r="AH102" s="41"/>
      <c r="AI102" s="41"/>
      <c r="AJ102" s="41"/>
      <c r="AK102" s="1"/>
    </row>
    <row r="103" ht="19.5" customHeight="1">
      <c r="A103" s="1"/>
      <c r="B103" s="1"/>
      <c r="C103" s="1"/>
      <c r="D103" s="1"/>
      <c r="E103" s="84" t="s">
        <v>660</v>
      </c>
      <c r="F103" s="18" t="str">
        <f>IF(ISBLANK(input_mgmt_az1_tor1_peer_bgp_password),"Value Missing",input_mgmt_az1_tor1_peer_bgp_password)</f>
        <v>Value Missing</v>
      </c>
      <c r="G103" s="8"/>
      <c r="H103" s="84" t="s">
        <v>660</v>
      </c>
      <c r="I103" s="18" t="str">
        <f>IF(ISBLANK(input_wld_az1_tor1_peer_bgp_password),"Value Missing",input_wld_az1_tor1_peer_bgp_password)</f>
        <v>Value Missing</v>
      </c>
      <c r="J103" s="8"/>
      <c r="K103" s="84" t="s">
        <v>660</v>
      </c>
      <c r="L103" s="18" t="str">
        <f>IF(ISBLANK(input_wld_az1_rack2_tor1_peer_bgp_password),"Value Missing",input_wld_az1_rack2_tor1_peer_bgp_password)</f>
        <v>Value Missing</v>
      </c>
      <c r="M103" s="1"/>
      <c r="N103" s="84" t="s">
        <v>660</v>
      </c>
      <c r="O103" s="18" t="str">
        <f>IF(ISBLANK(input_wld_az1_rack3_tor1_peer_bgp_password),"Value Missing",input_wld_az1_rack3_tor1_peer_bgp_password)</f>
        <v>Value Missing</v>
      </c>
      <c r="P103" s="1"/>
      <c r="Q103" s="84" t="s">
        <v>660</v>
      </c>
      <c r="R103" s="18" t="str">
        <f>IF(ISBLANK(input_wld_az1_rack4_tor1_peer_bgp_password),"Value Missing",input_wld_az1_rack4_tor1_peer_bgp_password)</f>
        <v>Value Missing</v>
      </c>
      <c r="S103" s="1"/>
      <c r="T103" s="84" t="s">
        <v>660</v>
      </c>
      <c r="U103" s="18" t="str">
        <f>IF(ISBLANK(input_wld_az1_rack5_tor1_peer_bgp_password),"Value Missing",input_wld_az1_rack5_tor1_peer_bgp_password)</f>
        <v>Value Missing</v>
      </c>
      <c r="V103" s="1"/>
      <c r="W103" s="84" t="s">
        <v>660</v>
      </c>
      <c r="X103" s="18" t="str">
        <f>IF(ISBLANK(input_wld_az1_rack6_tor1_peer_bgp_password),"Value Missing",input_wld_az1_rack6_tor1_peer_bgp_password)</f>
        <v>Value Missing</v>
      </c>
      <c r="Y103" s="1"/>
      <c r="Z103" s="84" t="s">
        <v>660</v>
      </c>
      <c r="AA103" s="18" t="str">
        <f>IF(ISBLANK(input_wld_az1_rack7_tor1_peer_bgp_password),"Value Missing",input_wld_az1_rack7_tor1_peer_bgp_password)</f>
        <v>Value Missing</v>
      </c>
      <c r="AB103" s="1"/>
      <c r="AC103" s="84" t="s">
        <v>660</v>
      </c>
      <c r="AD103" s="18" t="str">
        <f>IF(ISBLANK(input_wld_az1_rack8_tor1_peer_bgp_password),"Value Missing",input_wld_az1_rack8_tor1_peer_bgp_password)</f>
        <v>Value Missing</v>
      </c>
      <c r="AE103" s="1"/>
      <c r="AF103" s="1"/>
      <c r="AG103" s="41"/>
      <c r="AH103" s="41"/>
      <c r="AI103" s="41"/>
      <c r="AJ103" s="41"/>
      <c r="AK103" s="1"/>
    </row>
    <row r="104" ht="19.5" customHeight="1">
      <c r="A104" s="1"/>
      <c r="B104" s="1"/>
      <c r="C104" s="1"/>
      <c r="D104" s="1"/>
      <c r="E104" s="84" t="s">
        <v>661</v>
      </c>
      <c r="F104" s="18" t="str">
        <f>IF(ISBLANK(input_mgmt_az1_tor2_peer_ip),"Value Missing",input_mgmt_az1_tor2_peer_ip)</f>
        <v>Value Missing</v>
      </c>
      <c r="G104" s="1"/>
      <c r="H104" s="84" t="s">
        <v>661</v>
      </c>
      <c r="I104" s="18" t="str">
        <f>IF(ISBLANK(input_wld_az1_tor2_peer_ip),"Value Missing",input_wld_az1_tor2_peer_ip)</f>
        <v>Value Missing</v>
      </c>
      <c r="J104" s="1"/>
      <c r="K104" s="84" t="s">
        <v>661</v>
      </c>
      <c r="L104" s="18" t="str">
        <f>IF(ISBLANK(input_wld_az1_rack2_tor2_peer_ip),"Value Missing",input_wld_az1_rack2_tor2_peer_ip)</f>
        <v>Value Missing</v>
      </c>
      <c r="M104" s="8"/>
      <c r="N104" s="84" t="s">
        <v>661</v>
      </c>
      <c r="O104" s="18" t="str">
        <f>IF(ISBLANK(input_wld_az1_rack3_tor2_peer_ip),"Value Missing",input_wld_az1_rack3_tor2_peer_ip)</f>
        <v>Value Missing</v>
      </c>
      <c r="P104" s="1"/>
      <c r="Q104" s="84" t="s">
        <v>661</v>
      </c>
      <c r="R104" s="18" t="str">
        <f>IF(ISBLANK(input_wld_az1_rack4_tor2_peer_ip),"Value Missing",input_wld_az1_rack4_tor2_peer_ip)</f>
        <v>Value Missing</v>
      </c>
      <c r="S104" s="1"/>
      <c r="T104" s="84" t="s">
        <v>661</v>
      </c>
      <c r="U104" s="18" t="str">
        <f>IF(ISBLANK(input_wld_az1_rack5_tor2_peer_ip),"Value Missing",input_wld_az1_rack5_tor2_peer_ip)</f>
        <v>Value Missing</v>
      </c>
      <c r="V104" s="1"/>
      <c r="W104" s="84" t="s">
        <v>661</v>
      </c>
      <c r="X104" s="18" t="str">
        <f>IF(ISBLANK(input_wld_az1_rack6_tor2_peer_ip),"Value Missing",input_wld_az1_rack6_tor2_peer_ip)</f>
        <v>Value Missing</v>
      </c>
      <c r="Y104" s="1"/>
      <c r="Z104" s="84" t="s">
        <v>661</v>
      </c>
      <c r="AA104" s="18" t="str">
        <f>IF(ISBLANK(input_wld_az1_rack7_tor2_peer_ip),"Value Missing",input_wld_az1_rack7_tor2_peer_ip)</f>
        <v>Value Missing</v>
      </c>
      <c r="AB104" s="1"/>
      <c r="AC104" s="84" t="s">
        <v>661</v>
      </c>
      <c r="AD104" s="18" t="str">
        <f>IF(ISBLANK(input_wld_az1_rack8_tor2_peer_ip),"Value Missing",input_wld_az1_rack8_tor2_peer_ip)</f>
        <v>Value Missing</v>
      </c>
      <c r="AE104" s="1"/>
      <c r="AF104" s="1"/>
      <c r="AG104" s="41"/>
      <c r="AH104" s="41"/>
      <c r="AI104" s="41"/>
      <c r="AJ104" s="41"/>
      <c r="AK104" s="1"/>
    </row>
    <row r="105" ht="19.5" customHeight="1">
      <c r="A105" s="1"/>
      <c r="B105" s="1"/>
      <c r="C105" s="1"/>
      <c r="D105" s="1"/>
      <c r="E105" s="84" t="s">
        <v>662</v>
      </c>
      <c r="F105" s="18" t="str">
        <f>IF(ISBLANK(input_mgmt_az1_tor2_peer_asn),"Value Missing",input_mgmt_az1_tor2_peer_asn)</f>
        <v>Value Missing</v>
      </c>
      <c r="G105" s="1"/>
      <c r="H105" s="84" t="s">
        <v>662</v>
      </c>
      <c r="I105" s="18" t="str">
        <f>IF(ISBLANK(input_wld_az1_tor2_peer_asn),"Value Missing",input_wld_az1_tor2_peer_asn)</f>
        <v>Value Missing</v>
      </c>
      <c r="J105" s="1"/>
      <c r="K105" s="84" t="s">
        <v>662</v>
      </c>
      <c r="L105" s="18" t="str">
        <f>IF(ISBLANK(input_wld_az1_rack2_tor2_peer_asn),"Value Missing",input_wld_az1_rack2_tor2_peer_asn)</f>
        <v>Value Missing</v>
      </c>
      <c r="M105" s="1"/>
      <c r="N105" s="84" t="s">
        <v>662</v>
      </c>
      <c r="O105" s="18" t="str">
        <f>IF(ISBLANK(input_wld_az1_rack3_tor2_peer_asn),"Value Missing",input_wld_az1_rack3_tor2_peer_asn)</f>
        <v>Value Missing</v>
      </c>
      <c r="P105" s="1"/>
      <c r="Q105" s="84" t="s">
        <v>662</v>
      </c>
      <c r="R105" s="18" t="str">
        <f>IF(ISBLANK(input_wld_az1_rack4_tor2_peer_asn),"Value Missing",input_wld_az1_rack4_tor2_peer_asn)</f>
        <v>Value Missing</v>
      </c>
      <c r="S105" s="1"/>
      <c r="T105" s="84" t="s">
        <v>662</v>
      </c>
      <c r="U105" s="18" t="str">
        <f>IF(ISBLANK(input_wld_az1_rack5_tor2_peer_asn),"Value Missing",input_wld_az1_rack5_tor2_peer_asn)</f>
        <v>Value Missing</v>
      </c>
      <c r="V105" s="1"/>
      <c r="W105" s="84" t="s">
        <v>662</v>
      </c>
      <c r="X105" s="18" t="str">
        <f>IF(ISBLANK(input_wld_az1_rack6_tor2_peer_asn),"Value Missing",input_wld_az1_rack6_tor2_peer_asn)</f>
        <v>Value Missing</v>
      </c>
      <c r="Y105" s="1"/>
      <c r="Z105" s="84" t="s">
        <v>662</v>
      </c>
      <c r="AA105" s="18" t="str">
        <f>IF(ISBLANK(input_wld_az1_rack7_tor2_peer_asn),"Value Missing",input_wld_az1_rack7_tor2_peer_asn)</f>
        <v>Value Missing</v>
      </c>
      <c r="AB105" s="1"/>
      <c r="AC105" s="84" t="s">
        <v>662</v>
      </c>
      <c r="AD105" s="18" t="str">
        <f>IF(ISBLANK(input_wld_az1_rack8_tor2_peer_asn),"Value Missing",input_wld_az1_rack8_tor2_peer_asn)</f>
        <v>Value Missing</v>
      </c>
      <c r="AE105" s="1"/>
      <c r="AF105" s="1"/>
      <c r="AG105" s="41"/>
      <c r="AH105" s="41"/>
      <c r="AI105" s="41"/>
      <c r="AJ105" s="41"/>
      <c r="AK105" s="1"/>
    </row>
    <row r="106" ht="19.5" customHeight="1">
      <c r="A106" s="35"/>
      <c r="B106" s="1"/>
      <c r="C106" s="1"/>
      <c r="D106" s="35"/>
      <c r="E106" s="84" t="s">
        <v>663</v>
      </c>
      <c r="F106" s="18" t="str">
        <f>IF(ISBLANK(input_mgmt_az1_tor2_peer_bgp_password),"Value Missing",input_mgmt_az1_tor2_peer_bgp_password)</f>
        <v>Value Missing</v>
      </c>
      <c r="G106" s="1"/>
      <c r="H106" s="84" t="s">
        <v>663</v>
      </c>
      <c r="I106" s="18" t="str">
        <f>IF(ISBLANK(input_wld_az1_tor2_peer_bgp_password),"Value Missing",input_wld_az1_tor2_peer_bgp_password)</f>
        <v>Value Missing</v>
      </c>
      <c r="J106" s="1"/>
      <c r="K106" s="84" t="s">
        <v>663</v>
      </c>
      <c r="L106" s="18" t="str">
        <f>IF(ISBLANK(input_wld_az1_rack2_tor2_peer_bgp_password),"Value Missing",input_wld_az1_rack2_tor2_peer_bgp_password)</f>
        <v>Value Missing</v>
      </c>
      <c r="M106" s="1"/>
      <c r="N106" s="84" t="s">
        <v>663</v>
      </c>
      <c r="O106" s="18" t="str">
        <f>IF(ISBLANK(input_wld_az1_rack3_tor2_peer_bgp_password),"Value Missing",input_wld_az1_rack3_tor2_peer_bgp_password)</f>
        <v>Value Missing</v>
      </c>
      <c r="P106" s="1"/>
      <c r="Q106" s="84" t="s">
        <v>663</v>
      </c>
      <c r="R106" s="18" t="str">
        <f>IF(ISBLANK(input_wld_az1_rack4_tor2_peer_bgp_password),"Value Missing",input_wld_az1_rack4_tor2_peer_bgp_password)</f>
        <v>Value Missing</v>
      </c>
      <c r="S106" s="1"/>
      <c r="T106" s="84" t="s">
        <v>663</v>
      </c>
      <c r="U106" s="18" t="str">
        <f>IF(ISBLANK(input_wld_az1_rack5_tor2_peer_bgp_password),"Value Missing",input_wld_az1_rack5_tor2_peer_bgp_password)</f>
        <v>Value Missing</v>
      </c>
      <c r="V106" s="1"/>
      <c r="W106" s="84" t="s">
        <v>663</v>
      </c>
      <c r="X106" s="18" t="str">
        <f>IF(ISBLANK(input_wld_az1_rack6_tor2_peer_bgp_password),"Value Missing",input_wld_az1_rack6_tor2_peer_bgp_password)</f>
        <v>Value Missing</v>
      </c>
      <c r="Y106" s="1"/>
      <c r="Z106" s="84" t="s">
        <v>663</v>
      </c>
      <c r="AA106" s="18" t="str">
        <f>IF(ISBLANK(input_wld_az1_rack7_tor2_peer_bgp_password),"Value Missing",input_wld_az1_rack7_tor2_peer_bgp_password)</f>
        <v>Value Missing</v>
      </c>
      <c r="AB106" s="1"/>
      <c r="AC106" s="84" t="s">
        <v>663</v>
      </c>
      <c r="AD106" s="18" t="str">
        <f>IF(ISBLANK(input_wld_az1_rack8_tor2_peer_bgp_password),"Value Missing",input_wld_az1_rack8_tor2_peer_bgp_password)</f>
        <v>Value Missing</v>
      </c>
      <c r="AE106" s="35"/>
      <c r="AF106" s="35"/>
      <c r="AG106" s="41"/>
      <c r="AH106" s="41"/>
      <c r="AI106" s="114"/>
      <c r="AJ106" s="114"/>
      <c r="AK106" s="35"/>
    </row>
    <row r="107" ht="19.5" customHeight="1">
      <c r="A107" s="1"/>
      <c r="B107" s="1"/>
      <c r="C107" s="1"/>
      <c r="D107" s="1"/>
      <c r="E107" s="1"/>
      <c r="F107" s="1"/>
      <c r="G107" s="1"/>
      <c r="H107" s="1"/>
      <c r="I107" s="10"/>
      <c r="J107" s="1"/>
      <c r="K107" s="1"/>
      <c r="L107" s="10"/>
      <c r="M107" s="1"/>
      <c r="N107" s="1"/>
      <c r="O107" s="10"/>
      <c r="P107" s="1"/>
      <c r="Q107" s="1"/>
      <c r="R107" s="10"/>
      <c r="S107" s="1"/>
      <c r="T107" s="1"/>
      <c r="U107" s="10"/>
      <c r="V107" s="1"/>
      <c r="W107" s="1"/>
      <c r="X107" s="10"/>
      <c r="Y107" s="1"/>
      <c r="Z107" s="1"/>
      <c r="AA107" s="10"/>
      <c r="AB107" s="1"/>
      <c r="AC107" s="1"/>
      <c r="AD107" s="10"/>
      <c r="AE107" s="1"/>
      <c r="AF107" s="1"/>
      <c r="AG107" s="41"/>
      <c r="AH107" s="41"/>
      <c r="AI107" s="1"/>
      <c r="AJ107" s="1"/>
      <c r="AK107" s="1"/>
    </row>
    <row r="108" ht="19.5" customHeight="1">
      <c r="A108" s="1"/>
      <c r="B108" s="1"/>
      <c r="C108" s="1"/>
      <c r="D108" s="1"/>
      <c r="E108" s="309" t="s">
        <v>1798</v>
      </c>
      <c r="F108" s="310"/>
      <c r="G108" s="1"/>
      <c r="H108" s="309" t="s">
        <v>1799</v>
      </c>
      <c r="I108" s="310"/>
      <c r="J108" s="1"/>
      <c r="K108" s="309" t="s">
        <v>1800</v>
      </c>
      <c r="L108" s="310"/>
      <c r="M108" s="1"/>
      <c r="N108" s="309" t="s">
        <v>1801</v>
      </c>
      <c r="O108" s="310"/>
      <c r="P108" s="1"/>
      <c r="Q108" s="309" t="s">
        <v>1802</v>
      </c>
      <c r="R108" s="310"/>
      <c r="S108" s="1"/>
      <c r="T108" s="309" t="s">
        <v>1803</v>
      </c>
      <c r="U108" s="310"/>
      <c r="V108" s="1"/>
      <c r="W108" s="309" t="s">
        <v>1804</v>
      </c>
      <c r="X108" s="310"/>
      <c r="Y108" s="1"/>
      <c r="Z108" s="309" t="s">
        <v>1805</v>
      </c>
      <c r="AA108" s="310"/>
      <c r="AB108" s="1"/>
      <c r="AC108" s="309" t="s">
        <v>1806</v>
      </c>
      <c r="AD108" s="310"/>
      <c r="AE108" s="1"/>
      <c r="AF108" s="1"/>
      <c r="AG108" s="41"/>
      <c r="AH108" s="41"/>
      <c r="AI108" s="1"/>
      <c r="AJ108" s="1"/>
      <c r="AK108" s="1"/>
    </row>
    <row r="109" ht="19.5" customHeight="1">
      <c r="A109" s="1"/>
      <c r="B109" s="1"/>
      <c r="C109" s="1"/>
      <c r="D109" s="1"/>
      <c r="E109" s="15" t="s">
        <v>256</v>
      </c>
      <c r="F109" s="15" t="s">
        <v>1707</v>
      </c>
      <c r="G109" s="1"/>
      <c r="H109" s="15" t="s">
        <v>256</v>
      </c>
      <c r="I109" s="15" t="s">
        <v>1707</v>
      </c>
      <c r="J109" s="1"/>
      <c r="K109" s="15" t="s">
        <v>256</v>
      </c>
      <c r="L109" s="15" t="s">
        <v>1707</v>
      </c>
      <c r="M109" s="1"/>
      <c r="N109" s="15" t="s">
        <v>256</v>
      </c>
      <c r="O109" s="15" t="s">
        <v>1707</v>
      </c>
      <c r="P109" s="8"/>
      <c r="Q109" s="15" t="s">
        <v>256</v>
      </c>
      <c r="R109" s="15" t="s">
        <v>1707</v>
      </c>
      <c r="S109" s="8"/>
      <c r="T109" s="15" t="s">
        <v>256</v>
      </c>
      <c r="U109" s="15" t="s">
        <v>1707</v>
      </c>
      <c r="V109" s="8"/>
      <c r="W109" s="15" t="s">
        <v>256</v>
      </c>
      <c r="X109" s="15" t="s">
        <v>1707</v>
      </c>
      <c r="Y109" s="8"/>
      <c r="Z109" s="15" t="s">
        <v>256</v>
      </c>
      <c r="AA109" s="15" t="s">
        <v>1707</v>
      </c>
      <c r="AB109" s="8"/>
      <c r="AC109" s="15" t="s">
        <v>256</v>
      </c>
      <c r="AD109" s="15" t="s">
        <v>1707</v>
      </c>
      <c r="AE109" s="1"/>
      <c r="AF109" s="1"/>
      <c r="AG109" s="41"/>
      <c r="AH109" s="41"/>
      <c r="AI109" s="1"/>
      <c r="AJ109" s="1"/>
      <c r="AK109" s="1"/>
    </row>
    <row r="110" ht="19.5" customHeight="1">
      <c r="A110" s="1"/>
      <c r="B110" s="1"/>
      <c r="C110" s="1"/>
      <c r="D110" s="1"/>
      <c r="E110" s="84" t="s">
        <v>1710</v>
      </c>
      <c r="F110" s="18" t="str">
        <f>IF(ISBLANK(input_mgmt_cl01_az1_mgmt_vm_pg),"Value Missing",input_mgmt_cl01_az1_mgmt_vm_pg)</f>
        <v>Value Missing</v>
      </c>
      <c r="G110" s="1"/>
      <c r="H110" s="84" t="s">
        <v>1710</v>
      </c>
      <c r="I110" s="18" t="str">
        <f>IF(ISBLANK(input_wld_cl01_az1_mgmt_vm_pg),"Value Missing",input_wld_cl01_az1_mgmt_vm_pg)</f>
        <v>Value Missing</v>
      </c>
      <c r="J110" s="1"/>
      <c r="K110" s="84" t="s">
        <v>1710</v>
      </c>
      <c r="L110" s="18" t="str">
        <f>CONCATENATE(input_wld_cl01_az1_mgmt_vm_pg,"_VLAN_",wld_az1_rack2_mgmt_vm_vlan)</f>
        <v>_VLAN_Value Missing</v>
      </c>
      <c r="M110" s="1"/>
      <c r="N110" s="84" t="s">
        <v>1710</v>
      </c>
      <c r="O110" s="18" t="str">
        <f>CONCATENATE(input_wld_cl01_az1_mgmt_vm_pg,"_VLAN_",wld_az1_rack3_mgmt_vm_vlan)</f>
        <v>_VLAN_Value Missing</v>
      </c>
      <c r="P110" s="1"/>
      <c r="Q110" s="84" t="s">
        <v>1710</v>
      </c>
      <c r="R110" s="18" t="str">
        <f>CONCATENATE(input_wld_cl01_az1_mgmt_vm_pg,"_VLAN_",wld_az1_rack4_mgmt_vm_vlan)</f>
        <v>_VLAN_Value Missing</v>
      </c>
      <c r="S110" s="1"/>
      <c r="T110" s="84" t="s">
        <v>1710</v>
      </c>
      <c r="U110" s="18" t="str">
        <f>CONCATENATE(input_wld_cl01_az1_mgmt_vm_pg,"_VLAN_",wld_az1_rack5_mgmt_vm_vlan)</f>
        <v>_VLAN_Value Missing</v>
      </c>
      <c r="V110" s="1"/>
      <c r="W110" s="84" t="s">
        <v>1710</v>
      </c>
      <c r="X110" s="18" t="str">
        <f>CONCATENATE(input_wld_cl01_az1_mgmt_vm_pg,"_VLAN_",wld_az1_rack6_mgmt_vm_vlan)</f>
        <v>_VLAN_Value Missing</v>
      </c>
      <c r="Y110" s="1"/>
      <c r="Z110" s="84" t="s">
        <v>1710</v>
      </c>
      <c r="AA110" s="18" t="str">
        <f>CONCATENATE(input_wld_cl01_az1_mgmt_vm_pg,"_VLAN_",wld_az1_rack7_mgmt_vm_vlan)</f>
        <v>_VLAN_Value Missing</v>
      </c>
      <c r="AB110" s="1"/>
      <c r="AC110" s="84" t="s">
        <v>1710</v>
      </c>
      <c r="AD110" s="18" t="str">
        <f>CONCATENATE(input_wld_cl01_az1_mgmt_vm_pg,"_VLAN_",wld_az1_rack8_mgmt_vm_vlan)</f>
        <v>_VLAN_Value Missing</v>
      </c>
      <c r="AE110" s="1"/>
      <c r="AF110" s="1"/>
      <c r="AG110" s="41"/>
      <c r="AH110" s="41"/>
      <c r="AI110" s="1"/>
      <c r="AJ110" s="1"/>
      <c r="AK110" s="1"/>
    </row>
    <row r="111" ht="19.5" customHeight="1">
      <c r="A111" s="1"/>
      <c r="B111" s="1"/>
      <c r="C111" s="1"/>
      <c r="D111" s="1"/>
      <c r="E111" s="84" t="s">
        <v>1712</v>
      </c>
      <c r="F111" s="18" t="str">
        <f>IF(ISBLANK(input_mgmt_cl01_az1_mgmt_pg),"Value Missing",input_mgmt_cl01_az1_mgmt_pg)</f>
        <v>Value Missing</v>
      </c>
      <c r="G111" s="1"/>
      <c r="H111" s="84" t="s">
        <v>1712</v>
      </c>
      <c r="I111" s="18" t="str">
        <f>IF(ISBLANK(input_wld_cl01_az1_mgmt_pg),"Value Missing",input_wld_cl01_az1_mgmt_pg)</f>
        <v>Value Missing</v>
      </c>
      <c r="J111" s="1"/>
      <c r="K111" s="84" t="s">
        <v>1712</v>
      </c>
      <c r="L111" s="31" t="str">
        <f>CONCATENATE(input_wld_cl01_az1_mgmt_pg,"_VLAN_",wld_az1_rack2_mgmt_vlan)</f>
        <v>_VLAN_Value Missing</v>
      </c>
      <c r="M111" s="1"/>
      <c r="N111" s="84" t="s">
        <v>1712</v>
      </c>
      <c r="O111" s="18" t="str">
        <f>CONCATENATE(input_wld_cl01_az1_mgmt_pg,"_VLAN_",wld_az1_rack3_mgmt_vlan)</f>
        <v>_VLAN_Value Missing</v>
      </c>
      <c r="P111" s="1"/>
      <c r="Q111" s="84" t="s">
        <v>1712</v>
      </c>
      <c r="R111" s="18" t="str">
        <f>CONCATENATE(input_wld_cl01_az1_mgmt_pg,"_VLAN_",wld_az1_rack4_mgmt_vlan)</f>
        <v>_VLAN_Value Missing</v>
      </c>
      <c r="S111" s="1"/>
      <c r="T111" s="84" t="s">
        <v>1712</v>
      </c>
      <c r="U111" s="18" t="str">
        <f>CONCATENATE(input_wld_cl01_az1_mgmt_pg,"_VLAN_",wld_az1_rack5_mgmt_vlan)</f>
        <v>_VLAN_Value Missing</v>
      </c>
      <c r="V111" s="1"/>
      <c r="W111" s="84" t="s">
        <v>1712</v>
      </c>
      <c r="X111" s="18" t="str">
        <f>CONCATENATE(input_wld_cl01_az1_mgmt_pg,"_VLAN_",wld_az1_rack6_mgmt_vlan)</f>
        <v>_VLAN_Value Missing</v>
      </c>
      <c r="Y111" s="1"/>
      <c r="Z111" s="84" t="s">
        <v>1712</v>
      </c>
      <c r="AA111" s="18" t="str">
        <f>CONCATENATE(input_wld_cl01_az1_mgmt_pg,"_VLAN_",wld_az1_rack7_mgmt_vlan)</f>
        <v>_VLAN_Value Missing</v>
      </c>
      <c r="AB111" s="1"/>
      <c r="AC111" s="84" t="s">
        <v>1712</v>
      </c>
      <c r="AD111" s="18" t="str">
        <f>CONCATENATE(input_wld_cl01_az1_mgmt_pg,"_VLAN_",wld_az1_rack8_mgmt_vlan)</f>
        <v>_VLAN_Value Missing</v>
      </c>
      <c r="AE111" s="1"/>
      <c r="AF111" s="1"/>
      <c r="AG111" s="41"/>
      <c r="AH111" s="41"/>
      <c r="AI111" s="1"/>
      <c r="AJ111" s="1"/>
      <c r="AK111" s="1"/>
    </row>
    <row r="112" ht="19.5" customHeight="1">
      <c r="A112" s="1"/>
      <c r="B112" s="1"/>
      <c r="C112" s="1"/>
      <c r="D112" s="1"/>
      <c r="E112" s="84" t="s">
        <v>407</v>
      </c>
      <c r="F112" s="18" t="str">
        <f>IF(ISBLANK(input_mgmt_cl01_az1_vmotion_pg),"Value Missing",input_mgmt_cl01_az1_vmotion_pg)</f>
        <v>Value Missing</v>
      </c>
      <c r="G112" s="1"/>
      <c r="H112" s="84" t="s">
        <v>407</v>
      </c>
      <c r="I112" s="18" t="str">
        <f>IF(ISBLANK(input_wld_cl01_az1_vmotion_pg),"Value Missing",input_wld_cl01_az1_vmotion_pg)</f>
        <v>Value Missing</v>
      </c>
      <c r="J112" s="1"/>
      <c r="K112" s="84" t="s">
        <v>407</v>
      </c>
      <c r="L112" s="18" t="str">
        <f>CONCATENATE(input_wld_cl01_az1_vmotion_pg,"_VLAN_",wld_az1_rack2_vmotion_vlan)</f>
        <v>_VLAN_Value Missing</v>
      </c>
      <c r="M112" s="1"/>
      <c r="N112" s="84" t="s">
        <v>407</v>
      </c>
      <c r="O112" s="18" t="str">
        <f>CONCATENATE(input_wld_cl01_az1_vmotion_pg,"_VLAN_",wld_az1_rack3_vmotion_vlan)</f>
        <v>_VLAN_Value Missing</v>
      </c>
      <c r="P112" s="1"/>
      <c r="Q112" s="84" t="s">
        <v>407</v>
      </c>
      <c r="R112" s="18" t="str">
        <f>CONCATENATE(input_wld_cl01_az1_vmotion_pg,"_VLAN_",wld_az1_rack4_vmotion_vlan)</f>
        <v>_VLAN_Value Missing</v>
      </c>
      <c r="S112" s="1"/>
      <c r="T112" s="84" t="s">
        <v>407</v>
      </c>
      <c r="U112" s="18" t="str">
        <f>CONCATENATE(input_wld_cl01_az1_vmotion_pg,"_VLAN_",wld_az1_rack5_vmotion_vlan)</f>
        <v>_VLAN_Value Missing</v>
      </c>
      <c r="V112" s="1"/>
      <c r="W112" s="84" t="s">
        <v>407</v>
      </c>
      <c r="X112" s="18" t="str">
        <f>CONCATENATE(input_wld_cl01_az1_vmotion_pg,"_VLAN_",wld_az1_rack6_vmotion_vlan)</f>
        <v>_VLAN_Value Missing</v>
      </c>
      <c r="Y112" s="1"/>
      <c r="Z112" s="84" t="s">
        <v>407</v>
      </c>
      <c r="AA112" s="18" t="str">
        <f>CONCATENATE(input_wld_cl01_az1_vmotion_pg,"_VLAN_",wld_az1_rack7_vmotion_vlan)</f>
        <v>_VLAN_Value Missing</v>
      </c>
      <c r="AB112" s="1"/>
      <c r="AC112" s="84" t="s">
        <v>407</v>
      </c>
      <c r="AD112" s="18" t="str">
        <f>CONCATENATE(input_wld_cl01_az1_vmotion_pg,"_VLAN_",wld_az1_rack8_vmotion_vlan)</f>
        <v>_VLAN_Value Missing</v>
      </c>
      <c r="AE112" s="1"/>
      <c r="AF112" s="1"/>
      <c r="AG112" s="41"/>
      <c r="AH112" s="41"/>
      <c r="AI112" s="1"/>
      <c r="AJ112" s="1"/>
      <c r="AK112" s="1"/>
    </row>
    <row r="113" ht="19.5" customHeight="1">
      <c r="A113" s="1"/>
      <c r="B113" s="1"/>
      <c r="C113" s="1"/>
      <c r="D113" s="1"/>
      <c r="E113" s="84" t="s">
        <v>410</v>
      </c>
      <c r="F113" s="18" t="str">
        <f>IF(ISBLANK(input_mgmt_cl01_az1_vsan_pg),"Value Missing",input_mgmt_cl01_az1_vsan_pg)</f>
        <v>Value Missing</v>
      </c>
      <c r="G113" s="1"/>
      <c r="H113" s="84" t="s">
        <v>410</v>
      </c>
      <c r="I113" s="18" t="str">
        <f>IF(ISBLANK(input_wld_cl01_az1_principal_storage_pg),"Value Missing",input_wld_cl01_az1_principal_storage_pg)</f>
        <v>Value Missing</v>
      </c>
      <c r="J113" s="1"/>
      <c r="K113" s="84" t="s">
        <v>410</v>
      </c>
      <c r="L113" s="18" t="str">
        <f>CONCATENATE(input_wld_cl01_az1_principal_storage_pg,"_VLAN_",wld_az1_rack2_principal_storage_vlan)</f>
        <v>_VLAN_Value Missing</v>
      </c>
      <c r="M113" s="1"/>
      <c r="N113" s="84" t="s">
        <v>410</v>
      </c>
      <c r="O113" s="18" t="str">
        <f>CONCATENATE(input_wld_cl01_az1_principal_storage_pg,"_VLAN_",wld_az1_rack3_principal_storage_vlan)</f>
        <v>_VLAN_Value Missing</v>
      </c>
      <c r="P113" s="1"/>
      <c r="Q113" s="84" t="s">
        <v>410</v>
      </c>
      <c r="R113" s="18" t="str">
        <f>CONCATENATE(input_wld_cl01_az1_principal_storage_pg,"_VLAN_",wld_az1_rack4_principal_storage_vlan)</f>
        <v>_VLAN_Value Missing</v>
      </c>
      <c r="S113" s="1"/>
      <c r="T113" s="84" t="s">
        <v>410</v>
      </c>
      <c r="U113" s="18" t="str">
        <f>CONCATENATE(input_wld_cl01_az1_principal_storage_pg,"_VLAN_",wld_az1_rack5_principal_storage_vlan)</f>
        <v>_VLAN_Value Missing</v>
      </c>
      <c r="V113" s="1"/>
      <c r="W113" s="84" t="s">
        <v>410</v>
      </c>
      <c r="X113" s="18" t="str">
        <f>CONCATENATE(input_wld_cl01_az1_principal_storage_pg,"_VLAN_",wld_az1_rack6_principal_storage_vlan)</f>
        <v>_VLAN_Value Missing</v>
      </c>
      <c r="Y113" s="1"/>
      <c r="Z113" s="84" t="s">
        <v>410</v>
      </c>
      <c r="AA113" s="18" t="str">
        <f>CONCATENATE(input_wld_cl01_az1_principal_storage_pg,"_VLAN_",wld_az1_rack7_principal_storage_vlan)</f>
        <v>_VLAN_Value Missing</v>
      </c>
      <c r="AB113" s="1"/>
      <c r="AC113" s="84" t="s">
        <v>410</v>
      </c>
      <c r="AD113" s="18" t="str">
        <f>CONCATENATE(input_wld_cl01_az1_principal_storage_pg,"_VLAN_",wld_az1_rack8_principal_storage_vlan)</f>
        <v>_VLAN_Value Missing</v>
      </c>
      <c r="AE113" s="1"/>
      <c r="AF113" s="1"/>
      <c r="AG113" s="41"/>
      <c r="AH113" s="41"/>
      <c r="AI113" s="1"/>
      <c r="AJ113" s="1"/>
      <c r="AK113" s="1"/>
    </row>
    <row r="114" ht="19.5" customHeight="1">
      <c r="A114" s="1"/>
      <c r="B114" s="1"/>
      <c r="C114" s="1"/>
      <c r="D114" s="1"/>
      <c r="E114" s="84" t="s">
        <v>1716</v>
      </c>
      <c r="F114" s="18" t="s">
        <v>502</v>
      </c>
      <c r="G114" s="1"/>
      <c r="H114" s="84" t="s">
        <v>1716</v>
      </c>
      <c r="I114" s="18" t="s">
        <v>502</v>
      </c>
      <c r="J114" s="1"/>
      <c r="K114" s="84" t="s">
        <v>1719</v>
      </c>
      <c r="L114" s="18" t="str">
        <f>CONCATENATE(input_wld_cl01_az1_uplink01_pg,"_VLAN_",wld_az1_rack2_uplink01_vlan)</f>
        <v>_VLAN_Value Missing</v>
      </c>
      <c r="M114" s="1"/>
      <c r="N114" s="84" t="s">
        <v>1719</v>
      </c>
      <c r="O114" s="18" t="str">
        <f>CONCATENATE(input_wld_cl01_az1_uplink01_pg,"_VLAN_",wld_az1_rack3_uplink01_vlan)</f>
        <v>_VLAN_Value Missing</v>
      </c>
      <c r="P114" s="1"/>
      <c r="Q114" s="84" t="s">
        <v>1719</v>
      </c>
      <c r="R114" s="18" t="str">
        <f>CONCATENATE(input_wld_cl01_az1_uplink01_pg,"_VLAN_",wld_az1_rack4_uplink01_vlan)</f>
        <v>_VLAN_Value Missing</v>
      </c>
      <c r="S114" s="1"/>
      <c r="T114" s="84" t="s">
        <v>1719</v>
      </c>
      <c r="U114" s="18" t="str">
        <f>CONCATENATE(input_wld_cl01_az1_uplink01_pg,"_VLAN_",wld_az1_rack5_uplink01_vlan)</f>
        <v>_VLAN_Value Missing</v>
      </c>
      <c r="V114" s="1"/>
      <c r="W114" s="84" t="s">
        <v>1719</v>
      </c>
      <c r="X114" s="18" t="str">
        <f>CONCATENATE(input_wld_cl01_az1_uplink01_pg,"_VLAN_",wld_az1_rack6_uplink01_vlan)</f>
        <v>_VLAN_Value Missing</v>
      </c>
      <c r="Y114" s="1"/>
      <c r="Z114" s="84" t="s">
        <v>1719</v>
      </c>
      <c r="AA114" s="18" t="str">
        <f>CONCATENATE(input_wld_cl01_az1_uplink01_pg,"_VLAN_",wld_az1_rack7_uplink01_vlan)</f>
        <v>_VLAN_Value Missing</v>
      </c>
      <c r="AB114" s="1"/>
      <c r="AC114" s="84" t="s">
        <v>1719</v>
      </c>
      <c r="AD114" s="18" t="str">
        <f>CONCATENATE(input_wld_cl01_az1_uplink01_pg,"_VLAN_",wld_az1_rack8_uplink01_vlan)</f>
        <v>_VLAN_Value Missing</v>
      </c>
      <c r="AE114" s="1"/>
      <c r="AF114" s="1"/>
      <c r="AG114" s="41"/>
      <c r="AH114" s="41"/>
      <c r="AI114" s="1"/>
      <c r="AJ114" s="1"/>
      <c r="AK114" s="1"/>
    </row>
    <row r="115" ht="19.5" customHeight="1">
      <c r="A115" s="1"/>
      <c r="B115" s="1"/>
      <c r="C115" s="1"/>
      <c r="D115" s="1"/>
      <c r="E115" s="84" t="s">
        <v>1726</v>
      </c>
      <c r="F115" s="18" t="str">
        <f>mgmt_vrms_pg</f>
        <v>Value Missing</v>
      </c>
      <c r="G115" s="80"/>
      <c r="H115" s="84" t="s">
        <v>1726</v>
      </c>
      <c r="I115" s="18" t="str">
        <f>wld_vrms_pg</f>
        <v>Value Missing</v>
      </c>
      <c r="J115" s="1"/>
      <c r="K115" s="84" t="s">
        <v>1720</v>
      </c>
      <c r="L115" s="18" t="str">
        <f>CONCATENATE(input_wld_cl01_az1_uplink02_pg,"_VLAN_",wld_az1_rack2_uplink02_vlan)</f>
        <v>_VLAN_Value Missing</v>
      </c>
      <c r="M115" s="1"/>
      <c r="N115" s="84" t="s">
        <v>1720</v>
      </c>
      <c r="O115" s="18" t="str">
        <f>CONCATENATE(input_wld_cl01_az1_uplink02_pg,"_VLAN_",wld_az1_rack3_uplink02_vlan)</f>
        <v>_VLAN_Value Missing</v>
      </c>
      <c r="P115" s="1"/>
      <c r="Q115" s="84" t="s">
        <v>1720</v>
      </c>
      <c r="R115" s="18" t="str">
        <f>CONCATENATE(input_wld_cl01_az1_uplink02_pg,"_VLAN_",wld_az1_rack4_uplink02_vlan)</f>
        <v>_VLAN_Value Missing</v>
      </c>
      <c r="S115" s="1"/>
      <c r="T115" s="84" t="s">
        <v>1720</v>
      </c>
      <c r="U115" s="18" t="str">
        <f>CONCATENATE(input_wld_cl01_az1_uplink02_pg,"_VLAN_",wld_az1_rack5_uplink02_vlan)</f>
        <v>_VLAN_Value Missing</v>
      </c>
      <c r="V115" s="1"/>
      <c r="W115" s="84" t="s">
        <v>1720</v>
      </c>
      <c r="X115" s="18" t="str">
        <f>CONCATENATE(input_wld_cl01_az1_uplink02_pg,"_VLAN_",wld_az1_rack6_uplink02_vlan)</f>
        <v>_VLAN_Value Missing</v>
      </c>
      <c r="Y115" s="1"/>
      <c r="Z115" s="84" t="s">
        <v>1720</v>
      </c>
      <c r="AA115" s="18" t="str">
        <f>CONCATENATE(input_wld_cl01_az1_uplink02_pg,"_VLAN_",wld_az1_rack7_uplink02_vlan)</f>
        <v>_VLAN_Value Missing</v>
      </c>
      <c r="AB115" s="1"/>
      <c r="AC115" s="84" t="s">
        <v>1720</v>
      </c>
      <c r="AD115" s="18" t="str">
        <f>CONCATENATE(input_wld_cl01_az1_uplink02_pg,"_VLAN_",wld_az1_rack8_uplink02_vlan)</f>
        <v>_VLAN_Value Missing</v>
      </c>
      <c r="AE115" s="1"/>
      <c r="AF115" s="1"/>
      <c r="AG115" s="41"/>
      <c r="AH115" s="41"/>
      <c r="AI115" s="1"/>
      <c r="AJ115" s="1"/>
      <c r="AK115" s="1"/>
    </row>
    <row r="116" ht="19.5" customHeight="1">
      <c r="A116" s="1"/>
      <c r="B116" s="1"/>
      <c r="C116" s="1"/>
      <c r="D116" s="1"/>
      <c r="E116" s="84" t="s">
        <v>1719</v>
      </c>
      <c r="F116" s="18" t="str">
        <f>IF(ISBLANK(input_mgmt_cl01_az1_uplink01_pg),"Value Missing",input_mgmt_cl01_az1_uplink01_pg)</f>
        <v>Value Missing</v>
      </c>
      <c r="G116" s="1"/>
      <c r="H116" s="84" t="s">
        <v>1719</v>
      </c>
      <c r="I116" s="18" t="str">
        <f>IF(ISBLANK(input_wld_cl01_az1_uplink01_pg),"Value Missing",input_wld_cl01_az1_uplink01_pg)</f>
        <v>Value Missing</v>
      </c>
      <c r="J116" s="1"/>
      <c r="K116" s="80"/>
      <c r="L116" s="80"/>
      <c r="M116" s="1"/>
      <c r="N116" s="80"/>
      <c r="O116" s="80"/>
      <c r="P116" s="1"/>
      <c r="Q116" s="80"/>
      <c r="R116" s="80"/>
      <c r="S116" s="1"/>
      <c r="T116" s="80"/>
      <c r="U116" s="80"/>
      <c r="V116" s="1"/>
      <c r="W116" s="80"/>
      <c r="X116" s="80"/>
      <c r="Y116" s="1"/>
      <c r="Z116" s="80"/>
      <c r="AA116" s="80"/>
      <c r="AB116" s="1"/>
      <c r="AC116" s="80"/>
      <c r="AD116" s="80"/>
      <c r="AE116" s="1"/>
      <c r="AF116" s="1"/>
      <c r="AG116" s="41"/>
      <c r="AH116" s="41"/>
      <c r="AI116" s="1"/>
      <c r="AJ116" s="1"/>
      <c r="AK116" s="1"/>
    </row>
    <row r="117" ht="19.5" customHeight="1">
      <c r="A117" s="1"/>
      <c r="B117" s="1"/>
      <c r="C117" s="1"/>
      <c r="D117" s="1"/>
      <c r="E117" s="84" t="s">
        <v>1720</v>
      </c>
      <c r="F117" s="18" t="str">
        <f>IF(ISBLANK(input_mgmt_cl01_az1_uplink02_pg),"Value Missing",input_mgmt_cl01_az1_uplink02_pg)</f>
        <v>Value Missing</v>
      </c>
      <c r="G117" s="1"/>
      <c r="H117" s="84" t="s">
        <v>1720</v>
      </c>
      <c r="I117" s="18" t="str">
        <f>IF(ISBLANK(input_wld_cl01_az1_uplink02_pg),"Value Missing",input_wld_cl01_az1_uplink02_pg)</f>
        <v>Value Missing</v>
      </c>
      <c r="J117" s="1"/>
      <c r="K117" s="80"/>
      <c r="L117" s="80"/>
      <c r="M117" s="1"/>
      <c r="N117" s="80"/>
      <c r="O117" s="80"/>
      <c r="P117" s="1"/>
      <c r="Q117" s="80"/>
      <c r="R117" s="80"/>
      <c r="S117" s="1"/>
      <c r="T117" s="80"/>
      <c r="U117" s="80"/>
      <c r="V117" s="1"/>
      <c r="W117" s="80"/>
      <c r="X117" s="80"/>
      <c r="Y117" s="1"/>
      <c r="Z117" s="80"/>
      <c r="AA117" s="80"/>
      <c r="AB117" s="1"/>
      <c r="AC117" s="80"/>
      <c r="AD117" s="80"/>
      <c r="AE117" s="1"/>
      <c r="AF117" s="1"/>
      <c r="AG117" s="41"/>
      <c r="AH117" s="41"/>
      <c r="AI117" s="1"/>
      <c r="AJ117" s="1"/>
      <c r="AK117" s="1"/>
    </row>
    <row r="118" ht="19.5" customHeight="1">
      <c r="A118" s="1"/>
      <c r="B118" s="1"/>
      <c r="C118" s="1"/>
      <c r="D118" s="1"/>
      <c r="E118" s="173" t="s">
        <v>1722</v>
      </c>
      <c r="F118" s="18" t="s">
        <v>502</v>
      </c>
      <c r="G118" s="1"/>
      <c r="H118" s="173" t="s">
        <v>1722</v>
      </c>
      <c r="I118" s="18" t="s">
        <v>502</v>
      </c>
      <c r="J118" s="1"/>
      <c r="K118" s="80"/>
      <c r="L118" s="80"/>
      <c r="M118" s="1"/>
      <c r="N118" s="80"/>
      <c r="O118" s="80"/>
      <c r="P118" s="1"/>
      <c r="Q118" s="80"/>
      <c r="R118" s="80"/>
      <c r="S118" s="1"/>
      <c r="T118" s="80"/>
      <c r="U118" s="80"/>
      <c r="V118" s="1"/>
      <c r="W118" s="80"/>
      <c r="X118" s="80"/>
      <c r="Y118" s="1"/>
      <c r="Z118" s="80"/>
      <c r="AA118" s="80"/>
      <c r="AB118" s="1"/>
      <c r="AC118" s="80"/>
      <c r="AD118" s="80"/>
      <c r="AE118" s="1"/>
      <c r="AF118" s="1"/>
      <c r="AG118" s="41"/>
      <c r="AH118" s="41"/>
      <c r="AI118" s="1"/>
      <c r="AJ118" s="1"/>
      <c r="AK118" s="1"/>
    </row>
    <row r="119" ht="19.5" customHeight="1">
      <c r="A119" s="1"/>
      <c r="B119" s="35"/>
      <c r="C119" s="35"/>
      <c r="D119" s="1"/>
      <c r="E119" s="84" t="s">
        <v>1724</v>
      </c>
      <c r="F119" s="18" t="s">
        <v>502</v>
      </c>
      <c r="G119" s="1"/>
      <c r="H119" s="84" t="s">
        <v>1807</v>
      </c>
      <c r="I119" s="18" t="s">
        <v>502</v>
      </c>
      <c r="J119" s="1"/>
      <c r="K119" s="80"/>
      <c r="L119" s="80"/>
      <c r="M119" s="1"/>
      <c r="N119" s="80"/>
      <c r="O119" s="80"/>
      <c r="P119" s="1"/>
      <c r="Q119" s="80"/>
      <c r="R119" s="80"/>
      <c r="S119" s="1"/>
      <c r="T119" s="80"/>
      <c r="U119" s="80"/>
      <c r="V119" s="1"/>
      <c r="W119" s="80"/>
      <c r="X119" s="80"/>
      <c r="Y119" s="1"/>
      <c r="Z119" s="80"/>
      <c r="AA119" s="80"/>
      <c r="AB119" s="1"/>
      <c r="AC119" s="80"/>
      <c r="AD119" s="80"/>
      <c r="AE119" s="1"/>
      <c r="AF119" s="1"/>
      <c r="AG119" s="41"/>
      <c r="AH119" s="41"/>
      <c r="AI119" s="1"/>
      <c r="AJ119" s="1"/>
      <c r="AK119" s="1"/>
    </row>
    <row r="120" ht="19.5" customHeight="1">
      <c r="A120" s="1"/>
      <c r="B120" s="1"/>
      <c r="C120" s="1"/>
      <c r="D120" s="1"/>
      <c r="E120" s="84" t="s">
        <v>1808</v>
      </c>
      <c r="F120" s="18" t="str">
        <f>IF(ISBLANK(input_mgmt_cl01_az1_nfs_pg),"Value Missing",input_mgmt_cl01_az1_nfs_pg)</f>
        <v>Value Missing</v>
      </c>
      <c r="G120" s="1"/>
      <c r="H120" s="84" t="s">
        <v>1809</v>
      </c>
      <c r="I120" s="18" t="str">
        <f>IF(ISBLANK(input_wld_cl01_az1_vsan_storage_client_pg),"Value Missing",input_wld_cl01_az1_vsan_storage_client_pg)</f>
        <v>Value Missing</v>
      </c>
      <c r="J120" s="1"/>
      <c r="K120" s="80"/>
      <c r="L120" s="80"/>
      <c r="M120" s="1"/>
      <c r="N120" s="80"/>
      <c r="O120" s="80"/>
      <c r="P120" s="1"/>
      <c r="Q120" s="80"/>
      <c r="R120" s="80"/>
      <c r="S120" s="1"/>
      <c r="T120" s="80"/>
      <c r="U120" s="80"/>
      <c r="V120" s="1"/>
      <c r="W120" s="80"/>
      <c r="X120" s="80"/>
      <c r="Y120" s="1"/>
      <c r="Z120" s="80"/>
      <c r="AA120" s="80"/>
      <c r="AB120" s="1"/>
      <c r="AC120" s="80"/>
      <c r="AD120" s="80"/>
      <c r="AE120" s="1"/>
      <c r="AF120" s="1"/>
      <c r="AG120" s="41"/>
      <c r="AH120" s="41"/>
      <c r="AI120" s="1"/>
      <c r="AJ120" s="1"/>
      <c r="AK120" s="1"/>
    </row>
    <row r="121" ht="19.5" customHeight="1">
      <c r="A121" s="1"/>
      <c r="B121" s="1"/>
      <c r="C121" s="1"/>
      <c r="D121" s="1"/>
      <c r="E121" s="80"/>
      <c r="F121" s="80"/>
      <c r="G121" s="1"/>
      <c r="H121" s="80"/>
      <c r="I121" s="80"/>
      <c r="J121" s="1"/>
      <c r="K121" s="80"/>
      <c r="L121" s="80"/>
      <c r="M121" s="1"/>
      <c r="N121" s="80"/>
      <c r="O121" s="80"/>
      <c r="P121" s="1"/>
      <c r="Q121" s="80"/>
      <c r="R121" s="80"/>
      <c r="S121" s="1"/>
      <c r="T121" s="80"/>
      <c r="U121" s="80"/>
      <c r="V121" s="1"/>
      <c r="W121" s="80"/>
      <c r="X121" s="80"/>
      <c r="Y121" s="1"/>
      <c r="Z121" s="80"/>
      <c r="AA121" s="80"/>
      <c r="AB121" s="1"/>
      <c r="AC121" s="80"/>
      <c r="AD121" s="80"/>
      <c r="AE121" s="1"/>
      <c r="AF121" s="1"/>
      <c r="AG121" s="41"/>
      <c r="AH121" s="41"/>
      <c r="AI121" s="1"/>
      <c r="AJ121" s="1"/>
      <c r="AK121" s="1"/>
    </row>
    <row r="122" ht="19.5" customHeight="1">
      <c r="A122" s="1"/>
      <c r="B122" s="1"/>
      <c r="C122" s="1"/>
      <c r="D122" s="1"/>
      <c r="E122" s="309" t="s">
        <v>1798</v>
      </c>
      <c r="F122" s="310"/>
      <c r="G122" s="1"/>
      <c r="H122" s="309" t="s">
        <v>1810</v>
      </c>
      <c r="I122" s="310"/>
      <c r="J122" s="1"/>
      <c r="K122" s="80"/>
      <c r="L122" s="80"/>
      <c r="M122" s="1"/>
      <c r="N122" s="80"/>
      <c r="O122" s="80"/>
      <c r="P122" s="1"/>
      <c r="Q122" s="80"/>
      <c r="R122" s="80"/>
      <c r="S122" s="1"/>
      <c r="T122" s="80"/>
      <c r="U122" s="80"/>
      <c r="V122" s="1"/>
      <c r="W122" s="80"/>
      <c r="X122" s="80"/>
      <c r="Y122" s="1"/>
      <c r="Z122" s="80"/>
      <c r="AA122" s="80"/>
      <c r="AB122" s="1"/>
      <c r="AC122" s="80"/>
      <c r="AD122" s="80"/>
      <c r="AE122" s="1"/>
      <c r="AF122" s="1"/>
      <c r="AG122" s="41"/>
      <c r="AH122" s="41"/>
      <c r="AI122" s="1"/>
      <c r="AJ122" s="1"/>
      <c r="AK122" s="1"/>
    </row>
    <row r="123" ht="19.5" customHeight="1">
      <c r="A123" s="1"/>
      <c r="B123" s="1"/>
      <c r="C123" s="1"/>
      <c r="D123" s="1"/>
      <c r="E123" s="15" t="s">
        <v>256</v>
      </c>
      <c r="F123" s="15" t="s">
        <v>1707</v>
      </c>
      <c r="G123" s="1"/>
      <c r="H123" s="15" t="s">
        <v>256</v>
      </c>
      <c r="I123" s="15" t="s">
        <v>1707</v>
      </c>
      <c r="J123" s="1"/>
      <c r="K123" s="80"/>
      <c r="L123" s="80"/>
      <c r="M123" s="1"/>
      <c r="N123" s="80"/>
      <c r="O123" s="80"/>
      <c r="P123" s="1"/>
      <c r="Q123" s="80"/>
      <c r="R123" s="80"/>
      <c r="S123" s="1"/>
      <c r="T123" s="80"/>
      <c r="U123" s="80"/>
      <c r="V123" s="1"/>
      <c r="W123" s="80"/>
      <c r="X123" s="80"/>
      <c r="Y123" s="1"/>
      <c r="Z123" s="80"/>
      <c r="AA123" s="80"/>
      <c r="AB123" s="1"/>
      <c r="AC123" s="80"/>
      <c r="AD123" s="80"/>
      <c r="AE123" s="1"/>
      <c r="AF123" s="1"/>
      <c r="AG123" s="41"/>
      <c r="AH123" s="41"/>
      <c r="AI123" s="1"/>
      <c r="AJ123" s="1"/>
      <c r="AK123" s="1"/>
    </row>
    <row r="124" ht="19.5" customHeight="1">
      <c r="A124" s="1"/>
      <c r="B124" s="1"/>
      <c r="C124" s="1"/>
      <c r="D124" s="1"/>
      <c r="E124" s="84" t="s">
        <v>1811</v>
      </c>
      <c r="F124" s="18" t="str">
        <f>IF(ISBLANK(mgmt_cl01_az1_mgmt_vm_uplink1_chosen),"Value Missing",mgmt_cl01_az1_mgmt_vm_uplink1_chosen)</f>
        <v>Active</v>
      </c>
      <c r="G124" s="1"/>
      <c r="H124" s="84" t="s">
        <v>1811</v>
      </c>
      <c r="I124" s="18" t="str">
        <f>IF(ISBLANK(wld_cl01_az1_mgmt_vm_uplink1_chosen),"Value Missing",wld_cl01_az1_mgmt_vm_uplink1_chosen)</f>
        <v>Active</v>
      </c>
      <c r="J124" s="1"/>
      <c r="K124" s="80"/>
      <c r="L124" s="80"/>
      <c r="M124" s="1"/>
      <c r="N124" s="80"/>
      <c r="O124" s="80"/>
      <c r="P124" s="1"/>
      <c r="Q124" s="80"/>
      <c r="R124" s="80"/>
      <c r="S124" s="1"/>
      <c r="T124" s="80"/>
      <c r="U124" s="80"/>
      <c r="V124" s="1"/>
      <c r="W124" s="80"/>
      <c r="X124" s="80"/>
      <c r="Y124" s="1"/>
      <c r="Z124" s="80"/>
      <c r="AA124" s="80"/>
      <c r="AB124" s="1"/>
      <c r="AC124" s="80"/>
      <c r="AD124" s="80"/>
      <c r="AE124" s="1"/>
      <c r="AF124" s="1"/>
      <c r="AG124" s="41"/>
      <c r="AH124" s="41"/>
      <c r="AI124" s="1"/>
      <c r="AJ124" s="1"/>
      <c r="AK124" s="1"/>
    </row>
    <row r="125" ht="19.5" customHeight="1">
      <c r="A125" s="1"/>
      <c r="B125" s="1"/>
      <c r="C125" s="1"/>
      <c r="D125" s="1"/>
      <c r="E125" s="84" t="s">
        <v>1812</v>
      </c>
      <c r="F125" s="18" t="str">
        <f>IF(ISBLANK(mgmt_cl01_az1_mgmt_vm_uplink2_chosen),"Value Missing",mgmt_cl01_az1_mgmt_vm_uplink2_chosen)</f>
        <v>Active</v>
      </c>
      <c r="G125" s="1"/>
      <c r="H125" s="84" t="s">
        <v>1812</v>
      </c>
      <c r="I125" s="18" t="str">
        <f>IF(ISBLANK(wld_cl01_az1_mgmt_vm_uplink2_chosen),"Value Missing",wld_cl01_az1_mgmt_vm_uplink2_chosen)</f>
        <v>Active</v>
      </c>
      <c r="J125" s="1"/>
      <c r="K125" s="80"/>
      <c r="L125" s="80"/>
      <c r="M125" s="1"/>
      <c r="N125" s="80"/>
      <c r="O125" s="80"/>
      <c r="P125" s="1"/>
      <c r="Q125" s="80"/>
      <c r="R125" s="80"/>
      <c r="S125" s="1"/>
      <c r="T125" s="80"/>
      <c r="U125" s="80"/>
      <c r="V125" s="1"/>
      <c r="W125" s="80"/>
      <c r="X125" s="80"/>
      <c r="Y125" s="1"/>
      <c r="Z125" s="80"/>
      <c r="AA125" s="80"/>
      <c r="AB125" s="1"/>
      <c r="AC125" s="80"/>
      <c r="AD125" s="80"/>
      <c r="AE125" s="1"/>
      <c r="AF125" s="1"/>
      <c r="AG125" s="41"/>
      <c r="AH125" s="41"/>
      <c r="AI125" s="1"/>
      <c r="AJ125" s="1"/>
      <c r="AK125" s="1"/>
    </row>
    <row r="126" ht="19.5" customHeight="1">
      <c r="A126" s="1"/>
      <c r="B126" s="1"/>
      <c r="C126" s="1"/>
      <c r="D126" s="1"/>
      <c r="E126" s="84" t="s">
        <v>1813</v>
      </c>
      <c r="F126" s="18" t="str">
        <f>IF(ISBLANK(mgmt_cl01_az1_mgmt_uplink1_chosen),"Value Missing",mgmt_cl01_az1_mgmt_uplink1_chosen)</f>
        <v>Active</v>
      </c>
      <c r="G126" s="1"/>
      <c r="H126" s="84" t="s">
        <v>1813</v>
      </c>
      <c r="I126" s="18" t="str">
        <f>IF(ISBLANK(wld_cl01_az1_mgmt_uplink1_chosen),"Value Missing",wld_cl01_az1_mgmt_uplink1_chosen)</f>
        <v>Active</v>
      </c>
      <c r="J126" s="1"/>
      <c r="K126" s="80"/>
      <c r="L126" s="80"/>
      <c r="M126" s="1"/>
      <c r="N126" s="80"/>
      <c r="O126" s="80"/>
      <c r="P126" s="1"/>
      <c r="Q126" s="80"/>
      <c r="R126" s="80"/>
      <c r="S126" s="1"/>
      <c r="T126" s="80"/>
      <c r="U126" s="80"/>
      <c r="V126" s="1"/>
      <c r="W126" s="80"/>
      <c r="X126" s="80"/>
      <c r="Y126" s="1"/>
      <c r="Z126" s="80"/>
      <c r="AA126" s="80"/>
      <c r="AB126" s="1"/>
      <c r="AC126" s="80"/>
      <c r="AD126" s="80"/>
      <c r="AE126" s="1"/>
      <c r="AF126" s="1"/>
      <c r="AG126" s="41"/>
      <c r="AH126" s="41"/>
      <c r="AI126" s="1"/>
      <c r="AJ126" s="1"/>
      <c r="AK126" s="1"/>
    </row>
    <row r="127" ht="19.5" customHeight="1">
      <c r="A127" s="1"/>
      <c r="B127" s="1"/>
      <c r="C127" s="1"/>
      <c r="D127" s="1"/>
      <c r="E127" s="84" t="s">
        <v>1814</v>
      </c>
      <c r="F127" s="18" t="str">
        <f>IF(ISBLANK(mgmt_cl01_az1_mgmt_uplink2_chosen),"Value Missing",mgmt_cl01_az1_mgmt_uplink2_chosen)</f>
        <v>Active</v>
      </c>
      <c r="G127" s="1"/>
      <c r="H127" s="84" t="s">
        <v>1814</v>
      </c>
      <c r="I127" s="18" t="str">
        <f>IF(ISBLANK(wld_cl01_az1_mgmt_uplink2_chosen),"Value Missing",wld_cl01_az1_mgmt_uplink2_chosen)</f>
        <v>Active</v>
      </c>
      <c r="J127" s="1"/>
      <c r="K127" s="80"/>
      <c r="L127" s="80"/>
      <c r="M127" s="1"/>
      <c r="N127" s="80"/>
      <c r="O127" s="80"/>
      <c r="P127" s="1"/>
      <c r="Q127" s="80"/>
      <c r="R127" s="80"/>
      <c r="S127" s="1"/>
      <c r="T127" s="80"/>
      <c r="U127" s="80"/>
      <c r="V127" s="1"/>
      <c r="W127" s="80"/>
      <c r="X127" s="80"/>
      <c r="Y127" s="1"/>
      <c r="Z127" s="80"/>
      <c r="AA127" s="80"/>
      <c r="AB127" s="1"/>
      <c r="AC127" s="80"/>
      <c r="AD127" s="80"/>
      <c r="AE127" s="1"/>
      <c r="AF127" s="1"/>
      <c r="AG127" s="41"/>
      <c r="AH127" s="41"/>
      <c r="AI127" s="1"/>
      <c r="AJ127" s="1"/>
      <c r="AK127" s="1"/>
    </row>
    <row r="128" ht="19.5" customHeight="1">
      <c r="A128" s="1"/>
      <c r="B128" s="1"/>
      <c r="C128" s="1"/>
      <c r="D128" s="1"/>
      <c r="E128" s="84" t="s">
        <v>1815</v>
      </c>
      <c r="F128" s="18" t="str">
        <f>IF(ISBLANK(mgmt_cl01_az1_vmotion_uplink1_chosen),"Value Missing",mgmt_cl01_az1_vmotion_uplink1_chosen)</f>
        <v>Active</v>
      </c>
      <c r="G128" s="1"/>
      <c r="H128" s="84" t="s">
        <v>1815</v>
      </c>
      <c r="I128" s="18" t="str">
        <f>IF(ISBLANK(wld_cl01_az1_vmotion_uplink1_chosen),"Value Missing",wld_cl01_az1_vmotion_uplink1_chosen)</f>
        <v>Active</v>
      </c>
      <c r="J128" s="1"/>
      <c r="K128" s="80"/>
      <c r="L128" s="80"/>
      <c r="M128" s="1"/>
      <c r="N128" s="80"/>
      <c r="O128" s="80"/>
      <c r="P128" s="1"/>
      <c r="Q128" s="80"/>
      <c r="R128" s="80"/>
      <c r="S128" s="1"/>
      <c r="T128" s="80"/>
      <c r="U128" s="80"/>
      <c r="V128" s="1"/>
      <c r="W128" s="80"/>
      <c r="X128" s="80"/>
      <c r="Y128" s="1"/>
      <c r="Z128" s="80"/>
      <c r="AA128" s="80"/>
      <c r="AB128" s="1"/>
      <c r="AC128" s="80"/>
      <c r="AD128" s="80"/>
      <c r="AE128" s="1"/>
      <c r="AF128" s="1"/>
      <c r="AG128" s="41"/>
      <c r="AH128" s="41"/>
      <c r="AI128" s="1"/>
      <c r="AJ128" s="1"/>
      <c r="AK128" s="1"/>
    </row>
    <row r="129" ht="19.5" customHeight="1">
      <c r="A129" s="1"/>
      <c r="B129" s="1"/>
      <c r="C129" s="1"/>
      <c r="D129" s="1"/>
      <c r="E129" s="84" t="s">
        <v>1816</v>
      </c>
      <c r="F129" s="18" t="str">
        <f>IF(ISBLANK(mgmt_cl01_az1_vmotion_uplink2_chosen),"Value Missing",mgmt_cl01_az1_vmotion_uplink2_chosen)</f>
        <v>Active</v>
      </c>
      <c r="G129" s="1"/>
      <c r="H129" s="84" t="s">
        <v>1816</v>
      </c>
      <c r="I129" s="18" t="str">
        <f>IF(ISBLANK(wld_cl01_az1_vmotion_uplink2_chosen),"Value Missing",wld_cl01_az1_vmotion_uplink2_chosen)</f>
        <v>Active</v>
      </c>
      <c r="J129" s="1"/>
      <c r="K129" s="80"/>
      <c r="L129" s="80"/>
      <c r="M129" s="1"/>
      <c r="N129" s="80"/>
      <c r="O129" s="80"/>
      <c r="P129" s="1"/>
      <c r="Q129" s="80"/>
      <c r="R129" s="80"/>
      <c r="S129" s="1"/>
      <c r="T129" s="80"/>
      <c r="U129" s="80"/>
      <c r="V129" s="1"/>
      <c r="W129" s="80"/>
      <c r="X129" s="80"/>
      <c r="Y129" s="1"/>
      <c r="Z129" s="80"/>
      <c r="AA129" s="80"/>
      <c r="AB129" s="1"/>
      <c r="AC129" s="80"/>
      <c r="AD129" s="80"/>
      <c r="AE129" s="1"/>
      <c r="AF129" s="1"/>
      <c r="AG129" s="41"/>
      <c r="AH129" s="41"/>
      <c r="AI129" s="1"/>
      <c r="AJ129" s="1"/>
      <c r="AK129" s="1"/>
    </row>
    <row r="130" ht="19.5" customHeight="1">
      <c r="A130" s="1"/>
      <c r="B130" s="1"/>
      <c r="C130" s="1"/>
      <c r="D130" s="1"/>
      <c r="E130" s="84" t="s">
        <v>1817</v>
      </c>
      <c r="F130" s="18" t="str">
        <f>IF(ISBLANK(mgmt_cl01_az1_vsan_uplink1_chosen),"Value Missing",mgmt_cl01_az1_vsan_uplink1_chosen)</f>
        <v>Active</v>
      </c>
      <c r="G130" s="1"/>
      <c r="H130" s="84" t="s">
        <v>1817</v>
      </c>
      <c r="I130" s="18" t="str">
        <f>IF(ISBLANK(wld_cl01_az1_vsan_uplink1_chosen),"Value Missing",wld_cl01_az1_vsan_uplink1_chosen)</f>
        <v>Active</v>
      </c>
      <c r="J130" s="1"/>
      <c r="K130" s="80"/>
      <c r="L130" s="80"/>
      <c r="M130" s="1"/>
      <c r="N130" s="80"/>
      <c r="O130" s="80"/>
      <c r="P130" s="1"/>
      <c r="Q130" s="80"/>
      <c r="R130" s="80"/>
      <c r="S130" s="1"/>
      <c r="T130" s="80"/>
      <c r="U130" s="80"/>
      <c r="V130" s="1"/>
      <c r="W130" s="80"/>
      <c r="X130" s="80"/>
      <c r="Y130" s="1"/>
      <c r="Z130" s="80"/>
      <c r="AA130" s="80"/>
      <c r="AB130" s="1"/>
      <c r="AC130" s="80"/>
      <c r="AD130" s="80"/>
      <c r="AE130" s="1"/>
      <c r="AF130" s="1"/>
      <c r="AG130" s="41"/>
      <c r="AH130" s="41"/>
      <c r="AI130" s="1"/>
      <c r="AJ130" s="1"/>
      <c r="AK130" s="1"/>
    </row>
    <row r="131" ht="19.5" customHeight="1">
      <c r="A131" s="1"/>
      <c r="B131" s="1"/>
      <c r="C131" s="1"/>
      <c r="D131" s="1"/>
      <c r="E131" s="84" t="s">
        <v>1818</v>
      </c>
      <c r="F131" s="18" t="str">
        <f>IF(ISBLANK(mgmt_cl01_az1_vsan_uplink2_chosen),"Value Missing",mgmt_cl01_az1_vsan_uplink2_chosen)</f>
        <v>Active</v>
      </c>
      <c r="G131" s="1"/>
      <c r="H131" s="84" t="s">
        <v>1818</v>
      </c>
      <c r="I131" s="18" t="str">
        <f>IF(ISBLANK(wld_cl01_az1_vsan_uplink2_chosen),"Value Missing",wld_cl01_az1_vsan_uplink2_chosen)</f>
        <v>Active</v>
      </c>
      <c r="J131" s="1"/>
      <c r="K131" s="80"/>
      <c r="L131" s="80"/>
      <c r="M131" s="1"/>
      <c r="N131" s="80"/>
      <c r="O131" s="80"/>
      <c r="P131" s="1"/>
      <c r="Q131" s="80"/>
      <c r="R131" s="80"/>
      <c r="S131" s="1"/>
      <c r="T131" s="80"/>
      <c r="U131" s="80"/>
      <c r="V131" s="1"/>
      <c r="W131" s="80"/>
      <c r="X131" s="80"/>
      <c r="Y131" s="1"/>
      <c r="Z131" s="80"/>
      <c r="AA131" s="80"/>
      <c r="AB131" s="1"/>
      <c r="AC131" s="80"/>
      <c r="AD131" s="80"/>
      <c r="AE131" s="1"/>
      <c r="AF131" s="1"/>
      <c r="AG131" s="41"/>
      <c r="AH131" s="41"/>
      <c r="AI131" s="1"/>
      <c r="AJ131" s="1"/>
      <c r="AK131" s="1"/>
    </row>
    <row r="132" ht="19.5" customHeight="1">
      <c r="A132" s="1"/>
      <c r="B132" s="1"/>
      <c r="C132" s="1"/>
      <c r="D132" s="1"/>
      <c r="E132" s="173" t="s">
        <v>1819</v>
      </c>
      <c r="F132" s="18" t="str">
        <f>IF(ISBLANK(mgmt_cl01_az1_nsx_uplink1_chosen),"Value Missing",mgmt_cl01_az1_nsx_uplink1_chosen)</f>
        <v>Active</v>
      </c>
      <c r="G132" s="1"/>
      <c r="H132" s="173" t="s">
        <v>1819</v>
      </c>
      <c r="I132" s="18" t="str">
        <f>IF(ISBLANK(wld_cl01_az1_nsx_uplink1_chosen),"Value Missing",wld_cl01_az1_nsx_uplink1_chosen)</f>
        <v>uplink1</v>
      </c>
      <c r="J132" s="1"/>
      <c r="K132" s="80"/>
      <c r="L132" s="80"/>
      <c r="M132" s="1"/>
      <c r="N132" s="80"/>
      <c r="O132" s="80"/>
      <c r="P132" s="1"/>
      <c r="Q132" s="80"/>
      <c r="R132" s="80"/>
      <c r="S132" s="1"/>
      <c r="T132" s="80"/>
      <c r="U132" s="80"/>
      <c r="V132" s="1"/>
      <c r="W132" s="80"/>
      <c r="X132" s="80"/>
      <c r="Y132" s="1"/>
      <c r="Z132" s="80"/>
      <c r="AA132" s="80"/>
      <c r="AB132" s="1"/>
      <c r="AC132" s="80"/>
      <c r="AD132" s="80"/>
      <c r="AE132" s="1"/>
      <c r="AF132" s="1"/>
      <c r="AG132" s="41"/>
      <c r="AH132" s="41"/>
      <c r="AI132" s="1"/>
      <c r="AJ132" s="1"/>
      <c r="AK132" s="1"/>
    </row>
    <row r="133" ht="19.5" customHeight="1">
      <c r="A133" s="1"/>
      <c r="B133" s="1"/>
      <c r="C133" s="1"/>
      <c r="D133" s="1"/>
      <c r="E133" s="84" t="s">
        <v>1820</v>
      </c>
      <c r="F133" s="18" t="str">
        <f>IF(ISBLANK(mgmt_cl01_az1_nsx_uplink2_chosen),"Value Missing",mgmt_cl01_az1_nsx_uplink2_chosen)</f>
        <v>Active</v>
      </c>
      <c r="G133" s="1"/>
      <c r="H133" s="84" t="s">
        <v>1820</v>
      </c>
      <c r="I133" s="18" t="str">
        <f>IF(ISBLANK(wld_cl01_az1_nsx_uplink2_chosen),"Value Missing",wld_cl01_az1_nsx_uplink2_chosen)</f>
        <v>uplink2</v>
      </c>
      <c r="J133" s="1"/>
      <c r="K133" s="80"/>
      <c r="L133" s="80"/>
      <c r="M133" s="1"/>
      <c r="N133" s="80"/>
      <c r="O133" s="80"/>
      <c r="P133" s="1"/>
      <c r="Q133" s="80"/>
      <c r="R133" s="80"/>
      <c r="S133" s="1"/>
      <c r="T133" s="80"/>
      <c r="U133" s="80"/>
      <c r="V133" s="1"/>
      <c r="W133" s="80"/>
      <c r="X133" s="80"/>
      <c r="Y133" s="1"/>
      <c r="Z133" s="80"/>
      <c r="AA133" s="80"/>
      <c r="AB133" s="1"/>
      <c r="AC133" s="80"/>
      <c r="AD133" s="80"/>
      <c r="AE133" s="1"/>
      <c r="AF133" s="1"/>
      <c r="AG133" s="41"/>
      <c r="AH133" s="41"/>
      <c r="AI133" s="1"/>
      <c r="AJ133" s="1"/>
      <c r="AK133" s="1"/>
    </row>
    <row r="134" ht="19.5" customHeight="1">
      <c r="A134" s="1"/>
      <c r="B134" s="1"/>
      <c r="C134" s="1"/>
      <c r="D134" s="1"/>
      <c r="E134" s="84" t="s">
        <v>1821</v>
      </c>
      <c r="F134" s="18" t="str">
        <f>IF(ISBLANK(mgmt_cl01_az1_nfs_uplink1_chosen),"Value Missing",mgmt_cl01_az1_nfs_uplink1_chosen)</f>
        <v>Active</v>
      </c>
      <c r="G134" s="1"/>
      <c r="H134" s="84" t="s">
        <v>1822</v>
      </c>
      <c r="I134" s="18" t="str">
        <f>wld_cl01_az1_vsan_storage_client_uplink1_chosen</f>
        <v>Active</v>
      </c>
      <c r="J134" s="1"/>
      <c r="K134" s="80"/>
      <c r="L134" s="80"/>
      <c r="M134" s="1"/>
      <c r="N134" s="80"/>
      <c r="O134" s="80"/>
      <c r="P134" s="1"/>
      <c r="Q134" s="80"/>
      <c r="R134" s="80"/>
      <c r="S134" s="1"/>
      <c r="T134" s="80"/>
      <c r="U134" s="80"/>
      <c r="V134" s="1"/>
      <c r="W134" s="80"/>
      <c r="X134" s="80"/>
      <c r="Y134" s="1"/>
      <c r="Z134" s="80"/>
      <c r="AA134" s="80"/>
      <c r="AB134" s="1"/>
      <c r="AC134" s="80"/>
      <c r="AD134" s="80"/>
      <c r="AE134" s="1"/>
      <c r="AF134" s="1"/>
      <c r="AG134" s="41"/>
      <c r="AH134" s="41"/>
      <c r="AI134" s="1"/>
      <c r="AJ134" s="1"/>
      <c r="AK134" s="1"/>
    </row>
    <row r="135" ht="19.5" customHeight="1">
      <c r="A135" s="1"/>
      <c r="B135" s="1"/>
      <c r="C135" s="1"/>
      <c r="D135" s="1"/>
      <c r="E135" s="84" t="s">
        <v>1823</v>
      </c>
      <c r="F135" s="18" t="str">
        <f>IF(ISBLANK(mgmt_cl01_az1_nfs_uplink2_chosen),"Value Missing",mgmt_cl01_az1_nfs_uplink2_chosen)</f>
        <v>Active</v>
      </c>
      <c r="G135" s="1"/>
      <c r="H135" s="84" t="s">
        <v>1822</v>
      </c>
      <c r="I135" s="18" t="str">
        <f>wld_cl01_az1_vsan_storage_client_uplink2_chosen</f>
        <v>Active</v>
      </c>
      <c r="J135" s="1"/>
      <c r="K135" s="80"/>
      <c r="L135" s="80"/>
      <c r="M135" s="1"/>
      <c r="N135" s="80"/>
      <c r="O135" s="80"/>
      <c r="P135" s="1"/>
      <c r="Q135" s="80"/>
      <c r="R135" s="80"/>
      <c r="S135" s="1"/>
      <c r="T135" s="80"/>
      <c r="U135" s="80"/>
      <c r="V135" s="1"/>
      <c r="W135" s="80"/>
      <c r="X135" s="80"/>
      <c r="Y135" s="1"/>
      <c r="Z135" s="80"/>
      <c r="AA135" s="80"/>
      <c r="AB135" s="1"/>
      <c r="AC135" s="80"/>
      <c r="AD135" s="80"/>
      <c r="AE135" s="1"/>
      <c r="AF135" s="1"/>
      <c r="AG135" s="41"/>
      <c r="AH135" s="41"/>
      <c r="AI135" s="1"/>
      <c r="AJ135" s="1"/>
      <c r="AK135" s="1"/>
    </row>
    <row r="136" ht="19.5" customHeight="1">
      <c r="A136" s="1"/>
      <c r="B136" s="1"/>
      <c r="C136" s="1"/>
      <c r="D136" s="1"/>
      <c r="E136" s="80"/>
      <c r="F136" s="80"/>
      <c r="G136" s="1"/>
      <c r="H136" s="80"/>
      <c r="I136" s="80"/>
      <c r="J136" s="1"/>
      <c r="K136" s="80"/>
      <c r="L136" s="80"/>
      <c r="M136" s="1"/>
      <c r="N136" s="80"/>
      <c r="O136" s="80"/>
      <c r="P136" s="1"/>
      <c r="Q136" s="80"/>
      <c r="R136" s="80"/>
      <c r="S136" s="1"/>
      <c r="T136" s="80"/>
      <c r="U136" s="80"/>
      <c r="V136" s="1"/>
      <c r="W136" s="80"/>
      <c r="X136" s="80"/>
      <c r="Y136" s="1"/>
      <c r="Z136" s="80"/>
      <c r="AA136" s="80"/>
      <c r="AB136" s="1"/>
      <c r="AC136" s="80"/>
      <c r="AD136" s="80"/>
      <c r="AE136" s="1"/>
      <c r="AF136" s="1"/>
      <c r="AG136" s="41"/>
      <c r="AH136" s="41"/>
      <c r="AI136" s="1"/>
      <c r="AJ136" s="1"/>
      <c r="AK136" s="1"/>
    </row>
    <row r="137" ht="19.5" customHeight="1">
      <c r="A137" s="1"/>
      <c r="B137" s="1"/>
      <c r="C137" s="1"/>
      <c r="D137" s="1"/>
      <c r="E137" s="309" t="s">
        <v>1824</v>
      </c>
      <c r="F137" s="310"/>
      <c r="G137" s="1"/>
      <c r="H137" s="309" t="s">
        <v>1825</v>
      </c>
      <c r="I137" s="310"/>
      <c r="J137" s="1"/>
      <c r="K137" s="80"/>
      <c r="L137" s="80"/>
      <c r="M137" s="1"/>
      <c r="N137" s="80"/>
      <c r="O137" s="80"/>
      <c r="P137" s="1"/>
      <c r="Q137" s="80"/>
      <c r="R137" s="80"/>
      <c r="S137" s="1"/>
      <c r="T137" s="80"/>
      <c r="U137" s="80"/>
      <c r="V137" s="1"/>
      <c r="W137" s="80"/>
      <c r="X137" s="80"/>
      <c r="Y137" s="1"/>
      <c r="Z137" s="80"/>
      <c r="AA137" s="80"/>
      <c r="AB137" s="1"/>
      <c r="AC137" s="80"/>
      <c r="AD137" s="80"/>
      <c r="AE137" s="1"/>
      <c r="AF137" s="1"/>
      <c r="AG137" s="41"/>
      <c r="AH137" s="41"/>
      <c r="AI137" s="1"/>
      <c r="AJ137" s="1"/>
      <c r="AK137" s="1"/>
    </row>
    <row r="138" ht="19.5" customHeight="1">
      <c r="A138" s="1"/>
      <c r="B138" s="1"/>
      <c r="C138" s="1"/>
      <c r="D138" s="1"/>
      <c r="E138" s="15" t="s">
        <v>256</v>
      </c>
      <c r="F138" s="15" t="s">
        <v>1707</v>
      </c>
      <c r="G138" s="1"/>
      <c r="H138" s="15" t="s">
        <v>256</v>
      </c>
      <c r="I138" s="15" t="s">
        <v>1707</v>
      </c>
      <c r="J138" s="1"/>
      <c r="K138" s="80"/>
      <c r="L138" s="80"/>
      <c r="M138" s="1"/>
      <c r="N138" s="80"/>
      <c r="O138" s="80"/>
      <c r="P138" s="1"/>
      <c r="Q138" s="80"/>
      <c r="R138" s="80"/>
      <c r="S138" s="1"/>
      <c r="T138" s="80"/>
      <c r="U138" s="80"/>
      <c r="V138" s="1"/>
      <c r="W138" s="80"/>
      <c r="X138" s="80"/>
      <c r="Y138" s="1"/>
      <c r="Z138" s="80"/>
      <c r="AA138" s="80"/>
      <c r="AB138" s="1"/>
      <c r="AC138" s="80"/>
      <c r="AD138" s="80"/>
      <c r="AE138" s="1"/>
      <c r="AF138" s="1"/>
      <c r="AG138" s="41"/>
      <c r="AH138" s="41"/>
      <c r="AI138" s="1"/>
      <c r="AJ138" s="1"/>
      <c r="AK138" s="1"/>
    </row>
    <row r="139" ht="19.5" customHeight="1">
      <c r="A139" s="1"/>
      <c r="B139" s="1"/>
      <c r="C139" s="1"/>
      <c r="D139" s="1"/>
      <c r="E139" s="84" t="s">
        <v>1826</v>
      </c>
      <c r="F139" s="18" t="str">
        <f>IF(ISBLANK(mgmt_cl01_az1_mgmt_vm_lbt_chosen),"Value Missing",mgmt_cl01_az1_mgmt_vm_lbt_chosen)</f>
        <v>Route Based on Physical NIC Load</v>
      </c>
      <c r="G139" s="1"/>
      <c r="H139" s="84" t="s">
        <v>1826</v>
      </c>
      <c r="I139" s="18" t="str">
        <f>IF(ISBLANK(wld_cl01_az1_mgmt_vm_lbt_chosen),"Value Missing",wld_cl01_az1_mgmt_vm_lbt_chosen)</f>
        <v>Route Based on Physical NIC Load</v>
      </c>
      <c r="J139" s="1"/>
      <c r="K139" s="80"/>
      <c r="L139" s="1"/>
      <c r="M139" s="1"/>
      <c r="N139" s="80"/>
      <c r="O139" s="80"/>
      <c r="P139" s="1"/>
      <c r="Q139" s="80"/>
      <c r="R139" s="80"/>
      <c r="S139" s="1"/>
      <c r="T139" s="80"/>
      <c r="U139" s="80"/>
      <c r="V139" s="1"/>
      <c r="W139" s="80"/>
      <c r="X139" s="80"/>
      <c r="Y139" s="1"/>
      <c r="Z139" s="80"/>
      <c r="AA139" s="80"/>
      <c r="AB139" s="1"/>
      <c r="AC139" s="80"/>
      <c r="AD139" s="80"/>
      <c r="AE139" s="1"/>
      <c r="AF139" s="1"/>
      <c r="AG139" s="41"/>
      <c r="AH139" s="41"/>
      <c r="AI139" s="1"/>
      <c r="AJ139" s="1"/>
      <c r="AK139" s="1"/>
    </row>
    <row r="140" ht="19.5" customHeight="1">
      <c r="A140" s="1"/>
      <c r="B140" s="1"/>
      <c r="C140" s="1"/>
      <c r="D140" s="1"/>
      <c r="E140" s="84" t="s">
        <v>1827</v>
      </c>
      <c r="F140" s="18" t="str">
        <f>IF(ISBLANK(mgmt_cl01_az1_mgmt_lbt_chosen),"Value Missing",mgmt_cl01_az1_mgmt_lbt_chosen)</f>
        <v>Route based on the source of the port ID</v>
      </c>
      <c r="G140" s="1"/>
      <c r="H140" s="84" t="s">
        <v>1827</v>
      </c>
      <c r="I140" s="18" t="str">
        <f>IF(ISBLANK(wld_cl01_az1_mgmt_lbt_chosen),"Value Missing",wld_cl01_az1_mgmt_lbt_chosen)</f>
        <v>Route Based on Physical NIC Load</v>
      </c>
      <c r="J140" s="1"/>
      <c r="K140" s="80"/>
      <c r="L140" s="80"/>
      <c r="M140" s="1"/>
      <c r="N140" s="80"/>
      <c r="O140" s="80"/>
      <c r="P140" s="1"/>
      <c r="Q140" s="80"/>
      <c r="R140" s="80"/>
      <c r="S140" s="1"/>
      <c r="T140" s="80"/>
      <c r="U140" s="80"/>
      <c r="V140" s="1"/>
      <c r="W140" s="80"/>
      <c r="X140" s="80"/>
      <c r="Y140" s="1"/>
      <c r="Z140" s="80"/>
      <c r="AA140" s="80"/>
      <c r="AB140" s="1"/>
      <c r="AC140" s="80"/>
      <c r="AD140" s="80"/>
      <c r="AE140" s="1"/>
      <c r="AF140" s="1"/>
      <c r="AG140" s="41"/>
      <c r="AH140" s="41"/>
      <c r="AI140" s="1"/>
      <c r="AJ140" s="1"/>
      <c r="AK140" s="1"/>
    </row>
    <row r="141" ht="19.5" customHeight="1">
      <c r="A141" s="1"/>
      <c r="B141" s="1"/>
      <c r="C141" s="1"/>
      <c r="D141" s="1"/>
      <c r="E141" s="84" t="s">
        <v>1828</v>
      </c>
      <c r="F141" s="18" t="str">
        <f>IF(ISBLANK(mgmt_cl01_az1_vmotion_lbt_chosen),"Value Missing",mgmt_cl01_az1_vmotion_lbt_chosen)</f>
        <v>Route Based on Physical NIC Load</v>
      </c>
      <c r="G141" s="1"/>
      <c r="H141" s="84" t="s">
        <v>1828</v>
      </c>
      <c r="I141" s="18" t="str">
        <f>IF(ISBLANK(wld_cl01_az1_vmotion_lbt_chosen),"Value Missing",wld_cl01_az1_vmotion_lbt_chosen)</f>
        <v>Route Based on Physical NIC Load</v>
      </c>
      <c r="J141" s="1"/>
      <c r="K141" s="80"/>
      <c r="L141" s="80"/>
      <c r="M141" s="10"/>
      <c r="N141" s="80"/>
      <c r="O141" s="80"/>
      <c r="P141" s="1"/>
      <c r="Q141" s="80"/>
      <c r="R141" s="80"/>
      <c r="S141" s="1"/>
      <c r="T141" s="80"/>
      <c r="U141" s="80"/>
      <c r="V141" s="1"/>
      <c r="W141" s="80"/>
      <c r="X141" s="80"/>
      <c r="Y141" s="1"/>
      <c r="Z141" s="80"/>
      <c r="AA141" s="80"/>
      <c r="AB141" s="1"/>
      <c r="AC141" s="80"/>
      <c r="AD141" s="80"/>
      <c r="AE141" s="1"/>
      <c r="AF141" s="1"/>
      <c r="AG141" s="41"/>
      <c r="AH141" s="41"/>
      <c r="AI141" s="1"/>
      <c r="AJ141" s="1"/>
      <c r="AK141" s="1"/>
    </row>
    <row r="142" ht="19.5" customHeight="1">
      <c r="A142" s="1"/>
      <c r="B142" s="1"/>
      <c r="C142" s="1"/>
      <c r="D142" s="1"/>
      <c r="E142" s="84" t="s">
        <v>1829</v>
      </c>
      <c r="F142" s="18" t="str">
        <f>IF(ISBLANK(mgmt_cl01_az1_vsan_lbt_chosen),"Value Missing",mgmt_cl01_az1_vsan_lbt_chosen)</f>
        <v>Route Based on Physical NIC Load</v>
      </c>
      <c r="G142" s="8"/>
      <c r="H142" s="84" t="s">
        <v>1829</v>
      </c>
      <c r="I142" s="18" t="str">
        <f>IF(ISBLANK(wld_cl01_az1_vsan_lbt_chosen),"Value Missing",wld_cl01_az1_vsan_lbt_chosen)</f>
        <v>Route Based on Physical NIC Load</v>
      </c>
      <c r="J142" s="8"/>
      <c r="K142" s="80"/>
      <c r="L142" s="80"/>
      <c r="M142" s="1"/>
      <c r="N142" s="80"/>
      <c r="O142" s="80"/>
      <c r="P142" s="1"/>
      <c r="Q142" s="80"/>
      <c r="R142" s="80"/>
      <c r="S142" s="1"/>
      <c r="T142" s="80"/>
      <c r="U142" s="80"/>
      <c r="V142" s="1"/>
      <c r="W142" s="80"/>
      <c r="X142" s="80"/>
      <c r="Y142" s="1"/>
      <c r="Z142" s="80"/>
      <c r="AA142" s="80"/>
      <c r="AB142" s="1"/>
      <c r="AC142" s="80"/>
      <c r="AD142" s="80"/>
      <c r="AE142" s="1"/>
      <c r="AF142" s="1"/>
      <c r="AG142" s="41"/>
      <c r="AH142" s="41"/>
      <c r="AI142" s="1"/>
      <c r="AJ142" s="1"/>
      <c r="AK142" s="1"/>
    </row>
    <row r="143" ht="19.5" customHeight="1">
      <c r="A143" s="1"/>
      <c r="B143" s="1"/>
      <c r="C143" s="1"/>
      <c r="D143" s="1"/>
      <c r="E143" s="84" t="s">
        <v>1830</v>
      </c>
      <c r="F143" s="18" t="str">
        <f>IF(ISBLANK(mgmt_cl01_az1_nsx_lbt_chosen),"Value Missing",mgmt_cl01_az1_nsx_lbt_chosen)</f>
        <v>Route Based on the Source of the Port ID</v>
      </c>
      <c r="G143" s="1"/>
      <c r="H143" s="84" t="s">
        <v>1712</v>
      </c>
      <c r="I143" s="18" t="str">
        <f>IF(ISBLANK(wld_cl01_az1_nsx_lbt_chosen),"Value Missing",wld_cl01_az1_nsx_lbt_chosen)</f>
        <v>Load Balance Source</v>
      </c>
      <c r="J143" s="1"/>
      <c r="K143" s="80"/>
      <c r="L143" s="80"/>
      <c r="M143" s="8"/>
      <c r="N143" s="80"/>
      <c r="O143" s="80"/>
      <c r="P143" s="1"/>
      <c r="Q143" s="80"/>
      <c r="R143" s="80"/>
      <c r="S143" s="1"/>
      <c r="T143" s="80"/>
      <c r="U143" s="80"/>
      <c r="V143" s="1"/>
      <c r="W143" s="80"/>
      <c r="X143" s="80"/>
      <c r="Y143" s="1"/>
      <c r="Z143" s="80"/>
      <c r="AA143" s="80"/>
      <c r="AB143" s="1"/>
      <c r="AC143" s="80"/>
      <c r="AD143" s="80"/>
      <c r="AE143" s="1"/>
      <c r="AF143" s="1"/>
      <c r="AG143" s="41"/>
      <c r="AH143" s="41"/>
      <c r="AI143" s="1"/>
      <c r="AJ143" s="1"/>
      <c r="AK143" s="1"/>
    </row>
    <row r="144" ht="19.5" customHeight="1">
      <c r="A144" s="1"/>
      <c r="B144" s="1"/>
      <c r="C144" s="1"/>
      <c r="D144" s="1"/>
      <c r="E144" s="84" t="s">
        <v>1831</v>
      </c>
      <c r="F144" s="18"/>
      <c r="G144" s="1"/>
      <c r="H144" s="84" t="s">
        <v>1831</v>
      </c>
      <c r="I144" s="18" t="str">
        <f>IF(ISBLANK(wld_cl01_az1_vsan_storage_client_lbt_chosen),"Value Missing",wld_cl01_az1_vsan_storage_client_lbt_chosen)</f>
        <v>Route Based on Physical NIC Load</v>
      </c>
      <c r="J144" s="1"/>
      <c r="K144" s="80"/>
      <c r="L144" s="80"/>
      <c r="M144" s="1"/>
      <c r="N144" s="80"/>
      <c r="O144" s="80"/>
      <c r="P144" s="1"/>
      <c r="Q144" s="80"/>
      <c r="R144" s="80"/>
      <c r="S144" s="1"/>
      <c r="T144" s="80"/>
      <c r="U144" s="80"/>
      <c r="V144" s="1"/>
      <c r="W144" s="80"/>
      <c r="X144" s="80"/>
      <c r="Y144" s="1"/>
      <c r="Z144" s="80"/>
      <c r="AA144" s="80"/>
      <c r="AB144" s="1"/>
      <c r="AC144" s="80"/>
      <c r="AD144" s="80"/>
      <c r="AE144" s="1"/>
      <c r="AF144" s="1"/>
      <c r="AG144" s="41"/>
      <c r="AH144" s="41"/>
      <c r="AI144" s="1"/>
      <c r="AJ144" s="1"/>
      <c r="AK144" s="1"/>
    </row>
    <row r="145" ht="19.5" customHeight="1">
      <c r="A145" s="1"/>
      <c r="B145" s="1"/>
      <c r="C145" s="1"/>
      <c r="D145" s="1"/>
      <c r="E145" s="84" t="s">
        <v>1832</v>
      </c>
      <c r="F145" s="18" t="str">
        <f>IF(ISBLANK(mgmt_cl01_az1_nfs_lbt_chosen),"Value Missing",mgmt_cl01_az1_nfs_lbt_chosen)</f>
        <v>Route Based on Physical NIC Load</v>
      </c>
      <c r="G145" s="1"/>
      <c r="H145" s="80"/>
      <c r="I145" s="10"/>
      <c r="J145" s="1"/>
      <c r="K145" s="80"/>
      <c r="L145" s="80"/>
      <c r="M145" s="1"/>
      <c r="N145" s="80"/>
      <c r="O145" s="80"/>
      <c r="P145" s="1"/>
      <c r="Q145" s="80"/>
      <c r="R145" s="80"/>
      <c r="S145" s="1"/>
      <c r="T145" s="80"/>
      <c r="U145" s="80"/>
      <c r="V145" s="1"/>
      <c r="W145" s="80"/>
      <c r="X145" s="80"/>
      <c r="Y145" s="1"/>
      <c r="Z145" s="80"/>
      <c r="AA145" s="80"/>
      <c r="AB145" s="1"/>
      <c r="AC145" s="80"/>
      <c r="AD145" s="80"/>
      <c r="AE145" s="1"/>
      <c r="AF145" s="1"/>
      <c r="AG145" s="41"/>
      <c r="AH145" s="41"/>
      <c r="AI145" s="41"/>
      <c r="AJ145" s="1"/>
      <c r="AK145" s="1"/>
    </row>
    <row r="146" ht="19.5" customHeight="1">
      <c r="A146" s="1"/>
      <c r="B146" s="1"/>
      <c r="C146" s="1"/>
      <c r="D146" s="1"/>
      <c r="E146" s="1"/>
      <c r="F146" s="1"/>
      <c r="G146" s="1"/>
      <c r="H146" s="1"/>
      <c r="I146" s="10"/>
      <c r="J146" s="1"/>
      <c r="K146" s="1"/>
      <c r="L146" s="10"/>
      <c r="M146" s="1"/>
      <c r="N146" s="1"/>
      <c r="O146" s="1"/>
      <c r="P146" s="1"/>
      <c r="Q146" s="1"/>
      <c r="R146" s="1"/>
      <c r="S146" s="1"/>
      <c r="T146" s="1"/>
      <c r="U146" s="1"/>
      <c r="V146" s="1"/>
      <c r="W146" s="1"/>
      <c r="X146" s="1"/>
      <c r="Y146" s="1"/>
      <c r="Z146" s="1"/>
      <c r="AA146" s="1"/>
      <c r="AB146" s="1"/>
      <c r="AC146" s="1"/>
      <c r="AD146" s="1"/>
      <c r="AE146" s="1"/>
      <c r="AF146" s="1"/>
      <c r="AG146" s="41"/>
      <c r="AH146" s="41"/>
      <c r="AI146" s="41"/>
      <c r="AJ146" s="1"/>
      <c r="AK146" s="1"/>
    </row>
    <row r="147" ht="19.5" customHeight="1">
      <c r="A147" s="1"/>
      <c r="B147" s="1"/>
      <c r="C147" s="1"/>
      <c r="D147" s="1"/>
      <c r="E147" s="320" t="s">
        <v>1833</v>
      </c>
      <c r="F147" s="310"/>
      <c r="G147" s="1"/>
      <c r="H147" s="320" t="s">
        <v>1834</v>
      </c>
      <c r="I147" s="310"/>
      <c r="J147" s="1"/>
      <c r="K147" s="320" t="s">
        <v>1835</v>
      </c>
      <c r="L147" s="310"/>
      <c r="M147" s="1"/>
      <c r="N147" s="320" t="s">
        <v>1836</v>
      </c>
      <c r="O147" s="310"/>
      <c r="P147" s="1"/>
      <c r="Q147" s="320" t="s">
        <v>1837</v>
      </c>
      <c r="R147" s="310"/>
      <c r="S147" s="1"/>
      <c r="T147" s="320" t="s">
        <v>1838</v>
      </c>
      <c r="U147" s="310"/>
      <c r="V147" s="1"/>
      <c r="W147" s="320" t="s">
        <v>1839</v>
      </c>
      <c r="X147" s="310"/>
      <c r="Y147" s="1"/>
      <c r="Z147" s="320" t="s">
        <v>1840</v>
      </c>
      <c r="AA147" s="310"/>
      <c r="AB147" s="1"/>
      <c r="AC147" s="320" t="s">
        <v>1841</v>
      </c>
      <c r="AD147" s="310"/>
      <c r="AE147" s="1"/>
      <c r="AF147" s="1"/>
      <c r="AG147" s="41"/>
      <c r="AH147" s="41"/>
      <c r="AI147" s="41"/>
      <c r="AJ147" s="1"/>
      <c r="AK147" s="1"/>
    </row>
    <row r="148" ht="19.5" customHeight="1">
      <c r="A148" s="1"/>
      <c r="B148" s="1"/>
      <c r="C148" s="1"/>
      <c r="D148" s="1"/>
      <c r="E148" s="15" t="s">
        <v>256</v>
      </c>
      <c r="F148" s="15" t="s">
        <v>1707</v>
      </c>
      <c r="G148" s="1"/>
      <c r="H148" s="15" t="s">
        <v>256</v>
      </c>
      <c r="I148" s="15" t="s">
        <v>274</v>
      </c>
      <c r="J148" s="1"/>
      <c r="K148" s="15" t="s">
        <v>256</v>
      </c>
      <c r="L148" s="15" t="s">
        <v>274</v>
      </c>
      <c r="M148" s="1"/>
      <c r="N148" s="15" t="s">
        <v>256</v>
      </c>
      <c r="O148" s="15" t="s">
        <v>274</v>
      </c>
      <c r="P148" s="8"/>
      <c r="Q148" s="15" t="s">
        <v>256</v>
      </c>
      <c r="R148" s="15" t="s">
        <v>274</v>
      </c>
      <c r="S148" s="8"/>
      <c r="T148" s="15" t="s">
        <v>256</v>
      </c>
      <c r="U148" s="15" t="s">
        <v>274</v>
      </c>
      <c r="V148" s="8"/>
      <c r="W148" s="15" t="s">
        <v>256</v>
      </c>
      <c r="X148" s="15" t="s">
        <v>274</v>
      </c>
      <c r="Y148" s="8"/>
      <c r="Z148" s="15" t="s">
        <v>256</v>
      </c>
      <c r="AA148" s="15" t="s">
        <v>274</v>
      </c>
      <c r="AB148" s="8"/>
      <c r="AC148" s="15" t="s">
        <v>256</v>
      </c>
      <c r="AD148" s="15" t="s">
        <v>274</v>
      </c>
      <c r="AE148" s="1"/>
      <c r="AF148" s="1"/>
      <c r="AG148" s="41"/>
      <c r="AH148" s="41"/>
      <c r="AI148" s="41"/>
      <c r="AJ148" s="1"/>
      <c r="AK148" s="1"/>
    </row>
    <row r="149" ht="19.5" customHeight="1">
      <c r="A149" s="1"/>
      <c r="B149" s="1"/>
      <c r="C149" s="1"/>
      <c r="D149" s="1"/>
      <c r="E149" s="85" t="s">
        <v>1842</v>
      </c>
      <c r="F149" s="18" t="str">
        <f>IF(ISBLANK(input_mgmt_az1_vmotion_pool_start_ip),"Value Missing",input_mgmt_az1_vmotion_pool_start_ip)</f>
        <v>Value Missing</v>
      </c>
      <c r="G149" s="1"/>
      <c r="H149" s="85" t="s">
        <v>1842</v>
      </c>
      <c r="I149" s="18" t="str">
        <f>IF(ISBLANK(input_wld_az1_vmotion_pool_start_ip),"Value Missing",input_wld_az1_vmotion_pool_start_ip)</f>
        <v>Value Missing</v>
      </c>
      <c r="J149" s="1"/>
      <c r="K149" s="85" t="s">
        <v>1842</v>
      </c>
      <c r="L149" s="18" t="str">
        <f>IF(ISBLANK(input_wld_az1_rack2_vmotion_pool_start_ip),"Value Missing",input_wld_az1_rack2_vmotion_pool_start_ip)</f>
        <v>Value Missing</v>
      </c>
      <c r="M149" s="1"/>
      <c r="N149" s="85" t="s">
        <v>1842</v>
      </c>
      <c r="O149" s="18" t="str">
        <f>IF(ISBLANK(input_wld_az1_rack3_vmotion_pool_start_ip),"Value Missing",input_wld_az1_rack3_vmotion_pool_start_ip)</f>
        <v>Value Missing</v>
      </c>
      <c r="P149" s="1"/>
      <c r="Q149" s="85" t="s">
        <v>1842</v>
      </c>
      <c r="R149" s="18" t="str">
        <f>IF(ISBLANK(input_wld_az1_rack4_vmotion_pool_start_ip),"Value Missing",input_wld_az1_rack4_vmotion_pool_start_ip)</f>
        <v>Value Missing</v>
      </c>
      <c r="S149" s="1"/>
      <c r="T149" s="85" t="s">
        <v>1842</v>
      </c>
      <c r="U149" s="18" t="str">
        <f>IF(ISBLANK(input_wld_az1_rack5_vmotion_pool_start_ip),"Value Missing",input_wld_az1_rack5_vmotion_pool_start_ip)</f>
        <v>Value Missing</v>
      </c>
      <c r="V149" s="1"/>
      <c r="W149" s="85" t="s">
        <v>1842</v>
      </c>
      <c r="X149" s="18" t="str">
        <f>IF(ISBLANK(input_wld_az1_rack6_vmotion_pool_start_ip),"Value Missing",input_wld_az1_rack6_vmotion_pool_start_ip)</f>
        <v>Value Missing</v>
      </c>
      <c r="Y149" s="1"/>
      <c r="Z149" s="85" t="s">
        <v>1842</v>
      </c>
      <c r="AA149" s="18" t="str">
        <f>IF(ISBLANK(input_wld_az1_rack7_vmotion_pool_start_ip),"Value Missing",input_wld_az1_rack7_vmotion_pool_start_ip)</f>
        <v>Value Missing</v>
      </c>
      <c r="AB149" s="1"/>
      <c r="AC149" s="85" t="s">
        <v>1842</v>
      </c>
      <c r="AD149" s="18" t="str">
        <f>IF(ISBLANK(input_wld_az1_rack8_vmotion_pool_start_ip),"Value Missing",input_wld_az1_rack8_vmotion_pool_start_ip)</f>
        <v>Value Missing</v>
      </c>
      <c r="AE149" s="1"/>
      <c r="AF149" s="1"/>
      <c r="AG149" s="41"/>
      <c r="AH149" s="41"/>
      <c r="AI149" s="41"/>
      <c r="AJ149" s="1"/>
      <c r="AK149" s="1"/>
    </row>
    <row r="150" ht="19.5" customHeight="1">
      <c r="A150" s="1"/>
      <c r="B150" s="1"/>
      <c r="C150" s="1"/>
      <c r="D150" s="1"/>
      <c r="E150" s="85" t="s">
        <v>1843</v>
      </c>
      <c r="F150" s="18" t="str">
        <f>IF(ISBLANK(input_mgmt_az1_vmotion_pool_end_ip),"Value Missing",input_mgmt_az1_vmotion_pool_end_ip)</f>
        <v>Value Missing</v>
      </c>
      <c r="G150" s="1"/>
      <c r="H150" s="85" t="s">
        <v>1843</v>
      </c>
      <c r="I150" s="18" t="str">
        <f>IF(ISBLANK(input_wld_az1_vmotion_pool_end_ip),"Value Missing",input_wld_az1_vmotion_pool_end_ip)</f>
        <v>Value Missing</v>
      </c>
      <c r="J150" s="1"/>
      <c r="K150" s="85" t="s">
        <v>1843</v>
      </c>
      <c r="L150" s="18" t="str">
        <f>IF(ISBLANK(input_wld_az1_rack2_vmotion_pool_end_ip),"Value Missing",input_wld_az1_rack2_vmotion_pool_end_ip)</f>
        <v>Value Missing</v>
      </c>
      <c r="M150" s="1"/>
      <c r="N150" s="85" t="s">
        <v>1843</v>
      </c>
      <c r="O150" s="18" t="str">
        <f>IF(ISBLANK(input_wld_az1_rack3_vmotion_pool_end_ip),"Value Missing",input_wld_az1_rack3_vmotion_pool_end_ip)</f>
        <v>Value Missing</v>
      </c>
      <c r="P150" s="1"/>
      <c r="Q150" s="85" t="s">
        <v>1843</v>
      </c>
      <c r="R150" s="18" t="str">
        <f>IF(ISBLANK(input_wld_az1_rack4_vmotion_pool_end_ip),"Value Missing",input_wld_az1_rack4_vmotion_pool_end_ip)</f>
        <v>Value Missing</v>
      </c>
      <c r="S150" s="1"/>
      <c r="T150" s="85" t="s">
        <v>1843</v>
      </c>
      <c r="U150" s="18" t="str">
        <f>IF(ISBLANK(input_wld_az1_rack5_vmotion_pool_end_ip),"Value Missing",input_wld_az1_rack5_vmotion_pool_end_ip)</f>
        <v>Value Missing</v>
      </c>
      <c r="V150" s="1"/>
      <c r="W150" s="85" t="s">
        <v>1843</v>
      </c>
      <c r="X150" s="18" t="str">
        <f>IF(ISBLANK(input_wld_az1_rack6_vmotion_pool_end_ip),"Value Missing",input_wld_az1_rack6_vmotion_pool_end_ip)</f>
        <v>Value Missing</v>
      </c>
      <c r="Y150" s="1"/>
      <c r="Z150" s="85" t="s">
        <v>1843</v>
      </c>
      <c r="AA150" s="18" t="str">
        <f>IF(ISBLANK(input_wld_az1_rack7_vmotion_pool_end_ip),"Value Missing",input_wld_az1_rack7_vmotion_pool_end_ip)</f>
        <v>Value Missing</v>
      </c>
      <c r="AB150" s="1"/>
      <c r="AC150" s="85" t="s">
        <v>1843</v>
      </c>
      <c r="AD150" s="18" t="str">
        <f>IF(ISBLANK(input_wld_az1_rack8_vmotion_pool_end_ip),"Value Missing",input_wld_az1_rack8_vmotion_pool_end_ip)</f>
        <v>Value Missing</v>
      </c>
      <c r="AE150" s="1"/>
      <c r="AF150" s="1"/>
      <c r="AG150" s="41"/>
      <c r="AH150" s="41"/>
      <c r="AI150" s="41"/>
      <c r="AJ150" s="1"/>
      <c r="AK150" s="1"/>
    </row>
    <row r="151" ht="19.5" customHeight="1">
      <c r="A151" s="1"/>
      <c r="B151" s="1"/>
      <c r="C151" s="1"/>
      <c r="D151" s="1"/>
      <c r="E151" s="85" t="s">
        <v>1844</v>
      </c>
      <c r="F151" s="18" t="str">
        <f>IF(ISBLANK(input_mgmt_az1_vsan_pool_start_ip),"Value Missing",input_mgmt_az1_vsan_pool_start_ip)</f>
        <v>Value Missing</v>
      </c>
      <c r="G151" s="1"/>
      <c r="H151" s="85" t="s">
        <v>1844</v>
      </c>
      <c r="I151" s="18" t="str">
        <f>IF(ISBLANK(input_wld_az1_principal_storage_pool_start_ip),"Value Missing",input_wld_az1_principal_storage_pool_start_ip)</f>
        <v>Value Missing</v>
      </c>
      <c r="J151" s="1"/>
      <c r="K151" s="85" t="s">
        <v>1844</v>
      </c>
      <c r="L151" s="18" t="str">
        <f>IF(ISBLANK(input_wld_az1_rack2_principal_storage_pool_start_ip),"Value Missing",input_wld_az1_rack2_principal_storage_pool_start_ip)</f>
        <v>Value Missing</v>
      </c>
      <c r="M151" s="1"/>
      <c r="N151" s="85" t="s">
        <v>1844</v>
      </c>
      <c r="O151" s="18" t="str">
        <f>IF(ISBLANK(input_wld_az1_rack3_principal_storage_pool_start_ip),"Value Missing",input_wld_az1_rack3_principal_storage_pool_start_ip)</f>
        <v>Value Missing</v>
      </c>
      <c r="P151" s="1"/>
      <c r="Q151" s="85" t="s">
        <v>1844</v>
      </c>
      <c r="R151" s="18" t="str">
        <f>IF(ISBLANK(input_wld_az1_rack4_principal_storage_pool_start_ip),"Value Missing",input_wld_az1_rack4_principal_storage_pool_start_ip)</f>
        <v>Value Missing</v>
      </c>
      <c r="S151" s="1"/>
      <c r="T151" s="85" t="s">
        <v>1844</v>
      </c>
      <c r="U151" s="18" t="str">
        <f>IF(ISBLANK(input_wld_az1_rack5_principal_storage_pool_start_ip),"Value Missing",input_wld_az1_rack5_principal_storage_pool_start_ip)</f>
        <v>Value Missing</v>
      </c>
      <c r="V151" s="1"/>
      <c r="W151" s="85" t="s">
        <v>1844</v>
      </c>
      <c r="X151" s="18" t="str">
        <f>IF(ISBLANK(input_wld_az1_rack6_principal_storage_pool_start_ip),"Value Missing",input_wld_az1_rack6_principal_storage_pool_start_ip)</f>
        <v>Value Missing</v>
      </c>
      <c r="Y151" s="1"/>
      <c r="Z151" s="85" t="s">
        <v>1844</v>
      </c>
      <c r="AA151" s="18" t="str">
        <f>IF(ISBLANK(input_wld_az1_rack7_principal_storage_pool_start_ip),"Value Missing",input_wld_az1_rack7_principal_storage_pool_start_ip)</f>
        <v>Value Missing</v>
      </c>
      <c r="AB151" s="1"/>
      <c r="AC151" s="85" t="s">
        <v>1844</v>
      </c>
      <c r="AD151" s="18" t="str">
        <f>IF(ISBLANK(input_wld_az1_rack8_principal_storage_pool_start_ip),"Value Missing",input_wld_az1_rack8_principal_storage_pool_start_ip)</f>
        <v>Value Missing</v>
      </c>
      <c r="AE151" s="1"/>
      <c r="AF151" s="1"/>
      <c r="AG151" s="41"/>
      <c r="AH151" s="41"/>
      <c r="AI151" s="41"/>
      <c r="AJ151" s="1"/>
      <c r="AK151" s="1"/>
    </row>
    <row r="152" ht="19.5" customHeight="1">
      <c r="A152" s="1"/>
      <c r="B152" s="1"/>
      <c r="C152" s="1"/>
      <c r="D152" s="1"/>
      <c r="E152" s="85" t="s">
        <v>1845</v>
      </c>
      <c r="F152" s="18" t="str">
        <f>IF(ISBLANK(input_mgmt_az1_vsan_pool_end_ip),"Value Missing",input_mgmt_az1_vsan_pool_end_ip)</f>
        <v>Value Missing</v>
      </c>
      <c r="G152" s="1"/>
      <c r="H152" s="85" t="s">
        <v>1845</v>
      </c>
      <c r="I152" s="18" t="str">
        <f>IF(ISBLANK(input_wld_az1_principal_storage_pool_end_ip),"Value Missing",input_wld_az1_principal_storage_pool_end_ip)</f>
        <v>Value Missing</v>
      </c>
      <c r="J152" s="1"/>
      <c r="K152" s="85" t="s">
        <v>1845</v>
      </c>
      <c r="L152" s="18" t="str">
        <f>IF(ISBLANK(input_wld_az1_rack2_principal_storage_pool_end_ip),"Value Missing",input_wld_az1_rack2_principal_storage_pool_end_ip)</f>
        <v>Value Missing</v>
      </c>
      <c r="M152" s="1"/>
      <c r="N152" s="85" t="s">
        <v>1845</v>
      </c>
      <c r="O152" s="18" t="str">
        <f>IF(ISBLANK(input_wld_az1_rack3_principal_storage_pool_end_ip),"Value Missing",input_wld_az1_rack3_principal_storage_pool_end_ip)</f>
        <v>Value Missing</v>
      </c>
      <c r="P152" s="1"/>
      <c r="Q152" s="85" t="s">
        <v>1845</v>
      </c>
      <c r="R152" s="18" t="str">
        <f>IF(ISBLANK(input_wld_az1_rack4_principal_storage_pool_end_ip),"Value Missing",input_wld_az1_rack4_principal_storage_pool_end_ip)</f>
        <v>Value Missing</v>
      </c>
      <c r="S152" s="1"/>
      <c r="T152" s="85" t="s">
        <v>1845</v>
      </c>
      <c r="U152" s="18" t="str">
        <f>IF(ISBLANK(input_wld_az1_rack5_principal_storage_pool_end_ip),"Value Missing",input_wld_az1_rack5_principal_storage_pool_end_ip)</f>
        <v>Value Missing</v>
      </c>
      <c r="V152" s="1"/>
      <c r="W152" s="85" t="s">
        <v>1845</v>
      </c>
      <c r="X152" s="18" t="str">
        <f>IF(ISBLANK(input_wld_az1_rack6_principal_storage_pool_end_ip),"Value Missing",input_wld_az1_rack6_principal_storage_pool_end_ip)</f>
        <v>Value Missing</v>
      </c>
      <c r="Y152" s="1"/>
      <c r="Z152" s="85" t="s">
        <v>1845</v>
      </c>
      <c r="AA152" s="18" t="str">
        <f>IF(ISBLANK(input_wld_az1_rack7_principal_storage_pool_end_ip),"Value Missing",input_wld_az1_rack7_principal_storage_pool_end_ip)</f>
        <v>Value Missing</v>
      </c>
      <c r="AB152" s="1"/>
      <c r="AC152" s="85" t="s">
        <v>1845</v>
      </c>
      <c r="AD152" s="18" t="str">
        <f>IF(ISBLANK(input_wld_az1_rack8_principal_storage_pool_end_ip),"Value Missing",input_wld_az1_rack8_principal_storage_pool_end_ip)</f>
        <v>Value Missing</v>
      </c>
      <c r="AE152" s="1"/>
      <c r="AF152" s="1"/>
      <c r="AG152" s="41"/>
      <c r="AH152" s="41"/>
      <c r="AI152" s="41"/>
      <c r="AJ152" s="1"/>
      <c r="AK152" s="1"/>
    </row>
    <row r="153" ht="19.5" customHeight="1">
      <c r="A153" s="1"/>
      <c r="B153" s="1"/>
      <c r="C153" s="1"/>
      <c r="D153" s="1"/>
      <c r="E153" s="85" t="s">
        <v>1846</v>
      </c>
      <c r="F153" s="18" t="str">
        <f>IF(ISBLANK(input_mgmt_az1_host_overlay_pool_start_ip),"Value Missing",input_mgmt_az1_host_overlay_pool_start_ip)</f>
        <v>Value Missing</v>
      </c>
      <c r="G153" s="1"/>
      <c r="H153" s="85" t="s">
        <v>1846</v>
      </c>
      <c r="I153" s="18" t="str">
        <f>IF(ISBLANK(input_wld_az1_host_overlay_pool_start_ip),"Value Missing",input_wld_az1_host_overlay_pool_start_ip)</f>
        <v>Value Missing</v>
      </c>
      <c r="J153" s="1"/>
      <c r="K153" s="85" t="s">
        <v>1846</v>
      </c>
      <c r="L153" s="18" t="str">
        <f>IF(ISBLANK(input_wld_az1_rack2_host_overlay_pool_start_ip),"Value Missing",input_wld_az1_rack2_host_overlay_pool_start_ip)</f>
        <v>Value Missing</v>
      </c>
      <c r="M153" s="1"/>
      <c r="N153" s="85" t="s">
        <v>1846</v>
      </c>
      <c r="O153" s="18" t="str">
        <f>IF(ISBLANK(input_wld_az1_rack3_host_overlay_pool_start_ip),"Value Missing",input_wld_az1_rack3_host_overlay_pool_start_ip)</f>
        <v>Value Missing</v>
      </c>
      <c r="P153" s="1"/>
      <c r="Q153" s="85" t="s">
        <v>1846</v>
      </c>
      <c r="R153" s="18" t="str">
        <f>IF(ISBLANK(input_wld_az1_rack4_host_overlay_pool_start_ip),"Value Missing",input_wld_az1_rack4_host_overlay_pool_start_ip)</f>
        <v>Value Missing</v>
      </c>
      <c r="S153" s="1"/>
      <c r="T153" s="85" t="s">
        <v>1846</v>
      </c>
      <c r="U153" s="18" t="str">
        <f>IF(ISBLANK(input_wld_az1_rack5_host_overlay_pool_start_ip),"Value Missing",input_wld_az1_rack5_host_overlay_pool_start_ip)</f>
        <v>Value Missing</v>
      </c>
      <c r="V153" s="1"/>
      <c r="W153" s="85" t="s">
        <v>1846</v>
      </c>
      <c r="X153" s="18" t="str">
        <f>IF(ISBLANK(input_wld_az1_rack6_host_overlay_pool_start_ip),"Value Missing",input_wld_az1_rack6_host_overlay_pool_start_ip)</f>
        <v>Value Missing</v>
      </c>
      <c r="Y153" s="1"/>
      <c r="Z153" s="85" t="s">
        <v>1846</v>
      </c>
      <c r="AA153" s="18" t="str">
        <f>IF(ISBLANK(input_wld_az1_rack7_host_overlay_pool_start_ip),"Value Missing",input_wld_az1_rack7_host_overlay_pool_start_ip)</f>
        <v>Value Missing</v>
      </c>
      <c r="AB153" s="1"/>
      <c r="AC153" s="85" t="s">
        <v>1846</v>
      </c>
      <c r="AD153" s="18" t="str">
        <f>IF(ISBLANK(input_wld_az1_rack8_host_overlay_pool_start_ip),"Value Missing",input_wld_az1_rack8_host_overlay_pool_start_ip)</f>
        <v>Value Missing</v>
      </c>
      <c r="AE153" s="1"/>
      <c r="AF153" s="1"/>
      <c r="AG153" s="41"/>
      <c r="AH153" s="41"/>
      <c r="AI153" s="41"/>
      <c r="AJ153" s="1"/>
      <c r="AK153" s="1"/>
    </row>
    <row r="154" ht="19.5" customHeight="1">
      <c r="A154" s="1"/>
      <c r="B154" s="1"/>
      <c r="C154" s="1"/>
      <c r="D154" s="1"/>
      <c r="E154" s="85" t="s">
        <v>1847</v>
      </c>
      <c r="F154" s="18" t="str">
        <f>IF(ISBLANK(input_mgmt_az1_host_overlay_pool_end_ip),"Value Missing",input_mgmt_az1_host_overlay_pool_end_ip)</f>
        <v>Value Missing</v>
      </c>
      <c r="G154" s="1"/>
      <c r="H154" s="85" t="s">
        <v>1847</v>
      </c>
      <c r="I154" s="18" t="str">
        <f>IF(ISBLANK(input_wld_az1_host_overlay_pool_end_ip),"Value Missing",input_wld_az1_host_overlay_pool_end_ip)</f>
        <v>Value Missing</v>
      </c>
      <c r="J154" s="1"/>
      <c r="K154" s="85" t="s">
        <v>1847</v>
      </c>
      <c r="L154" s="18" t="str">
        <f>IF(ISBLANK(input_wld_az1_rack2_host_overlay_pool_end_ip),"Value Missing",input_wld_az1_rack2_host_overlay_pool_end_ip)</f>
        <v>Value Missing</v>
      </c>
      <c r="M154" s="1"/>
      <c r="N154" s="85" t="s">
        <v>1847</v>
      </c>
      <c r="O154" s="18" t="str">
        <f>IF(ISBLANK(input_wld_az1_rack3_host_overlay_pool_end_ip),"Value Missing",input_wld_az1_rack3_host_overlay_pool_end_ip)</f>
        <v>Value Missing</v>
      </c>
      <c r="P154" s="1"/>
      <c r="Q154" s="85" t="s">
        <v>1847</v>
      </c>
      <c r="R154" s="18" t="str">
        <f>IF(ISBLANK(input_wld_az1_rack4_host_overlay_pool_end_ip),"Value Missing",input_wld_az1_rack4_host_overlay_pool_end_ip)</f>
        <v>Value Missing</v>
      </c>
      <c r="S154" s="1"/>
      <c r="T154" s="85" t="s">
        <v>1847</v>
      </c>
      <c r="U154" s="18" t="str">
        <f>IF(ISBLANK(input_wld_az1_rack5_host_overlay_pool_end_ip),"Value Missing",input_wld_az1_rack5_host_overlay_pool_end_ip)</f>
        <v>Value Missing</v>
      </c>
      <c r="V154" s="1"/>
      <c r="W154" s="85" t="s">
        <v>1847</v>
      </c>
      <c r="X154" s="18" t="str">
        <f>IF(ISBLANK(input_wld_az1_rack6_host_overlay_pool_end_ip),"Value Missing",input_wld_az1_rack6_host_overlay_pool_end_ip)</f>
        <v>Value Missing</v>
      </c>
      <c r="Y154" s="1"/>
      <c r="Z154" s="85" t="s">
        <v>1847</v>
      </c>
      <c r="AA154" s="18" t="str">
        <f>IF(ISBLANK(input_wld_az1_rack7_host_overlay_pool_end_ip),"Value Missing",input_wld_az1_rack7_host_overlay_pool_end_ip)</f>
        <v>Value Missing</v>
      </c>
      <c r="AB154" s="1"/>
      <c r="AC154" s="85" t="s">
        <v>1847</v>
      </c>
      <c r="AD154" s="18" t="str">
        <f>IF(ISBLANK(input_wld_az1_rack8_host_overlay_pool_end_ip),"Value Missing",input_wld_az1_rack8_host_overlay_pool_end_ip)</f>
        <v>Value Missing</v>
      </c>
      <c r="AE154" s="1"/>
      <c r="AF154" s="1"/>
      <c r="AG154" s="41"/>
      <c r="AH154" s="41"/>
      <c r="AI154" s="41"/>
      <c r="AJ154" s="1"/>
      <c r="AK154" s="1"/>
    </row>
    <row r="155" ht="19.5" customHeight="1">
      <c r="A155" s="1"/>
      <c r="B155" s="1"/>
      <c r="C155" s="1"/>
      <c r="D155" s="1"/>
      <c r="E155" s="169" t="s">
        <v>1848</v>
      </c>
      <c r="F155" s="18" t="str">
        <f>IF(ISBLANK(input_mgmt_az1_secondary_storage_pool_start_ip),"Value Missing",input_mgmt_az1_secondary_storage_pool_start_ip)</f>
        <v>Value Missing</v>
      </c>
      <c r="G155" s="1"/>
      <c r="H155" s="173" t="s">
        <v>1848</v>
      </c>
      <c r="I155" s="18" t="str">
        <f>IF(ISBLANK(input_wld_az1_secondary_storage_pool_start_ip),"Value Missing",input_wld_az1_secondary_storage_pool_start_ip)</f>
        <v>Value Missing</v>
      </c>
      <c r="J155" s="1"/>
      <c r="K155" s="173" t="s">
        <v>1848</v>
      </c>
      <c r="L155" s="18" t="str">
        <f>IF(ISBLANK(input_wld_az1_rack2_secondary_storage_pool_start_ip),"Value Missing",input_wld_az1_rack2_secondary_storage_pool_start_ip)</f>
        <v>Value Missing</v>
      </c>
      <c r="M155" s="1"/>
      <c r="N155" s="173" t="s">
        <v>1848</v>
      </c>
      <c r="O155" s="18" t="str">
        <f>IF(ISBLANK(input_wld_az1_rack3_secondary_storage_pool_start_ip),"Value Missing",input_wld_az1_rack3_secondary_storage_pool_start_ip)</f>
        <v>Value Missing</v>
      </c>
      <c r="P155" s="1"/>
      <c r="Q155" s="173" t="s">
        <v>1848</v>
      </c>
      <c r="R155" s="18" t="str">
        <f>IF(ISBLANK(input_wld_az1_rack4_secondary_storage_pool_start_ip),"Value Missing",input_wld_az1_rack4_secondary_storage_pool_start_ip)</f>
        <v>Value Missing</v>
      </c>
      <c r="S155" s="1"/>
      <c r="T155" s="173" t="s">
        <v>1848</v>
      </c>
      <c r="U155" s="18" t="str">
        <f>IF(ISBLANK(input_wld_az1_rack5_secondary_storage_pool_start_ip),"Value Missing",input_wld_az1_rack5_secondary_storage_pool_start_ip)</f>
        <v>Value Missing</v>
      </c>
      <c r="V155" s="1"/>
      <c r="W155" s="173" t="s">
        <v>1848</v>
      </c>
      <c r="X155" s="18" t="str">
        <f>IF(ISBLANK(input_wld_az1_rack6_secondary_storage_pool_start_ip),"Value Missing",input_wld_az1_rack6_secondary_storage_pool_start_ip)</f>
        <v>Value Missing</v>
      </c>
      <c r="Y155" s="1"/>
      <c r="Z155" s="173" t="s">
        <v>1848</v>
      </c>
      <c r="AA155" s="18" t="str">
        <f>IF(ISBLANK(input_wld_az1_rack7_secondary_storage_pool_start_ip),"Value Missing",input_wld_az1_rack7_secondary_storage_pool_start_ip)</f>
        <v>Value Missing</v>
      </c>
      <c r="AB155" s="1"/>
      <c r="AC155" s="173" t="s">
        <v>1848</v>
      </c>
      <c r="AD155" s="18" t="str">
        <f>IF(ISBLANK(input_wld_az1_rack8_secondary_storage_pool_start_ip),"Value Missing",input_wld_az1_rack8_secondary_storage_pool_start_ip)</f>
        <v>Value Missing</v>
      </c>
      <c r="AE155" s="1"/>
      <c r="AF155" s="1"/>
      <c r="AG155" s="41"/>
      <c r="AH155" s="41"/>
      <c r="AI155" s="41"/>
      <c r="AJ155" s="1"/>
      <c r="AK155" s="1"/>
    </row>
    <row r="156" ht="19.5" customHeight="1">
      <c r="A156" s="1"/>
      <c r="B156" s="1"/>
      <c r="C156" s="1"/>
      <c r="D156" s="1"/>
      <c r="E156" s="321" t="s">
        <v>1849</v>
      </c>
      <c r="F156" s="18" t="str">
        <f>IF(ISBLANK(input_mgmt_az1_secondary_storage_pool_end_ip),"Value Missing",input_mgmt_az1_secondary_storage_pool_end_ip)</f>
        <v>Value Missing</v>
      </c>
      <c r="G156" s="1"/>
      <c r="H156" s="187" t="s">
        <v>1849</v>
      </c>
      <c r="I156" s="18" t="str">
        <f>IF(ISBLANK(input_wld_az1_secondary_storage_pool_end_ip),"Value Missing",input_wld_az1_secondary_storage_pool_end_ip)</f>
        <v>Value Missing</v>
      </c>
      <c r="J156" s="1"/>
      <c r="K156" s="187" t="s">
        <v>1849</v>
      </c>
      <c r="L156" s="18" t="str">
        <f>IF(ISBLANK(input_wld_az1_rack2_secondary_storage_pool_end_ip),"Value Missing",input_wld_az1_rack2_secondary_storage_pool_end_ip)</f>
        <v>Value Missing</v>
      </c>
      <c r="M156" s="1"/>
      <c r="N156" s="187" t="s">
        <v>1849</v>
      </c>
      <c r="O156" s="18" t="str">
        <f>IF(ISBLANK(input_wld_az1_rack3_secondary_storage_pool_end_ip),"Value Missing",input_wld_az1_rack3_secondary_storage_pool_end_ip)</f>
        <v>Value Missing</v>
      </c>
      <c r="P156" s="1"/>
      <c r="Q156" s="187" t="s">
        <v>1849</v>
      </c>
      <c r="R156" s="18" t="str">
        <f>IF(ISBLANK(input_wld_az1_rack4_secondary_storage_pool_end_ip),"Value Missing",input_wld_az1_rack4_secondary_storage_pool_end_ip)</f>
        <v>Value Missing</v>
      </c>
      <c r="S156" s="1"/>
      <c r="T156" s="187" t="s">
        <v>1849</v>
      </c>
      <c r="U156" s="18" t="str">
        <f>IF(ISBLANK(input_wld_az1_rack5_secondary_storage_pool_end_ip),"Value Missing",input_wld_az1_rack5_secondary_storage_pool_end_ip)</f>
        <v>Value Missing</v>
      </c>
      <c r="V156" s="1"/>
      <c r="W156" s="187" t="s">
        <v>1849</v>
      </c>
      <c r="X156" s="18" t="str">
        <f>IF(ISBLANK(input_wld_az1_rack6_secondary_storage_pool_end_ip),"Value Missing",input_wld_az1_rack6_secondary_storage_pool_end_ip)</f>
        <v>Value Missing</v>
      </c>
      <c r="Y156" s="1"/>
      <c r="Z156" s="187" t="s">
        <v>1849</v>
      </c>
      <c r="AA156" s="18" t="str">
        <f>IF(ISBLANK(input_wld_az1_rack7_secondary_storage_pool_end_ip),"Value Missing",input_wld_az1_rack7_secondary_storage_pool_end_ip)</f>
        <v>Value Missing</v>
      </c>
      <c r="AB156" s="1"/>
      <c r="AC156" s="187" t="s">
        <v>1849</v>
      </c>
      <c r="AD156" s="18" t="str">
        <f>IF(ISBLANK(input_wld_az1_rack8_secondary_storage_pool_end_ip),"Value Missing",input_wld_az1_rack8_secondary_storage_pool_end_ip)</f>
        <v>Value Missing</v>
      </c>
      <c r="AE156" s="1"/>
      <c r="AF156" s="1"/>
      <c r="AG156" s="41"/>
      <c r="AH156" s="41"/>
      <c r="AI156" s="41"/>
      <c r="AJ156" s="1"/>
      <c r="AK156" s="1"/>
    </row>
    <row r="157" ht="19.5" customHeight="1">
      <c r="A157" s="1"/>
      <c r="B157" s="1"/>
      <c r="C157" s="1"/>
      <c r="D157" s="1"/>
      <c r="E157" s="321"/>
      <c r="F157" s="18"/>
      <c r="G157" s="322"/>
      <c r="H157" s="267" t="s">
        <v>1850</v>
      </c>
      <c r="I157" s="18" t="str">
        <f>IF(ISBLANK(input_wld_az1_storage_cluster_pool_start_ip),"Value Missing",input_wld_az1_storage_cluster_pool_start_ip)</f>
        <v>Value Missing</v>
      </c>
      <c r="J157" s="322"/>
      <c r="K157" s="187"/>
      <c r="L157" s="18"/>
      <c r="M157" s="1"/>
      <c r="N157" s="187"/>
      <c r="O157" s="18"/>
      <c r="P157" s="1"/>
      <c r="Q157" s="187"/>
      <c r="R157" s="18"/>
      <c r="S157" s="1"/>
      <c r="T157" s="187"/>
      <c r="U157" s="18"/>
      <c r="V157" s="1"/>
      <c r="W157" s="187"/>
      <c r="X157" s="18"/>
      <c r="Y157" s="1"/>
      <c r="Z157" s="187"/>
      <c r="AA157" s="18"/>
      <c r="AB157" s="1"/>
      <c r="AC157" s="187"/>
      <c r="AD157" s="18"/>
      <c r="AE157" s="1"/>
      <c r="AF157" s="1"/>
      <c r="AG157" s="41"/>
      <c r="AH157" s="41"/>
      <c r="AI157" s="41"/>
      <c r="AJ157" s="1"/>
      <c r="AK157" s="1"/>
    </row>
    <row r="158" ht="19.5" customHeight="1">
      <c r="A158" s="1"/>
      <c r="B158" s="1"/>
      <c r="C158" s="1"/>
      <c r="D158" s="1"/>
      <c r="E158" s="321"/>
      <c r="F158" s="18"/>
      <c r="G158" s="41"/>
      <c r="H158" s="268" t="s">
        <v>1851</v>
      </c>
      <c r="I158" s="18" t="str">
        <f>IF(ISBLANK(input_wld_az1_storage_cluster_pool_end_ip),"Value Missing",input_wld_az1_storage_cluster_pool_end_ip)</f>
        <v>Value Missing</v>
      </c>
      <c r="J158" s="41"/>
      <c r="K158" s="187"/>
      <c r="L158" s="18"/>
      <c r="M158" s="1"/>
      <c r="N158" s="187"/>
      <c r="O158" s="18"/>
      <c r="P158" s="1"/>
      <c r="Q158" s="187"/>
      <c r="R158" s="18"/>
      <c r="S158" s="1"/>
      <c r="T158" s="187"/>
      <c r="U158" s="18"/>
      <c r="V158" s="1"/>
      <c r="W158" s="187"/>
      <c r="X158" s="18"/>
      <c r="Y158" s="1"/>
      <c r="Z158" s="187"/>
      <c r="AA158" s="18"/>
      <c r="AB158" s="1"/>
      <c r="AC158" s="187"/>
      <c r="AD158" s="18"/>
      <c r="AE158" s="1"/>
      <c r="AF158" s="1"/>
      <c r="AG158" s="41"/>
      <c r="AH158" s="41"/>
      <c r="AI158" s="41"/>
      <c r="AJ158" s="1"/>
      <c r="AK158" s="1"/>
    </row>
    <row r="159" ht="19.5" customHeight="1">
      <c r="A159" s="1"/>
      <c r="B159" s="1"/>
      <c r="C159" s="1"/>
      <c r="D159" s="1"/>
      <c r="E159" s="85" t="s">
        <v>616</v>
      </c>
      <c r="F159" s="18" t="str">
        <f>IF(ISBLANK(input_mgmt_az1_edge_overlay_pool_start_ip),"Value Missing",input_mgmt_az1_edge_overlay_pool_start_ip)</f>
        <v>Value Missing</v>
      </c>
      <c r="G159" s="1"/>
      <c r="H159" s="85" t="s">
        <v>616</v>
      </c>
      <c r="I159" s="18" t="str">
        <f>IF(ISBLANK(input_wld_az1_edge_overlay_pool_start_ip),"Value Missing",input_wld_az1_edge_overlay_pool_start_ip)</f>
        <v>Value Missing</v>
      </c>
      <c r="J159" s="1"/>
      <c r="K159" s="85" t="s">
        <v>616</v>
      </c>
      <c r="L159" s="18" t="str">
        <f t="array" ref="L159">IF(ISBLANK(input_wld_az1_rack2_edge_overlay_pool_start_ip),"Value Missing",input_wld_az1_rack2_edge_overlay_pool_start_ip)</f>
        <v>Value Missing</v>
      </c>
      <c r="M159" s="1"/>
      <c r="N159" s="85" t="s">
        <v>616</v>
      </c>
      <c r="O159" s="18" t="str">
        <f t="array" ref="O159">IF(ISBLANK(input_wld_az1_rack3_edge_overlay_pool_start_ip),"Value Missing",input_wld_az1_rack3_edge_overlay_pool_start_ip)</f>
        <v>Value Missing</v>
      </c>
      <c r="P159" s="1"/>
      <c r="Q159" s="85" t="s">
        <v>616</v>
      </c>
      <c r="R159" s="18" t="str">
        <f t="array" ref="R159">IF(ISBLANK(input_wld_az1_rack4_edge_overlay_pool_start_ip),"Value Missing",input_wld_az1_rack4_edge_overlay_pool_start_ip)</f>
        <v>Value Missing</v>
      </c>
      <c r="S159" s="1"/>
      <c r="T159" s="85" t="s">
        <v>616</v>
      </c>
      <c r="U159" s="18" t="str">
        <f t="array" ref="U159">IF(ISBLANK(input_wld_az1_rack5_edge_overlay_pool_start_ip),"Value Missing",input_wld_az1_rack5_edge_overlay_pool_start_ip)</f>
        <v>Value Missing</v>
      </c>
      <c r="V159" s="1"/>
      <c r="W159" s="85" t="s">
        <v>616</v>
      </c>
      <c r="X159" s="18" t="str">
        <f t="array" ref="X159">IF(ISBLANK(input_wld_az1_rack6_edge_overlay_pool_start_ip),"Value Missing",input_wld_az1_rack6_edge_overlay_pool_start_ip)</f>
        <v>Value Missing</v>
      </c>
      <c r="Y159" s="1"/>
      <c r="Z159" s="85" t="s">
        <v>616</v>
      </c>
      <c r="AA159" s="18" t="str">
        <f t="array" ref="AA159">IF(ISBLANK(input_wld_az1_rack7_edge_overlay_pool_start_ip),"Value Missing",input_wld_az1_rack7_edge_overlay_pool_start_ip)</f>
        <v>Value Missing</v>
      </c>
      <c r="AB159" s="1"/>
      <c r="AC159" s="85" t="s">
        <v>616</v>
      </c>
      <c r="AD159" s="18" t="str">
        <f t="array" ref="AD159">IF(ISBLANK(input_wld_az1_rack8_edge_overlay_pool_start_ip),"Value Missing",input_wld_az1_rack8_edge_overlay_pool_start_ip)</f>
        <v>Value Missing</v>
      </c>
      <c r="AE159" s="1"/>
      <c r="AF159" s="1"/>
      <c r="AG159" s="41"/>
      <c r="AH159" s="41"/>
      <c r="AI159" s="41"/>
      <c r="AJ159" s="1"/>
      <c r="AK159" s="1"/>
    </row>
    <row r="160" ht="19.5" customHeight="1">
      <c r="A160" s="1"/>
      <c r="B160" s="1"/>
      <c r="C160" s="1"/>
      <c r="D160" s="1"/>
      <c r="E160" s="85" t="s">
        <v>617</v>
      </c>
      <c r="F160" s="18" t="str">
        <f>IF(ISBLANK(input_mgmt_az1_edge_overlay_pool_end_ip),"Value Missing",input_mgmt_az1_edge_overlay_pool_end_ip)</f>
        <v>Value Missing</v>
      </c>
      <c r="G160" s="319"/>
      <c r="H160" s="85" t="s">
        <v>617</v>
      </c>
      <c r="I160" s="18" t="str">
        <f>IF(ISBLANK(input_wld_az1_edge_overlay_pool_end_ip),"Value Missing",input_wld_az1_edge_overlay_pool_end_ip)</f>
        <v>Value Missing</v>
      </c>
      <c r="J160" s="319"/>
      <c r="K160" s="85" t="s">
        <v>617</v>
      </c>
      <c r="L160" s="18" t="str">
        <f t="array" ref="L160">IF(ISBLANK(input_wld_az1_rack2_edge_overlay_pool_end_ip),"Value Missing",input_wld_az1_rack2_edge_overlay_pool_end_ip)</f>
        <v>Value Missing</v>
      </c>
      <c r="M160" s="322"/>
      <c r="N160" s="85" t="s">
        <v>617</v>
      </c>
      <c r="O160" s="18" t="str">
        <f t="array" ref="O160">IF(ISBLANK(input_wld_az1_rack3_edge_overlay_pool_end_ip),"Value Missing",input_wld_az1_rack3_edge_overlay_pool_end_ip)</f>
        <v>Value Missing</v>
      </c>
      <c r="P160" s="1"/>
      <c r="Q160" s="85" t="s">
        <v>617</v>
      </c>
      <c r="R160" s="18" t="str">
        <f t="array" ref="R160">IF(ISBLANK(input_wld_az1_rack4_edge_overlay_pool_end_ip),"Value Missing",input_wld_az1_rack4_edge_overlay_pool_end_ip)</f>
        <v>Value Missing</v>
      </c>
      <c r="S160" s="1"/>
      <c r="T160" s="85" t="s">
        <v>617</v>
      </c>
      <c r="U160" s="18" t="str">
        <f t="array" ref="U160">IF(ISBLANK(input_wld_az1_rack5_edge_overlay_pool_end_ip),"Value Missing",input_wld_az1_rack5_edge_overlay_pool_end_ip)</f>
        <v>Value Missing</v>
      </c>
      <c r="V160" s="1"/>
      <c r="W160" s="85" t="s">
        <v>617</v>
      </c>
      <c r="X160" s="18" t="str">
        <f t="array" ref="X160">IF(ISBLANK(input_wld_az1_rack6_edge_overlay_pool_end_ip),"Value Missing",input_wld_az1_rack6_edge_overlay_pool_end_ip)</f>
        <v>Value Missing</v>
      </c>
      <c r="Y160" s="1"/>
      <c r="Z160" s="85" t="s">
        <v>617</v>
      </c>
      <c r="AA160" s="18" t="str">
        <f t="array" ref="AA160">IF(ISBLANK(input_wld_az1_rack7_edge_overlay_pool_end_ip),"Value Missing",input_wld_az1_rack7_edge_overlay_pool_end_ip)</f>
        <v>Value Missing</v>
      </c>
      <c r="AB160" s="1"/>
      <c r="AC160" s="85" t="s">
        <v>617</v>
      </c>
      <c r="AD160" s="18" t="str">
        <f t="array" ref="AD160">IF(ISBLANK(input_wld_az1_rack8_edge_overlay_pool_end_ip),"Value Missing",input_wld_az1_rack8_edge_overlay_pool_end_ip)</f>
        <v>Value Missing</v>
      </c>
      <c r="AE160" s="1"/>
      <c r="AF160" s="1"/>
      <c r="AG160" s="41"/>
      <c r="AH160" s="41"/>
      <c r="AI160" s="41"/>
      <c r="AJ160" s="1"/>
      <c r="AK160" s="1"/>
    </row>
    <row r="161" ht="19.5" customHeight="1">
      <c r="A161" s="1"/>
      <c r="B161" s="1"/>
      <c r="C161" s="1"/>
      <c r="D161" s="1"/>
      <c r="E161" s="85" t="s">
        <v>1852</v>
      </c>
      <c r="F161" s="18" t="str">
        <f>IF(ISBLANK(input_mgmt_rtep_overlay_pool_start_ip),"Value Missing",input_mgmt_rtep_overlay_pool_start_ip)</f>
        <v>Value Missing</v>
      </c>
      <c r="G161" s="1"/>
      <c r="H161" s="85" t="s">
        <v>1852</v>
      </c>
      <c r="I161" s="18" t="str">
        <f>IF(ISBLANK(input_wld_rtep_overlay_pool_start_ip),"Value Missing",input_wld_rtep_overlay_pool_start_ip)</f>
        <v>Value Missing</v>
      </c>
      <c r="J161" s="1"/>
      <c r="K161" s="85" t="s">
        <v>1852</v>
      </c>
      <c r="L161" s="18"/>
      <c r="M161" s="41"/>
      <c r="N161" s="85" t="s">
        <v>1852</v>
      </c>
      <c r="O161" s="18"/>
      <c r="P161" s="1"/>
      <c r="Q161" s="85" t="s">
        <v>1852</v>
      </c>
      <c r="R161" s="18"/>
      <c r="S161" s="1"/>
      <c r="T161" s="85" t="s">
        <v>1852</v>
      </c>
      <c r="U161" s="18"/>
      <c r="V161" s="1"/>
      <c r="W161" s="85" t="s">
        <v>1852</v>
      </c>
      <c r="X161" s="18"/>
      <c r="Y161" s="1"/>
      <c r="Z161" s="85" t="s">
        <v>1852</v>
      </c>
      <c r="AA161" s="18"/>
      <c r="AB161" s="1"/>
      <c r="AC161" s="85" t="s">
        <v>1852</v>
      </c>
      <c r="AD161" s="18"/>
      <c r="AE161" s="1"/>
      <c r="AF161" s="1"/>
      <c r="AG161" s="41"/>
      <c r="AH161" s="41"/>
      <c r="AI161" s="41"/>
      <c r="AJ161" s="41"/>
      <c r="AK161" s="1"/>
    </row>
    <row r="162" ht="19.5" customHeight="1">
      <c r="A162" s="1"/>
      <c r="B162" s="1"/>
      <c r="C162" s="1"/>
      <c r="D162" s="1"/>
      <c r="E162" s="85" t="s">
        <v>1853</v>
      </c>
      <c r="F162" s="18" t="str">
        <f>IF(ISBLANK(input_mgmt_rtep_overlay_pool_end_ip),"Value Missing",input_mgmt_rtep_overlay_pool_end_ip)</f>
        <v>Value Missing</v>
      </c>
      <c r="G162" s="1"/>
      <c r="H162" s="85" t="s">
        <v>1853</v>
      </c>
      <c r="I162" s="18" t="str">
        <f>IF(ISBLANK(input_wld_rtep_overlay_pool_end_ip),"Value Missing",input_wld_rtep_overlay_pool_end_ip)</f>
        <v>Value Missing</v>
      </c>
      <c r="J162" s="1"/>
      <c r="K162" s="85" t="s">
        <v>1853</v>
      </c>
      <c r="L162" s="18"/>
      <c r="M162" s="1"/>
      <c r="N162" s="85" t="s">
        <v>1853</v>
      </c>
      <c r="O162" s="18"/>
      <c r="P162" s="1"/>
      <c r="Q162" s="85" t="s">
        <v>1853</v>
      </c>
      <c r="R162" s="18"/>
      <c r="S162" s="1"/>
      <c r="T162" s="85" t="s">
        <v>1853</v>
      </c>
      <c r="U162" s="18"/>
      <c r="V162" s="1"/>
      <c r="W162" s="85" t="s">
        <v>1853</v>
      </c>
      <c r="X162" s="18"/>
      <c r="Y162" s="1"/>
      <c r="Z162" s="85" t="s">
        <v>1853</v>
      </c>
      <c r="AA162" s="18"/>
      <c r="AB162" s="1"/>
      <c r="AC162" s="85" t="s">
        <v>1853</v>
      </c>
      <c r="AD162" s="18"/>
      <c r="AE162" s="1"/>
      <c r="AF162" s="1"/>
      <c r="AG162" s="41"/>
      <c r="AH162" s="41"/>
      <c r="AI162" s="41"/>
      <c r="AJ162" s="41"/>
      <c r="AK162" s="1"/>
    </row>
    <row r="163" ht="19.5" customHeight="1">
      <c r="A163" s="1"/>
      <c r="B163" s="1"/>
      <c r="C163" s="1"/>
      <c r="D163" s="1"/>
      <c r="E163" s="1"/>
      <c r="F163" s="1"/>
      <c r="G163" s="1"/>
      <c r="H163" s="69"/>
      <c r="I163" s="1"/>
      <c r="J163" s="1"/>
      <c r="K163" s="70"/>
      <c r="L163" s="1"/>
      <c r="M163" s="319"/>
      <c r="N163" s="70"/>
      <c r="O163" s="1"/>
      <c r="P163" s="1"/>
      <c r="Q163" s="70"/>
      <c r="R163" s="1"/>
      <c r="S163" s="1"/>
      <c r="T163" s="70"/>
      <c r="U163" s="1"/>
      <c r="V163" s="1"/>
      <c r="W163" s="70"/>
      <c r="X163" s="1"/>
      <c r="Y163" s="1"/>
      <c r="Z163" s="70"/>
      <c r="AA163" s="1"/>
      <c r="AB163" s="1"/>
      <c r="AC163" s="70"/>
      <c r="AD163" s="1"/>
      <c r="AE163" s="1"/>
      <c r="AF163" s="1"/>
      <c r="AG163" s="41"/>
      <c r="AH163" s="41"/>
      <c r="AI163" s="41"/>
      <c r="AJ163" s="41"/>
      <c r="AK163" s="1"/>
    </row>
    <row r="164" ht="19.5" customHeight="1">
      <c r="A164" s="1"/>
      <c r="B164" s="1"/>
      <c r="C164" s="1"/>
      <c r="D164" s="1"/>
      <c r="E164" s="320" t="s">
        <v>1854</v>
      </c>
      <c r="F164" s="310"/>
      <c r="G164" s="1"/>
      <c r="H164" s="320" t="s">
        <v>1855</v>
      </c>
      <c r="I164" s="310"/>
      <c r="J164" s="1"/>
      <c r="K164" s="320" t="s">
        <v>1856</v>
      </c>
      <c r="L164" s="310"/>
      <c r="M164" s="1"/>
      <c r="N164" s="320" t="s">
        <v>1857</v>
      </c>
      <c r="O164" s="310"/>
      <c r="P164" s="1"/>
      <c r="Q164" s="320" t="s">
        <v>1858</v>
      </c>
      <c r="R164" s="310"/>
      <c r="S164" s="1"/>
      <c r="T164" s="320" t="s">
        <v>1859</v>
      </c>
      <c r="U164" s="310"/>
      <c r="V164" s="1"/>
      <c r="W164" s="320" t="s">
        <v>1860</v>
      </c>
      <c r="X164" s="310"/>
      <c r="Y164" s="1"/>
      <c r="Z164" s="320" t="s">
        <v>1861</v>
      </c>
      <c r="AA164" s="310"/>
      <c r="AB164" s="1"/>
      <c r="AC164" s="320" t="s">
        <v>1862</v>
      </c>
      <c r="AD164" s="310"/>
      <c r="AE164" s="1"/>
      <c r="AF164" s="1"/>
      <c r="AG164" s="41"/>
      <c r="AH164" s="41"/>
      <c r="AI164" s="41"/>
      <c r="AJ164" s="41"/>
      <c r="AK164" s="1"/>
    </row>
    <row r="165" ht="19.5" customHeight="1">
      <c r="A165" s="1"/>
      <c r="B165" s="1"/>
      <c r="C165" s="1"/>
      <c r="D165" s="1"/>
      <c r="E165" s="15" t="s">
        <v>256</v>
      </c>
      <c r="F165" s="15" t="s">
        <v>1707</v>
      </c>
      <c r="G165" s="1"/>
      <c r="H165" s="15" t="s">
        <v>256</v>
      </c>
      <c r="I165" s="15" t="s">
        <v>274</v>
      </c>
      <c r="J165" s="1"/>
      <c r="K165" s="15" t="s">
        <v>256</v>
      </c>
      <c r="L165" s="15" t="s">
        <v>274</v>
      </c>
      <c r="M165" s="1"/>
      <c r="N165" s="15" t="s">
        <v>256</v>
      </c>
      <c r="O165" s="15" t="s">
        <v>274</v>
      </c>
      <c r="P165" s="322"/>
      <c r="Q165" s="15" t="s">
        <v>256</v>
      </c>
      <c r="R165" s="15" t="s">
        <v>274</v>
      </c>
      <c r="S165" s="322"/>
      <c r="T165" s="15" t="s">
        <v>256</v>
      </c>
      <c r="U165" s="15" t="s">
        <v>274</v>
      </c>
      <c r="V165" s="322"/>
      <c r="W165" s="15" t="s">
        <v>256</v>
      </c>
      <c r="X165" s="15" t="s">
        <v>274</v>
      </c>
      <c r="Y165" s="322"/>
      <c r="Z165" s="15" t="s">
        <v>256</v>
      </c>
      <c r="AA165" s="15" t="s">
        <v>274</v>
      </c>
      <c r="AB165" s="322"/>
      <c r="AC165" s="15" t="s">
        <v>256</v>
      </c>
      <c r="AD165" s="15" t="s">
        <v>274</v>
      </c>
      <c r="AE165" s="1"/>
      <c r="AF165" s="1"/>
      <c r="AG165" s="41"/>
      <c r="AH165" s="41"/>
      <c r="AI165" s="41"/>
      <c r="AJ165" s="41"/>
      <c r="AK165" s="1"/>
    </row>
    <row r="166" ht="19.5" customHeight="1">
      <c r="A166" s="1"/>
      <c r="B166" s="1"/>
      <c r="C166" s="1"/>
      <c r="D166" s="1"/>
      <c r="E166" s="85" t="s">
        <v>716</v>
      </c>
      <c r="F166" s="18" t="str">
        <f>CONCATENATE(this_instance,"01-m01","-r01-network-pool-01")</f>
        <v>lax01-m01-r01-network-pool-01</v>
      </c>
      <c r="G166" s="1"/>
      <c r="H166" s="85" t="s">
        <v>1863</v>
      </c>
      <c r="I166" s="18" t="str">
        <f>IF(ISBLANK(input_wld_az1_pool_name),"Value Missing",input_wld_az1_pool_name)</f>
        <v>Value Missing</v>
      </c>
      <c r="J166" s="1"/>
      <c r="K166" s="85" t="s">
        <v>716</v>
      </c>
      <c r="L166" s="18" t="str">
        <f>IF(ISBLANK(input_wld_az1_rack2_pool_name),"Value Missing",input_wld_az1_rack2_pool_name)</f>
        <v>Value Missing</v>
      </c>
      <c r="M166" s="1"/>
      <c r="N166" s="85" t="s">
        <v>1863</v>
      </c>
      <c r="O166" s="18" t="str">
        <f>IF(ISBLANK(input_wld_az1_rack3_pool_name),"Value Missing",input_wld_az1_rack3_pool_name)</f>
        <v>Value Missing</v>
      </c>
      <c r="P166" s="41"/>
      <c r="Q166" s="85" t="s">
        <v>1863</v>
      </c>
      <c r="R166" s="18" t="str">
        <f>IF(ISBLANK(input_wld_az1_rack4_pool_name),"Value Missing",input_wld_az1_rack4_pool_name)</f>
        <v>Value Missing</v>
      </c>
      <c r="S166" s="41"/>
      <c r="T166" s="85" t="s">
        <v>1863</v>
      </c>
      <c r="U166" s="18" t="str">
        <f>IF(ISBLANK(input_wld_az1_rack5_pool_name),"Value Missing",input_wld_az1_rack5_pool_name)</f>
        <v>Value Missing</v>
      </c>
      <c r="V166" s="41"/>
      <c r="W166" s="85" t="s">
        <v>1863</v>
      </c>
      <c r="X166" s="18" t="str">
        <f>IF(ISBLANK(input_wld_az1_rack6_pool_name),"Value Missing",input_wld_az1_rack6_pool_name)</f>
        <v>Value Missing</v>
      </c>
      <c r="Y166" s="41"/>
      <c r="Z166" s="85" t="s">
        <v>1863</v>
      </c>
      <c r="AA166" s="18" t="str">
        <f>IF(ISBLANK(input_wld_az1_rack7_pool_name),"Value Missing",input_wld_az1_rack7_pool_name)</f>
        <v>Value Missing</v>
      </c>
      <c r="AB166" s="41"/>
      <c r="AC166" s="85" t="s">
        <v>1863</v>
      </c>
      <c r="AD166" s="18" t="str">
        <f>IF(ISBLANK(input_wld_az1_rack8_pool_name),"Value Missing",input_wld_az1_rack8_pool_name)</f>
        <v>Value Missing</v>
      </c>
      <c r="AE166" s="1"/>
      <c r="AF166" s="1"/>
      <c r="AG166" s="41"/>
      <c r="AH166" s="41"/>
      <c r="AI166" s="41"/>
      <c r="AJ166" s="1"/>
      <c r="AK166" s="1"/>
    </row>
    <row r="167" ht="19.5" customHeight="1">
      <c r="A167" s="1"/>
      <c r="B167" s="1"/>
      <c r="C167" s="1"/>
      <c r="D167" s="1"/>
      <c r="E167" s="85" t="s">
        <v>1864</v>
      </c>
      <c r="F167" s="18" t="str">
        <f>CONCATENATE(this_instance,"01-",sample_mgmt_cl01_cluster,"-r01-network-profile")</f>
        <v>lax01-lax-m01-cl01-r01-network-profile</v>
      </c>
      <c r="G167" s="35"/>
      <c r="H167" s="85" t="s">
        <v>1864</v>
      </c>
      <c r="I167" s="18" t="str">
        <f>IF(ISBLANK(input_wld_az1_rack1_host_overlay_network_profile_name),"Value Missing",input_wld_az1_rack1_host_overlay_network_profile_name)</f>
        <v>Value Missing</v>
      </c>
      <c r="J167" s="35"/>
      <c r="K167" s="85" t="s">
        <v>1864</v>
      </c>
      <c r="L167" s="18" t="str">
        <f>IF(ISBLANK(input_wld_az1_rack2_host_overlay_network_profile_name),"Value Missing",input_wld_az1_rack2_host_overlay_network_profile_name)</f>
        <v>Value Missing</v>
      </c>
      <c r="M167" s="1"/>
      <c r="N167" s="85" t="s">
        <v>1864</v>
      </c>
      <c r="O167" s="18" t="str">
        <f>IF(ISBLANK(input_wld_az1_rack3_host_overlay_network_profile_name),"Value Missing",input_wld_az1_rack3_host_overlay_network_profile_name)</f>
        <v>Value Missing</v>
      </c>
      <c r="P167" s="1"/>
      <c r="Q167" s="85" t="s">
        <v>1864</v>
      </c>
      <c r="R167" s="18" t="str">
        <f>IF(ISBLANK(input_wld_az1_rack4_host_overlay_network_profile_name),"Value Missing",input_wld_az1_rack4_host_overlay_network_profile_name)</f>
        <v>Value Missing</v>
      </c>
      <c r="S167" s="1"/>
      <c r="T167" s="85" t="s">
        <v>1864</v>
      </c>
      <c r="U167" s="18" t="str">
        <f>IF(ISBLANK(input_wld_az1_rack5_host_overlay_network_profile_name),"Value Missing",input_wld_az1_rack5_host_overlay_network_profile_name)</f>
        <v>Value Missing</v>
      </c>
      <c r="V167" s="1"/>
      <c r="W167" s="85" t="s">
        <v>1864</v>
      </c>
      <c r="X167" s="18" t="str">
        <f>IF(ISBLANK(input_wld_az1_rack6_host_overlay_network_profile_name),"Value Missing",input_wld_az1_rack6_host_overlay_network_profile_name)</f>
        <v>Value Missing</v>
      </c>
      <c r="Y167" s="1"/>
      <c r="Z167" s="85" t="s">
        <v>1864</v>
      </c>
      <c r="AA167" s="18" t="str">
        <f>IF(ISBLANK(input_wld_az1_rack7_host_overlay_network_profile_name),"Value Missing",input_wld_az1_rack7_host_overlay_network_profile_name)</f>
        <v>Value Missing</v>
      </c>
      <c r="AB167" s="1"/>
      <c r="AC167" s="85" t="s">
        <v>1864</v>
      </c>
      <c r="AD167" s="18" t="str">
        <f>IF(ISBLANK(input_wld_az1_rack8_host_overlay_network_profile_name),"Value Missing",input_wld_az1_rack8_host_overlay_network_profile_name)</f>
        <v>Value Missing</v>
      </c>
      <c r="AE167" s="1"/>
      <c r="AF167" s="1"/>
      <c r="AG167" s="41"/>
      <c r="AH167" s="41"/>
      <c r="AI167" s="41"/>
      <c r="AJ167" s="41"/>
      <c r="AK167" s="1"/>
    </row>
    <row r="168" ht="19.5" customHeight="1">
      <c r="A168" s="1"/>
      <c r="B168" s="1"/>
      <c r="C168" s="1"/>
      <c r="D168" s="1"/>
      <c r="E168" s="85" t="s">
        <v>1865</v>
      </c>
      <c r="F168" s="213" t="str">
        <f>IF(ISBLANK(sample_mgmt_az1_host_overlay_network_pool_description),"Value Missing",sample_mgmt_az1_host_overlay_network_pool_description)</f>
        <v>ESX Host Overlay TEP IP Pool</v>
      </c>
      <c r="G168" s="1"/>
      <c r="H168" s="85" t="s">
        <v>1865</v>
      </c>
      <c r="I168" s="213" t="str">
        <f>IF(ISBLANK(sample_wld_az1_host_overlay_network_pool_description),"Value Missing",sample_wld_az1_host_overlay_network_pool_description)</f>
        <v>ESX Host Overlay TEP IP Pool</v>
      </c>
      <c r="J168" s="1"/>
      <c r="K168" s="85" t="s">
        <v>1865</v>
      </c>
      <c r="L168" s="213"/>
      <c r="M168" s="1"/>
      <c r="N168" s="85" t="s">
        <v>1865</v>
      </c>
      <c r="O168" s="213"/>
      <c r="P168" s="319"/>
      <c r="Q168" s="85" t="s">
        <v>1865</v>
      </c>
      <c r="R168" s="213"/>
      <c r="S168" s="319"/>
      <c r="T168" s="85" t="s">
        <v>1865</v>
      </c>
      <c r="U168" s="213"/>
      <c r="V168" s="319"/>
      <c r="W168" s="85" t="s">
        <v>1865</v>
      </c>
      <c r="X168" s="213"/>
      <c r="Y168" s="319"/>
      <c r="Z168" s="85" t="s">
        <v>1865</v>
      </c>
      <c r="AA168" s="213"/>
      <c r="AB168" s="319"/>
      <c r="AC168" s="85" t="s">
        <v>1865</v>
      </c>
      <c r="AD168" s="213"/>
      <c r="AE168" s="1"/>
      <c r="AF168" s="1"/>
      <c r="AG168" s="41"/>
      <c r="AH168" s="41"/>
      <c r="AI168" s="41"/>
      <c r="AJ168" s="41"/>
      <c r="AK168" s="1"/>
    </row>
    <row r="169" ht="19.5" customHeight="1">
      <c r="A169" s="1"/>
      <c r="B169" s="1"/>
      <c r="C169" s="1"/>
      <c r="D169" s="1"/>
      <c r="E169" s="85" t="s">
        <v>1866</v>
      </c>
      <c r="F169" s="18" t="str">
        <f>IF(ISBLANK(input_mgmt_az1_host_overlay_network_pool_name),"Value Missing",input_mgmt_az1_host_overlay_network_pool_name)</f>
        <v>Value Missing</v>
      </c>
      <c r="G169" s="8"/>
      <c r="H169" s="85" t="s">
        <v>1867</v>
      </c>
      <c r="I169" s="18" t="str">
        <f>IF(ISBLANK(input_wld_az1_host_overlay_network_pool_name),"Value Missing",input_wld_az1_host_overlay_network_pool_name)</f>
        <v>Value Missing</v>
      </c>
      <c r="J169" s="8"/>
      <c r="K169" s="85" t="s">
        <v>1866</v>
      </c>
      <c r="L169" s="18" t="str">
        <f>IF(ISBLANK(input_wld_az1_rack2_host_overlay_network_pool_name),"Value Missing",input_wld_az1_rack2_host_overlay_network_pool_name)</f>
        <v>Value Missing</v>
      </c>
      <c r="M169" s="1"/>
      <c r="N169" s="85" t="s">
        <v>1867</v>
      </c>
      <c r="O169" s="18" t="str">
        <f>IF(ISBLANK(input_wld_az1_rack3_host_overlay_network_pool_name),"Value Missing",input_wld_az1_rack3_host_overlay_network_pool_name)</f>
        <v>Value Missing</v>
      </c>
      <c r="P169" s="1"/>
      <c r="Q169" s="85" t="s">
        <v>1867</v>
      </c>
      <c r="R169" s="18" t="str">
        <f>IF(ISBLANK(input_wld_az1_rack4_host_overlay_network_pool_name),"Value Missing",input_wld_az1_rack4_host_overlay_network_pool_name)</f>
        <v>Value Missing</v>
      </c>
      <c r="S169" s="1"/>
      <c r="T169" s="85" t="s">
        <v>1867</v>
      </c>
      <c r="U169" s="18" t="str">
        <f>IF(ISBLANK(input_wld_az1_rack5_host_overlay_network_pool_name),"Value Missing",input_wld_az1_rack5_host_overlay_network_pool_name)</f>
        <v>Value Missing</v>
      </c>
      <c r="V169" s="1"/>
      <c r="W169" s="85" t="s">
        <v>1867</v>
      </c>
      <c r="X169" s="18" t="str">
        <f>IF(ISBLANK(input_wld_az1_rack6_host_overlay_network_pool_name),"Value Missing",input_wld_az1_rack6_host_overlay_network_pool_name)</f>
        <v>Value Missing</v>
      </c>
      <c r="Y169" s="1"/>
      <c r="Z169" s="85" t="s">
        <v>1867</v>
      </c>
      <c r="AA169" s="18" t="str">
        <f>IF(ISBLANK(input_wld_az1_rack7_host_overlay_network_pool_name),"Value Missing",input_wld_az1_rack7_host_overlay_network_pool_name)</f>
        <v>Value Missing</v>
      </c>
      <c r="AB169" s="1"/>
      <c r="AC169" s="85" t="s">
        <v>1867</v>
      </c>
      <c r="AD169" s="18" t="str">
        <f>IF(ISBLANK(input_wld_az1_rack8_host_overlay_network_pool_name),"Value Missing",input_wld_az1_rack8_host_overlay_network_pool_name)</f>
        <v>Value Missing</v>
      </c>
      <c r="AE169" s="1"/>
      <c r="AF169" s="1"/>
      <c r="AG169" s="41"/>
      <c r="AH169" s="41"/>
      <c r="AI169" s="41"/>
      <c r="AJ169" s="41"/>
      <c r="AK169" s="1"/>
    </row>
    <row r="170" ht="19.5" customHeight="1">
      <c r="A170" s="1"/>
      <c r="B170" s="1"/>
      <c r="C170" s="1"/>
      <c r="D170" s="1"/>
      <c r="E170" s="84" t="s">
        <v>1868</v>
      </c>
      <c r="F170" s="18" t="str">
        <f>IF(ISBLANK(input_mgmt_host_overlay_transportzone),"Value Missing",input_mgmt_host_overlay_transportzone)</f>
        <v>Value Missing</v>
      </c>
      <c r="G170" s="8"/>
      <c r="H170" s="85" t="s">
        <v>1869</v>
      </c>
      <c r="I170" s="18" t="str">
        <f>IF(ISBLANK(input_wld_host_overlay_transportzone),"Value Missing",input_wld_host_overlay_transportzone)</f>
        <v>Value Missing</v>
      </c>
      <c r="J170" s="8"/>
      <c r="K170" s="85"/>
      <c r="L170" s="18"/>
      <c r="M170" s="35"/>
      <c r="N170" s="85"/>
      <c r="O170" s="18"/>
      <c r="P170" s="1"/>
      <c r="Q170" s="85"/>
      <c r="R170" s="18"/>
      <c r="S170" s="1"/>
      <c r="T170" s="85"/>
      <c r="U170" s="18"/>
      <c r="V170" s="1"/>
      <c r="W170" s="85"/>
      <c r="X170" s="18"/>
      <c r="Y170" s="1"/>
      <c r="Z170" s="85"/>
      <c r="AA170" s="18"/>
      <c r="AB170" s="1"/>
      <c r="AC170" s="85"/>
      <c r="AD170" s="18"/>
      <c r="AE170" s="1"/>
      <c r="AF170" s="1"/>
      <c r="AG170" s="41"/>
      <c r="AH170" s="41"/>
      <c r="AI170" s="41"/>
      <c r="AJ170" s="41"/>
      <c r="AK170" s="1"/>
    </row>
    <row r="171" ht="19.5" customHeight="1">
      <c r="A171" s="1"/>
      <c r="B171" s="1"/>
      <c r="C171" s="1"/>
      <c r="D171" s="1"/>
      <c r="E171" s="85" t="s">
        <v>1870</v>
      </c>
      <c r="F171" s="18" t="str">
        <f>CONCATENATE(this_instance,"01-m01","-r01-uplink-profile01")</f>
        <v>lax01-m01-r01-uplink-profile01</v>
      </c>
      <c r="G171" s="1"/>
      <c r="H171" s="85" t="s">
        <v>1870</v>
      </c>
      <c r="I171" s="18" t="str">
        <f>IF(ISBLANK(input_wld_az1_host_overlay_uplink_profile_name),"Value Missing",input_wld_az1_host_overlay_uplink_profile_name)</f>
        <v>Value Missing</v>
      </c>
      <c r="J171" s="1"/>
      <c r="K171" s="85" t="s">
        <v>1870</v>
      </c>
      <c r="L171" s="18" t="str">
        <f>IF(ISBLANK(input_wld_az1_rack2_host_overlay_uplink_profile_name),"Value Missing",input_wld_az1_rack2_host_overlay_uplink_profile_name)</f>
        <v>Value Missing</v>
      </c>
      <c r="M171" s="10"/>
      <c r="N171" s="85" t="s">
        <v>1870</v>
      </c>
      <c r="O171" s="18" t="str">
        <f>IF(ISBLANK(input_wld_az1_rack3_host_overlay_uplink_profile_name),"Value Missing",input_wld_az1_rack3_host_overlay_uplink_profile_name)</f>
        <v>Value Missing</v>
      </c>
      <c r="P171" s="1"/>
      <c r="Q171" s="85" t="s">
        <v>1870</v>
      </c>
      <c r="R171" s="18" t="str">
        <f>IF(ISBLANK(input_wld_az1_rack4_host_overlay_uplink_profile_name),"Value Missing",input_wld_az1_rack4_host_overlay_uplink_profile_name)</f>
        <v>Value Missing</v>
      </c>
      <c r="S171" s="1"/>
      <c r="T171" s="85" t="s">
        <v>1870</v>
      </c>
      <c r="U171" s="18" t="str">
        <f>IF(ISBLANK(input_wld_az1_rack5_host_overlay_uplink_profile_name),"Value Missing",input_wld_az1_rack5_host_overlay_uplink_profile_name)</f>
        <v>Value Missing</v>
      </c>
      <c r="V171" s="1"/>
      <c r="W171" s="85" t="s">
        <v>1870</v>
      </c>
      <c r="X171" s="18" t="str">
        <f>IF(ISBLANK(input_wld_az1_rack6_host_overlay_uplink_profile_name),"Value Missing",input_wld_az1_rack6_host_overlay_uplink_profile_name)</f>
        <v>Value Missing</v>
      </c>
      <c r="Y171" s="1"/>
      <c r="Z171" s="85" t="s">
        <v>1870</v>
      </c>
      <c r="AA171" s="18" t="str">
        <f>IF(ISBLANK(input_wld_az1_rack7_host_overlay_uplink_profile_name),"Value Missing",input_wld_az1_rack7_host_overlay_uplink_profile_name)</f>
        <v>Value Missing</v>
      </c>
      <c r="AB171" s="1"/>
      <c r="AC171" s="85" t="s">
        <v>1870</v>
      </c>
      <c r="AD171" s="18" t="str">
        <f>IF(ISBLANK(input_wld_az1_rack8_host_overlay_uplink_profile_name),"Value Missing",input_wld_az1_rack8_host_overlay_uplink_profile_name)</f>
        <v>Value Missing</v>
      </c>
      <c r="AE171" s="1"/>
      <c r="AF171" s="1"/>
      <c r="AG171" s="41"/>
      <c r="AH171" s="41"/>
      <c r="AI171" s="41"/>
      <c r="AJ171" s="41"/>
      <c r="AK171" s="1"/>
    </row>
    <row r="172" ht="19.5" customHeight="1">
      <c r="A172" s="1"/>
      <c r="B172" s="1"/>
      <c r="C172" s="1"/>
      <c r="D172" s="1"/>
      <c r="E172" s="85" t="s">
        <v>1871</v>
      </c>
      <c r="F172" s="18" t="str">
        <f>IF(ISBLANK(input_mgmt_az1_edge_overlay_network_pool_name),"Value Missing",input_mgmt_az1_edge_overlay_network_pool_name)</f>
        <v>Value Missing</v>
      </c>
      <c r="G172" s="1"/>
      <c r="H172" s="85" t="s">
        <v>1871</v>
      </c>
      <c r="I172" s="18" t="str">
        <f>IF(ISBLANK(input_wld_az1_edge_overlay_network_pool_name),"Value Missing",input_wld_az1_edge_overlay_network_pool_name)</f>
        <v>Value Missing</v>
      </c>
      <c r="J172" s="1"/>
      <c r="K172" s="85" t="s">
        <v>1871</v>
      </c>
      <c r="L172" s="18" t="str">
        <f>IF(ISBLANK(input_wld_az1_rack2_edge_overlay_network_pool_name),"Value Missing",input_wld_az1_rack2_edge_overlay_network_pool_name)</f>
        <v>Value Missing</v>
      </c>
      <c r="M172" s="8"/>
      <c r="N172" s="85" t="s">
        <v>1871</v>
      </c>
      <c r="O172" s="18" t="str">
        <f>IF(ISBLANK(input_wld_az1_rack3_edge_overlay_network_pool_name),"Value Missing",input_wld_az1_rack3_edge_overlay_network_pool_name)</f>
        <v>Value Missing</v>
      </c>
      <c r="P172" s="1"/>
      <c r="Q172" s="85" t="s">
        <v>1871</v>
      </c>
      <c r="R172" s="18" t="str">
        <f>IF(ISBLANK(input_wld_az1_rack4_edge_overlay_network_pool_name),"Value Missing",input_wld_az1_rack4_edge_overlay_network_pool_name)</f>
        <v>Value Missing</v>
      </c>
      <c r="S172" s="1"/>
      <c r="T172" s="85" t="s">
        <v>1871</v>
      </c>
      <c r="U172" s="18" t="str">
        <f>IF(ISBLANK(input_wld_az1_rack5_edge_overlay_network_pool_name),"Value Missing",input_wld_az1_rack5_edge_overlay_network_pool_name)</f>
        <v>Value Missing</v>
      </c>
      <c r="V172" s="1"/>
      <c r="W172" s="85" t="s">
        <v>1871</v>
      </c>
      <c r="X172" s="18" t="str">
        <f>IF(ISBLANK(input_wld_az1_rack6_edge_overlay_network_pool_name),"Value Missing",input_wld_az1_rack6_edge_overlay_network_pool_name)</f>
        <v>Value Missing</v>
      </c>
      <c r="Y172" s="1"/>
      <c r="Z172" s="85" t="s">
        <v>1871</v>
      </c>
      <c r="AA172" s="18" t="str">
        <f>IF(ISBLANK(input_wld_az1_rack7_edge_overlay_network_pool_name),"Value Missing",input_wld_az1_rack7_edge_overlay_network_pool_name)</f>
        <v>Value Missing</v>
      </c>
      <c r="AB172" s="1"/>
      <c r="AC172" s="267" t="s">
        <v>1871</v>
      </c>
      <c r="AD172" s="18" t="str">
        <f>IF(ISBLANK(input_wld_az1_rack8_edge_overlay_network_pool_name),"Value Missing",input_wld_az1_rack8_edge_overlay_network_pool_name)</f>
        <v>Value Missing</v>
      </c>
      <c r="AE172" s="1"/>
      <c r="AF172" s="1"/>
      <c r="AG172" s="41"/>
      <c r="AH172" s="41"/>
      <c r="AI172" s="41"/>
      <c r="AJ172" s="41"/>
      <c r="AK172" s="1"/>
    </row>
    <row r="173" ht="19.5" customHeight="1">
      <c r="A173" s="1"/>
      <c r="B173" s="1"/>
      <c r="C173" s="1"/>
      <c r="D173" s="1"/>
      <c r="E173" s="85" t="s">
        <v>1872</v>
      </c>
      <c r="F173" s="18" t="str">
        <f>IF(ISBLANK(input_mgmt_az1_rtep_ip_pool_name),"Value Missing",input_mgmt_az1_rtep_ip_pool_name)</f>
        <v>Value Missing</v>
      </c>
      <c r="G173" s="1"/>
      <c r="H173" s="85" t="s">
        <v>1872</v>
      </c>
      <c r="I173" s="18" t="str">
        <f>IF(ISBLANK(input_wld_az1_rtep_ip_pool_name),"Value Missing",input_wld_az1_rtep_ip_pool_name)</f>
        <v>Value Missing</v>
      </c>
      <c r="J173" s="1"/>
      <c r="K173" s="85" t="s">
        <v>1872</v>
      </c>
      <c r="L173" s="18" t="str">
        <f>IF(ISBLANK(input_wld_az1_rack2_rtep_ip_pool_name),"Value Missing",input_wld_az1_rack2_rtep_ip_pool_name)</f>
        <v>Value Missing</v>
      </c>
      <c r="M173" s="8"/>
      <c r="N173" s="85" t="s">
        <v>1872</v>
      </c>
      <c r="O173" s="18" t="str">
        <f>IF(ISBLANK(input_wld_az1_rack3_rtep_ip_pool_name),"Value Missing",input_wld_az1_rack3_rtep_ip_pool_name)</f>
        <v>Value Missing</v>
      </c>
      <c r="P173" s="1"/>
      <c r="Q173" s="85" t="s">
        <v>1872</v>
      </c>
      <c r="R173" s="18" t="str">
        <f>IF(ISBLANK(input_wld_az1_rack4_rtep_ip_pool_name),"Value Missing",input_wld_az1_rack4_rtep_ip_pool_name)</f>
        <v>Value Missing</v>
      </c>
      <c r="S173" s="1"/>
      <c r="T173" s="85" t="s">
        <v>1872</v>
      </c>
      <c r="U173" s="18" t="str">
        <f>IF(ISBLANK(input_wld_az1_rack5_rtep_ip_pool_name),"Value Missing",input_wld_az1_rack5_rtep_ip_pool_name)</f>
        <v>Value Missing</v>
      </c>
      <c r="V173" s="1"/>
      <c r="W173" s="85" t="s">
        <v>1872</v>
      </c>
      <c r="X173" s="18" t="str">
        <f>IF(ISBLANK(input_wld_az1_rack6_rtep_ip_pool_name),"Value Missing",input_wld_az1_rack6_rtep_ip_pool_name)</f>
        <v>Value Missing</v>
      </c>
      <c r="Y173" s="1"/>
      <c r="Z173" s="85" t="s">
        <v>1872</v>
      </c>
      <c r="AA173" s="18" t="str">
        <f>IF(ISBLANK(input_wld_az1_rack7_rtep_ip_pool_name),"Value Missing",input_wld_az1_rack7_rtep_ip_pool_name)</f>
        <v>Value Missing</v>
      </c>
      <c r="AB173" s="1"/>
      <c r="AC173" s="85" t="s">
        <v>1872</v>
      </c>
      <c r="AD173" s="18" t="str">
        <f>IF(ISBLANK(input_wld_az1_rack8_rtep_ip_pool_name),"Value Missing",input_wld_az1_rack8_rtep_ip_pool_name)</f>
        <v>Value Missing</v>
      </c>
      <c r="AE173" s="1"/>
      <c r="AF173" s="1"/>
      <c r="AG173" s="41"/>
      <c r="AH173" s="41"/>
      <c r="AI173" s="41"/>
      <c r="AJ173" s="41"/>
      <c r="AK173" s="1"/>
    </row>
    <row r="174" ht="19.5" customHeight="1">
      <c r="A174" s="1"/>
      <c r="B174" s="1"/>
      <c r="C174" s="1"/>
      <c r="D174" s="1"/>
      <c r="E174" s="85" t="s">
        <v>1873</v>
      </c>
      <c r="F174" s="18"/>
      <c r="G174" s="1"/>
      <c r="H174" s="85" t="s">
        <v>1873</v>
      </c>
      <c r="I174" s="18"/>
      <c r="J174" s="1"/>
      <c r="K174" s="85" t="s">
        <v>1873</v>
      </c>
      <c r="L174" s="18" t="str">
        <f>IF(ISBLANK(input_wld_az1_rack2_vsan_fault_domain),"Value Missing",input_wld_az1_rack2_vsan_fault_domain)</f>
        <v>Value Missing</v>
      </c>
      <c r="M174" s="1"/>
      <c r="N174" s="85" t="s">
        <v>1873</v>
      </c>
      <c r="O174" s="18" t="str">
        <f>IF(ISBLANK(input_wld_az1_rack3_vsan_fault_domain),"Value Missing",input_wld_az1_rack3_vsan_fault_domain)</f>
        <v>Value Missing</v>
      </c>
      <c r="P174" s="1"/>
      <c r="Q174" s="85" t="s">
        <v>1873</v>
      </c>
      <c r="R174" s="18" t="str">
        <f>IF(ISBLANK(input_wld_az1_rack4_vsan_fault_domain),"Value Missing",input_wld_az1_rack4_vsan_fault_domain)</f>
        <v>Value Missing</v>
      </c>
      <c r="S174" s="1"/>
      <c r="T174" s="85" t="s">
        <v>1873</v>
      </c>
      <c r="U174" s="18" t="str">
        <f>IF(ISBLANK(input_wld_az1_rack5_vsan_fault_domain),"Value Missing",input_wld_az1_rack5_vsan_fault_domain)</f>
        <v>Value Missing</v>
      </c>
      <c r="V174" s="1"/>
      <c r="W174" s="85" t="s">
        <v>1873</v>
      </c>
      <c r="X174" s="18" t="str">
        <f>IF(ISBLANK(input_wld_az1_rack6_vsan_fault_domain),"Value Missing",input_wld_az1_rack6_vsan_fault_domain)</f>
        <v>Value Missing</v>
      </c>
      <c r="Y174" s="1"/>
      <c r="Z174" s="85" t="s">
        <v>1873</v>
      </c>
      <c r="AA174" s="18" t="str">
        <f>IF(ISBLANK(input_wld_az1_rack7_vsan_fault_domain),"Value Missing",input_wld_az1_rack7_vsan_fault_domain)</f>
        <v>Value Missing</v>
      </c>
      <c r="AB174" s="1"/>
      <c r="AC174" s="85" t="s">
        <v>1873</v>
      </c>
      <c r="AD174" s="18" t="str">
        <f>IF(ISBLANK(input_wld_az1_rack8_vsan_fault_domain),"Value Missing",input_wld_az1_rack8_vsan_fault_domain)</f>
        <v>Value Missing</v>
      </c>
      <c r="AE174" s="1"/>
      <c r="AF174" s="1"/>
      <c r="AG174" s="41"/>
      <c r="AH174" s="41"/>
      <c r="AI174" s="41"/>
      <c r="AJ174" s="41"/>
      <c r="AK174" s="1"/>
    </row>
    <row r="175" ht="19.5" customHeight="1">
      <c r="A175" s="1"/>
      <c r="B175" s="1"/>
      <c r="C175" s="1"/>
      <c r="D175" s="1"/>
      <c r="E175" s="35"/>
      <c r="F175" s="35"/>
      <c r="G175" s="1"/>
      <c r="H175" s="323"/>
      <c r="I175" s="323"/>
      <c r="J175" s="1"/>
      <c r="K175" s="323"/>
      <c r="L175" s="114"/>
      <c r="M175" s="1"/>
      <c r="N175" s="323"/>
      <c r="O175" s="114"/>
      <c r="P175" s="35"/>
      <c r="Q175" s="323"/>
      <c r="R175" s="114"/>
      <c r="S175" s="35"/>
      <c r="T175" s="323"/>
      <c r="U175" s="114"/>
      <c r="V175" s="35"/>
      <c r="W175" s="323"/>
      <c r="X175" s="114"/>
      <c r="Y175" s="35"/>
      <c r="Z175" s="323"/>
      <c r="AA175" s="114"/>
      <c r="AB175" s="35"/>
      <c r="AC175" s="323"/>
      <c r="AD175" s="114"/>
      <c r="AE175" s="1"/>
      <c r="AF175" s="1"/>
      <c r="AG175" s="41"/>
      <c r="AH175" s="41"/>
      <c r="AI175" s="41"/>
      <c r="AJ175" s="41"/>
      <c r="AK175" s="1"/>
    </row>
    <row r="176" ht="19.5" customHeight="1">
      <c r="A176" s="1"/>
      <c r="B176" s="1"/>
      <c r="C176" s="1"/>
      <c r="D176" s="1"/>
      <c r="E176" s="311" t="s">
        <v>1874</v>
      </c>
      <c r="F176" s="38"/>
      <c r="G176" s="1"/>
      <c r="H176" s="311" t="s">
        <v>1875</v>
      </c>
      <c r="I176" s="38"/>
      <c r="J176" s="1"/>
      <c r="K176" s="311" t="s">
        <v>1876</v>
      </c>
      <c r="L176" s="38"/>
      <c r="M176" s="1"/>
      <c r="N176" s="311" t="s">
        <v>1877</v>
      </c>
      <c r="O176" s="38"/>
      <c r="P176" s="1"/>
      <c r="Q176" s="311" t="s">
        <v>1878</v>
      </c>
      <c r="R176" s="38"/>
      <c r="S176" s="1"/>
      <c r="T176" s="311" t="s">
        <v>1878</v>
      </c>
      <c r="U176" s="38"/>
      <c r="V176" s="1"/>
      <c r="W176" s="311" t="s">
        <v>1878</v>
      </c>
      <c r="X176" s="38"/>
      <c r="Y176" s="1"/>
      <c r="Z176" s="311" t="s">
        <v>1878</v>
      </c>
      <c r="AA176" s="38"/>
      <c r="AB176" s="1"/>
      <c r="AC176" s="311" t="s">
        <v>1878</v>
      </c>
      <c r="AD176" s="38"/>
      <c r="AE176" s="1"/>
      <c r="AF176" s="1"/>
      <c r="AG176" s="41"/>
      <c r="AH176" s="41"/>
      <c r="AI176" s="41"/>
      <c r="AJ176" s="41"/>
      <c r="AK176" s="1"/>
    </row>
    <row r="177" ht="19.5" customHeight="1">
      <c r="A177" s="1"/>
      <c r="B177" s="1"/>
      <c r="C177" s="1"/>
      <c r="D177" s="1"/>
      <c r="E177" s="15" t="s">
        <v>256</v>
      </c>
      <c r="F177" s="15" t="s">
        <v>1707</v>
      </c>
      <c r="G177" s="1"/>
      <c r="H177" s="15" t="s">
        <v>256</v>
      </c>
      <c r="I177" s="15" t="s">
        <v>274</v>
      </c>
      <c r="J177" s="1"/>
      <c r="K177" s="15" t="s">
        <v>256</v>
      </c>
      <c r="L177" s="15" t="s">
        <v>274</v>
      </c>
      <c r="M177" s="1"/>
      <c r="N177" s="15" t="s">
        <v>256</v>
      </c>
      <c r="O177" s="15" t="s">
        <v>274</v>
      </c>
      <c r="P177" s="8"/>
      <c r="Q177" s="15" t="s">
        <v>256</v>
      </c>
      <c r="R177" s="15" t="s">
        <v>274</v>
      </c>
      <c r="S177" s="8"/>
      <c r="T177" s="15" t="s">
        <v>256</v>
      </c>
      <c r="U177" s="15" t="s">
        <v>274</v>
      </c>
      <c r="V177" s="8"/>
      <c r="W177" s="15" t="s">
        <v>256</v>
      </c>
      <c r="X177" s="15" t="s">
        <v>274</v>
      </c>
      <c r="Y177" s="8"/>
      <c r="Z177" s="15" t="s">
        <v>256</v>
      </c>
      <c r="AA177" s="15" t="s">
        <v>274</v>
      </c>
      <c r="AB177" s="8"/>
      <c r="AC177" s="15" t="s">
        <v>256</v>
      </c>
      <c r="AD177" s="15" t="s">
        <v>274</v>
      </c>
      <c r="AE177" s="1"/>
      <c r="AF177" s="1"/>
      <c r="AG177" s="41"/>
      <c r="AH177" s="41"/>
      <c r="AI177" s="41"/>
      <c r="AJ177" s="41"/>
      <c r="AK177" s="1"/>
    </row>
    <row r="178" ht="19.5" customHeight="1">
      <c r="A178" s="1"/>
      <c r="B178" s="1"/>
      <c r="C178" s="1"/>
      <c r="D178" s="1"/>
      <c r="E178" s="84" t="s">
        <v>1879</v>
      </c>
      <c r="F178" s="317"/>
      <c r="G178" s="1"/>
      <c r="H178" s="84" t="s">
        <v>1880</v>
      </c>
      <c r="I178" s="18"/>
      <c r="J178" s="1"/>
      <c r="K178" s="84" t="s">
        <v>1881</v>
      </c>
      <c r="L178" s="317" t="str">
        <f>IF(ISBLANK(input_wld_az1_rack2_mgmt_vm_cidr),"Value Missing",VLOOKUP(INT(RIGHT(input_wld_az1_rack2_mgmt_vm_cidr,LEN(input_wld_az1_rack2_mgmt_vm_cidr)-FIND("/",input_wld_az1_rack2_mgmt_vm_cidr))),table_cidr_to_mask,2,FALSE))</f>
        <v>Value Missing</v>
      </c>
      <c r="M178" s="1"/>
      <c r="N178" s="84" t="s">
        <v>1882</v>
      </c>
      <c r="O178" s="317" t="str">
        <f>IF(ISBLANK(input_wld_az1_rack3_mgmt_vm_cidr),"Value Missing",VLOOKUP(INT(RIGHT(input_wld_az1_rack3_mgmt_vm_cidr,LEN(input_wld_az1_rack3_mgmt_vm_cidr)-FIND("/",input_wld_az1_rack3_mgmt_vm_cidr))),table_cidr_to_mask,2,FALSE))</f>
        <v>Value Missing</v>
      </c>
      <c r="P178" s="8"/>
      <c r="Q178" s="84" t="s">
        <v>1883</v>
      </c>
      <c r="R178" s="317" t="str">
        <f>IF(ISBLANK(input_wld_az1_rack4_mgmt_vm_cidr),"Value Missing",VLOOKUP(INT(RIGHT(input_wld_az1_rack4_mgmt_vm_cidr,LEN(input_wld_az1_rack4_mgmt_vm_cidr)-FIND("/",input_wld_az1_rack4_mgmt_vm_cidr))),table_cidr_to_mask,2,FALSE))</f>
        <v>Value Missing</v>
      </c>
      <c r="S178" s="8"/>
      <c r="T178" s="84" t="s">
        <v>1884</v>
      </c>
      <c r="U178" s="317" t="str">
        <f>IF(ISBLANK(input_wld_az1_rack5_mgmt_vm_cidr),"Value Missing",VLOOKUP(INT(RIGHT(input_wld_az1_rack5_mgmt_vm_cidr,LEN(input_wld_az1_rack5_mgmt_vm_cidr)-FIND("/",input_wld_az1_rack5_mgmt_vm_cidr))),table_cidr_to_mask,2,FALSE))</f>
        <v>Value Missing</v>
      </c>
      <c r="V178" s="8"/>
      <c r="W178" s="84" t="s">
        <v>1885</v>
      </c>
      <c r="X178" s="317" t="str">
        <f>IF(ISBLANK(input_wld_az1_rack6_mgmt_vm_cidr),"Value Missing",VLOOKUP(INT(RIGHT(input_wld_az1_rack6_mgmt_vm_cidr,LEN(input_wld_az1_rack6_mgmt_vm_cidr)-FIND("/",input_wld_az1_rack6_mgmt_vm_cidr))),table_cidr_to_mask,2,FALSE))</f>
        <v>Value Missing</v>
      </c>
      <c r="Y178" s="8"/>
      <c r="Z178" s="84" t="s">
        <v>1886</v>
      </c>
      <c r="AA178" s="317" t="str">
        <f>IF(ISBLANK(input_wld_az1_rack7_mgmt_vm_cidr),"Value Missing",VLOOKUP(INT(RIGHT(input_wld_az1_rack7_mgmt_vm_cidr,LEN(input_wld_az1_rack7_mgmt_vm_cidr)-FIND("/",input_wld_az1_rack7_mgmt_vm_cidr))),table_cidr_to_mask,2,FALSE))</f>
        <v>Value Missing</v>
      </c>
      <c r="AB178" s="8"/>
      <c r="AC178" s="84" t="s">
        <v>1887</v>
      </c>
      <c r="AD178" s="317" t="str">
        <f>IF(ISBLANK(input_wld_az1_rack8_mgmt_vm_cidr),"Value Missing",VLOOKUP(INT(RIGHT(input_wld_az1_rack8_mgmt_vm_cidr,LEN(input_wld_az1_rack8_mgmt_vm_cidr)-FIND("/",input_wld_az1_rack8_mgmt_vm_cidr))),table_cidr_to_mask,2,FALSE))</f>
        <v>Value Missing</v>
      </c>
      <c r="AE178" s="1"/>
      <c r="AF178" s="1"/>
      <c r="AG178" s="41"/>
      <c r="AH178" s="41"/>
      <c r="AI178" s="41"/>
      <c r="AJ178" s="41"/>
      <c r="AK178" s="1"/>
    </row>
    <row r="179" ht="19.5" customHeight="1">
      <c r="A179" s="1"/>
      <c r="B179" s="1"/>
      <c r="C179" s="1"/>
      <c r="D179" s="1"/>
      <c r="E179" s="84" t="s">
        <v>1888</v>
      </c>
      <c r="F179" s="18"/>
      <c r="G179" s="8"/>
      <c r="H179" s="84" t="s">
        <v>1889</v>
      </c>
      <c r="I179" s="18"/>
      <c r="J179" s="8"/>
      <c r="K179" s="84" t="s">
        <v>1890</v>
      </c>
      <c r="L179" s="18" t="str">
        <f>IF(ISBLANK(input_wld_az1_rack2_mgmt_cidr),"Value Missing",VLOOKUP(INT(RIGHT(input_wld_az1_rack2_mgmt_cidr,LEN(input_wld_az1_rack2_mgmt_cidr)-FIND("/",input_wld_az1_rack2_mgmt_cidr))),table_cidr_to_mask,2,FALSE))</f>
        <v>Value Missing</v>
      </c>
      <c r="M179" s="1"/>
      <c r="N179" s="84" t="s">
        <v>1891</v>
      </c>
      <c r="O179" s="18" t="str">
        <f>IF(ISBLANK(input_wld_az1_rack3_mgmt_cidr),"Value Missing",VLOOKUP(INT(RIGHT(input_wld_az1_rack3_mgmt_cidr,LEN(input_wld_az1_rack3_mgmt_cidr)-FIND("/",input_wld_az1_rack3_mgmt_cidr))),table_cidr_to_mask,2,FALSE))</f>
        <v>Value Missing</v>
      </c>
      <c r="P179" s="1"/>
      <c r="Q179" s="84" t="s">
        <v>1892</v>
      </c>
      <c r="R179" s="18" t="str">
        <f>IF(ISBLANK(input_wld_az1_rack4_mgmt_cidr),"Value Missing",VLOOKUP(INT(RIGHT(input_wld_az1_rack4_mgmt_cidr,LEN(input_wld_az1_rack4_mgmt_cidr)-FIND("/",input_wld_az1_rack4_mgmt_cidr))),table_cidr_to_mask,2,FALSE))</f>
        <v>Value Missing</v>
      </c>
      <c r="S179" s="1"/>
      <c r="T179" s="84" t="s">
        <v>1893</v>
      </c>
      <c r="U179" s="18" t="str">
        <f>IF(ISBLANK(input_wld_az1_rack5_mgmt_cidr),"Value Missing",VLOOKUP(INT(RIGHT(input_wld_az1_rack5_mgmt_cidr,LEN(input_wld_az1_rack5_mgmt_cidr)-FIND("/",input_wld_az1_rack5_mgmt_cidr))),table_cidr_to_mask,2,FALSE))</f>
        <v>Value Missing</v>
      </c>
      <c r="V179" s="1"/>
      <c r="W179" s="84" t="s">
        <v>1894</v>
      </c>
      <c r="X179" s="18" t="str">
        <f>IF(ISBLANK(input_wld_az1_rack6_mgmt_cidr),"Value Missing",VLOOKUP(INT(RIGHT(input_wld_az1_rack6_mgmt_cidr,LEN(input_wld_az1_rack6_mgmt_cidr)-FIND("/",input_wld_az1_rack6_mgmt_cidr))),table_cidr_to_mask,2,FALSE))</f>
        <v>Value Missing</v>
      </c>
      <c r="Y179" s="1"/>
      <c r="Z179" s="84" t="s">
        <v>1895</v>
      </c>
      <c r="AA179" s="18" t="str">
        <f>IF(ISBLANK(input_wld_az1_rack7_mgmt_cidr),"Value Missing",VLOOKUP(INT(RIGHT(input_wld_az1_rack7_mgmt_cidr,LEN(input_wld_az1_rack7_mgmt_cidr)-FIND("/",input_wld_az1_rack7_mgmt_cidr))),table_cidr_to_mask,2,FALSE))</f>
        <v>Value Missing</v>
      </c>
      <c r="AB179" s="1"/>
      <c r="AC179" s="84" t="s">
        <v>1896</v>
      </c>
      <c r="AD179" s="18" t="str">
        <f>IF(ISBLANK(input_wld_az1_rack8_mgmt_cidr),"Value Missing",VLOOKUP(INT(RIGHT(input_wld_az1_rack8_mgmt_cidr,LEN(input_wld_az1_rack8_mgmt_cidr)-FIND("/",input_wld_az1_rack8_mgmt_cidr))),table_cidr_to_mask,2,FALSE))</f>
        <v>Value Missing</v>
      </c>
      <c r="AE179" s="1"/>
      <c r="AF179" s="1"/>
      <c r="AG179" s="41"/>
      <c r="AH179" s="41"/>
      <c r="AI179" s="41"/>
      <c r="AJ179" s="41"/>
      <c r="AK179" s="1"/>
    </row>
    <row r="180" ht="19.5" customHeight="1">
      <c r="A180" s="1"/>
      <c r="B180" s="41"/>
      <c r="C180" s="4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41"/>
      <c r="AF180" s="41"/>
      <c r="AG180" s="41"/>
      <c r="AH180" s="41"/>
      <c r="AI180" s="41"/>
      <c r="AJ180" s="41"/>
      <c r="AK180" s="41"/>
    </row>
    <row r="181" ht="19.5" customHeight="1">
      <c r="A181" s="1"/>
      <c r="B181" s="41"/>
      <c r="C181" s="41"/>
      <c r="D181" s="1"/>
      <c r="E181" s="320" t="s">
        <v>1897</v>
      </c>
      <c r="F181" s="320"/>
      <c r="G181" s="1"/>
      <c r="H181" s="320" t="s">
        <v>1898</v>
      </c>
      <c r="I181" s="320"/>
      <c r="J181" s="1"/>
      <c r="K181" s="320" t="s">
        <v>1899</v>
      </c>
      <c r="L181" s="320"/>
      <c r="M181" s="1"/>
      <c r="N181" s="320" t="s">
        <v>1900</v>
      </c>
      <c r="O181" s="320"/>
      <c r="P181" s="8"/>
      <c r="Q181" s="320" t="s">
        <v>1901</v>
      </c>
      <c r="R181" s="320"/>
      <c r="S181" s="8"/>
      <c r="T181" s="320" t="s">
        <v>1902</v>
      </c>
      <c r="U181" s="320"/>
      <c r="V181" s="8"/>
      <c r="W181" s="320" t="s">
        <v>1903</v>
      </c>
      <c r="X181" s="320"/>
      <c r="Y181" s="8"/>
      <c r="Z181" s="320" t="s">
        <v>1904</v>
      </c>
      <c r="AA181" s="320"/>
      <c r="AB181" s="8"/>
      <c r="AC181" s="320" t="s">
        <v>1905</v>
      </c>
      <c r="AD181" s="320"/>
      <c r="AE181" s="41"/>
      <c r="AF181" s="41"/>
      <c r="AG181" s="41"/>
      <c r="AH181" s="41"/>
      <c r="AI181" s="41"/>
      <c r="AJ181" s="41"/>
      <c r="AK181" s="41"/>
    </row>
    <row r="182" ht="19.5" customHeight="1">
      <c r="A182" s="1"/>
      <c r="B182" s="41"/>
      <c r="C182" s="41"/>
      <c r="D182" s="1"/>
      <c r="E182" s="15" t="s">
        <v>256</v>
      </c>
      <c r="F182" s="15" t="s">
        <v>1707</v>
      </c>
      <c r="G182" s="1"/>
      <c r="H182" s="15" t="s">
        <v>256</v>
      </c>
      <c r="I182" s="15" t="s">
        <v>274</v>
      </c>
      <c r="J182" s="1"/>
      <c r="K182" s="15" t="s">
        <v>256</v>
      </c>
      <c r="L182" s="15" t="s">
        <v>274</v>
      </c>
      <c r="M182" s="1"/>
      <c r="N182" s="15" t="s">
        <v>256</v>
      </c>
      <c r="O182" s="15" t="s">
        <v>274</v>
      </c>
      <c r="P182" s="8"/>
      <c r="Q182" s="15" t="s">
        <v>256</v>
      </c>
      <c r="R182" s="15" t="s">
        <v>274</v>
      </c>
      <c r="S182" s="8"/>
      <c r="T182" s="15" t="s">
        <v>256</v>
      </c>
      <c r="U182" s="15" t="s">
        <v>274</v>
      </c>
      <c r="V182" s="8"/>
      <c r="W182" s="15" t="s">
        <v>256</v>
      </c>
      <c r="X182" s="15" t="s">
        <v>274</v>
      </c>
      <c r="Y182" s="8"/>
      <c r="Z182" s="15" t="s">
        <v>256</v>
      </c>
      <c r="AA182" s="15" t="s">
        <v>274</v>
      </c>
      <c r="AB182" s="8"/>
      <c r="AC182" s="15" t="s">
        <v>256</v>
      </c>
      <c r="AD182" s="15" t="s">
        <v>274</v>
      </c>
      <c r="AE182" s="41"/>
      <c r="AF182" s="41"/>
      <c r="AG182" s="41"/>
      <c r="AH182" s="41"/>
      <c r="AI182" s="41"/>
      <c r="AJ182" s="41"/>
      <c r="AK182" s="41"/>
    </row>
    <row r="183" ht="19.5" customHeight="1">
      <c r="A183" s="1"/>
      <c r="B183" s="41"/>
      <c r="C183" s="41"/>
      <c r="D183" s="1"/>
      <c r="E183" s="84" t="s">
        <v>1906</v>
      </c>
      <c r="F183" s="18" t="str">
        <f>IF(ISBLANK(input_mgmt_az1_host1_mgmt_ip),"Value Missing",input_mgmt_az1_host1_mgmt_ip)</f>
        <v>Value Missing</v>
      </c>
      <c r="G183" s="1"/>
      <c r="H183" s="84" t="s">
        <v>1906</v>
      </c>
      <c r="I183" s="18" t="str">
        <f>IF(ISBLANK(input_wld_az1_host1_mgmt_ip),"Value Missing",input_wld_az1_host1_mgmt_ip)</f>
        <v>Value Missing</v>
      </c>
      <c r="J183" s="1"/>
      <c r="K183" s="84" t="s">
        <v>1906</v>
      </c>
      <c r="L183" s="18" t="str">
        <f>IF(ISBLANK(input_wld_az1_rack2_host1_mgmt_ip),"Value Missing",input_wld_az1_rack2_host1_mgmt_ip)</f>
        <v>Value Missing</v>
      </c>
      <c r="M183" s="1"/>
      <c r="N183" s="84" t="s">
        <v>1906</v>
      </c>
      <c r="O183" s="18" t="str">
        <f>IF(ISBLANK(input_wld_az1_rack3_host1_mgmt_ip),"Value Missing",input_wld_az1_rack3_host1_mgmt_ip)</f>
        <v>Value Missing</v>
      </c>
      <c r="P183" s="1"/>
      <c r="Q183" s="84" t="s">
        <v>1906</v>
      </c>
      <c r="R183" s="18" t="str">
        <f>IF(ISBLANK(input_wld_az1_rack4_host1_mgmt_ip),"Value Missing",input_wld_az1_rack4_host1_mgmt_ip)</f>
        <v>Value Missing</v>
      </c>
      <c r="S183" s="1"/>
      <c r="T183" s="84" t="s">
        <v>1906</v>
      </c>
      <c r="U183" s="18" t="str">
        <f>IF(ISBLANK(input_wld_az1_rack5_host1_mgmt_ip),"Value Missing",input_wld_az1_rack5_host1_mgmt_ip)</f>
        <v>Value Missing</v>
      </c>
      <c r="V183" s="1"/>
      <c r="W183" s="84" t="s">
        <v>1906</v>
      </c>
      <c r="X183" s="18" t="str">
        <f>IF(ISBLANK(input_wld_az1_rack6_host1_mgmt_ip),"Value Missing",input_wld_az1_rack6_host1_mgmt_ip)</f>
        <v>Value Missing</v>
      </c>
      <c r="Y183" s="1"/>
      <c r="Z183" s="84" t="s">
        <v>1906</v>
      </c>
      <c r="AA183" s="18" t="str">
        <f>IF(ISBLANK(input_wld_az1_rack7_host1_mgmt_ip),"Value Missing",input_wld_az1_rack7_host1_mgmt_ip)</f>
        <v>Value Missing</v>
      </c>
      <c r="AB183" s="1"/>
      <c r="AC183" s="84" t="s">
        <v>1906</v>
      </c>
      <c r="AD183" s="18" t="str">
        <f>IF(ISBLANK(input_wld_az1_rack8_host1_mgmt_ip),"Value Missing",input_wld_az1_rack8_host1_mgmt_ip)</f>
        <v>Value Missing</v>
      </c>
      <c r="AE183" s="41"/>
      <c r="AF183" s="41"/>
      <c r="AG183" s="41"/>
      <c r="AH183" s="41"/>
      <c r="AI183" s="41"/>
      <c r="AJ183" s="41"/>
      <c r="AK183" s="41"/>
    </row>
    <row r="184" ht="19.5" customHeight="1">
      <c r="A184" s="1"/>
      <c r="B184" s="41"/>
      <c r="C184" s="41"/>
      <c r="D184" s="1"/>
      <c r="E184" s="84" t="s">
        <v>1907</v>
      </c>
      <c r="F184" s="18" t="str">
        <f>IF(ISBLANK(input_mgmt_az1_host2_mgmt_ip),"Value Missing",input_mgmt_az1_host2_mgmt_ip)</f>
        <v>Value Missing</v>
      </c>
      <c r="G184" s="1"/>
      <c r="H184" s="84" t="s">
        <v>1907</v>
      </c>
      <c r="I184" s="18" t="str">
        <f>IF(ISBLANK(input_wld_az1_host2_mgmt_ip),"Value Missing",input_wld_az1_host2_mgmt_ip)</f>
        <v>Value Missing</v>
      </c>
      <c r="J184" s="1"/>
      <c r="K184" s="84" t="s">
        <v>1907</v>
      </c>
      <c r="L184" s="18" t="str">
        <f>IF(ISBLANK(input_wld_az1_rack2_host2_mgmt_ip),"Value Missing",input_wld_az1_rack2_host2_mgmt_ip)</f>
        <v>Value Missing</v>
      </c>
      <c r="M184" s="1"/>
      <c r="N184" s="84" t="s">
        <v>1907</v>
      </c>
      <c r="O184" s="18" t="str">
        <f>IF(ISBLANK(input_wld_az1_rack3_host2_mgmt_ip),"Value Missing",input_wld_az1_rack3_host2_mgmt_ip)</f>
        <v>Value Missing</v>
      </c>
      <c r="P184" s="1"/>
      <c r="Q184" s="84" t="s">
        <v>1907</v>
      </c>
      <c r="R184" s="18" t="str">
        <f>IF(ISBLANK(input_wld_az1_rack4_host2_mgmt_ip),"Value Missing",input_wld_az1_rack4_host2_mgmt_ip)</f>
        <v>Value Missing</v>
      </c>
      <c r="S184" s="1"/>
      <c r="T184" s="84" t="s">
        <v>1907</v>
      </c>
      <c r="U184" s="18" t="str">
        <f>IF(ISBLANK(input_wld_az1_rack5_host2_mgmt_ip),"Value Missing",input_wld_az1_rack5_host2_mgmt_ip)</f>
        <v>Value Missing</v>
      </c>
      <c r="V184" s="1"/>
      <c r="W184" s="84" t="s">
        <v>1907</v>
      </c>
      <c r="X184" s="18" t="str">
        <f>IF(ISBLANK(input_wld_az1_rack6_host2_mgmt_ip),"Value Missing",input_wld_az1_rack6_host2_mgmt_ip)</f>
        <v>Value Missing</v>
      </c>
      <c r="Y184" s="1"/>
      <c r="Z184" s="84" t="s">
        <v>1907</v>
      </c>
      <c r="AA184" s="18" t="str">
        <f>IF(ISBLANK(input_wld_az1_rack7_host2_mgmt_ip),"Value Missing",input_wld_az1_rack7_host2_mgmt_ip)</f>
        <v>Value Missing</v>
      </c>
      <c r="AB184" s="1"/>
      <c r="AC184" s="84" t="s">
        <v>1907</v>
      </c>
      <c r="AD184" s="18" t="str">
        <f>IF(ISBLANK(input_wld_az1_rack8_host2_mgmt_ip),"Value Missing",input_wld_az1_rack8_host2_mgmt_ip)</f>
        <v>Value Missing</v>
      </c>
      <c r="AE184" s="41"/>
      <c r="AF184" s="41"/>
      <c r="AG184" s="41"/>
      <c r="AH184" s="41"/>
      <c r="AI184" s="41"/>
      <c r="AJ184" s="41"/>
      <c r="AK184" s="41"/>
    </row>
    <row r="185" ht="19.5" customHeight="1">
      <c r="A185" s="1"/>
      <c r="B185" s="41"/>
      <c r="C185" s="41"/>
      <c r="D185" s="1"/>
      <c r="E185" s="84" t="s">
        <v>1908</v>
      </c>
      <c r="F185" s="18" t="str">
        <f>IF(ISBLANK(input_mgmt_az1_host3_mgmt_ip),"Value Missing",input_mgmt_az1_host3_mgmt_ip)</f>
        <v>Value Missing</v>
      </c>
      <c r="G185" s="1"/>
      <c r="H185" s="84" t="s">
        <v>1908</v>
      </c>
      <c r="I185" s="18" t="str">
        <f>IF(ISBLANK(input_wld_az1_host3_mgmt_ip),"Value Missing",input_wld_az1_host3_mgmt_ip)</f>
        <v>Value Missing</v>
      </c>
      <c r="J185" s="1"/>
      <c r="K185" s="84" t="s">
        <v>1908</v>
      </c>
      <c r="L185" s="18" t="str">
        <f>IF(ISBLANK(input_wld_az1_rack2_host3_mgmt_ip),"Value Missing",input_wld_az1_rack2_host3_mgmt_ip)</f>
        <v>Value Missing</v>
      </c>
      <c r="M185" s="1"/>
      <c r="N185" s="84" t="s">
        <v>1908</v>
      </c>
      <c r="O185" s="18" t="str">
        <f>IF(ISBLANK(input_wld_az1_rack3_host3_mgmt_ip),"Value Missing",input_wld_az1_rack3_host3_mgmt_ip)</f>
        <v>Value Missing</v>
      </c>
      <c r="P185" s="1"/>
      <c r="Q185" s="84" t="s">
        <v>1908</v>
      </c>
      <c r="R185" s="18" t="str">
        <f>IF(ISBLANK(input_wld_az1_rack4_host3_mgmt_ip),"Value Missing",input_wld_az1_rack4_host3_mgmt_ip)</f>
        <v>Value Missing</v>
      </c>
      <c r="S185" s="1"/>
      <c r="T185" s="84" t="s">
        <v>1908</v>
      </c>
      <c r="U185" s="18" t="str">
        <f>IF(ISBLANK(input_wld_az1_rack5_host3_mgmt_ip),"Value Missing",input_wld_az1_rack5_host3_mgmt_ip)</f>
        <v>Value Missing</v>
      </c>
      <c r="V185" s="1"/>
      <c r="W185" s="84" t="s">
        <v>1908</v>
      </c>
      <c r="X185" s="18" t="str">
        <f>IF(ISBLANK(input_wld_az1_rack6_host3_mgmt_ip),"Value Missing",input_wld_az1_rack6_host3_mgmt_ip)</f>
        <v>Value Missing</v>
      </c>
      <c r="Y185" s="1"/>
      <c r="Z185" s="84" t="s">
        <v>1908</v>
      </c>
      <c r="AA185" s="18" t="str">
        <f>IF(ISBLANK(input_wld_az1_rack7_host3_mgmt_ip),"Value Missing",input_wld_az1_rack7_host3_mgmt_ip)</f>
        <v>Value Missing</v>
      </c>
      <c r="AB185" s="1"/>
      <c r="AC185" s="84" t="s">
        <v>1908</v>
      </c>
      <c r="AD185" s="18" t="str">
        <f>IF(ISBLANK(input_wld_az1_rack8_host3_mgmt_ip),"Value Missing",input_wld_az1_rack8_host3_mgmt_ip)</f>
        <v>Value Missing</v>
      </c>
      <c r="AE185" s="41"/>
      <c r="AF185" s="41"/>
      <c r="AG185" s="41"/>
      <c r="AH185" s="41"/>
      <c r="AI185" s="41"/>
      <c r="AJ185" s="41"/>
      <c r="AK185" s="41"/>
    </row>
    <row r="186" ht="19.5" customHeight="1">
      <c r="A186" s="1"/>
      <c r="B186" s="41"/>
      <c r="C186" s="41"/>
      <c r="D186" s="1"/>
      <c r="E186" s="84" t="s">
        <v>1909</v>
      </c>
      <c r="F186" s="18" t="str">
        <f>IF(ISBLANK(input_mgmt_az1_host4_mgmt_ip),"Value Missing",input_mgmt_az1_host4_mgmt_ip)</f>
        <v>Value Missing</v>
      </c>
      <c r="G186" s="1"/>
      <c r="H186" s="84" t="s">
        <v>1909</v>
      </c>
      <c r="I186" s="18" t="str">
        <f>IF(ISBLANK(input_wld_az1_host4_mgmt_ip),"Value Missing",input_wld_az1_host4_mgmt_ip)</f>
        <v>Value Missing</v>
      </c>
      <c r="J186" s="1"/>
      <c r="K186" s="84" t="s">
        <v>1909</v>
      </c>
      <c r="L186" s="18" t="str">
        <f>IF(ISBLANK(input_wld_az1_rack2_host4_mgmt_ip),"Value Missing",input_wld_az1_rack2_host4_mgmt_ip)</f>
        <v>Value Missing</v>
      </c>
      <c r="M186" s="1"/>
      <c r="N186" s="84" t="s">
        <v>1909</v>
      </c>
      <c r="O186" s="18" t="str">
        <f>IF(ISBLANK(input_wld_az1_rack3_host4_mgmt_ip),"Value Missing",input_wld_az1_rack3_host4_mgmt_ip)</f>
        <v>Value Missing</v>
      </c>
      <c r="P186" s="1"/>
      <c r="Q186" s="84" t="s">
        <v>1909</v>
      </c>
      <c r="R186" s="18" t="str">
        <f>IF(ISBLANK(input_wld_az1_rack4_host4_mgmt_ip),"Value Missing",input_wld_az1_rack4_host4_mgmt_ip)</f>
        <v>Value Missing</v>
      </c>
      <c r="S186" s="1"/>
      <c r="T186" s="84" t="s">
        <v>1909</v>
      </c>
      <c r="U186" s="18" t="str">
        <f>IF(ISBLANK(input_wld_az1_rack5_host4_mgmt_ip),"Value Missing",input_wld_az1_rack5_host4_mgmt_ip)</f>
        <v>Value Missing</v>
      </c>
      <c r="V186" s="1"/>
      <c r="W186" s="84" t="s">
        <v>1909</v>
      </c>
      <c r="X186" s="18" t="str">
        <f>IF(ISBLANK(input_wld_az1_rack6_host4_mgmt_ip),"Value Missing",input_wld_az1_rack6_host4_mgmt_ip)</f>
        <v>Value Missing</v>
      </c>
      <c r="Y186" s="1"/>
      <c r="Z186" s="84" t="s">
        <v>1909</v>
      </c>
      <c r="AA186" s="18" t="str">
        <f>IF(ISBLANK(input_wld_az1_rack7_host4_mgmt_ip),"Value Missing",input_wld_az1_rack7_host4_mgmt_ip)</f>
        <v>Value Missing</v>
      </c>
      <c r="AB186" s="1"/>
      <c r="AC186" s="84" t="s">
        <v>1909</v>
      </c>
      <c r="AD186" s="18" t="str">
        <f>IF(ISBLANK(input_wld_az1_rack8_host4_mgmt_ip),"Value Missing",input_wld_az1_rack8_host4_mgmt_ip)</f>
        <v>Value Missing</v>
      </c>
      <c r="AE186" s="41"/>
      <c r="AF186" s="41"/>
      <c r="AG186" s="41"/>
      <c r="AH186" s="41"/>
      <c r="AI186" s="41"/>
      <c r="AJ186" s="41"/>
      <c r="AK186" s="41"/>
    </row>
    <row r="187" ht="19.5" customHeight="1">
      <c r="A187" s="1"/>
      <c r="B187" s="41"/>
      <c r="C187" s="41"/>
      <c r="D187" s="1"/>
      <c r="E187" s="84" t="s">
        <v>1910</v>
      </c>
      <c r="F187" s="18" t="str">
        <f>IF(ISBLANK(input_mgmt_az1_host5_mgmt_ip),"Value Missing",input_mgmt_az1_host5_mgmt_ip)</f>
        <v>Value Missing</v>
      </c>
      <c r="G187" s="1"/>
      <c r="H187" s="84" t="s">
        <v>1910</v>
      </c>
      <c r="I187" s="18" t="str">
        <f>IF(ISBLANK(input_wld_az1_host5_mgmt_ip),"Value Missing",input_wld_az1_host5_mgmt_ip)</f>
        <v>Value Missing</v>
      </c>
      <c r="J187" s="1"/>
      <c r="K187" s="84" t="s">
        <v>1910</v>
      </c>
      <c r="L187" s="18" t="str">
        <f>IF(ISBLANK(input_wld_az1_rack2_host5_mgmt_ip),"Value Missing",input_wld_az1_rack2_host5_mgmt_ip)</f>
        <v>Value Missing</v>
      </c>
      <c r="M187" s="1"/>
      <c r="N187" s="84" t="s">
        <v>1910</v>
      </c>
      <c r="O187" s="18" t="str">
        <f>IF(ISBLANK(input_wld_az1_rack3_host5_mgmt_ip),"Value Missing",input_wld_az1_rack3_host5_mgmt_ip)</f>
        <v>Value Missing</v>
      </c>
      <c r="P187" s="1"/>
      <c r="Q187" s="84" t="s">
        <v>1910</v>
      </c>
      <c r="R187" s="18" t="str">
        <f>IF(ISBLANK(input_wld_az1_rack4_host5_mgmt_ip),"Value Missing",input_wld_az1_rack4_host5_mgmt_ip)</f>
        <v>Value Missing</v>
      </c>
      <c r="S187" s="1"/>
      <c r="T187" s="84" t="s">
        <v>1910</v>
      </c>
      <c r="U187" s="18" t="str">
        <f>IF(ISBLANK(input_wld_az1_rack5_host5_mgmt_ip),"Value Missing",input_wld_az1_rack5_host5_mgmt_ip)</f>
        <v>Value Missing</v>
      </c>
      <c r="V187" s="1"/>
      <c r="W187" s="84" t="s">
        <v>1910</v>
      </c>
      <c r="X187" s="18" t="str">
        <f>IF(ISBLANK(input_wld_az1_rack6_host5_mgmt_ip),"Value Missing",input_wld_az1_rack6_host5_mgmt_ip)</f>
        <v>Value Missing</v>
      </c>
      <c r="Y187" s="1"/>
      <c r="Z187" s="84" t="s">
        <v>1910</v>
      </c>
      <c r="AA187" s="18" t="str">
        <f>IF(ISBLANK(input_wld_az1_rack7_host5_mgmt_ip),"Value Missing",input_wld_az1_rack7_host5_mgmt_ip)</f>
        <v>Value Missing</v>
      </c>
      <c r="AB187" s="1"/>
      <c r="AC187" s="84" t="s">
        <v>1910</v>
      </c>
      <c r="AD187" s="18" t="str">
        <f>IF(ISBLANK(input_wld_az1_rack8_host5_mgmt_ip),"Value Missing",input_wld_az1_rack8_host5_mgmt_ip)</f>
        <v>Value Missing</v>
      </c>
      <c r="AE187" s="41"/>
      <c r="AF187" s="41"/>
      <c r="AG187" s="41"/>
      <c r="AH187" s="41"/>
      <c r="AI187" s="41"/>
      <c r="AJ187" s="41"/>
      <c r="AK187" s="41"/>
    </row>
    <row r="188" ht="19.5" customHeight="1">
      <c r="A188" s="1"/>
      <c r="B188" s="41"/>
      <c r="C188" s="41"/>
      <c r="D188" s="1"/>
      <c r="E188" s="84" t="s">
        <v>1911</v>
      </c>
      <c r="F188" s="18" t="str">
        <f>IF(ISBLANK(input_mgmt_az1_host6_mgmt_ip),"Value Missing",input_mgmt_az1_host6_mgmt_ip)</f>
        <v>Value Missing</v>
      </c>
      <c r="G188" s="1"/>
      <c r="H188" s="84" t="s">
        <v>1911</v>
      </c>
      <c r="I188" s="18" t="str">
        <f>IF(ISBLANK(input_wld_az1_host6_mgmt_ip),"Value Missing",input_wld_az1_host6_mgmt_ip)</f>
        <v>Value Missing</v>
      </c>
      <c r="J188" s="1"/>
      <c r="K188" s="84" t="s">
        <v>1911</v>
      </c>
      <c r="L188" s="18" t="str">
        <f>IF(ISBLANK(input_wld_az1_rack2_host6_mgmt_ip),"Value Missing",input_wld_az1_rack2_host6_mgmt_ip)</f>
        <v>Value Missing</v>
      </c>
      <c r="M188" s="1"/>
      <c r="N188" s="84" t="s">
        <v>1911</v>
      </c>
      <c r="O188" s="18" t="str">
        <f>IF(ISBLANK(input_wld_az1_rack3_host6_mgmt_ip),"Value Missing",input_wld_az1_rack3_host6_mgmt_ip)</f>
        <v>Value Missing</v>
      </c>
      <c r="P188" s="1"/>
      <c r="Q188" s="84" t="s">
        <v>1911</v>
      </c>
      <c r="R188" s="18" t="str">
        <f>IF(ISBLANK(input_wld_az1_rack4_host6_mgmt_ip),"Value Missing",input_wld_az1_rack4_host6_mgmt_ip)</f>
        <v>Value Missing</v>
      </c>
      <c r="S188" s="1"/>
      <c r="T188" s="84" t="s">
        <v>1911</v>
      </c>
      <c r="U188" s="18" t="str">
        <f>IF(ISBLANK(input_wld_az1_rack5_host6_mgmt_ip),"Value Missing",input_wld_az1_rack5_host6_mgmt_ip)</f>
        <v>Value Missing</v>
      </c>
      <c r="V188" s="1"/>
      <c r="W188" s="84" t="s">
        <v>1911</v>
      </c>
      <c r="X188" s="18" t="str">
        <f>IF(ISBLANK(input_wld_az1_rack6_host6_mgmt_ip),"Value Missing",input_wld_az1_rack6_host6_mgmt_ip)</f>
        <v>Value Missing</v>
      </c>
      <c r="Y188" s="1"/>
      <c r="Z188" s="84" t="s">
        <v>1911</v>
      </c>
      <c r="AA188" s="18" t="str">
        <f>IF(ISBLANK(input_wld_az1_rack7_host6_mgmt_ip),"Value Missing",input_wld_az1_rack7_host6_mgmt_ip)</f>
        <v>Value Missing</v>
      </c>
      <c r="AB188" s="1"/>
      <c r="AC188" s="84" t="s">
        <v>1911</v>
      </c>
      <c r="AD188" s="18" t="str">
        <f>IF(ISBLANK(input_wld_az1_rack8_host6_mgmt_ip),"Value Missing",input_wld_az1_rack8_host6_mgmt_ip)</f>
        <v>Value Missing</v>
      </c>
      <c r="AE188" s="41"/>
      <c r="AF188" s="41"/>
      <c r="AG188" s="41"/>
      <c r="AH188" s="41"/>
      <c r="AI188" s="41"/>
      <c r="AJ188" s="41"/>
      <c r="AK188" s="41"/>
    </row>
    <row r="189" ht="19.5" customHeight="1">
      <c r="A189" s="1"/>
      <c r="B189" s="41"/>
      <c r="C189" s="41"/>
      <c r="D189" s="1"/>
      <c r="E189" s="84" t="s">
        <v>1912</v>
      </c>
      <c r="F189" s="18" t="str">
        <f>IF(ISBLANK(input_mgmt_az1_host7_mgmt_ip),"Value Missing",input_mgmt_az1_host7_mgmt_ip)</f>
        <v>Value Missing</v>
      </c>
      <c r="G189" s="1"/>
      <c r="H189" s="84" t="s">
        <v>1912</v>
      </c>
      <c r="I189" s="18" t="str">
        <f>IF(ISBLANK(input_wld_az1_host7_mgmt_ip),"Value Missing",input_wld_az1_host7_mgmt_ip)</f>
        <v>Value Missing</v>
      </c>
      <c r="J189" s="1"/>
      <c r="K189" s="84" t="s">
        <v>1912</v>
      </c>
      <c r="L189" s="18" t="str">
        <f>IF(ISBLANK(input_wld_az1_rack2_host7_mgmt_ip),"Value Missing",input_wld_az1_rack2_host7_mgmt_ip)</f>
        <v>Value Missing</v>
      </c>
      <c r="M189" s="1"/>
      <c r="N189" s="84" t="s">
        <v>1912</v>
      </c>
      <c r="O189" s="18" t="str">
        <f>IF(ISBLANK(input_wld_az1_rack3_host7_mgmt_ip),"Value Missing",input_wld_az1_rack3_host7_mgmt_ip)</f>
        <v>Value Missing</v>
      </c>
      <c r="P189" s="1"/>
      <c r="Q189" s="84" t="s">
        <v>1912</v>
      </c>
      <c r="R189" s="18" t="str">
        <f>IF(ISBLANK(input_wld_az1_rack4_host7_mgmt_ip),"Value Missing",input_wld_az1_rack4_host7_mgmt_ip)</f>
        <v>Value Missing</v>
      </c>
      <c r="S189" s="1"/>
      <c r="T189" s="84" t="s">
        <v>1912</v>
      </c>
      <c r="U189" s="18" t="str">
        <f>IF(ISBLANK(input_wld_az1_rack5_host7_mgmt_ip),"Value Missing",input_wld_az1_rack5_host7_mgmt_ip)</f>
        <v>Value Missing</v>
      </c>
      <c r="V189" s="1"/>
      <c r="W189" s="84" t="s">
        <v>1912</v>
      </c>
      <c r="X189" s="18" t="str">
        <f>IF(ISBLANK(input_wld_az1_rack6_host7_mgmt_ip),"Value Missing",input_wld_az1_rack6_host7_mgmt_ip)</f>
        <v>Value Missing</v>
      </c>
      <c r="Y189" s="1"/>
      <c r="Z189" s="84" t="s">
        <v>1912</v>
      </c>
      <c r="AA189" s="18" t="str">
        <f>IF(ISBLANK(input_wld_az1_rack7_host7_mgmt_ip),"Value Missing",input_wld_az1_rack7_host7_mgmt_ip)</f>
        <v>Value Missing</v>
      </c>
      <c r="AB189" s="1"/>
      <c r="AC189" s="84" t="s">
        <v>1912</v>
      </c>
      <c r="AD189" s="18" t="str">
        <f>IF(ISBLANK(input_wld_az1_rack8_host7_mgmt_ip),"Value Missing",input_wld_az1_rack8_host7_mgmt_ip)</f>
        <v>Value Missing</v>
      </c>
      <c r="AE189" s="41"/>
      <c r="AF189" s="41"/>
      <c r="AG189" s="41"/>
      <c r="AH189" s="41"/>
      <c r="AI189" s="41"/>
      <c r="AJ189" s="41"/>
      <c r="AK189" s="41"/>
    </row>
    <row r="190" ht="19.5" customHeight="1">
      <c r="A190" s="1"/>
      <c r="B190" s="41"/>
      <c r="C190" s="41"/>
      <c r="D190" s="1"/>
      <c r="E190" s="84" t="s">
        <v>1913</v>
      </c>
      <c r="F190" s="18" t="str">
        <f>IF(ISBLANK(input_mgmt_az1_host8_mgmt_ip),"Value Missing",input_mgmt_az1_host8_mgmt_ip)</f>
        <v>Value Missing</v>
      </c>
      <c r="G190" s="1"/>
      <c r="H190" s="84" t="s">
        <v>1913</v>
      </c>
      <c r="I190" s="18" t="str">
        <f>IF(ISBLANK(input_wld_az1_host8_mgmt_ip),"Value Missing",input_wld_az1_host8_mgmt_ip)</f>
        <v>Value Missing</v>
      </c>
      <c r="J190" s="1"/>
      <c r="K190" s="84" t="s">
        <v>1913</v>
      </c>
      <c r="L190" s="18" t="str">
        <f>IF(ISBLANK(input_wld_az1_rack2_host8_mgmt_ip),"Value Missing",input_wld_az1_rack2_host8_mgmt_ip)</f>
        <v>Value Missing</v>
      </c>
      <c r="M190" s="1"/>
      <c r="N190" s="84" t="s">
        <v>1913</v>
      </c>
      <c r="O190" s="18" t="str">
        <f>IF(ISBLANK(input_wld_az1_rack3_host8_mgmt_ip),"Value Missing",input_wld_az1_rack3_host8_mgmt_ip)</f>
        <v>Value Missing</v>
      </c>
      <c r="P190" s="1"/>
      <c r="Q190" s="84" t="s">
        <v>1913</v>
      </c>
      <c r="R190" s="18" t="str">
        <f>IF(ISBLANK(input_wld_az1_rack4_host8_mgmt_ip),"Value Missing",input_wld_az1_rack4_host8_mgmt_ip)</f>
        <v>Value Missing</v>
      </c>
      <c r="S190" s="1"/>
      <c r="T190" s="84" t="s">
        <v>1913</v>
      </c>
      <c r="U190" s="18" t="str">
        <f>IF(ISBLANK(input_wld_az1_rack5_host8_mgmt_ip),"Value Missing",input_wld_az1_rack5_host8_mgmt_ip)</f>
        <v>Value Missing</v>
      </c>
      <c r="V190" s="1"/>
      <c r="W190" s="84" t="s">
        <v>1913</v>
      </c>
      <c r="X190" s="18" t="str">
        <f>IF(ISBLANK(input_wld_az1_rack6_host8_mgmt_ip),"Value Missing",input_wld_az1_rack6_host8_mgmt_ip)</f>
        <v>Value Missing</v>
      </c>
      <c r="Y190" s="1"/>
      <c r="Z190" s="84" t="s">
        <v>1913</v>
      </c>
      <c r="AA190" s="18" t="str">
        <f>IF(ISBLANK(input_wld_az1_rack7_host8_mgmt_ip),"Value Missing",input_wld_az1_rack7_host8_mgmt_ip)</f>
        <v>Value Missing</v>
      </c>
      <c r="AB190" s="1"/>
      <c r="AC190" s="84" t="s">
        <v>1913</v>
      </c>
      <c r="AD190" s="18" t="str">
        <f>IF(ISBLANK(input_wld_az1_rack8_host8_mgmt_ip),"Value Missing",input_wld_az1_rack8_host8_mgmt_ip)</f>
        <v>Value Missing</v>
      </c>
      <c r="AE190" s="41"/>
      <c r="AF190" s="41"/>
      <c r="AG190" s="41"/>
      <c r="AH190" s="41"/>
      <c r="AI190" s="41"/>
      <c r="AJ190" s="41"/>
      <c r="AK190" s="41"/>
    </row>
    <row r="191" ht="19.5" customHeight="1">
      <c r="A191" s="41"/>
      <c r="B191" s="41"/>
      <c r="C191" s="41"/>
      <c r="D191" s="41"/>
      <c r="E191" s="84" t="s">
        <v>1914</v>
      </c>
      <c r="F191" s="18" t="str">
        <f>IF(ISBLANK(input_mgmt_az1_host9_mgmt_ip),"Value Missing",input_mgmt_az1_host9_mgmt_ip)</f>
        <v>Value Missing</v>
      </c>
      <c r="G191" s="1"/>
      <c r="H191" s="84" t="s">
        <v>1914</v>
      </c>
      <c r="I191" s="18" t="str">
        <f>IF(ISBLANK(input_wld_az1_host9_mgmt_ip),"Value Missing",input_wld_az1_host9_mgmt_ip)</f>
        <v>Value Missing</v>
      </c>
      <c r="J191" s="1"/>
      <c r="K191" s="84" t="s">
        <v>1914</v>
      </c>
      <c r="L191" s="18" t="str">
        <f>IF(ISBLANK(input_wld_az1_rack2_host9_mgmt_ip),"Value Missing",input_wld_az1_rack2_host9_mgmt_ip)</f>
        <v>Value Missing</v>
      </c>
      <c r="M191" s="1"/>
      <c r="N191" s="84" t="s">
        <v>1914</v>
      </c>
      <c r="O191" s="18" t="str">
        <f>IF(ISBLANK(input_wld_az1_rack3_host9_mgmt_ip),"Value Missing",input_wld_az1_rack3_host9_mgmt_ip)</f>
        <v>Value Missing</v>
      </c>
      <c r="P191" s="1"/>
      <c r="Q191" s="84" t="s">
        <v>1914</v>
      </c>
      <c r="R191" s="18" t="str">
        <f>IF(ISBLANK(input_wld_az1_rack4_host9_mgmt_ip),"Value Missing",input_wld_az1_rack4_host9_mgmt_ip)</f>
        <v>Value Missing</v>
      </c>
      <c r="S191" s="1"/>
      <c r="T191" s="84" t="s">
        <v>1914</v>
      </c>
      <c r="U191" s="18" t="str">
        <f>IF(ISBLANK(input_wld_az1_rack5_host9_mgmt_ip),"Value Missing",input_wld_az1_rack5_host9_mgmt_ip)</f>
        <v>Value Missing</v>
      </c>
      <c r="V191" s="1"/>
      <c r="W191" s="84" t="s">
        <v>1914</v>
      </c>
      <c r="X191" s="18" t="str">
        <f>IF(ISBLANK(input_wld_az1_rack6_host9_mgmt_ip),"Value Missing",input_wld_az1_rack6_host9_mgmt_ip)</f>
        <v>Value Missing</v>
      </c>
      <c r="Y191" s="1"/>
      <c r="Z191" s="84" t="s">
        <v>1914</v>
      </c>
      <c r="AA191" s="18" t="str">
        <f>IF(ISBLANK(input_wld_az1_rack7_host9_mgmt_ip),"Value Missing",input_wld_az1_rack7_host9_mgmt_ip)</f>
        <v>Value Missing</v>
      </c>
      <c r="AB191" s="1"/>
      <c r="AC191" s="84" t="s">
        <v>1914</v>
      </c>
      <c r="AD191" s="18" t="str">
        <f>IF(ISBLANK(input_wld_az1_rack8_host9_mgmt_ip),"Value Missing",input_wld_az1_rack8_host9_mgmt_ip)</f>
        <v>Value Missing</v>
      </c>
      <c r="AE191" s="41"/>
      <c r="AF191" s="41"/>
      <c r="AG191" s="41"/>
      <c r="AH191" s="41"/>
      <c r="AI191" s="41"/>
      <c r="AJ191" s="41"/>
      <c r="AK191" s="41"/>
    </row>
    <row r="192" ht="19.5" customHeight="1">
      <c r="A192" s="41"/>
      <c r="B192" s="41"/>
      <c r="C192" s="41"/>
      <c r="D192" s="41"/>
      <c r="E192" s="84" t="s">
        <v>1915</v>
      </c>
      <c r="F192" s="18" t="str">
        <f>IF(ISBLANK(input_mgmt_az1_host10_mgmt_ip),"Value Missing",input_mgmt_az1_host10_mgmt_ip)</f>
        <v>Value Missing</v>
      </c>
      <c r="G192" s="1"/>
      <c r="H192" s="84" t="s">
        <v>1915</v>
      </c>
      <c r="I192" s="18" t="str">
        <f>IF(ISBLANK(input_wld_az1_host10_mgmt_ip),"Value Missing",input_wld_az1_host10_mgmt_ip)</f>
        <v>Value Missing</v>
      </c>
      <c r="J192" s="1"/>
      <c r="K192" s="84" t="s">
        <v>1915</v>
      </c>
      <c r="L192" s="18" t="str">
        <f>IF(ISBLANK(input_wld_az1_rack2_host10_mgmt_ip),"Value Missing",input_wld_az1_rack2_host10_mgmt_ip)</f>
        <v>Value Missing</v>
      </c>
      <c r="M192" s="1"/>
      <c r="N192" s="84" t="s">
        <v>1915</v>
      </c>
      <c r="O192" s="18" t="str">
        <f>IF(ISBLANK(input_wld_az1_rack3_host10_mgmt_ip),"Value Missing",input_wld_az1_rack3_host10_mgmt_ip)</f>
        <v>Value Missing</v>
      </c>
      <c r="P192" s="1"/>
      <c r="Q192" s="84" t="s">
        <v>1915</v>
      </c>
      <c r="R192" s="18" t="str">
        <f>IF(ISBLANK(input_wld_az1_rack4_host10_mgmt_ip),"Value Missing",input_wld_az1_rack4_host10_mgmt_ip)</f>
        <v>Value Missing</v>
      </c>
      <c r="S192" s="1"/>
      <c r="T192" s="84" t="s">
        <v>1915</v>
      </c>
      <c r="U192" s="18" t="str">
        <f>IF(ISBLANK(input_wld_az1_rack5_host10_mgmt_ip),"Value Missing",input_wld_az1_rack5_host10_mgmt_ip)</f>
        <v>Value Missing</v>
      </c>
      <c r="V192" s="1"/>
      <c r="W192" s="84" t="s">
        <v>1915</v>
      </c>
      <c r="X192" s="18" t="str">
        <f>IF(ISBLANK(input_wld_az1_rack6_host10_mgmt_ip),"Value Missing",input_wld_az1_rack6_host10_mgmt_ip)</f>
        <v>Value Missing</v>
      </c>
      <c r="Y192" s="1"/>
      <c r="Z192" s="84" t="s">
        <v>1915</v>
      </c>
      <c r="AA192" s="18" t="str">
        <f>IF(ISBLANK(input_wld_az1_rack7_host10_mgmt_ip),"Value Missing",input_wld_az1_rack7_host10_mgmt_ip)</f>
        <v>Value Missing</v>
      </c>
      <c r="AB192" s="1"/>
      <c r="AC192" s="84" t="s">
        <v>1915</v>
      </c>
      <c r="AD192" s="18" t="str">
        <f>IF(ISBLANK(input_wld_az1_rack8_host10_mgmt_ip),"Value Missing",input_wld_az1_rack8_host10_mgmt_ip)</f>
        <v>Value Missing</v>
      </c>
      <c r="AE192" s="41"/>
      <c r="AF192" s="41"/>
      <c r="AG192" s="41"/>
      <c r="AH192" s="41"/>
      <c r="AI192" s="41"/>
      <c r="AJ192" s="41"/>
      <c r="AK192" s="41"/>
    </row>
    <row r="193" ht="19.5" customHeight="1">
      <c r="A193" s="41"/>
      <c r="B193" s="41"/>
      <c r="C193" s="41"/>
      <c r="D193" s="41"/>
      <c r="E193" s="84" t="s">
        <v>1916</v>
      </c>
      <c r="F193" s="18" t="str">
        <f>IF(ISBLANK(input_mgmt_az1_host11_mgmt_ip),"Value Missing",input_mgmt_az1_host11_mgmt_ip)</f>
        <v>Value Missing</v>
      </c>
      <c r="G193" s="8"/>
      <c r="H193" s="84" t="s">
        <v>1916</v>
      </c>
      <c r="I193" s="18" t="str">
        <f>IF(ISBLANK(input_wld_az1_host11_mgmt_ip),"Value Missing",input_wld_az1_host11_mgmt_ip)</f>
        <v>Value Missing</v>
      </c>
      <c r="J193" s="8"/>
      <c r="K193" s="84" t="s">
        <v>1916</v>
      </c>
      <c r="L193" s="18" t="str">
        <f>IF(ISBLANK(input_wld_az1_rack2_host11_mgmt_ip),"Value Missing",input_wld_az1_rack2_host11_mgmt_ip)</f>
        <v>Value Missing</v>
      </c>
      <c r="M193" s="1"/>
      <c r="N193" s="84" t="s">
        <v>1916</v>
      </c>
      <c r="O193" s="18" t="str">
        <f>IF(ISBLANK(input_wld_az1_rack3_host11_mgmt_ip),"Value Missing",input_wld_az1_rack3_host11_mgmt_ip)</f>
        <v>Value Missing</v>
      </c>
      <c r="P193" s="1"/>
      <c r="Q193" s="84" t="s">
        <v>1916</v>
      </c>
      <c r="R193" s="18" t="str">
        <f>IF(ISBLANK(input_wld_az1_rack4_host11_mgmt_ip),"Value Missing",input_wld_az1_rack4_host11_mgmt_ip)</f>
        <v>Value Missing</v>
      </c>
      <c r="S193" s="1"/>
      <c r="T193" s="84" t="s">
        <v>1916</v>
      </c>
      <c r="U193" s="18" t="str">
        <f>IF(ISBLANK(input_wld_az1_rack5_host11_mgmt_ip),"Value Missing",input_wld_az1_rack5_host11_mgmt_ip)</f>
        <v>Value Missing</v>
      </c>
      <c r="V193" s="1"/>
      <c r="W193" s="84" t="s">
        <v>1916</v>
      </c>
      <c r="X193" s="18" t="str">
        <f>IF(ISBLANK(input_wld_az1_rack6_host11_mgmt_ip),"Value Missing",input_wld_az1_rack6_host11_mgmt_ip)</f>
        <v>Value Missing</v>
      </c>
      <c r="Y193" s="1"/>
      <c r="Z193" s="84" t="s">
        <v>1916</v>
      </c>
      <c r="AA193" s="18" t="str">
        <f>IF(ISBLANK(input_wld_az1_rack7_host11_mgmt_ip),"Value Missing",input_wld_az1_rack7_host11_mgmt_ip)</f>
        <v>Value Missing</v>
      </c>
      <c r="AB193" s="1"/>
      <c r="AC193" s="84" t="s">
        <v>1916</v>
      </c>
      <c r="AD193" s="18" t="str">
        <f>IF(ISBLANK(input_wld_az1_rack8_host11_mgmt_ip),"Value Missing",input_wld_az1_rack8_host11_mgmt_ip)</f>
        <v>Value Missing</v>
      </c>
      <c r="AE193" s="41"/>
      <c r="AF193" s="41"/>
      <c r="AG193" s="41"/>
      <c r="AH193" s="41"/>
      <c r="AI193" s="41"/>
      <c r="AJ193" s="41"/>
      <c r="AK193" s="41"/>
    </row>
    <row r="194" ht="19.5" customHeight="1">
      <c r="A194" s="41"/>
      <c r="B194" s="41"/>
      <c r="C194" s="41"/>
      <c r="D194" s="41"/>
      <c r="E194" s="84" t="s">
        <v>1917</v>
      </c>
      <c r="F194" s="18" t="str">
        <f>IF(ISBLANK(input_mgmt_az1_host12_mgmt_ip),"Value Missing",input_mgmt_az1_host12_mgmt_ip)</f>
        <v>Value Missing</v>
      </c>
      <c r="G194" s="1"/>
      <c r="H194" s="84" t="s">
        <v>1917</v>
      </c>
      <c r="I194" s="18" t="str">
        <f>IF(ISBLANK(input_wld_az1_host12_mgmt_ip),"Value Missing",input_wld_az1_host12_mgmt_ip)</f>
        <v>Value Missing</v>
      </c>
      <c r="J194" s="1"/>
      <c r="K194" s="84" t="s">
        <v>1917</v>
      </c>
      <c r="L194" s="18" t="str">
        <f>IF(ISBLANK(input_wld_az1_rack2_host12_mgmt_ip),"Value Missing",input_wld_az1_rack2_host12_mgmt_ip)</f>
        <v>Value Missing</v>
      </c>
      <c r="M194" s="1"/>
      <c r="N194" s="84" t="s">
        <v>1917</v>
      </c>
      <c r="O194" s="18" t="str">
        <f>IF(ISBLANK(input_wld_az1_rack3_host12_mgmt_ip),"Value Missing",input_wld_az1_rack3_host12_mgmt_ip)</f>
        <v>Value Missing</v>
      </c>
      <c r="P194" s="1"/>
      <c r="Q194" s="84" t="s">
        <v>1917</v>
      </c>
      <c r="R194" s="18" t="str">
        <f>IF(ISBLANK(input_wld_az1_rack4_host12_mgmt_ip),"Value Missing",input_wld_az1_rack4_host12_mgmt_ip)</f>
        <v>Value Missing</v>
      </c>
      <c r="S194" s="1"/>
      <c r="T194" s="84" t="s">
        <v>1917</v>
      </c>
      <c r="U194" s="18" t="str">
        <f>IF(ISBLANK(input_wld_az1_rack5_host12_mgmt_ip),"Value Missing",input_wld_az1_rack5_host12_mgmt_ip)</f>
        <v>Value Missing</v>
      </c>
      <c r="V194" s="1"/>
      <c r="W194" s="84" t="s">
        <v>1917</v>
      </c>
      <c r="X194" s="18" t="str">
        <f>IF(ISBLANK(input_wld_az1_rack6_host12_mgmt_ip),"Value Missing",input_wld_az1_rack6_host12_mgmt_ip)</f>
        <v>Value Missing</v>
      </c>
      <c r="Y194" s="1"/>
      <c r="Z194" s="84" t="s">
        <v>1917</v>
      </c>
      <c r="AA194" s="18" t="str">
        <f>IF(ISBLANK(input_wld_az1_rack7_host12_mgmt_ip),"Value Missing",input_wld_az1_rack7_host12_mgmt_ip)</f>
        <v>Value Missing</v>
      </c>
      <c r="AB194" s="1"/>
      <c r="AC194" s="84" t="s">
        <v>1917</v>
      </c>
      <c r="AD194" s="18" t="str">
        <f>IF(ISBLANK(input_wld_az1_rack8_host12_mgmt_ip),"Value Missing",input_wld_az1_rack8_host12_mgmt_ip)</f>
        <v>Value Missing</v>
      </c>
      <c r="AE194" s="41"/>
      <c r="AF194" s="41"/>
      <c r="AG194" s="41"/>
      <c r="AH194" s="41"/>
      <c r="AI194" s="41"/>
      <c r="AJ194" s="41"/>
      <c r="AK194" s="41"/>
    </row>
    <row r="195" ht="19.5" customHeight="1">
      <c r="A195" s="41"/>
      <c r="B195" s="41"/>
      <c r="C195" s="41"/>
      <c r="D195" s="41"/>
      <c r="E195" s="84" t="s">
        <v>1918</v>
      </c>
      <c r="F195" s="18" t="str">
        <f>IF(ISBLANK(input_mgmt_az1_host13_mgmt_ip),"Value Missing",input_mgmt_az1_host13_mgmt_ip)</f>
        <v>Value Missing</v>
      </c>
      <c r="G195" s="1"/>
      <c r="H195" s="84" t="s">
        <v>1918</v>
      </c>
      <c r="I195" s="18" t="str">
        <f>IF(ISBLANK(input_wld_az1_host13_mgmt_ip),"Value Missing",input_wld_az1_host13_mgmt_ip)</f>
        <v>Value Missing</v>
      </c>
      <c r="J195" s="1"/>
      <c r="K195" s="84" t="s">
        <v>1918</v>
      </c>
      <c r="L195" s="18" t="str">
        <f>IF(ISBLANK(input_wld_az1_rack2_host13_mgmt_ip),"Value Missing",input_wld_az1_rack2_host13_mgmt_ip)</f>
        <v>Value Missing</v>
      </c>
      <c r="M195" s="1"/>
      <c r="N195" s="84" t="s">
        <v>1918</v>
      </c>
      <c r="O195" s="18" t="str">
        <f>IF(ISBLANK(input_wld_az1_rack3_host13_mgmt_ip),"Value Missing",input_wld_az1_rack3_host13_mgmt_ip)</f>
        <v>Value Missing</v>
      </c>
      <c r="P195" s="1"/>
      <c r="Q195" s="84" t="s">
        <v>1918</v>
      </c>
      <c r="R195" s="18" t="str">
        <f>IF(ISBLANK(input_wld_az1_rack4_host13_mgmt_ip),"Value Missing",input_wld_az1_rack4_host13_mgmt_ip)</f>
        <v>Value Missing</v>
      </c>
      <c r="S195" s="1"/>
      <c r="T195" s="84" t="s">
        <v>1918</v>
      </c>
      <c r="U195" s="18" t="str">
        <f>IF(ISBLANK(input_wld_az1_rack5_host13_mgmt_ip),"Value Missing",input_wld_az1_rack5_host13_mgmt_ip)</f>
        <v>Value Missing</v>
      </c>
      <c r="V195" s="1"/>
      <c r="W195" s="84" t="s">
        <v>1918</v>
      </c>
      <c r="X195" s="18" t="str">
        <f>IF(ISBLANK(input_wld_az1_rack6_host13_mgmt_ip),"Value Missing",input_wld_az1_rack6_host13_mgmt_ip)</f>
        <v>Value Missing</v>
      </c>
      <c r="Y195" s="1"/>
      <c r="Z195" s="84" t="s">
        <v>1918</v>
      </c>
      <c r="AA195" s="18" t="str">
        <f>IF(ISBLANK(input_wld_az1_rack7_host13_mgmt_ip),"Value Missing",input_wld_az1_rack7_host13_mgmt_ip)</f>
        <v>Value Missing</v>
      </c>
      <c r="AB195" s="1"/>
      <c r="AC195" s="84" t="s">
        <v>1918</v>
      </c>
      <c r="AD195" s="18" t="str">
        <f>IF(ISBLANK(input_wld_az1_rack8_host13_mgmt_ip),"Value Missing",input_wld_az1_rack8_host13_mgmt_ip)</f>
        <v>Value Missing</v>
      </c>
      <c r="AE195" s="41"/>
      <c r="AF195" s="41"/>
      <c r="AG195" s="41"/>
      <c r="AH195" s="41"/>
      <c r="AI195" s="41"/>
      <c r="AJ195" s="41"/>
      <c r="AK195" s="41"/>
    </row>
    <row r="196" ht="19.5" customHeight="1">
      <c r="A196" s="41"/>
      <c r="B196" s="41"/>
      <c r="C196" s="41"/>
      <c r="D196" s="41"/>
      <c r="E196" s="84" t="s">
        <v>1919</v>
      </c>
      <c r="F196" s="18" t="str">
        <f>IF(ISBLANK(input_mgmt_az1_host14_mgmt_ip),"Value Missing",input_mgmt_az1_host14_mgmt_ip)</f>
        <v>Value Missing</v>
      </c>
      <c r="G196" s="1"/>
      <c r="H196" s="84" t="s">
        <v>1919</v>
      </c>
      <c r="I196" s="18" t="str">
        <f>IF(ISBLANK(input_wld_az1_host14_mgmt_ip),"Value Missing",input_wld_az1_host14_mgmt_ip)</f>
        <v>Value Missing</v>
      </c>
      <c r="J196" s="1"/>
      <c r="K196" s="84" t="s">
        <v>1919</v>
      </c>
      <c r="L196" s="18" t="str">
        <f>IF(ISBLANK(input_wld_az1_rack2_host14_mgmt_ip),"Value Missing",input_wld_az1_rack2_host14_mgmt_ip)</f>
        <v>Value Missing</v>
      </c>
      <c r="M196" s="8"/>
      <c r="N196" s="84" t="s">
        <v>1919</v>
      </c>
      <c r="O196" s="18" t="str">
        <f>IF(ISBLANK(input_wld_az1_rack3_host14_mgmt_ip),"Value Missing",input_wld_az1_rack3_host14_mgmt_ip)</f>
        <v>Value Missing</v>
      </c>
      <c r="P196" s="1"/>
      <c r="Q196" s="84" t="s">
        <v>1919</v>
      </c>
      <c r="R196" s="18" t="str">
        <f>IF(ISBLANK(input_wld_az1_rack4_host14_mgmt_ip),"Value Missing",input_wld_az1_rack4_host14_mgmt_ip)</f>
        <v>Value Missing</v>
      </c>
      <c r="S196" s="1"/>
      <c r="T196" s="84" t="s">
        <v>1919</v>
      </c>
      <c r="U196" s="18" t="str">
        <f>IF(ISBLANK(input_wld_az1_rack5_host14_mgmt_ip),"Value Missing",input_wld_az1_rack5_host14_mgmt_ip)</f>
        <v>Value Missing</v>
      </c>
      <c r="V196" s="1"/>
      <c r="W196" s="84" t="s">
        <v>1919</v>
      </c>
      <c r="X196" s="18" t="str">
        <f>IF(ISBLANK(input_wld_az1_rack6_host14_mgmt_ip),"Value Missing",input_wld_az1_rack6_host14_mgmt_ip)</f>
        <v>Value Missing</v>
      </c>
      <c r="Y196" s="1"/>
      <c r="Z196" s="84" t="s">
        <v>1919</v>
      </c>
      <c r="AA196" s="18" t="str">
        <f>IF(ISBLANK(input_wld_az1_rack7_host14_mgmt_ip),"Value Missing",input_wld_az1_rack7_host14_mgmt_ip)</f>
        <v>Value Missing</v>
      </c>
      <c r="AB196" s="1"/>
      <c r="AC196" s="84" t="s">
        <v>1919</v>
      </c>
      <c r="AD196" s="18" t="str">
        <f>IF(ISBLANK(input_wld_az1_rack8_host14_mgmt_ip),"Value Missing",input_wld_az1_rack8_host14_mgmt_ip)</f>
        <v>Value Missing</v>
      </c>
      <c r="AE196" s="41"/>
      <c r="AF196" s="41"/>
      <c r="AG196" s="41"/>
      <c r="AH196" s="41"/>
      <c r="AI196" s="41"/>
      <c r="AJ196" s="41"/>
      <c r="AK196" s="41"/>
    </row>
    <row r="197" ht="19.5" customHeight="1">
      <c r="A197" s="41"/>
      <c r="B197" s="41"/>
      <c r="C197" s="41"/>
      <c r="D197" s="41"/>
      <c r="E197" s="84" t="s">
        <v>1920</v>
      </c>
      <c r="F197" s="18" t="str">
        <f>IF(ISBLANK(input_mgmt_az1_host15_mgmt_ip),"Value Missing",input_mgmt_az1_host15_mgmt_ip)</f>
        <v>Value Missing</v>
      </c>
      <c r="G197" s="1"/>
      <c r="H197" s="84" t="s">
        <v>1920</v>
      </c>
      <c r="I197" s="18" t="str">
        <f>IF(ISBLANK(input_wld_az1_host15_mgmt_ip),"Value Missing",input_wld_az1_host15_mgmt_ip)</f>
        <v>Value Missing</v>
      </c>
      <c r="J197" s="1"/>
      <c r="K197" s="84" t="s">
        <v>1920</v>
      </c>
      <c r="L197" s="18" t="str">
        <f>IF(ISBLANK(input_wld_az1_rack2_host15_mgmt_ip),"Value Missing",input_wld_az1_rack2_host15_mgmt_ip)</f>
        <v>Value Missing</v>
      </c>
      <c r="M197" s="1"/>
      <c r="N197" s="84" t="s">
        <v>1920</v>
      </c>
      <c r="O197" s="18" t="str">
        <f>IF(ISBLANK(input_wld_az1_rack3_host15_mgmt_ip),"Value Missing",input_wld_az1_rack3_host15_mgmt_ip)</f>
        <v>Value Missing</v>
      </c>
      <c r="P197" s="1"/>
      <c r="Q197" s="84" t="s">
        <v>1920</v>
      </c>
      <c r="R197" s="18" t="str">
        <f>IF(ISBLANK(input_wld_az1_rack4_host15_mgmt_ip),"Value Missing",input_wld_az1_rack4_host15_mgmt_ip)</f>
        <v>Value Missing</v>
      </c>
      <c r="S197" s="1"/>
      <c r="T197" s="84" t="s">
        <v>1920</v>
      </c>
      <c r="U197" s="18" t="str">
        <f>IF(ISBLANK(input_wld_az1_rack5_host15_mgmt_ip),"Value Missing",input_wld_az1_rack5_host15_mgmt_ip)</f>
        <v>Value Missing</v>
      </c>
      <c r="V197" s="1"/>
      <c r="W197" s="84" t="s">
        <v>1920</v>
      </c>
      <c r="X197" s="18" t="str">
        <f>IF(ISBLANK(input_wld_az1_rack6_host15_mgmt_ip),"Value Missing",input_wld_az1_rack6_host15_mgmt_ip)</f>
        <v>Value Missing</v>
      </c>
      <c r="Y197" s="1"/>
      <c r="Z197" s="84" t="s">
        <v>1920</v>
      </c>
      <c r="AA197" s="18" t="str">
        <f>IF(ISBLANK(input_wld_az1_rack7_host15_mgmt_ip),"Value Missing",input_wld_az1_rack7_host15_mgmt_ip)</f>
        <v>Value Missing</v>
      </c>
      <c r="AB197" s="1"/>
      <c r="AC197" s="84" t="s">
        <v>1920</v>
      </c>
      <c r="AD197" s="18" t="str">
        <f>IF(ISBLANK(input_wld_az1_rack8_host15_mgmt_ip),"Value Missing",input_wld_az1_rack8_host15_mgmt_ip)</f>
        <v>Value Missing</v>
      </c>
      <c r="AE197" s="41"/>
      <c r="AF197" s="41"/>
      <c r="AG197" s="41"/>
      <c r="AH197" s="41"/>
      <c r="AI197" s="41"/>
      <c r="AJ197" s="41"/>
      <c r="AK197" s="41"/>
    </row>
    <row r="198" ht="19.5" customHeight="1">
      <c r="A198" s="41"/>
      <c r="B198" s="41"/>
      <c r="C198" s="41"/>
      <c r="D198" s="41"/>
      <c r="E198" s="84" t="s">
        <v>1921</v>
      </c>
      <c r="F198" s="18" t="str">
        <f>IF(ISBLANK(input_mgmt_az1_host16_mgmt_ip),"Value Missing",input_mgmt_az1_host16_mgmt_ip)</f>
        <v>Value Missing</v>
      </c>
      <c r="G198" s="1"/>
      <c r="H198" s="84" t="s">
        <v>1921</v>
      </c>
      <c r="I198" s="18" t="str">
        <f>IF(ISBLANK(input_wld_az1_host16_mgmt_ip),"Value Missing",input_wld_az1_host16_mgmt_ip)</f>
        <v>Value Missing</v>
      </c>
      <c r="J198" s="1"/>
      <c r="K198" s="84" t="s">
        <v>1921</v>
      </c>
      <c r="L198" s="18" t="str">
        <f>IF(ISBLANK(input_wld_az1_rack2_host16_mgmt_ip),"Value Missing",input_wld_az1_rack2_host16_mgmt_ip)</f>
        <v>Value Missing</v>
      </c>
      <c r="M198" s="1"/>
      <c r="N198" s="84" t="s">
        <v>1921</v>
      </c>
      <c r="O198" s="18" t="str">
        <f>IF(ISBLANK(input_wld_az1_rack3_host16_mgmt_ip),"Value Missing",input_wld_az1_rack3_host16_mgmt_ip)</f>
        <v>Value Missing</v>
      </c>
      <c r="P198" s="1"/>
      <c r="Q198" s="84" t="s">
        <v>1921</v>
      </c>
      <c r="R198" s="18" t="str">
        <f>IF(ISBLANK(input_wld_az1_rack4_host16_mgmt_ip),"Value Missing",input_wld_az1_rack4_host16_mgmt_ip)</f>
        <v>Value Missing</v>
      </c>
      <c r="S198" s="1"/>
      <c r="T198" s="84" t="s">
        <v>1921</v>
      </c>
      <c r="U198" s="18" t="str">
        <f>IF(ISBLANK(input_wld_az1_rack5_host16_mgmt_ip),"Value Missing",input_wld_az1_rack5_host16_mgmt_ip)</f>
        <v>Value Missing</v>
      </c>
      <c r="V198" s="1"/>
      <c r="W198" s="84" t="s">
        <v>1921</v>
      </c>
      <c r="X198" s="18" t="str">
        <f>IF(ISBLANK(input_wld_az1_rack6_host16_mgmt_ip),"Value Missing",input_wld_az1_rack6_host16_mgmt_ip)</f>
        <v>Value Missing</v>
      </c>
      <c r="Y198" s="1"/>
      <c r="Z198" s="84" t="s">
        <v>1921</v>
      </c>
      <c r="AA198" s="18" t="str">
        <f>IF(ISBLANK(input_wld_az1_rack7_host16_mgmt_ip),"Value Missing",input_wld_az1_rack7_host16_mgmt_ip)</f>
        <v>Value Missing</v>
      </c>
      <c r="AB198" s="1"/>
      <c r="AC198" s="84" t="s">
        <v>1921</v>
      </c>
      <c r="AD198" s="18" t="str">
        <f>IF(ISBLANK(input_wld_az1_rack8_host16_mgmt_ip),"Value Missing",input_wld_az1_rack8_host16_mgmt_ip)</f>
        <v>Value Missing</v>
      </c>
      <c r="AE198" s="41"/>
      <c r="AF198" s="41"/>
      <c r="AG198" s="41"/>
      <c r="AH198" s="41"/>
      <c r="AI198" s="41"/>
      <c r="AJ198" s="41"/>
      <c r="AK198" s="41"/>
    </row>
    <row r="199" ht="19.5" customHeight="1">
      <c r="A199" s="41"/>
      <c r="B199" s="41"/>
      <c r="C199" s="41"/>
      <c r="D199" s="41"/>
      <c r="E199" s="84" t="s">
        <v>1922</v>
      </c>
      <c r="F199" s="18" t="str">
        <f>IF(ISBLANK(input_mgmt_az1_host1_vrms_ip),"Value Missing",input_mgmt_az1_host1_vrms_ip)</f>
        <v>Value Missing</v>
      </c>
      <c r="G199" s="1"/>
      <c r="H199" s="84" t="s">
        <v>1922</v>
      </c>
      <c r="I199" s="18" t="str">
        <f>IF(ISBLANK(input_wld_az1_host1_vrms_ip),"Value Missing",input_wld_az1_host1_vrms_ip)</f>
        <v>Value Missing</v>
      </c>
      <c r="J199" s="1"/>
      <c r="K199" s="1"/>
      <c r="L199" s="1"/>
      <c r="M199" s="1"/>
      <c r="N199" s="1"/>
      <c r="O199" s="1"/>
      <c r="P199" s="1"/>
      <c r="Q199" s="1"/>
      <c r="R199" s="1"/>
      <c r="S199" s="1"/>
      <c r="T199" s="1"/>
      <c r="U199" s="1"/>
      <c r="V199" s="1"/>
      <c r="W199" s="1"/>
      <c r="X199" s="1"/>
      <c r="Y199" s="1"/>
      <c r="Z199" s="1"/>
      <c r="AA199" s="1"/>
      <c r="AB199" s="1"/>
      <c r="AC199" s="1"/>
      <c r="AD199" s="1"/>
      <c r="AE199" s="41"/>
      <c r="AF199" s="41"/>
      <c r="AG199" s="41"/>
      <c r="AH199" s="41"/>
      <c r="AI199" s="41"/>
      <c r="AJ199" s="41"/>
      <c r="AK199" s="41"/>
    </row>
    <row r="200" ht="19.5" customHeight="1">
      <c r="A200" s="41"/>
      <c r="B200" s="41"/>
      <c r="C200" s="41"/>
      <c r="D200" s="41"/>
      <c r="E200" s="84" t="s">
        <v>1923</v>
      </c>
      <c r="F200" s="18" t="str">
        <f>IF(ISBLANK(input_mgmt_az1_host2_vrms_ip),"Value Missing",input_mgmt_az1_host2_vrms_ip)</f>
        <v>Value Missing</v>
      </c>
      <c r="G200" s="1"/>
      <c r="H200" s="84" t="s">
        <v>1923</v>
      </c>
      <c r="I200" s="18" t="str">
        <f>IF(ISBLANK(input_wld_az1_host2_vrms_ip),"Value Missing",input_wld_az1_host2_vrms_ip)</f>
        <v>Value Missing</v>
      </c>
      <c r="J200" s="1"/>
      <c r="K200" s="311" t="s">
        <v>1924</v>
      </c>
      <c r="L200" s="38"/>
      <c r="M200" s="1"/>
      <c r="N200" s="311" t="s">
        <v>1925</v>
      </c>
      <c r="O200" s="38"/>
      <c r="P200" s="1"/>
      <c r="Q200" s="311" t="s">
        <v>1926</v>
      </c>
      <c r="R200" s="38"/>
      <c r="S200" s="1"/>
      <c r="T200" s="311" t="s">
        <v>1927</v>
      </c>
      <c r="U200" s="38"/>
      <c r="V200" s="1"/>
      <c r="W200" s="311" t="s">
        <v>1928</v>
      </c>
      <c r="X200" s="38"/>
      <c r="Y200" s="1"/>
      <c r="Z200" s="311" t="s">
        <v>1929</v>
      </c>
      <c r="AA200" s="38"/>
      <c r="AB200" s="1"/>
      <c r="AC200" s="311" t="s">
        <v>1930</v>
      </c>
      <c r="AD200" s="38"/>
      <c r="AE200" s="41"/>
      <c r="AF200" s="41"/>
      <c r="AG200" s="41"/>
      <c r="AH200" s="41"/>
      <c r="AI200" s="41"/>
      <c r="AJ200" s="41"/>
      <c r="AK200" s="41"/>
    </row>
    <row r="201" ht="19.5" customHeight="1">
      <c r="A201" s="41"/>
      <c r="B201" s="41"/>
      <c r="C201" s="41"/>
      <c r="D201" s="41"/>
      <c r="E201" s="84" t="s">
        <v>1931</v>
      </c>
      <c r="F201" s="18" t="str">
        <f>IF(ISBLANK(input_mgmt_az1_host3_vrms_ip),"Value Missing",input_mgmt_az1_host3_vrms_ip)</f>
        <v>Value Missing</v>
      </c>
      <c r="G201" s="1"/>
      <c r="H201" s="84" t="s">
        <v>1931</v>
      </c>
      <c r="I201" s="18" t="str">
        <f>IF(ISBLANK(input_wld_az1_host3_vrms_ip),"Value Missing",input_wld_az1_host3_vrms_ip)</f>
        <v>Value Missing</v>
      </c>
      <c r="J201" s="1"/>
      <c r="K201" s="15" t="s">
        <v>256</v>
      </c>
      <c r="L201" s="15" t="s">
        <v>274</v>
      </c>
      <c r="M201" s="1"/>
      <c r="N201" s="15" t="s">
        <v>256</v>
      </c>
      <c r="O201" s="15" t="s">
        <v>274</v>
      </c>
      <c r="P201" s="8"/>
      <c r="Q201" s="15" t="s">
        <v>256</v>
      </c>
      <c r="R201" s="15" t="s">
        <v>274</v>
      </c>
      <c r="S201" s="8"/>
      <c r="T201" s="15" t="s">
        <v>256</v>
      </c>
      <c r="U201" s="15" t="s">
        <v>274</v>
      </c>
      <c r="V201" s="8"/>
      <c r="W201" s="15" t="s">
        <v>256</v>
      </c>
      <c r="X201" s="15" t="s">
        <v>274</v>
      </c>
      <c r="Y201" s="8"/>
      <c r="Z201" s="15" t="s">
        <v>256</v>
      </c>
      <c r="AA201" s="15" t="s">
        <v>274</v>
      </c>
      <c r="AB201" s="8"/>
      <c r="AC201" s="15" t="s">
        <v>256</v>
      </c>
      <c r="AD201" s="15" t="s">
        <v>274</v>
      </c>
      <c r="AE201" s="41"/>
      <c r="AF201" s="41"/>
      <c r="AG201" s="41"/>
      <c r="AH201" s="41"/>
      <c r="AI201" s="41"/>
      <c r="AJ201" s="41"/>
      <c r="AK201" s="41"/>
    </row>
    <row r="202" ht="19.5" customHeight="1">
      <c r="A202" s="41"/>
      <c r="B202" s="41"/>
      <c r="C202" s="41"/>
      <c r="D202" s="41"/>
      <c r="E202" s="84" t="s">
        <v>1932</v>
      </c>
      <c r="F202" s="18" t="str">
        <f>IF(ISBLANK(input_mgmt_az1_host4_vrms_ip),"Value Missing",input_mgmt_az1_host4_vrms_ip)</f>
        <v>Value Missing</v>
      </c>
      <c r="G202" s="1"/>
      <c r="H202" s="84" t="s">
        <v>1932</v>
      </c>
      <c r="I202" s="18" t="str">
        <f>IF(ISBLANK(input_wld_az1_host4_vrms_ip),"Value Missing",input_wld_az1_host4_vrms_ip)</f>
        <v>Value Missing</v>
      </c>
      <c r="J202" s="1"/>
      <c r="K202" s="84" t="s">
        <v>1933</v>
      </c>
      <c r="L202" s="18" t="str">
        <f>IF(wld_az1_rack2_host1_fqdn="Value Missing",wld_az1_rack2_host1_fqdn,LEFT(wld_az1_rack2_host1_fqdn,FIND(".",wld_az1_rack2_host1_fqdn)-1))</f>
        <v>Value Missing</v>
      </c>
      <c r="M202" s="1"/>
      <c r="N202" s="84" t="s">
        <v>1933</v>
      </c>
      <c r="O202" s="18" t="str">
        <f>IF(wld_az1_rack3_host1_fqdn="Value Missing",wld_az1_rack3_host1_fqdn,LEFT(wld_az1_rack3_host1_fqdn,FIND(".",wld_az1_rack3_host1_fqdn)-1))</f>
        <v>Value Missing</v>
      </c>
      <c r="P202" s="1"/>
      <c r="Q202" s="84" t="s">
        <v>1933</v>
      </c>
      <c r="R202" s="18" t="str">
        <f>IF(wld_az1_rack4_host1_fqdn="Value Missing",wld_az1_rack4_host1_fqdn,LEFT(wld_az1_rack4_host1_fqdn,FIND(".",wld_az1_rack4_host1_fqdn)-1))</f>
        <v>Value Missing</v>
      </c>
      <c r="S202" s="1"/>
      <c r="T202" s="84" t="s">
        <v>1933</v>
      </c>
      <c r="U202" s="18" t="str">
        <f>IF(wld_az1_rack5_host1_fqdn="Value Missing",wld_az1_rack5_host1_fqdn,LEFT(wld_az1_rack5_host1_fqdn,FIND(".",wld_az1_rack5_host1_fqdn)-1))</f>
        <v>Value Missing</v>
      </c>
      <c r="V202" s="1"/>
      <c r="W202" s="84" t="s">
        <v>1933</v>
      </c>
      <c r="X202" s="18" t="str">
        <f>IF(wld_az1_rack6_host1_fqdn="Value Missing",wld_az1_rack6_host1_fqdn,LEFT(wld_az1_rack6_host1_fqdn,FIND(".",wld_az1_rack6_host1_fqdn)-1))</f>
        <v>Value Missing</v>
      </c>
      <c r="Y202" s="1"/>
      <c r="Z202" s="84" t="s">
        <v>1933</v>
      </c>
      <c r="AA202" s="18" t="str">
        <f>IF(wld_az1_rack7_host1_fqdn="Value Missing",wld_az1_rack7_host1_fqdn,LEFT(wld_az1_rack7_host1_fqdn,FIND(".",wld_az1_rack7_host1_fqdn)-1))</f>
        <v>Value Missing</v>
      </c>
      <c r="AB202" s="1"/>
      <c r="AC202" s="84" t="s">
        <v>1933</v>
      </c>
      <c r="AD202" s="18" t="str">
        <f>IF(wld_az1_rack8_host1_fqdn="Value Missing",wld_az1_rack8_host1_fqdn,LEFT(wld_az1_rack8_host1_fqdn,FIND(".",wld_az1_rack8_host1_fqdn)-1))</f>
        <v>Value Missing</v>
      </c>
      <c r="AE202" s="41"/>
      <c r="AF202" s="41"/>
      <c r="AG202" s="41"/>
      <c r="AH202" s="41"/>
      <c r="AI202" s="41"/>
      <c r="AJ202" s="41"/>
      <c r="AK202" s="41"/>
    </row>
    <row r="203" ht="19.5" customHeight="1">
      <c r="A203" s="41"/>
      <c r="B203" s="41"/>
      <c r="C203" s="41"/>
      <c r="D203" s="41"/>
      <c r="E203" s="84" t="s">
        <v>1934</v>
      </c>
      <c r="F203" s="18" t="str">
        <f>IF(ISBLANK(input_mgmt_az1_host5_vrms_ip),"Value Missing",input_mgmt_az1_host5_vrms_ip)</f>
        <v>Value Missing</v>
      </c>
      <c r="G203" s="1"/>
      <c r="H203" s="84" t="s">
        <v>1934</v>
      </c>
      <c r="I203" s="18" t="str">
        <f>IF(ISBLANK(input_wld_az1_host5_vrms_ip),"Value Missing",input_wld_az1_host5_vrms_ip)</f>
        <v>Value Missing</v>
      </c>
      <c r="J203" s="1"/>
      <c r="K203" s="84" t="s">
        <v>1935</v>
      </c>
      <c r="L203" s="18" t="str">
        <f>IF(wld_az1_rack2_host2_fqdn="Value Missing",wld_az1_rack2_host2_fqdn,LEFT(wld_az1_rack2_host2_fqdn,FIND(".",wld_az1_rack2_host2_fqdn)-1))</f>
        <v>Value Missing</v>
      </c>
      <c r="M203" s="1"/>
      <c r="N203" s="84" t="s">
        <v>1935</v>
      </c>
      <c r="O203" s="18" t="str">
        <f>IF(wld_az1_rack3_host2_fqdn="Value Missing",wld_az1_rack3_host2_fqdn,LEFT(wld_az1_rack3_host2_fqdn,FIND(".",wld_az1_rack3_host2_fqdn)-1))</f>
        <v>Value Missing</v>
      </c>
      <c r="P203" s="1"/>
      <c r="Q203" s="84" t="s">
        <v>1935</v>
      </c>
      <c r="R203" s="18" t="str">
        <f>IF(wld_az1_rack4_host2_fqdn="Value Missing",wld_az1_rack4_host2_fqdn,LEFT(wld_az1_rack4_host2_fqdn,FIND(".",wld_az1_rack4_host2_fqdn)-1))</f>
        <v>Value Missing</v>
      </c>
      <c r="S203" s="1"/>
      <c r="T203" s="84" t="s">
        <v>1935</v>
      </c>
      <c r="U203" s="18" t="str">
        <f>IF(wld_az1_rack5_host2_fqdn="Value Missing",wld_az1_rack5_host2_fqdn,LEFT(wld_az1_rack5_host2_fqdn,FIND(".",wld_az1_rack5_host2_fqdn)-1))</f>
        <v>Value Missing</v>
      </c>
      <c r="V203" s="1"/>
      <c r="W203" s="84" t="s">
        <v>1935</v>
      </c>
      <c r="X203" s="18" t="str">
        <f>IF(wld_az1_rack6_host2_fqdn="Value Missing",wld_az1_rack6_host2_fqdn,LEFT(wld_az1_rack6_host2_fqdn,FIND(".",wld_az1_rack6_host2_fqdn)-1))</f>
        <v>Value Missing</v>
      </c>
      <c r="Y203" s="1"/>
      <c r="Z203" s="84" t="s">
        <v>1935</v>
      </c>
      <c r="AA203" s="18" t="str">
        <f>IF(wld_az1_rack7_host2_fqdn="Value Missing",wld_az1_rack7_host2_fqdn,LEFT(wld_az1_rack7_host2_fqdn,FIND(".",wld_az1_rack7_host2_fqdn)-1))</f>
        <v>Value Missing</v>
      </c>
      <c r="AB203" s="1"/>
      <c r="AC203" s="84" t="s">
        <v>1935</v>
      </c>
      <c r="AD203" s="18" t="str">
        <f>IF(wld_az1_rack8_host2_fqdn="Value Missing",wld_az1_rack8_host2_fqdn,LEFT(wld_az1_rack8_host2_fqdn,FIND(".",wld_az1_rack8_host2_fqdn)-1))</f>
        <v>Value Missing</v>
      </c>
      <c r="AE203" s="41"/>
      <c r="AF203" s="41"/>
      <c r="AG203" s="41"/>
      <c r="AH203" s="41"/>
      <c r="AI203" s="41"/>
      <c r="AJ203" s="41"/>
      <c r="AK203" s="41"/>
    </row>
    <row r="204" ht="19.5" customHeight="1">
      <c r="A204" s="41"/>
      <c r="B204" s="41"/>
      <c r="C204" s="41"/>
      <c r="D204" s="41"/>
      <c r="E204" s="84" t="s">
        <v>1936</v>
      </c>
      <c r="F204" s="18" t="str">
        <f>IF(ISBLANK(input_mgmt_az1_host6_vrms_ip),"Value Missing",input_mgmt_az1_host6_vrms_ip)</f>
        <v>Value Missing</v>
      </c>
      <c r="G204" s="1"/>
      <c r="H204" s="84" t="s">
        <v>1936</v>
      </c>
      <c r="I204" s="18" t="str">
        <f>IF(ISBLANK(input_wld_az1_host6_vrms_ip),"Value Missing",input_wld_az1_host6_vrms_ip)</f>
        <v>Value Missing</v>
      </c>
      <c r="J204" s="1"/>
      <c r="K204" s="84" t="s">
        <v>1937</v>
      </c>
      <c r="L204" s="18" t="str">
        <f>IF(wld_az1_rack2_host3_fqdn="Value Missing",wld_az1_rack2_host3_fqdn,LEFT(wld_az1_rack2_host3_fqdn,FIND(".",wld_az1_rack2_host3_fqdn)-1))</f>
        <v>Value Missing</v>
      </c>
      <c r="M204" s="1"/>
      <c r="N204" s="84" t="s">
        <v>1937</v>
      </c>
      <c r="O204" s="18" t="str">
        <f>IF(wld_az1_rack3_host3_fqdn="Value Missing",wld_az1_rack3_host3_fqdn,LEFT(wld_az1_rack3_host3_fqdn,FIND(".",wld_az1_rack3_host3_fqdn)-1))</f>
        <v>Value Missing</v>
      </c>
      <c r="P204" s="1"/>
      <c r="Q204" s="84" t="s">
        <v>1937</v>
      </c>
      <c r="R204" s="18" t="str">
        <f>IF(wld_az1_rack4_host3_fqdn="Value Missing",wld_az1_rack4_host3_fqdn,LEFT(wld_az1_rack4_host3_fqdn,FIND(".",wld_az1_rack4_host3_fqdn)-1))</f>
        <v>Value Missing</v>
      </c>
      <c r="S204" s="1"/>
      <c r="T204" s="84" t="s">
        <v>1937</v>
      </c>
      <c r="U204" s="18" t="str">
        <f>IF(wld_az1_rack5_host3_fqdn="Value Missing",wld_az1_rack5_host3_fqdn,LEFT(wld_az1_rack5_host3_fqdn,FIND(".",wld_az1_rack5_host3_fqdn)-1))</f>
        <v>Value Missing</v>
      </c>
      <c r="V204" s="1"/>
      <c r="W204" s="84" t="s">
        <v>1937</v>
      </c>
      <c r="X204" s="18" t="str">
        <f>IF(wld_az1_rack6_host3_fqdn="Value Missing",wld_az1_rack6_host3_fqdn,LEFT(wld_az1_rack6_host3_fqdn,FIND(".",wld_az1_rack6_host3_fqdn)-1))</f>
        <v>Value Missing</v>
      </c>
      <c r="Y204" s="1"/>
      <c r="Z204" s="84" t="s">
        <v>1937</v>
      </c>
      <c r="AA204" s="18" t="str">
        <f>IF(wld_az1_rack7_host3_fqdn="Value Missing",wld_az1_rack7_host3_fqdn,LEFT(wld_az1_rack7_host3_fqdn,FIND(".",wld_az1_rack7_host3_fqdn)-1))</f>
        <v>Value Missing</v>
      </c>
      <c r="AB204" s="1"/>
      <c r="AC204" s="84" t="s">
        <v>1937</v>
      </c>
      <c r="AD204" s="18" t="str">
        <f>IF(wld_az1_rack8_host3_fqdn="Value Missing",wld_az1_rack8_host3_fqdn,LEFT(wld_az1_rack8_host3_fqdn,FIND(".",wld_az1_rack8_host3_fqdn)-1))</f>
        <v>Value Missing</v>
      </c>
      <c r="AE204" s="41"/>
      <c r="AF204" s="41"/>
      <c r="AG204" s="41"/>
      <c r="AH204" s="41"/>
      <c r="AI204" s="41"/>
      <c r="AJ204" s="41"/>
      <c r="AK204" s="41"/>
    </row>
    <row r="205" ht="19.5" customHeight="1">
      <c r="A205" s="41"/>
      <c r="B205" s="41"/>
      <c r="C205" s="41"/>
      <c r="D205" s="41"/>
      <c r="E205" s="84" t="s">
        <v>1938</v>
      </c>
      <c r="F205" s="18" t="str">
        <f>IF(ISBLANK(input_mgmt_az1_host7_vrms_ip),"Value Missing",input_mgmt_az1_host7_vrms_ip)</f>
        <v>Value Missing</v>
      </c>
      <c r="G205" s="1"/>
      <c r="H205" s="84" t="s">
        <v>1938</v>
      </c>
      <c r="I205" s="18" t="str">
        <f>IF(ISBLANK(input_wld_az1_host7_vrms_ip),"Value Missing",input_wld_az1_host7_vrms_ip)</f>
        <v>Value Missing</v>
      </c>
      <c r="J205" s="1"/>
      <c r="K205" s="84" t="s">
        <v>1939</v>
      </c>
      <c r="L205" s="18" t="str">
        <f>IF(wld_az1_rack2_host4_fqdn="Value Missing",wld_az1_rack2_host4_fqdn,LEFT(wld_az1_rack2_host4_fqdn,FIND(".",wld_az1_rack2_host4_fqdn)-1))</f>
        <v>Value Missing</v>
      </c>
      <c r="M205" s="1"/>
      <c r="N205" s="84" t="s">
        <v>1939</v>
      </c>
      <c r="O205" s="18" t="str">
        <f>IF(wld_az1_rack3_host4_fqdn="Value Missing",wld_az1_rack3_host4_fqdn,LEFT(wld_az1_rack3_host4_fqdn,FIND(".",wld_az1_rack3_host4_fqdn)-1))</f>
        <v>Value Missing</v>
      </c>
      <c r="P205" s="1"/>
      <c r="Q205" s="84" t="s">
        <v>1939</v>
      </c>
      <c r="R205" s="18" t="str">
        <f>IF(wld_az1_rack4_host4_fqdn="Value Missing",wld_az1_rack4_host4_fqdn,LEFT(wld_az1_rack4_host4_fqdn,FIND(".",wld_az1_rack4_host4_fqdn)-1))</f>
        <v>Value Missing</v>
      </c>
      <c r="S205" s="1"/>
      <c r="T205" s="84" t="s">
        <v>1939</v>
      </c>
      <c r="U205" s="18" t="str">
        <f>IF(wld_az1_rack5_host4_fqdn="Value Missing",wld_az1_rack5_host4_fqdn,LEFT(wld_az1_rack5_host4_fqdn,FIND(".",wld_az1_rack5_host4_fqdn)-1))</f>
        <v>Value Missing</v>
      </c>
      <c r="V205" s="1"/>
      <c r="W205" s="84" t="s">
        <v>1939</v>
      </c>
      <c r="X205" s="18" t="str">
        <f>IF(wld_az1_rack6_host4_fqdn="Value Missing",wld_az1_rack6_host4_fqdn,LEFT(wld_az1_rack6_host4_fqdn,FIND(".",wld_az1_rack6_host4_fqdn)-1))</f>
        <v>Value Missing</v>
      </c>
      <c r="Y205" s="1"/>
      <c r="Z205" s="84" t="s">
        <v>1939</v>
      </c>
      <c r="AA205" s="18" t="str">
        <f>IF(wld_az1_rack7_host4_fqdn="Value Missing",wld_az1_rack7_host4_fqdn,LEFT(wld_az1_rack7_host4_fqdn,FIND(".",wld_az1_rack7_host4_fqdn)-1))</f>
        <v>Value Missing</v>
      </c>
      <c r="AB205" s="1"/>
      <c r="AC205" s="84" t="s">
        <v>1939</v>
      </c>
      <c r="AD205" s="18" t="str">
        <f>IF(wld_az1_rack8_host4_fqdn="Value Missing",wld_az1_rack8_host4_fqdn,LEFT(wld_az1_rack8_host4_fqdn,FIND(".",wld_az1_rack8_host4_fqdn)-1))</f>
        <v>Value Missing</v>
      </c>
      <c r="AE205" s="41"/>
      <c r="AF205" s="41"/>
      <c r="AG205" s="41"/>
      <c r="AH205" s="41"/>
      <c r="AI205" s="41"/>
      <c r="AJ205" s="41"/>
      <c r="AK205" s="41"/>
    </row>
    <row r="206" ht="19.5" customHeight="1">
      <c r="A206" s="41"/>
      <c r="B206" s="41"/>
      <c r="C206" s="41"/>
      <c r="D206" s="41"/>
      <c r="E206" s="84" t="s">
        <v>1940</v>
      </c>
      <c r="F206" s="18" t="str">
        <f>IF(ISBLANK(input_mgmt_az1_host8_vrms_ip),"Value Missing",input_mgmt_az1_host8_vrms_ip)</f>
        <v>Value Missing</v>
      </c>
      <c r="G206" s="1"/>
      <c r="H206" s="84" t="s">
        <v>1940</v>
      </c>
      <c r="I206" s="18" t="str">
        <f>IF(ISBLANK(input_wld_az1_host8_vrms_ip),"Value Missing",input_wld_az1_host8_vrms_ip)</f>
        <v>Value Missing</v>
      </c>
      <c r="J206" s="1"/>
      <c r="K206" s="84" t="s">
        <v>1941</v>
      </c>
      <c r="L206" s="18" t="str">
        <f>IF(wld_az1_rack2_host5_fqdn="Value Missing",wld_az1_rack2_host5_fqdn,LEFT(wld_az1_rack2_host5_fqdn,FIND(".",wld_az1_rack2_host5_fqdn)-1))</f>
        <v>Value Missing</v>
      </c>
      <c r="M206" s="1"/>
      <c r="N206" s="84" t="s">
        <v>1941</v>
      </c>
      <c r="O206" s="18" t="str">
        <f>IF(wld_az1_rack3_host5_fqdn="Value Missing",wld_az1_rack3_host5_fqdn,LEFT(wld_az1_rack3_host5_fqdn,FIND(".",wld_az1_rack3_host5_fqdn)-1))</f>
        <v>Value Missing</v>
      </c>
      <c r="P206" s="1"/>
      <c r="Q206" s="84" t="s">
        <v>1941</v>
      </c>
      <c r="R206" s="18" t="str">
        <f>IF(wld_az1_rack4_host5_fqdn="Value Missing",wld_az1_rack4_host5_fqdn,LEFT(wld_az1_rack4_host5_fqdn,FIND(".",wld_az1_rack4_host5_fqdn)-1))</f>
        <v>Value Missing</v>
      </c>
      <c r="S206" s="1"/>
      <c r="T206" s="84" t="s">
        <v>1941</v>
      </c>
      <c r="U206" s="18" t="str">
        <f>IF(wld_az1_rack5_host5_fqdn="Value Missing",wld_az1_rack5_host5_fqdn,LEFT(wld_az1_rack5_host5_fqdn,FIND(".",wld_az1_rack5_host5_fqdn)-1))</f>
        <v>Value Missing</v>
      </c>
      <c r="V206" s="1"/>
      <c r="W206" s="84" t="s">
        <v>1941</v>
      </c>
      <c r="X206" s="18" t="str">
        <f>IF(wld_az1_rack6_host5_fqdn="Value Missing",wld_az1_rack6_host5_fqdn,LEFT(wld_az1_rack6_host5_fqdn,FIND(".",wld_az1_rack6_host5_fqdn)-1))</f>
        <v>Value Missing</v>
      </c>
      <c r="Y206" s="1"/>
      <c r="Z206" s="84" t="s">
        <v>1941</v>
      </c>
      <c r="AA206" s="18" t="str">
        <f>IF(wld_az1_rack7_host5_fqdn="Value Missing",wld_az1_rack7_host5_fqdn,LEFT(wld_az1_rack7_host5_fqdn,FIND(".",wld_az1_rack7_host5_fqdn)-1))</f>
        <v>Value Missing</v>
      </c>
      <c r="AB206" s="1"/>
      <c r="AC206" s="84" t="s">
        <v>1941</v>
      </c>
      <c r="AD206" s="18" t="str">
        <f>IF(wld_az1_rack8_host5_fqdn="Value Missing",wld_az1_rack8_host5_fqdn,LEFT(wld_az1_rack8_host5_fqdn,FIND(".",wld_az1_rack8_host5_fqdn)-1))</f>
        <v>Value Missing</v>
      </c>
      <c r="AE206" s="41"/>
      <c r="AF206" s="41"/>
      <c r="AG206" s="41"/>
      <c r="AH206" s="41"/>
      <c r="AI206" s="41"/>
      <c r="AJ206" s="41"/>
      <c r="AK206" s="41"/>
    </row>
    <row r="207" ht="19.5" customHeight="1">
      <c r="A207" s="41"/>
      <c r="B207" s="41"/>
      <c r="C207" s="41"/>
      <c r="D207" s="41"/>
      <c r="E207" s="84" t="s">
        <v>1942</v>
      </c>
      <c r="F207" s="18" t="str">
        <f>IF(ISBLANK(input_mgmt_az1_host9_vrms_ip),"Value Missing",input_mgmt_az1_host9_vrms_ip)</f>
        <v>Value Missing</v>
      </c>
      <c r="G207" s="1"/>
      <c r="H207" s="84" t="s">
        <v>1942</v>
      </c>
      <c r="I207" s="18" t="str">
        <f>IF(ISBLANK(input_wld_az1_host9_vrms_ip),"Value Missing",input_wld_az1_host9_vrms_ip)</f>
        <v>Value Missing</v>
      </c>
      <c r="J207" s="1"/>
      <c r="K207" s="84" t="s">
        <v>1943</v>
      </c>
      <c r="L207" s="18" t="str">
        <f>IF(wld_az1_rack2_host6_fqdn="Value Missing",wld_az1_rack2_host6_fqdn,LEFT(wld_az1_rack2_host6_fqdn,FIND(".",wld_az1_rack2_host6_fqdn)-1))</f>
        <v>Value Missing</v>
      </c>
      <c r="M207" s="1"/>
      <c r="N207" s="84" t="s">
        <v>1943</v>
      </c>
      <c r="O207" s="18" t="str">
        <f>IF(wld_az1_rack3_host6_fqdn="Value Missing",wld_az1_rack3_host6_fqdn,LEFT(wld_az1_rack3_host6_fqdn,FIND(".",wld_az1_rack3_host6_fqdn)-1))</f>
        <v>Value Missing</v>
      </c>
      <c r="P207" s="1"/>
      <c r="Q207" s="84" t="s">
        <v>1943</v>
      </c>
      <c r="R207" s="18" t="str">
        <f>IF(wld_az1_rack4_host6_fqdn="Value Missing",wld_az1_rack4_host6_fqdn,LEFT(wld_az1_rack4_host6_fqdn,FIND(".",wld_az1_rack4_host6_fqdn)-1))</f>
        <v>Value Missing</v>
      </c>
      <c r="S207" s="1"/>
      <c r="T207" s="84" t="s">
        <v>1943</v>
      </c>
      <c r="U207" s="18" t="str">
        <f>IF(wld_az1_rack5_host6_fqdn="Value Missing",wld_az1_rack5_host6_fqdn,LEFT(wld_az1_rack5_host6_fqdn,FIND(".",wld_az1_rack5_host6_fqdn)-1))</f>
        <v>Value Missing</v>
      </c>
      <c r="V207" s="1"/>
      <c r="W207" s="84" t="s">
        <v>1943</v>
      </c>
      <c r="X207" s="18" t="str">
        <f>IF(wld_az1_rack6_host6_fqdn="Value Missing",wld_az1_rack6_host6_fqdn,LEFT(wld_az1_rack6_host6_fqdn,FIND(".",wld_az1_rack6_host6_fqdn)-1))</f>
        <v>Value Missing</v>
      </c>
      <c r="Y207" s="1"/>
      <c r="Z207" s="84" t="s">
        <v>1943</v>
      </c>
      <c r="AA207" s="18" t="str">
        <f>IF(wld_az1_rack7_host6_fqdn="Value Missing",wld_az1_rack7_host6_fqdn,LEFT(wld_az1_rack7_host6_fqdn,FIND(".",wld_az1_rack7_host6_fqdn)-1))</f>
        <v>Value Missing</v>
      </c>
      <c r="AB207" s="1"/>
      <c r="AC207" s="84" t="s">
        <v>1943</v>
      </c>
      <c r="AD207" s="18" t="str">
        <f>IF(wld_az1_rack8_host6_fqdn="Value Missing",wld_az1_rack8_host6_fqdn,LEFT(wld_az1_rack8_host6_fqdn,FIND(".",wld_az1_rack8_host6_fqdn)-1))</f>
        <v>Value Missing</v>
      </c>
      <c r="AE207" s="41"/>
      <c r="AF207" s="41"/>
      <c r="AG207" s="41"/>
      <c r="AH207" s="41"/>
      <c r="AI207" s="41"/>
      <c r="AJ207" s="41"/>
      <c r="AK207" s="41"/>
    </row>
    <row r="208" ht="19.5" customHeight="1">
      <c r="A208" s="41"/>
      <c r="B208" s="41"/>
      <c r="C208" s="41"/>
      <c r="D208" s="41"/>
      <c r="E208" s="84" t="s">
        <v>1944</v>
      </c>
      <c r="F208" s="18" t="str">
        <f>IF(ISBLANK(input_mgmt_az1_host10_vrms_ip),"Value Missing",input_mgmt_az1_host10_vrms_ip)</f>
        <v>Value Missing</v>
      </c>
      <c r="G208" s="1"/>
      <c r="H208" s="84" t="s">
        <v>1944</v>
      </c>
      <c r="I208" s="18" t="str">
        <f>IF(ISBLANK(input_wld_az1_host10_vrms_ip),"Value Missing",input_wld_az1_host10_vrms_ip)</f>
        <v>Value Missing</v>
      </c>
      <c r="J208" s="1"/>
      <c r="K208" s="84" t="s">
        <v>1945</v>
      </c>
      <c r="L208" s="18" t="str">
        <f>IF(wld_az1_rack2_host7_fqdn="Value Missing",wld_az1_rack2_host7_fqdn,LEFT(wld_az1_rack2_host7_fqdn,FIND(".",wld_az1_rack2_host7_fqdn)-1))</f>
        <v>Value Missing</v>
      </c>
      <c r="M208" s="1"/>
      <c r="N208" s="84" t="s">
        <v>1945</v>
      </c>
      <c r="O208" s="18" t="str">
        <f>IF(wld_az1_rack3_host7_fqdn="Value Missing",wld_az1_rack3_host7_fqdn,LEFT(wld_az1_rack3_host7_fqdn,FIND(".",wld_az1_rack3_host7_fqdn)-1))</f>
        <v>Value Missing</v>
      </c>
      <c r="P208" s="1"/>
      <c r="Q208" s="84" t="s">
        <v>1945</v>
      </c>
      <c r="R208" s="18" t="str">
        <f>IF(wld_az1_rack4_host7_fqdn="Value Missing",wld_az1_rack4_host7_fqdn,LEFT(wld_az1_rack4_host7_fqdn,FIND(".",wld_az1_rack4_host7_fqdn)-1))</f>
        <v>Value Missing</v>
      </c>
      <c r="S208" s="1"/>
      <c r="T208" s="84" t="s">
        <v>1945</v>
      </c>
      <c r="U208" s="18" t="str">
        <f>IF(wld_az1_rack5_host7_fqdn="Value Missing",wld_az1_rack5_host7_fqdn,LEFT(wld_az1_rack5_host7_fqdn,FIND(".",wld_az1_rack5_host7_fqdn)-1))</f>
        <v>Value Missing</v>
      </c>
      <c r="V208" s="1"/>
      <c r="W208" s="84" t="s">
        <v>1945</v>
      </c>
      <c r="X208" s="18" t="str">
        <f>IF(wld_az1_rack6_host7_fqdn="Value Missing",wld_az1_rack6_host7_fqdn,LEFT(wld_az1_rack6_host7_fqdn,FIND(".",wld_az1_rack6_host7_fqdn)-1))</f>
        <v>Value Missing</v>
      </c>
      <c r="Y208" s="1"/>
      <c r="Z208" s="84" t="s">
        <v>1945</v>
      </c>
      <c r="AA208" s="18" t="str">
        <f>IF(wld_az1_rack7_host7_fqdn="Value Missing",wld_az1_rack7_host7_fqdn,LEFT(wld_az1_rack7_host7_fqdn,FIND(".",wld_az1_rack7_host7_fqdn)-1))</f>
        <v>Value Missing</v>
      </c>
      <c r="AB208" s="1"/>
      <c r="AC208" s="84" t="s">
        <v>1945</v>
      </c>
      <c r="AD208" s="18" t="str">
        <f>IF(wld_az1_rack8_host7_fqdn="Value Missing",wld_az1_rack8_host7_fqdn,LEFT(wld_az1_rack8_host7_fqdn,FIND(".",wld_az1_rack8_host7_fqdn)-1))</f>
        <v>Value Missing</v>
      </c>
      <c r="AE208" s="41"/>
      <c r="AF208" s="41"/>
      <c r="AG208" s="41"/>
      <c r="AH208" s="41"/>
      <c r="AI208" s="41"/>
      <c r="AJ208" s="41"/>
      <c r="AK208" s="41"/>
    </row>
    <row r="209" ht="19.5" customHeight="1">
      <c r="A209" s="41"/>
      <c r="B209" s="41"/>
      <c r="C209" s="41"/>
      <c r="D209" s="41"/>
      <c r="E209" s="84" t="s">
        <v>1946</v>
      </c>
      <c r="F209" s="18" t="str">
        <f>IF(ISBLANK(input_mgmt_az1_host11_vrms_ip),"Value Missing",input_mgmt_az1_host11_vrms_ip)</f>
        <v>Value Missing</v>
      </c>
      <c r="G209" s="1"/>
      <c r="H209" s="84" t="s">
        <v>1946</v>
      </c>
      <c r="I209" s="18" t="str">
        <f>IF(ISBLANK(input_wld_az1_host11_vrms_ip),"Value Missing",input_wld_az1_host11_vrms_ip)</f>
        <v>Value Missing</v>
      </c>
      <c r="J209" s="1"/>
      <c r="K209" s="84" t="s">
        <v>1947</v>
      </c>
      <c r="L209" s="18" t="str">
        <f>IF(wld_az1_rack2_host8_fqdn="Value Missing",wld_az1_rack2_host8_fqdn,LEFT(wld_az1_rack2_host8_fqdn,FIND(".",wld_az1_rack2_host8_fqdn)-1))</f>
        <v>Value Missing</v>
      </c>
      <c r="M209" s="1"/>
      <c r="N209" s="84" t="s">
        <v>1947</v>
      </c>
      <c r="O209" s="18" t="str">
        <f>IF(wld_az1_rack3_host8_fqdn="Value Missing",wld_az1_rack3_host8_fqdn,LEFT(wld_az1_rack3_host8_fqdn,FIND(".",wld_az1_rack3_host8_fqdn)-1))</f>
        <v>Value Missing</v>
      </c>
      <c r="P209" s="1"/>
      <c r="Q209" s="84" t="s">
        <v>1947</v>
      </c>
      <c r="R209" s="18" t="str">
        <f>IF(wld_az1_rack4_host8_fqdn="Value Missing",wld_az1_rack4_host8_fqdn,LEFT(wld_az1_rack4_host8_fqdn,FIND(".",wld_az1_rack4_host8_fqdn)-1))</f>
        <v>Value Missing</v>
      </c>
      <c r="S209" s="1"/>
      <c r="T209" s="84" t="s">
        <v>1947</v>
      </c>
      <c r="U209" s="18" t="str">
        <f>IF(wld_az1_rack5_host8_fqdn="Value Missing",wld_az1_rack5_host8_fqdn,LEFT(wld_az1_rack5_host8_fqdn,FIND(".",wld_az1_rack5_host8_fqdn)-1))</f>
        <v>Value Missing</v>
      </c>
      <c r="V209" s="1"/>
      <c r="W209" s="84" t="s">
        <v>1947</v>
      </c>
      <c r="X209" s="18" t="str">
        <f>IF(wld_az1_rack6_host8_fqdn="Value Missing",wld_az1_rack6_host8_fqdn,LEFT(wld_az1_rack6_host8_fqdn,FIND(".",wld_az1_rack6_host8_fqdn)-1))</f>
        <v>Value Missing</v>
      </c>
      <c r="Y209" s="1"/>
      <c r="Z209" s="84" t="s">
        <v>1947</v>
      </c>
      <c r="AA209" s="18" t="str">
        <f>IF(wld_az1_rack7_host8_fqdn="Value Missing",wld_az1_rack7_host8_fqdn,LEFT(wld_az1_rack7_host8_fqdn,FIND(".",wld_az1_rack7_host8_fqdn)-1))</f>
        <v>Value Missing</v>
      </c>
      <c r="AB209" s="1"/>
      <c r="AC209" s="84" t="s">
        <v>1947</v>
      </c>
      <c r="AD209" s="18" t="str">
        <f>IF(wld_az1_rack8_host8_fqdn="Value Missing",wld_az1_rack8_host8_fqdn,LEFT(wld_az1_rack8_host8_fqdn,FIND(".",wld_az1_rack8_host8_fqdn)-1))</f>
        <v>Value Missing</v>
      </c>
      <c r="AE209" s="41"/>
      <c r="AF209" s="41"/>
      <c r="AG209" s="41"/>
      <c r="AH209" s="41"/>
      <c r="AI209" s="41"/>
      <c r="AJ209" s="41"/>
      <c r="AK209" s="41"/>
    </row>
    <row r="210" ht="19.5" customHeight="1">
      <c r="A210" s="41"/>
      <c r="B210" s="41"/>
      <c r="C210" s="41"/>
      <c r="D210" s="41"/>
      <c r="E210" s="84" t="s">
        <v>1948</v>
      </c>
      <c r="F210" s="18" t="str">
        <f>IF(ISBLANK(input_mgmt_az1_host12_vrms_ip),"Value Missing",input_mgmt_az1_host12_vrms_ip)</f>
        <v>Value Missing</v>
      </c>
      <c r="G210" s="1"/>
      <c r="H210" s="84" t="s">
        <v>1948</v>
      </c>
      <c r="I210" s="18" t="str">
        <f>IF(ISBLANK(input_wld_az1_host12_vrms_ip),"Value Missing",input_wld_az1_host12_vrms_ip)</f>
        <v>Value Missing</v>
      </c>
      <c r="J210" s="1"/>
      <c r="K210" s="84" t="s">
        <v>1949</v>
      </c>
      <c r="L210" s="18" t="str">
        <f>IF(wld_az1_rack2_host9_fqdn="Value Missing",wld_az1_rack2_host9_fqdn,LEFT(wld_az1_rack2_host9_fqdn,FIND(".",wld_az1_rack2_host9_fqdn)-1))</f>
        <v>Value Missing</v>
      </c>
      <c r="M210" s="1"/>
      <c r="N210" s="84" t="s">
        <v>1949</v>
      </c>
      <c r="O210" s="18" t="str">
        <f>IF(wld_az1_rack3_host9_fqdn="Value Missing",wld_az1_rack3_host9_fqdn,LEFT(wld_az1_rack3_host9_fqdn,FIND(".",wld_az1_rack3_host9_fqdn)-1))</f>
        <v>Value Missing</v>
      </c>
      <c r="P210" s="1"/>
      <c r="Q210" s="84" t="s">
        <v>1949</v>
      </c>
      <c r="R210" s="18" t="str">
        <f>IF(wld_az1_rack4_host9_fqdn="Value Missing",wld_az1_rack4_host9_fqdn,LEFT(wld_az1_rack4_host9_fqdn,FIND(".",wld_az1_rack4_host9_fqdn)-1))</f>
        <v>Value Missing</v>
      </c>
      <c r="S210" s="1"/>
      <c r="T210" s="84" t="s">
        <v>1949</v>
      </c>
      <c r="U210" s="18" t="str">
        <f>IF(wld_az1_rack5_host9_fqdn="Value Missing",wld_az1_rack5_host9_fqdn,LEFT(wld_az1_rack5_host9_fqdn,FIND(".",wld_az1_rack5_host9_fqdn)-1))</f>
        <v>Value Missing</v>
      </c>
      <c r="V210" s="1"/>
      <c r="W210" s="84" t="s">
        <v>1949</v>
      </c>
      <c r="X210" s="18" t="str">
        <f>IF(wld_az1_rack6_host9_fqdn="Value Missing",wld_az1_rack6_host9_fqdn,LEFT(wld_az1_rack6_host9_fqdn,FIND(".",wld_az1_rack6_host9_fqdn)-1))</f>
        <v>Value Missing</v>
      </c>
      <c r="Y210" s="1"/>
      <c r="Z210" s="84" t="s">
        <v>1949</v>
      </c>
      <c r="AA210" s="18" t="str">
        <f>IF(wld_az1_rack7_host9_fqdn="Value Missing",wld_az1_rack7_host9_fqdn,LEFT(wld_az1_rack7_host9_fqdn,FIND(".",wld_az1_rack7_host9_fqdn)-1))</f>
        <v>Value Missing</v>
      </c>
      <c r="AB210" s="1"/>
      <c r="AC210" s="84" t="s">
        <v>1949</v>
      </c>
      <c r="AD210" s="18" t="str">
        <f>IF(wld_az1_rack8_host9_fqdn="Value Missing",wld_az1_rack8_host9_fqdn,LEFT(wld_az1_rack8_host9_fqdn,FIND(".",wld_az1_rack8_host9_fqdn)-1))</f>
        <v>Value Missing</v>
      </c>
      <c r="AE210" s="41"/>
      <c r="AF210" s="41"/>
      <c r="AG210" s="41"/>
      <c r="AH210" s="41"/>
      <c r="AI210" s="41"/>
      <c r="AJ210" s="41"/>
      <c r="AK210" s="41"/>
    </row>
    <row r="211" ht="19.5" customHeight="1">
      <c r="A211" s="41"/>
      <c r="B211" s="41"/>
      <c r="C211" s="41"/>
      <c r="D211" s="41"/>
      <c r="E211" s="84" t="s">
        <v>1950</v>
      </c>
      <c r="F211" s="18" t="str">
        <f>IF(ISBLANK(input_mgmt_az1_host13_vrms_ip),"Value Missing",input_mgmt_az1_host13_vrms_ip)</f>
        <v>Value Missing</v>
      </c>
      <c r="G211" s="1"/>
      <c r="H211" s="84" t="s">
        <v>1950</v>
      </c>
      <c r="I211" s="18" t="str">
        <f>IF(ISBLANK(input_wld_az1_host13_vrms_ip),"Value Missing",input_wld_az1_host13_vrms_ip)</f>
        <v>Value Missing</v>
      </c>
      <c r="J211" s="1"/>
      <c r="K211" s="84" t="s">
        <v>1951</v>
      </c>
      <c r="L211" s="18" t="str">
        <f>IF(wld_az1_rack2_host10_fqdn="Value Missing",wld_az1_rack2_host10_fqdn,LEFT(wld_az1_rack2_host10_fqdn,FIND(".",wld_az1_rack2_host10_fqdn)-1))</f>
        <v>Value Missing</v>
      </c>
      <c r="M211" s="1"/>
      <c r="N211" s="84" t="s">
        <v>1951</v>
      </c>
      <c r="O211" s="18" t="str">
        <f>IF(wld_az1_rack3_host10_fqdn="Value Missing",wld_az1_rack3_host10_fqdn,LEFT(wld_az1_rack3_host10_fqdn,FIND(".",wld_az1_rack3_host10_fqdn)-1))</f>
        <v>Value Missing</v>
      </c>
      <c r="P211" s="1"/>
      <c r="Q211" s="84" t="s">
        <v>1951</v>
      </c>
      <c r="R211" s="18" t="str">
        <f>IF(wld_az1_rack4_host10_fqdn="Value Missing",wld_az1_rack4_host10_fqdn,LEFT(wld_az1_rack4_host10_fqdn,FIND(".",wld_az1_rack4_host10_fqdn)-1))</f>
        <v>Value Missing</v>
      </c>
      <c r="S211" s="1"/>
      <c r="T211" s="84" t="s">
        <v>1951</v>
      </c>
      <c r="U211" s="18" t="str">
        <f>IF(wld_az1_rack5_host10_fqdn="Value Missing",wld_az1_rack5_host10_fqdn,LEFT(wld_az1_rack5_host10_fqdn,FIND(".",wld_az1_rack5_host10_fqdn)-1))</f>
        <v>Value Missing</v>
      </c>
      <c r="V211" s="1"/>
      <c r="W211" s="84" t="s">
        <v>1951</v>
      </c>
      <c r="X211" s="18" t="str">
        <f>IF(wld_az1_rack6_host10_fqdn="Value Missing",wld_az1_rack6_host10_fqdn,LEFT(wld_az1_rack6_host10_fqdn,FIND(".",wld_az1_rack6_host10_fqdn)-1))</f>
        <v>Value Missing</v>
      </c>
      <c r="Y211" s="1"/>
      <c r="Z211" s="84" t="s">
        <v>1951</v>
      </c>
      <c r="AA211" s="18" t="str">
        <f>IF(wld_az1_rack7_host10_fqdn="Value Missing",wld_az1_rack7_host10_fqdn,LEFT(wld_az1_rack7_host10_fqdn,FIND(".",wld_az1_rack7_host10_fqdn)-1))</f>
        <v>Value Missing</v>
      </c>
      <c r="AB211" s="1"/>
      <c r="AC211" s="84" t="s">
        <v>1951</v>
      </c>
      <c r="AD211" s="18" t="str">
        <f>IF(wld_az1_rack8_host10_fqdn="Value Missing",wld_az1_rack8_host10_fqdn,LEFT(wld_az1_rack8_host10_fqdn,FIND(".",wld_az1_rack8_host10_fqdn)-1))</f>
        <v>Value Missing</v>
      </c>
      <c r="AE211" s="41"/>
      <c r="AF211" s="41"/>
      <c r="AG211" s="41"/>
      <c r="AH211" s="41"/>
      <c r="AI211" s="41"/>
      <c r="AJ211" s="41"/>
      <c r="AK211" s="41"/>
    </row>
    <row r="212" ht="19.5" customHeight="1">
      <c r="A212" s="41"/>
      <c r="B212" s="41"/>
      <c r="C212" s="41"/>
      <c r="D212" s="41"/>
      <c r="E212" s="84" t="s">
        <v>1952</v>
      </c>
      <c r="F212" s="18" t="str">
        <f>IF(ISBLANK(input_mgmt_az1_host14_vrms_ip),"Value Missing",input_mgmt_az1_host14_vrms_ip)</f>
        <v>Value Missing</v>
      </c>
      <c r="G212" s="8"/>
      <c r="H212" s="84" t="s">
        <v>1952</v>
      </c>
      <c r="I212" s="18" t="str">
        <f>IF(ISBLANK(input_wld_az1_host14_vrms_ip),"Value Missing",input_wld_az1_host14_vrms_ip)</f>
        <v>Value Missing</v>
      </c>
      <c r="J212" s="8"/>
      <c r="K212" s="84" t="s">
        <v>1953</v>
      </c>
      <c r="L212" s="18" t="str">
        <f>IF(wld_az1_rack2_host11_fqdn="Value Missing",wld_az1_rack2_host11_fqdn,LEFT(wld_az1_rack2_host11_fqdn,FIND(".",wld_az1_rack2_host11_fqdn)-1))</f>
        <v>Value Missing</v>
      </c>
      <c r="M212" s="1"/>
      <c r="N212" s="84" t="s">
        <v>1953</v>
      </c>
      <c r="O212" s="18" t="str">
        <f>IF(wld_az1_rack3_host11_fqdn="Value Missing",wld_az1_rack3_host11_fqdn,LEFT(wld_az1_rack3_host11_fqdn,FIND(".",wld_az1_rack3_host11_fqdn)-1))</f>
        <v>Value Missing</v>
      </c>
      <c r="P212" s="1"/>
      <c r="Q212" s="84" t="s">
        <v>1953</v>
      </c>
      <c r="R212" s="18" t="str">
        <f>IF(wld_az1_rack4_host11_fqdn="Value Missing",wld_az1_rack4_host11_fqdn,LEFT(wld_az1_rack4_host11_fqdn,FIND(".",wld_az1_rack4_host11_fqdn)-1))</f>
        <v>Value Missing</v>
      </c>
      <c r="S212" s="1"/>
      <c r="T212" s="84" t="s">
        <v>1953</v>
      </c>
      <c r="U212" s="18" t="str">
        <f>IF(wld_az1_rack5_host11_fqdn="Value Missing",wld_az1_rack5_host11_fqdn,LEFT(wld_az1_rack5_host11_fqdn,FIND(".",wld_az1_rack5_host11_fqdn)-1))</f>
        <v>Value Missing</v>
      </c>
      <c r="V212" s="1"/>
      <c r="W212" s="84" t="s">
        <v>1953</v>
      </c>
      <c r="X212" s="18" t="str">
        <f>IF(wld_az1_rack6_host11_fqdn="Value Missing",wld_az1_rack6_host11_fqdn,LEFT(wld_az1_rack6_host11_fqdn,FIND(".",wld_az1_rack6_host11_fqdn)-1))</f>
        <v>Value Missing</v>
      </c>
      <c r="Y212" s="1"/>
      <c r="Z212" s="84" t="s">
        <v>1953</v>
      </c>
      <c r="AA212" s="18" t="str">
        <f>IF(wld_az1_rack7_host11_fqdn="Value Missing",wld_az1_rack7_host11_fqdn,LEFT(wld_az1_rack7_host11_fqdn,FIND(".",wld_az1_rack7_host11_fqdn)-1))</f>
        <v>Value Missing</v>
      </c>
      <c r="AB212" s="1"/>
      <c r="AC212" s="84" t="s">
        <v>1953</v>
      </c>
      <c r="AD212" s="18" t="str">
        <f>IF(wld_az1_rack8_host11_fqdn="Value Missing",wld_az1_rack8_host11_fqdn,LEFT(wld_az1_rack8_host11_fqdn,FIND(".",wld_az1_rack8_host11_fqdn)-1))</f>
        <v>Value Missing</v>
      </c>
      <c r="AE212" s="41"/>
      <c r="AF212" s="41"/>
      <c r="AG212" s="41"/>
      <c r="AH212" s="41"/>
      <c r="AI212" s="41"/>
      <c r="AJ212" s="41"/>
      <c r="AK212" s="41"/>
    </row>
    <row r="213" ht="19.5" customHeight="1">
      <c r="A213" s="41"/>
      <c r="B213" s="41"/>
      <c r="C213" s="41"/>
      <c r="D213" s="41"/>
      <c r="E213" s="84" t="s">
        <v>1954</v>
      </c>
      <c r="F213" s="18" t="str">
        <f>IF(ISBLANK(input_mgmt_az1_host15_vrms_ip),"Value Missing",input_mgmt_az1_host15_vrms_ip)</f>
        <v>Value Missing</v>
      </c>
      <c r="G213" s="1"/>
      <c r="H213" s="84" t="s">
        <v>1954</v>
      </c>
      <c r="I213" s="18" t="str">
        <f>IF(ISBLANK(input_wld_az1_host15_vrms_ip),"Value Missing",input_wld_az1_host15_vrms_ip)</f>
        <v>Value Missing</v>
      </c>
      <c r="J213" s="1"/>
      <c r="K213" s="84" t="s">
        <v>1955</v>
      </c>
      <c r="L213" s="18" t="str">
        <f>IF(wld_az1_rack2_host12_fqdn="Value Missing",wld_az1_rack2_host12_fqdn,LEFT(wld_az1_rack2_host12_fqdn,FIND(".",wld_az1_rack2_host12_fqdn)-1))</f>
        <v>Value Missing</v>
      </c>
      <c r="M213" s="1"/>
      <c r="N213" s="84" t="s">
        <v>1955</v>
      </c>
      <c r="O213" s="18" t="str">
        <f>IF(wld_az1_rack3_host12_fqdn="Value Missing",wld_az1_rack3_host12_fqdn,LEFT(wld_az1_rack3_host12_fqdn,FIND(".",wld_az1_rack3_host12_fqdn)-1))</f>
        <v>Value Missing</v>
      </c>
      <c r="P213" s="1"/>
      <c r="Q213" s="84" t="s">
        <v>1955</v>
      </c>
      <c r="R213" s="18" t="str">
        <f>IF(wld_az1_rack4_host12_fqdn="Value Missing",wld_az1_rack4_host12_fqdn,LEFT(wld_az1_rack4_host12_fqdn,FIND(".",wld_az1_rack4_host12_fqdn)-1))</f>
        <v>Value Missing</v>
      </c>
      <c r="S213" s="1"/>
      <c r="T213" s="84" t="s">
        <v>1955</v>
      </c>
      <c r="U213" s="18" t="str">
        <f>IF(wld_az1_rack5_host12_fqdn="Value Missing",wld_az1_rack5_host12_fqdn,LEFT(wld_az1_rack5_host12_fqdn,FIND(".",wld_az1_rack5_host12_fqdn)-1))</f>
        <v>Value Missing</v>
      </c>
      <c r="V213" s="1"/>
      <c r="W213" s="84" t="s">
        <v>1955</v>
      </c>
      <c r="X213" s="18" t="str">
        <f>IF(wld_az1_rack6_host12_fqdn="Value Missing",wld_az1_rack6_host12_fqdn,LEFT(wld_az1_rack6_host12_fqdn,FIND(".",wld_az1_rack6_host12_fqdn)-1))</f>
        <v>Value Missing</v>
      </c>
      <c r="Y213" s="1"/>
      <c r="Z213" s="84" t="s">
        <v>1955</v>
      </c>
      <c r="AA213" s="18" t="str">
        <f>IF(wld_az1_rack7_host12_fqdn="Value Missing",wld_az1_rack7_host12_fqdn,LEFT(wld_az1_rack7_host12_fqdn,FIND(".",wld_az1_rack7_host12_fqdn)-1))</f>
        <v>Value Missing</v>
      </c>
      <c r="AB213" s="1"/>
      <c r="AC213" s="84" t="s">
        <v>1955</v>
      </c>
      <c r="AD213" s="18" t="str">
        <f>IF(wld_az1_rack8_host12_fqdn="Value Missing",wld_az1_rack8_host12_fqdn,LEFT(wld_az1_rack8_host12_fqdn,FIND(".",wld_az1_rack8_host12_fqdn)-1))</f>
        <v>Value Missing</v>
      </c>
      <c r="AE213" s="41"/>
      <c r="AF213" s="41"/>
      <c r="AG213" s="41"/>
      <c r="AH213" s="41"/>
      <c r="AI213" s="41"/>
      <c r="AJ213" s="41"/>
      <c r="AK213" s="41"/>
    </row>
    <row r="214" ht="19.5" customHeight="1">
      <c r="A214" s="41"/>
      <c r="B214" s="41"/>
      <c r="C214" s="41"/>
      <c r="D214" s="41"/>
      <c r="E214" s="84" t="s">
        <v>1956</v>
      </c>
      <c r="F214" s="18" t="str">
        <f>IF(ISBLANK(input_mgmt_az1_host16_vrms_ip),"Value Missing",input_mgmt_az1_host16_vrms_ip)</f>
        <v>Value Missing</v>
      </c>
      <c r="G214" s="1"/>
      <c r="H214" s="84" t="s">
        <v>1956</v>
      </c>
      <c r="I214" s="18" t="str">
        <f>IF(ISBLANK(input_wld_az1_host16_vrms_ip),"Value Missing",input_wld_az1_host16_vrms_ip)</f>
        <v>Value Missing</v>
      </c>
      <c r="J214" s="1"/>
      <c r="K214" s="84" t="s">
        <v>1957</v>
      </c>
      <c r="L214" s="18" t="str">
        <f>IF(wld_az1_rack2_host13_fqdn="Value Missing",wld_az1_rack2_host13_fqdn,LEFT(wld_az1_rack2_host13_fqdn,FIND(".",wld_az1_rack2_host13_fqdn)-1))</f>
        <v>Value Missing</v>
      </c>
      <c r="M214" s="1"/>
      <c r="N214" s="84" t="s">
        <v>1957</v>
      </c>
      <c r="O214" s="18" t="str">
        <f>IF(wld_az1_rack3_host13_fqdn="Value Missing",wld_az1_rack3_host13_fqdn,LEFT(wld_az1_rack3_host13_fqdn,FIND(".",wld_az1_rack3_host13_fqdn)-1))</f>
        <v>Value Missing</v>
      </c>
      <c r="P214" s="1"/>
      <c r="Q214" s="84" t="s">
        <v>1957</v>
      </c>
      <c r="R214" s="18" t="str">
        <f>IF(wld_az1_rack4_host13_fqdn="Value Missing",wld_az1_rack4_host13_fqdn,LEFT(wld_az1_rack4_host13_fqdn,FIND(".",wld_az1_rack4_host13_fqdn)-1))</f>
        <v>Value Missing</v>
      </c>
      <c r="S214" s="1"/>
      <c r="T214" s="84" t="s">
        <v>1957</v>
      </c>
      <c r="U214" s="18" t="str">
        <f>IF(wld_az1_rack5_host13_fqdn="Value Missing",wld_az1_rack5_host13_fqdn,LEFT(wld_az1_rack5_host13_fqdn,FIND(".",wld_az1_rack5_host13_fqdn)-1))</f>
        <v>Value Missing</v>
      </c>
      <c r="V214" s="1"/>
      <c r="W214" s="84" t="s">
        <v>1957</v>
      </c>
      <c r="X214" s="18" t="str">
        <f>IF(wld_az1_rack6_host13_fqdn="Value Missing",wld_az1_rack6_host13_fqdn,LEFT(wld_az1_rack6_host13_fqdn,FIND(".",wld_az1_rack6_host13_fqdn)-1))</f>
        <v>Value Missing</v>
      </c>
      <c r="Y214" s="1"/>
      <c r="Z214" s="84" t="s">
        <v>1957</v>
      </c>
      <c r="AA214" s="18" t="str">
        <f>IF(wld_az1_rack7_host13_fqdn="Value Missing",wld_az1_rack7_host13_fqdn,LEFT(wld_az1_rack7_host13_fqdn,FIND(".",wld_az1_rack7_host13_fqdn)-1))</f>
        <v>Value Missing</v>
      </c>
      <c r="AB214" s="1"/>
      <c r="AC214" s="84" t="s">
        <v>1957</v>
      </c>
      <c r="AD214" s="18" t="str">
        <f>IF(wld_az1_rack8_host13_fqdn="Value Missing",wld_az1_rack8_host13_fqdn,LEFT(wld_az1_rack8_host13_fqdn,FIND(".",wld_az1_rack8_host13_fqdn)-1))</f>
        <v>Value Missing</v>
      </c>
      <c r="AE214" s="41"/>
      <c r="AF214" s="41"/>
      <c r="AG214" s="41"/>
      <c r="AH214" s="41"/>
      <c r="AI214" s="41"/>
      <c r="AJ214" s="41"/>
      <c r="AK214" s="41"/>
    </row>
    <row r="215" ht="19.5" customHeight="1">
      <c r="A215" s="41"/>
      <c r="B215" s="41"/>
      <c r="C215" s="41"/>
      <c r="D215" s="41"/>
      <c r="E215" s="1"/>
      <c r="F215" s="1"/>
      <c r="G215" s="1"/>
      <c r="H215" s="1"/>
      <c r="I215" s="1"/>
      <c r="J215" s="1"/>
      <c r="K215" s="84" t="s">
        <v>1958</v>
      </c>
      <c r="L215" s="18" t="str">
        <f>IF(wld_az1_rack2_host14_fqdn="Value Missing",wld_az1_rack2_host14_fqdn,LEFT(wld_az1_rack2_host14_fqdn,FIND(".",wld_az1_rack2_host14_fqdn)-1))</f>
        <v>Value Missing</v>
      </c>
      <c r="M215" s="8"/>
      <c r="N215" s="84" t="s">
        <v>1958</v>
      </c>
      <c r="O215" s="18" t="str">
        <f>IF(wld_az1_rack3_host14_fqdn="Value Missing",wld_az1_rack3_host14_fqdn,LEFT(wld_az1_rack3_host14_fqdn,FIND(".",wld_az1_rack3_host14_fqdn)-1))</f>
        <v>Value Missing</v>
      </c>
      <c r="P215" s="1"/>
      <c r="Q215" s="84" t="s">
        <v>1958</v>
      </c>
      <c r="R215" s="18" t="str">
        <f>IF(wld_az1_rack4_host14_fqdn="Value Missing",wld_az1_rack4_host14_fqdn,LEFT(wld_az1_rack4_host14_fqdn,FIND(".",wld_az1_rack4_host14_fqdn)-1))</f>
        <v>Value Missing</v>
      </c>
      <c r="S215" s="1"/>
      <c r="T215" s="84" t="s">
        <v>1958</v>
      </c>
      <c r="U215" s="18" t="str">
        <f>IF(wld_az1_rack5_host14_fqdn="Value Missing",wld_az1_rack5_host14_fqdn,LEFT(wld_az1_rack5_host14_fqdn,FIND(".",wld_az1_rack5_host14_fqdn)-1))</f>
        <v>Value Missing</v>
      </c>
      <c r="V215" s="1"/>
      <c r="W215" s="84" t="s">
        <v>1958</v>
      </c>
      <c r="X215" s="18" t="str">
        <f>IF(wld_az1_rack6_host14_fqdn="Value Missing",wld_az1_rack6_host14_fqdn,LEFT(wld_az1_rack6_host14_fqdn,FIND(".",wld_az1_rack6_host14_fqdn)-1))</f>
        <v>Value Missing</v>
      </c>
      <c r="Y215" s="1"/>
      <c r="Z215" s="84" t="s">
        <v>1958</v>
      </c>
      <c r="AA215" s="18" t="str">
        <f>IF(wld_az1_rack7_host14_fqdn="Value Missing",wld_az1_rack7_host14_fqdn,LEFT(wld_az1_rack7_host14_fqdn,FIND(".",wld_az1_rack7_host14_fqdn)-1))</f>
        <v>Value Missing</v>
      </c>
      <c r="AB215" s="1"/>
      <c r="AC215" s="84" t="s">
        <v>1958</v>
      </c>
      <c r="AD215" s="18" t="str">
        <f>IF(wld_az1_rack8_host14_fqdn="Value Missing",wld_az1_rack8_host14_fqdn,LEFT(wld_az1_rack8_host14_fqdn,FIND(".",wld_az1_rack8_host14_fqdn)-1))</f>
        <v>Value Missing</v>
      </c>
      <c r="AE215" s="41"/>
      <c r="AF215" s="41"/>
      <c r="AG215" s="41"/>
      <c r="AH215" s="41"/>
      <c r="AI215" s="41"/>
      <c r="AJ215" s="41"/>
      <c r="AK215" s="41"/>
    </row>
    <row r="216" ht="19.5" customHeight="1">
      <c r="A216" s="41"/>
      <c r="B216" s="41"/>
      <c r="C216" s="41"/>
      <c r="D216" s="41"/>
      <c r="E216" s="311" t="s">
        <v>1959</v>
      </c>
      <c r="F216" s="38"/>
      <c r="G216" s="1"/>
      <c r="H216" s="311" t="s">
        <v>1960</v>
      </c>
      <c r="I216" s="38"/>
      <c r="J216" s="1"/>
      <c r="K216" s="84" t="s">
        <v>1961</v>
      </c>
      <c r="L216" s="18" t="str">
        <f>IF(wld_az1_rack2_host15_fqdn="Value Missing",wld_az1_rack2_host15_fqdn,LEFT(wld_az1_rack2_host15_fqdn,FIND(".",wld_az1_rack2_host15_fqdn)-1))</f>
        <v>Value Missing</v>
      </c>
      <c r="M216" s="1"/>
      <c r="N216" s="84" t="s">
        <v>1961</v>
      </c>
      <c r="O216" s="18" t="str">
        <f>IF(wld_az1_rack3_host15_fqdn="Value Missing",wld_az1_rack3_host15_fqdn,LEFT(wld_az1_rack3_host15_fqdn,FIND(".",wld_az1_rack3_host15_fqdn)-1))</f>
        <v>Value Missing</v>
      </c>
      <c r="P216" s="1"/>
      <c r="Q216" s="84" t="s">
        <v>1961</v>
      </c>
      <c r="R216" s="18" t="str">
        <f>IF(wld_az1_rack4_host15_fqdn="Value Missing",wld_az1_rack4_host15_fqdn,LEFT(wld_az1_rack4_host15_fqdn,FIND(".",wld_az1_rack4_host15_fqdn)-1))</f>
        <v>Value Missing</v>
      </c>
      <c r="S216" s="1"/>
      <c r="T216" s="84" t="s">
        <v>1961</v>
      </c>
      <c r="U216" s="18" t="str">
        <f>IF(wld_az1_rack5_host15_fqdn="Value Missing",wld_az1_rack5_host15_fqdn,LEFT(wld_az1_rack5_host15_fqdn,FIND(".",wld_az1_rack5_host15_fqdn)-1))</f>
        <v>Value Missing</v>
      </c>
      <c r="V216" s="1"/>
      <c r="W216" s="84" t="s">
        <v>1961</v>
      </c>
      <c r="X216" s="18" t="str">
        <f>IF(wld_az1_rack6_host15_fqdn="Value Missing",wld_az1_rack6_host15_fqdn,LEFT(wld_az1_rack6_host15_fqdn,FIND(".",wld_az1_rack6_host15_fqdn)-1))</f>
        <v>Value Missing</v>
      </c>
      <c r="Y216" s="1"/>
      <c r="Z216" s="84" t="s">
        <v>1961</v>
      </c>
      <c r="AA216" s="18" t="str">
        <f>IF(wld_az1_rack7_host15_fqdn="Value Missing",wld_az1_rack7_host15_fqdn,LEFT(wld_az1_rack7_host15_fqdn,FIND(".",wld_az1_rack7_host15_fqdn)-1))</f>
        <v>Value Missing</v>
      </c>
      <c r="AB216" s="1"/>
      <c r="AC216" s="84" t="s">
        <v>1961</v>
      </c>
      <c r="AD216" s="18" t="str">
        <f>IF(wld_az1_rack8_host15_fqdn="Value Missing",wld_az1_rack8_host15_fqdn,LEFT(wld_az1_rack8_host15_fqdn,FIND(".",wld_az1_rack8_host15_fqdn)-1))</f>
        <v>Value Missing</v>
      </c>
      <c r="AE216" s="41"/>
      <c r="AF216" s="41"/>
      <c r="AG216" s="41"/>
      <c r="AH216" s="41"/>
      <c r="AI216" s="41"/>
      <c r="AJ216" s="41"/>
      <c r="AK216" s="41"/>
    </row>
    <row r="217" ht="19.5" customHeight="1">
      <c r="A217" s="41"/>
      <c r="B217" s="41"/>
      <c r="C217" s="41"/>
      <c r="D217" s="41"/>
      <c r="E217" s="15" t="s">
        <v>256</v>
      </c>
      <c r="F217" s="15" t="s">
        <v>1707</v>
      </c>
      <c r="G217" s="1"/>
      <c r="H217" s="15" t="s">
        <v>256</v>
      </c>
      <c r="I217" s="15" t="s">
        <v>274</v>
      </c>
      <c r="J217" s="1"/>
      <c r="K217" s="84" t="s">
        <v>1962</v>
      </c>
      <c r="L217" s="18" t="str">
        <f>IF(wld_az1_rack2_host16_fqdn="Value Missing",wld_az1_rack2_host16_fqdn,LEFT(wld_az1_rack2_host16_fqdn,FIND(".",wld_az1_rack2_host16_fqdn)-1))</f>
        <v>Value Missing</v>
      </c>
      <c r="M217" s="1"/>
      <c r="N217" s="84" t="s">
        <v>1962</v>
      </c>
      <c r="O217" s="18" t="str">
        <f>IF(wld_az1_rack3_host16_fqdn="Value Missing",wld_az1_rack3_host16_fqdn,LEFT(wld_az1_rack3_host16_fqdn,FIND(".",wld_az1_rack3_host16_fqdn)-1))</f>
        <v>Value Missing</v>
      </c>
      <c r="P217" s="1"/>
      <c r="Q217" s="84" t="s">
        <v>1962</v>
      </c>
      <c r="R217" s="18" t="str">
        <f>IF(wld_az1_rack4_host16_fqdn="Value Missing",wld_az1_rack4_host16_fqdn,LEFT(wld_az1_rack4_host16_fqdn,FIND(".",wld_az1_rack4_host16_fqdn)-1))</f>
        <v>Value Missing</v>
      </c>
      <c r="S217" s="1"/>
      <c r="T217" s="84" t="s">
        <v>1962</v>
      </c>
      <c r="U217" s="18" t="str">
        <f>IF(wld_az1_rack5_host16_fqdn="Value Missing",wld_az1_rack5_host16_fqdn,LEFT(wld_az1_rack5_host16_fqdn,FIND(".",wld_az1_rack5_host16_fqdn)-1))</f>
        <v>Value Missing</v>
      </c>
      <c r="V217" s="1"/>
      <c r="W217" s="84" t="s">
        <v>1962</v>
      </c>
      <c r="X217" s="18" t="str">
        <f>IF(wld_az1_rack6_host16_fqdn="Value Missing",wld_az1_rack6_host16_fqdn,LEFT(wld_az1_rack6_host16_fqdn,FIND(".",wld_az1_rack6_host16_fqdn)-1))</f>
        <v>Value Missing</v>
      </c>
      <c r="Y217" s="1"/>
      <c r="Z217" s="84" t="s">
        <v>1962</v>
      </c>
      <c r="AA217" s="18" t="str">
        <f>IF(wld_az1_rack7_host16_fqdn="Value Missing",wld_az1_rack7_host16_fqdn,LEFT(wld_az1_rack7_host16_fqdn,FIND(".",wld_az1_rack7_host16_fqdn)-1))</f>
        <v>Value Missing</v>
      </c>
      <c r="AB217" s="1"/>
      <c r="AC217" s="84" t="s">
        <v>1962</v>
      </c>
      <c r="AD217" s="18" t="str">
        <f>IF(wld_az1_rack8_host16_fqdn="Value Missing",wld_az1_rack8_host16_fqdn,LEFT(wld_az1_rack8_host16_fqdn,FIND(".",wld_az1_rack8_host16_fqdn)-1))</f>
        <v>Value Missing</v>
      </c>
      <c r="AE217" s="41"/>
      <c r="AF217" s="41"/>
      <c r="AG217" s="41"/>
      <c r="AH217" s="41"/>
      <c r="AI217" s="41"/>
      <c r="AJ217" s="41"/>
      <c r="AK217" s="41"/>
    </row>
    <row r="218" ht="19.5" customHeight="1">
      <c r="A218" s="41"/>
      <c r="B218" s="41"/>
      <c r="C218" s="41"/>
      <c r="D218" s="41"/>
      <c r="E218" s="84" t="s">
        <v>1933</v>
      </c>
      <c r="F218" s="18" t="str">
        <f>IF(mgmt_az1_host1_fqdn="Value Missing",mgmt_az1_host1_fqdn,LEFT(mgmt_az1_host1_fqdn,FIND(".",mgmt_az1_host1_fqdn)-1))</f>
        <v>Value Missing</v>
      </c>
      <c r="G218" s="1"/>
      <c r="H218" s="84" t="s">
        <v>1933</v>
      </c>
      <c r="I218" s="18" t="str">
        <f>IF(wld_az1_host1_fqdn="Value Missing",wld_az1_host1_fqdn,LEFT(wld_az1_host1_fqdn,FIND(".",wld_az1_host1_fqdn)-1))</f>
        <v>Value Missing</v>
      </c>
      <c r="J218" s="1"/>
      <c r="K218" s="1"/>
      <c r="L218" s="1"/>
      <c r="M218" s="1"/>
      <c r="N218" s="35"/>
      <c r="O218" s="35"/>
      <c r="P218" s="1"/>
      <c r="Q218" s="1"/>
      <c r="R218" s="1"/>
      <c r="S218" s="1"/>
      <c r="T218" s="1"/>
      <c r="U218" s="1"/>
      <c r="V218" s="1"/>
      <c r="W218" s="1"/>
      <c r="X218" s="1"/>
      <c r="Y218" s="1"/>
      <c r="Z218" s="1"/>
      <c r="AA218" s="1"/>
      <c r="AB218" s="1"/>
      <c r="AC218" s="1"/>
      <c r="AD218" s="1"/>
      <c r="AE218" s="41"/>
      <c r="AF218" s="41"/>
      <c r="AG218" s="41"/>
      <c r="AH218" s="41"/>
      <c r="AI218" s="41"/>
      <c r="AJ218" s="41"/>
      <c r="AK218" s="41"/>
    </row>
    <row r="219" ht="19.5" customHeight="1">
      <c r="A219" s="41"/>
      <c r="B219" s="41"/>
      <c r="C219" s="41"/>
      <c r="D219" s="41"/>
      <c r="E219" s="84" t="s">
        <v>1935</v>
      </c>
      <c r="F219" s="18" t="str">
        <f>IF(mgmt_az1_host2_fqdn="Value Missing",mgmt_az1_host2_fqdn,LEFT(mgmt_az1_host2_fqdn,FIND(".",mgmt_az1_host2_fqdn)-1))</f>
        <v>Value Missing</v>
      </c>
      <c r="G219" s="1"/>
      <c r="H219" s="84" t="s">
        <v>1935</v>
      </c>
      <c r="I219" s="18" t="str">
        <f>IF(wld_az1_host2_fqdn="Value Missing",wld_az1_host2_fqdn,LEFT(wld_az1_host2_fqdn,FIND(".",wld_az1_host2_fqdn)-1))</f>
        <v>Value Missing</v>
      </c>
      <c r="J219" s="1"/>
      <c r="K219" s="309" t="s">
        <v>1963</v>
      </c>
      <c r="L219" s="324"/>
      <c r="M219" s="1"/>
      <c r="N219" s="309" t="s">
        <v>1964</v>
      </c>
      <c r="O219" s="324"/>
      <c r="P219" s="1"/>
      <c r="Q219" s="309" t="s">
        <v>1965</v>
      </c>
      <c r="R219" s="324"/>
      <c r="S219" s="1"/>
      <c r="T219" s="309" t="s">
        <v>1966</v>
      </c>
      <c r="U219" s="324"/>
      <c r="V219" s="1"/>
      <c r="W219" s="309" t="s">
        <v>1967</v>
      </c>
      <c r="X219" s="324"/>
      <c r="Y219" s="1"/>
      <c r="Z219" s="309" t="s">
        <v>1968</v>
      </c>
      <c r="AA219" s="324"/>
      <c r="AB219" s="1"/>
      <c r="AC219" s="309" t="s">
        <v>1969</v>
      </c>
      <c r="AD219" s="324"/>
      <c r="AE219" s="41"/>
      <c r="AF219" s="41"/>
      <c r="AG219" s="41"/>
      <c r="AH219" s="41"/>
      <c r="AI219" s="41"/>
      <c r="AJ219" s="41"/>
      <c r="AK219" s="41"/>
    </row>
    <row r="220" ht="19.5" customHeight="1">
      <c r="A220" s="41"/>
      <c r="B220" s="41"/>
      <c r="C220" s="41"/>
      <c r="D220" s="41"/>
      <c r="E220" s="84" t="s">
        <v>1937</v>
      </c>
      <c r="F220" s="18" t="str">
        <f>IF(mgmt_az1_host3_fqdn="Value Missing",mgmt_az1_host3_fqdn,LEFT(mgmt_az1_host3_fqdn,FIND(".",mgmt_az1_host3_fqdn)-1))</f>
        <v>Value Missing</v>
      </c>
      <c r="G220" s="1"/>
      <c r="H220" s="84" t="s">
        <v>1937</v>
      </c>
      <c r="I220" s="18" t="str">
        <f>IF(wld_az1_host3_fqdn="Value Missing",wld_az1_host3_fqdn,LEFT(wld_az1_host3_fqdn,FIND(".",wld_az1_host3_fqdn)-1))</f>
        <v>Value Missing</v>
      </c>
      <c r="J220" s="1"/>
      <c r="K220" s="15" t="s">
        <v>256</v>
      </c>
      <c r="L220" s="15" t="s">
        <v>274</v>
      </c>
      <c r="M220" s="1"/>
      <c r="N220" s="15" t="s">
        <v>256</v>
      </c>
      <c r="O220" s="15" t="s">
        <v>274</v>
      </c>
      <c r="P220" s="8"/>
      <c r="Q220" s="15" t="s">
        <v>256</v>
      </c>
      <c r="R220" s="15" t="s">
        <v>274</v>
      </c>
      <c r="S220" s="8"/>
      <c r="T220" s="15" t="s">
        <v>256</v>
      </c>
      <c r="U220" s="15" t="s">
        <v>274</v>
      </c>
      <c r="V220" s="8"/>
      <c r="W220" s="15" t="s">
        <v>256</v>
      </c>
      <c r="X220" s="15" t="s">
        <v>274</v>
      </c>
      <c r="Y220" s="8"/>
      <c r="Z220" s="15" t="s">
        <v>256</v>
      </c>
      <c r="AA220" s="15" t="s">
        <v>274</v>
      </c>
      <c r="AB220" s="8"/>
      <c r="AC220" s="15" t="s">
        <v>256</v>
      </c>
      <c r="AD220" s="15" t="s">
        <v>274</v>
      </c>
      <c r="AE220" s="41"/>
      <c r="AF220" s="41"/>
      <c r="AG220" s="41"/>
      <c r="AH220" s="41"/>
      <c r="AI220" s="41"/>
      <c r="AJ220" s="41"/>
      <c r="AK220" s="41"/>
    </row>
    <row r="221" ht="19.5" customHeight="1">
      <c r="A221" s="41"/>
      <c r="B221" s="41"/>
      <c r="C221" s="41"/>
      <c r="D221" s="41"/>
      <c r="E221" s="84" t="s">
        <v>1939</v>
      </c>
      <c r="F221" s="18" t="str">
        <f>IF(mgmt_az1_host4_fqdn="Value Missing",mgmt_az1_host4_fqdn,LEFT(mgmt_az1_host4_fqdn,FIND(".",mgmt_az1_host4_fqdn)-1))</f>
        <v>Value Missing</v>
      </c>
      <c r="G221" s="41"/>
      <c r="H221" s="84" t="s">
        <v>1939</v>
      </c>
      <c r="I221" s="18" t="str">
        <f>IF(wld_az1_host4_fqdn="Value Missing",wld_az1_host4_fqdn,LEFT(wld_az1_host4_fqdn,FIND(".",wld_az1_host4_fqdn)-1))</f>
        <v>Value Missing</v>
      </c>
      <c r="J221" s="41"/>
      <c r="K221" s="84" t="s">
        <v>1933</v>
      </c>
      <c r="L221" s="18" t="str">
        <f>IF(ISBLANK(input_wld_az1_rack2_host1_fqdn),"Value Missing",input_wld_az1_rack2_host1_fqdn)</f>
        <v>Value Missing</v>
      </c>
      <c r="M221" s="1"/>
      <c r="N221" s="84" t="s">
        <v>1933</v>
      </c>
      <c r="O221" s="18" t="str">
        <f>IF(ISBLANK(input_wld_az1_rack3_host1_fqdn),"Value Missing",input_wld_az1_rack3_host1_fqdn)</f>
        <v>Value Missing</v>
      </c>
      <c r="P221" s="1"/>
      <c r="Q221" s="84" t="s">
        <v>1933</v>
      </c>
      <c r="R221" s="18" t="str">
        <f>IF(ISBLANK(input_wld_az1_rack4_host1_fqdn),"Value Missing",input_wld_az1_rack4_host1_fqdn)</f>
        <v>Value Missing</v>
      </c>
      <c r="S221" s="1"/>
      <c r="T221" s="84" t="s">
        <v>1933</v>
      </c>
      <c r="U221" s="18" t="str">
        <f>IF(ISBLANK(input_wld_az1_rack5_host1_fqdn),"Value Missing",input_wld_az1_rack5_host1_fqdn)</f>
        <v>Value Missing</v>
      </c>
      <c r="V221" s="1"/>
      <c r="W221" s="84" t="s">
        <v>1933</v>
      </c>
      <c r="X221" s="18" t="str">
        <f>IF(ISBLANK(input_wld_az1_rack6_host1_fqdn),"Value Missing",input_wld_az1_rack6_host1_fqdn)</f>
        <v>Value Missing</v>
      </c>
      <c r="Y221" s="1"/>
      <c r="Z221" s="84" t="s">
        <v>1933</v>
      </c>
      <c r="AA221" s="18" t="str">
        <f>IF(ISBLANK(input_wld_az1_rack7_host1_fqdn),"Value Missing",input_wld_az1_rack7_host1_fqdn)</f>
        <v>Value Missing</v>
      </c>
      <c r="AB221" s="1"/>
      <c r="AC221" s="84" t="s">
        <v>1933</v>
      </c>
      <c r="AD221" s="18" t="str">
        <f>IF(ISBLANK(input_wld_az1_rack8_host1_fqdn),"Value Missing",input_wld_az1_rack8_host1_fqdn)</f>
        <v>Value Missing</v>
      </c>
      <c r="AE221" s="41"/>
      <c r="AF221" s="41"/>
      <c r="AG221" s="41"/>
      <c r="AH221" s="41"/>
      <c r="AI221" s="41"/>
      <c r="AJ221" s="41"/>
      <c r="AK221" s="41"/>
    </row>
    <row r="222" ht="19.5" customHeight="1">
      <c r="A222" s="41"/>
      <c r="B222" s="41"/>
      <c r="C222" s="41"/>
      <c r="D222" s="41"/>
      <c r="E222" s="84" t="s">
        <v>1941</v>
      </c>
      <c r="F222" s="18" t="str">
        <f>IF(mgmt_az1_host5_fqdn="Value Missing",mgmt_az1_host5_fqdn,LEFT(mgmt_az1_host5_fqdn,FIND(".",mgmt_az1_host5_fqdn)-1))</f>
        <v>Value Missing</v>
      </c>
      <c r="G222" s="41"/>
      <c r="H222" s="84" t="s">
        <v>1941</v>
      </c>
      <c r="I222" s="18" t="str">
        <f>IF(wld_az1_host5_fqdn="Value Missing",wld_az1_host5_fqdn,LEFT(wld_az1_host5_fqdn,FIND(".",wld_az1_host5_fqdn)-1))</f>
        <v>Value Missing</v>
      </c>
      <c r="J222" s="41"/>
      <c r="K222" s="84" t="s">
        <v>1935</v>
      </c>
      <c r="L222" s="18" t="str">
        <f>IF(ISBLANK(input_wld_az1_rack2_host2_fqdn),"Value Missing",input_wld_az1_rack2_host2_fqdn)</f>
        <v>Value Missing</v>
      </c>
      <c r="M222" s="1"/>
      <c r="N222" s="84" t="s">
        <v>1935</v>
      </c>
      <c r="O222" s="18" t="str">
        <f>IF(ISBLANK(input_wld_az1_rack3_host2_fqdn),"Value Missing",input_wld_az1_rack3_host2_fqdn)</f>
        <v>Value Missing</v>
      </c>
      <c r="P222" s="1"/>
      <c r="Q222" s="84" t="s">
        <v>1935</v>
      </c>
      <c r="R222" s="18" t="str">
        <f>IF(ISBLANK(input_wld_az1_rack4_host2_fqdn),"Value Missing",input_wld_az1_rack4_host2_fqdn)</f>
        <v>Value Missing</v>
      </c>
      <c r="S222" s="1"/>
      <c r="T222" s="84" t="s">
        <v>1935</v>
      </c>
      <c r="U222" s="18" t="str">
        <f>IF(ISBLANK(input_wld_az1_rack5_host2_fqdn),"Value Missing",input_wld_az1_rack5_host2_fqdn)</f>
        <v>Value Missing</v>
      </c>
      <c r="V222" s="1"/>
      <c r="W222" s="84" t="s">
        <v>1935</v>
      </c>
      <c r="X222" s="18" t="str">
        <f>IF(ISBLANK(input_wld_az1_rack6_host2_fqdn),"Value Missing",input_wld_az1_rack6_host2_fqdn)</f>
        <v>Value Missing</v>
      </c>
      <c r="Y222" s="1"/>
      <c r="Z222" s="84" t="s">
        <v>1935</v>
      </c>
      <c r="AA222" s="18" t="str">
        <f>IF(ISBLANK(input_wld_az1_rack7_host2_fqdn),"Value Missing",input_wld_az1_rack7_host2_fqdn)</f>
        <v>Value Missing</v>
      </c>
      <c r="AB222" s="1"/>
      <c r="AC222" s="84" t="s">
        <v>1935</v>
      </c>
      <c r="AD222" s="18" t="str">
        <f>IF(ISBLANK(input_wld_az1_rack8_host2_fqdn),"Value Missing",input_wld_az1_rack8_host2_fqdn)</f>
        <v>Value Missing</v>
      </c>
      <c r="AE222" s="41"/>
      <c r="AF222" s="41"/>
      <c r="AG222" s="41"/>
      <c r="AH222" s="41"/>
      <c r="AI222" s="41"/>
      <c r="AJ222" s="41"/>
      <c r="AK222" s="41"/>
    </row>
    <row r="223" ht="19.5" customHeight="1">
      <c r="A223" s="41"/>
      <c r="B223" s="41"/>
      <c r="C223" s="41"/>
      <c r="D223" s="41"/>
      <c r="E223" s="84" t="s">
        <v>1943</v>
      </c>
      <c r="F223" s="18" t="str">
        <f>IF(mgmt_az1_host6_fqdn="Value Missing",mgmt_az1_host6_fqdn,LEFT(mgmt_az1_host6_fqdn,FIND(".",mgmt_az1_host6_fqdn)-1))</f>
        <v>Value Missing</v>
      </c>
      <c r="G223" s="41"/>
      <c r="H223" s="84" t="s">
        <v>1943</v>
      </c>
      <c r="I223" s="18" t="str">
        <f>IF(wld_az1_host6_fqdn="Value Missing",wld_az1_host6_fqdn,LEFT(wld_az1_host6_fqdn,FIND(".",wld_az1_host6_fqdn)-1))</f>
        <v>Value Missing</v>
      </c>
      <c r="J223" s="41"/>
      <c r="K223" s="84" t="s">
        <v>1937</v>
      </c>
      <c r="L223" s="18" t="str">
        <f>IF(ISBLANK(input_wld_az1_rack2_host3_fqdn),"Value Missing",input_wld_az1_rack2_host3_fqdn)</f>
        <v>Value Missing</v>
      </c>
      <c r="M223" s="1"/>
      <c r="N223" s="84" t="s">
        <v>1937</v>
      </c>
      <c r="O223" s="18" t="str">
        <f>IF(ISBLANK(input_wld_az1_rack3_host3_fqdn),"Value Missing",input_wld_az1_rack3_host3_fqdn)</f>
        <v>Value Missing</v>
      </c>
      <c r="P223" s="1"/>
      <c r="Q223" s="84" t="s">
        <v>1937</v>
      </c>
      <c r="R223" s="18" t="str">
        <f>IF(ISBLANK(input_wld_az1_rack4_host3_fqdn),"Value Missing",input_wld_az1_rack4_host3_fqdn)</f>
        <v>Value Missing</v>
      </c>
      <c r="S223" s="1"/>
      <c r="T223" s="84" t="s">
        <v>1937</v>
      </c>
      <c r="U223" s="18" t="str">
        <f>IF(ISBLANK(input_wld_az1_rack5_host3_fqdn),"Value Missing",input_wld_az1_rack5_host3_fqdn)</f>
        <v>Value Missing</v>
      </c>
      <c r="V223" s="1"/>
      <c r="W223" s="84" t="s">
        <v>1937</v>
      </c>
      <c r="X223" s="18" t="str">
        <f>IF(ISBLANK(input_wld_az1_rack6_host3_fqdn),"Value Missing",input_wld_az1_rack6_host3_fqdn)</f>
        <v>Value Missing</v>
      </c>
      <c r="Y223" s="1"/>
      <c r="Z223" s="84" t="s">
        <v>1937</v>
      </c>
      <c r="AA223" s="18" t="str">
        <f>IF(ISBLANK(input_wld_az1_rack7_host3_fqdn),"Value Missing",input_wld_az1_rack7_host3_fqdn)</f>
        <v>Value Missing</v>
      </c>
      <c r="AB223" s="1"/>
      <c r="AC223" s="84" t="s">
        <v>1937</v>
      </c>
      <c r="AD223" s="18" t="str">
        <f>IF(ISBLANK(input_wld_az1_rack8_host3_fqdn),"Value Missing",input_wld_az1_rack8_host3_fqdn)</f>
        <v>Value Missing</v>
      </c>
      <c r="AE223" s="41"/>
      <c r="AF223" s="41"/>
      <c r="AG223" s="41"/>
      <c r="AH223" s="41"/>
      <c r="AI223" s="41"/>
      <c r="AJ223" s="41"/>
      <c r="AK223" s="41"/>
    </row>
    <row r="224" ht="19.5" customHeight="1">
      <c r="A224" s="41"/>
      <c r="B224" s="41"/>
      <c r="C224" s="41"/>
      <c r="D224" s="41"/>
      <c r="E224" s="84" t="s">
        <v>1945</v>
      </c>
      <c r="F224" s="18" t="str">
        <f>IF(mgmt_az1_host7_fqdn="Value Missing",mgmt_az1_host7_fqdn,LEFT(mgmt_az1_host7_fqdn,FIND(".",mgmt_az1_host7_fqdn)-1))</f>
        <v>Value Missing</v>
      </c>
      <c r="G224" s="41"/>
      <c r="H224" s="84" t="s">
        <v>1945</v>
      </c>
      <c r="I224" s="18" t="str">
        <f>IF(wld_az1_host7_fqdn="Value Missing",wld_az1_host7_fqdn,LEFT(wld_az1_host7_fqdn,FIND(".",wld_az1_host7_fqdn)-1))</f>
        <v>Value Missing</v>
      </c>
      <c r="J224" s="41"/>
      <c r="K224" s="84" t="s">
        <v>1939</v>
      </c>
      <c r="L224" s="18" t="str">
        <f>IF(ISBLANK(input_wld_az1_rack2_host4_fqdn),"Value Missing",input_wld_az1_rack2_host4_fqdn)</f>
        <v>Value Missing</v>
      </c>
      <c r="M224" s="41"/>
      <c r="N224" s="84" t="s">
        <v>1939</v>
      </c>
      <c r="O224" s="18" t="str">
        <f>IF(ISBLANK(input_wld_az1_rack3_host4_fqdn),"Value Missing",input_wld_az1_rack3_host4_fqdn)</f>
        <v>Value Missing</v>
      </c>
      <c r="P224" s="1"/>
      <c r="Q224" s="84" t="s">
        <v>1939</v>
      </c>
      <c r="R224" s="18" t="str">
        <f>IF(ISBLANK(input_wld_az1_rack4_host4_fqdn),"Value Missing",input_wld_az1_rack4_host4_fqdn)</f>
        <v>Value Missing</v>
      </c>
      <c r="S224" s="1"/>
      <c r="T224" s="84" t="s">
        <v>1939</v>
      </c>
      <c r="U224" s="18" t="str">
        <f>IF(ISBLANK(input_wld_az1_rack5_host4_fqdn),"Value Missing",input_wld_az1_rack5_host4_fqdn)</f>
        <v>Value Missing</v>
      </c>
      <c r="V224" s="1"/>
      <c r="W224" s="84" t="s">
        <v>1939</v>
      </c>
      <c r="X224" s="18" t="str">
        <f>IF(ISBLANK(input_wld_az1_rack6_host4_fqdn),"Value Missing",input_wld_az1_rack6_host4_fqdn)</f>
        <v>Value Missing</v>
      </c>
      <c r="Y224" s="1"/>
      <c r="Z224" s="84" t="s">
        <v>1939</v>
      </c>
      <c r="AA224" s="18" t="str">
        <f>IF(ISBLANK(input_wld_az1_rack7_host4_fqdn),"Value Missing",input_wld_az1_rack7_host4_fqdn)</f>
        <v>Value Missing</v>
      </c>
      <c r="AB224" s="1"/>
      <c r="AC224" s="84" t="s">
        <v>1939</v>
      </c>
      <c r="AD224" s="18" t="str">
        <f>IF(ISBLANK(input_wld_az1_rack8_host4_fqdn),"Value Missing",input_wld_az1_rack8_host4_fqdn)</f>
        <v>Value Missing</v>
      </c>
      <c r="AE224" s="41"/>
      <c r="AF224" s="41"/>
      <c r="AG224" s="41"/>
      <c r="AH224" s="41"/>
      <c r="AI224" s="41"/>
      <c r="AJ224" s="41"/>
      <c r="AK224" s="41"/>
    </row>
    <row r="225" ht="19.5" customHeight="1">
      <c r="A225" s="41"/>
      <c r="B225" s="41"/>
      <c r="C225" s="41"/>
      <c r="D225" s="41"/>
      <c r="E225" s="84" t="s">
        <v>1947</v>
      </c>
      <c r="F225" s="18" t="str">
        <f>IF(mgmt_az1_host8_fqdn="Value Missing",mgmt_az1_host8_fqdn,LEFT(mgmt_az1_host8_fqdn,FIND(".",mgmt_az1_host8_fqdn)-1))</f>
        <v>Value Missing</v>
      </c>
      <c r="G225" s="41"/>
      <c r="H225" s="84" t="s">
        <v>1947</v>
      </c>
      <c r="I225" s="18" t="str">
        <f>IF(wld_az1_host8_fqdn="Value Missing",wld_az1_host8_fqdn,LEFT(wld_az1_host8_fqdn,FIND(".",wld_az1_host8_fqdn)-1))</f>
        <v>Value Missing</v>
      </c>
      <c r="J225" s="41"/>
      <c r="K225" s="84" t="s">
        <v>1941</v>
      </c>
      <c r="L225" s="18" t="str">
        <f>IF(ISBLANK(input_wld_az1_rack2_host5_fqdn),"Value Missing",input_wld_az1_rack2_host5_fqdn)</f>
        <v>Value Missing</v>
      </c>
      <c r="M225" s="41"/>
      <c r="N225" s="84" t="s">
        <v>1941</v>
      </c>
      <c r="O225" s="18" t="str">
        <f>IF(ISBLANK(input_wld_az1_rack3_host5_fqdn),"Value Missing",input_wld_az1_rack3_host5_fqdn)</f>
        <v>Value Missing</v>
      </c>
      <c r="P225" s="1"/>
      <c r="Q225" s="84" t="s">
        <v>1941</v>
      </c>
      <c r="R225" s="18" t="str">
        <f>IF(ISBLANK(input_wld_az1_rack4_host5_fqdn),"Value Missing",input_wld_az1_rack4_host5_fqdn)</f>
        <v>Value Missing</v>
      </c>
      <c r="S225" s="1"/>
      <c r="T225" s="84" t="s">
        <v>1941</v>
      </c>
      <c r="U225" s="18" t="str">
        <f>IF(ISBLANK(input_wld_az1_rack5_host5_fqdn),"Value Missing",input_wld_az1_rack5_host5_fqdn)</f>
        <v>Value Missing</v>
      </c>
      <c r="V225" s="1"/>
      <c r="W225" s="84" t="s">
        <v>1941</v>
      </c>
      <c r="X225" s="18" t="str">
        <f>IF(ISBLANK(input_wld_az1_rack6_host5_fqdn),"Value Missing",input_wld_az1_rack6_host5_fqdn)</f>
        <v>Value Missing</v>
      </c>
      <c r="Y225" s="1"/>
      <c r="Z225" s="84" t="s">
        <v>1941</v>
      </c>
      <c r="AA225" s="18" t="str">
        <f>IF(ISBLANK(input_wld_az1_rack7_host5_fqdn),"Value Missing",input_wld_az1_rack7_host5_fqdn)</f>
        <v>Value Missing</v>
      </c>
      <c r="AB225" s="1"/>
      <c r="AC225" s="84" t="s">
        <v>1941</v>
      </c>
      <c r="AD225" s="18" t="str">
        <f>IF(ISBLANK(input_wld_az1_rack8_host5_fqdn),"Value Missing",input_wld_az1_rack8_host5_fqdn)</f>
        <v>Value Missing</v>
      </c>
      <c r="AE225" s="41"/>
      <c r="AF225" s="41"/>
      <c r="AG225" s="41"/>
      <c r="AH225" s="41"/>
      <c r="AI225" s="41"/>
      <c r="AJ225" s="41"/>
      <c r="AK225" s="41"/>
    </row>
    <row r="226" ht="19.5" customHeight="1">
      <c r="A226" s="41"/>
      <c r="B226" s="41"/>
      <c r="C226" s="41"/>
      <c r="D226" s="41"/>
      <c r="E226" s="84" t="s">
        <v>1949</v>
      </c>
      <c r="F226" s="18" t="str">
        <f>IF(mgmt_az1_host9_fqdn="Value Missing",mgmt_az1_host9_fqdn,LEFT(mgmt_az1_host9_fqdn,FIND(".",mgmt_az1_host9_fqdn)-1))</f>
        <v>Value Missing</v>
      </c>
      <c r="G226" s="41"/>
      <c r="H226" s="84" t="s">
        <v>1949</v>
      </c>
      <c r="I226" s="18" t="str">
        <f>IF(wld_az1_host9_fqdn="Value Missing",wld_az1_host9_fqdn,LEFT(wld_az1_host9_fqdn,FIND(".",wld_az1_host9_fqdn)-1))</f>
        <v>Value Missing</v>
      </c>
      <c r="J226" s="41"/>
      <c r="K226" s="84" t="s">
        <v>1943</v>
      </c>
      <c r="L226" s="18" t="str">
        <f>IF(ISBLANK(input_wld_az1_rack2_host6_fqdn),"Value Missing",input_wld_az1_rack2_host6_fqdn)</f>
        <v>Value Missing</v>
      </c>
      <c r="M226" s="41"/>
      <c r="N226" s="84" t="s">
        <v>1943</v>
      </c>
      <c r="O226" s="18" t="str">
        <f>IF(ISBLANK(input_wld_az1_rack3_host6_fqdn),"Value Missing",input_wld_az1_rack3_host6_fqdn)</f>
        <v>Value Missing</v>
      </c>
      <c r="P226" s="1"/>
      <c r="Q226" s="84" t="s">
        <v>1943</v>
      </c>
      <c r="R226" s="18" t="str">
        <f>IF(ISBLANK(input_wld_az1_rack4_host6_fqdn),"Value Missing",input_wld_az1_rack4_host6_fqdn)</f>
        <v>Value Missing</v>
      </c>
      <c r="S226" s="1"/>
      <c r="T226" s="84" t="s">
        <v>1943</v>
      </c>
      <c r="U226" s="18" t="str">
        <f>IF(ISBLANK(input_wld_az1_rack5_host6_fqdn),"Value Missing",input_wld_az1_rack5_host6_fqdn)</f>
        <v>Value Missing</v>
      </c>
      <c r="V226" s="1"/>
      <c r="W226" s="84" t="s">
        <v>1943</v>
      </c>
      <c r="X226" s="18" t="str">
        <f>IF(ISBLANK(input_wld_az1_rack6_host6_fqdn),"Value Missing",input_wld_az1_rack6_host6_fqdn)</f>
        <v>Value Missing</v>
      </c>
      <c r="Y226" s="1"/>
      <c r="Z226" s="84" t="s">
        <v>1943</v>
      </c>
      <c r="AA226" s="18" t="str">
        <f>IF(ISBLANK(input_wld_az1_rack7_host6_fqdn),"Value Missing",input_wld_az1_rack7_host6_fqdn)</f>
        <v>Value Missing</v>
      </c>
      <c r="AB226" s="1"/>
      <c r="AC226" s="84" t="s">
        <v>1943</v>
      </c>
      <c r="AD226" s="18" t="str">
        <f>IF(ISBLANK(input_wld_az1_rack8_host6_fqdn),"Value Missing",input_wld_az1_rack8_host6_fqdn)</f>
        <v>Value Missing</v>
      </c>
      <c r="AE226" s="41"/>
      <c r="AF226" s="41"/>
      <c r="AG226" s="41"/>
      <c r="AH226" s="41"/>
      <c r="AI226" s="41"/>
      <c r="AJ226" s="41"/>
      <c r="AK226" s="41"/>
    </row>
    <row r="227" ht="19.5" customHeight="1">
      <c r="A227" s="41"/>
      <c r="B227" s="41"/>
      <c r="C227" s="41"/>
      <c r="D227" s="41"/>
      <c r="E227" s="84" t="s">
        <v>1951</v>
      </c>
      <c r="F227" s="18" t="str">
        <f>IF(mgmt_az1_host10_fqdn="Value Missing",mgmt_az1_host10_fqdn,LEFT(mgmt_az1_host10_fqdn,FIND(".",mgmt_az1_host10_fqdn)-1))</f>
        <v>Value Missing</v>
      </c>
      <c r="G227" s="41"/>
      <c r="H227" s="84" t="s">
        <v>1951</v>
      </c>
      <c r="I227" s="18" t="str">
        <f>IF(wld_az1_host10_fqdn="Value Missing",wld_az1_host10_fqdn,LEFT(wld_az1_host10_fqdn,FIND(".",wld_az1_host10_fqdn)-1))</f>
        <v>Value Missing</v>
      </c>
      <c r="J227" s="41"/>
      <c r="K227" s="84" t="s">
        <v>1945</v>
      </c>
      <c r="L227" s="18" t="str">
        <f>IF(ISBLANK(input_wld_az1_rack2_host7_fqdn),"Value Missing",input_wld_az1_rack2_host7_fqdn)</f>
        <v>Value Missing</v>
      </c>
      <c r="M227" s="41"/>
      <c r="N227" s="84" t="s">
        <v>1945</v>
      </c>
      <c r="O227" s="18" t="str">
        <f>IF(ISBLANK(input_wld_az1_rack3_host7_fqdn),"Value Missing",input_wld_az1_rack3_host7_fqdn)</f>
        <v>Value Missing</v>
      </c>
      <c r="P227" s="1"/>
      <c r="Q227" s="84" t="s">
        <v>1945</v>
      </c>
      <c r="R227" s="18" t="str">
        <f>IF(ISBLANK(input_wld_az1_rack4_host7_fqdn),"Value Missing",input_wld_az1_rack4_host7_fqdn)</f>
        <v>Value Missing</v>
      </c>
      <c r="S227" s="1"/>
      <c r="T227" s="84" t="s">
        <v>1945</v>
      </c>
      <c r="U227" s="18" t="str">
        <f>IF(ISBLANK(input_wld_az1_rack5_host7_fqdn),"Value Missing",input_wld_az1_rack5_host7_fqdn)</f>
        <v>Value Missing</v>
      </c>
      <c r="V227" s="1"/>
      <c r="W227" s="84" t="s">
        <v>1945</v>
      </c>
      <c r="X227" s="18" t="str">
        <f>IF(ISBLANK(input_wld_az1_rack6_host7_fqdn),"Value Missing",input_wld_az1_rack6_host7_fqdn)</f>
        <v>Value Missing</v>
      </c>
      <c r="Y227" s="1"/>
      <c r="Z227" s="84" t="s">
        <v>1945</v>
      </c>
      <c r="AA227" s="18" t="str">
        <f>IF(ISBLANK(input_wld_az1_rack7_host7_fqdn),"Value Missing",input_wld_az1_rack7_host7_fqdn)</f>
        <v>Value Missing</v>
      </c>
      <c r="AB227" s="1"/>
      <c r="AC227" s="84" t="s">
        <v>1945</v>
      </c>
      <c r="AD227" s="18" t="str">
        <f>IF(ISBLANK(input_wld_az1_rack8_host7_fqdn),"Value Missing",input_wld_az1_rack8_host7_fqdn)</f>
        <v>Value Missing</v>
      </c>
      <c r="AE227" s="41"/>
      <c r="AF227" s="41"/>
      <c r="AG227" s="41"/>
      <c r="AH227" s="41"/>
      <c r="AI227" s="41"/>
      <c r="AJ227" s="41"/>
      <c r="AK227" s="41"/>
    </row>
    <row r="228" ht="19.5" customHeight="1">
      <c r="A228" s="41"/>
      <c r="B228" s="41"/>
      <c r="C228" s="41"/>
      <c r="D228" s="41"/>
      <c r="E228" s="84" t="s">
        <v>1953</v>
      </c>
      <c r="F228" s="18" t="str">
        <f>IF(mgmt_az1_host11_fqdn="Value Missing",mgmt_az1_host11_fqdn,LEFT(mgmt_az1_host11_fqdn,FIND(".",mgmt_az1_host11_fqdn)-1))</f>
        <v>Value Missing</v>
      </c>
      <c r="G228" s="41"/>
      <c r="H228" s="84" t="s">
        <v>1953</v>
      </c>
      <c r="I228" s="18" t="str">
        <f>IF(wld_az1_host11_fqdn="Value Missing",wld_az1_host11_fqdn,LEFT(wld_az1_host11_fqdn,FIND(".",wld_az1_host11_fqdn)-1))</f>
        <v>Value Missing</v>
      </c>
      <c r="J228" s="41"/>
      <c r="K228" s="84" t="s">
        <v>1947</v>
      </c>
      <c r="L228" s="18" t="str">
        <f>IF(ISBLANK(input_wld_az1_rack2_host8_fqdn),"Value Missing",input_wld_az1_rack2_host8_fqdn)</f>
        <v>Value Missing</v>
      </c>
      <c r="M228" s="41"/>
      <c r="N228" s="84" t="s">
        <v>1947</v>
      </c>
      <c r="O228" s="18" t="str">
        <f>IF(ISBLANK(input_wld_az1_rack3_host8_fqdn),"Value Missing",input_wld_az1_rack3_host8_fqdn)</f>
        <v>Value Missing</v>
      </c>
      <c r="P228" s="1"/>
      <c r="Q228" s="84" t="s">
        <v>1947</v>
      </c>
      <c r="R228" s="18" t="str">
        <f>IF(ISBLANK(input_wld_az1_rack4_host8_fqdn),"Value Missing",input_wld_az1_rack4_host8_fqdn)</f>
        <v>Value Missing</v>
      </c>
      <c r="S228" s="1"/>
      <c r="T228" s="84" t="s">
        <v>1947</v>
      </c>
      <c r="U228" s="18" t="str">
        <f>IF(ISBLANK(input_wld_az1_rack5_host8_fqdn),"Value Missing",input_wld_az1_rack5_host8_fqdn)</f>
        <v>Value Missing</v>
      </c>
      <c r="V228" s="1"/>
      <c r="W228" s="84" t="s">
        <v>1947</v>
      </c>
      <c r="X228" s="18" t="str">
        <f>IF(ISBLANK(input_wld_az1_rack6_host8_fqdn),"Value Missing",input_wld_az1_rack6_host8_fqdn)</f>
        <v>Value Missing</v>
      </c>
      <c r="Y228" s="1"/>
      <c r="Z228" s="84" t="s">
        <v>1947</v>
      </c>
      <c r="AA228" s="18" t="str">
        <f>IF(ISBLANK(input_wld_az1_rack7_host8_fqdn),"Value Missing",input_wld_az1_rack7_host8_fqdn)</f>
        <v>Value Missing</v>
      </c>
      <c r="AB228" s="1"/>
      <c r="AC228" s="84" t="s">
        <v>1947</v>
      </c>
      <c r="AD228" s="18" t="str">
        <f>IF(ISBLANK(input_wld_az1_rack8_host8_fqdn),"Value Missing",input_wld_az1_rack8_host8_fqdn)</f>
        <v>Value Missing</v>
      </c>
      <c r="AE228" s="41"/>
      <c r="AF228" s="41"/>
      <c r="AG228" s="41"/>
      <c r="AH228" s="41"/>
      <c r="AI228" s="41"/>
      <c r="AJ228" s="41"/>
      <c r="AK228" s="41"/>
    </row>
    <row r="229" ht="19.5" customHeight="1">
      <c r="A229" s="41"/>
      <c r="B229" s="41"/>
      <c r="C229" s="41"/>
      <c r="D229" s="41"/>
      <c r="E229" s="84" t="s">
        <v>1955</v>
      </c>
      <c r="F229" s="18" t="str">
        <f>IF(mgmt_az1_host12_fqdn="Value Missing",mgmt_az1_host12_fqdn,LEFT(mgmt_az1_host12_fqdn,FIND(".",mgmt_az1_host12_fqdn)-1))</f>
        <v>Value Missing</v>
      </c>
      <c r="G229" s="41"/>
      <c r="H229" s="84" t="s">
        <v>1955</v>
      </c>
      <c r="I229" s="18" t="str">
        <f>IF(wld_az1_host12_fqdn="Value Missing",wld_az1_host12_fqdn,LEFT(wld_az1_host12_fqdn,FIND(".",wld_az1_host12_fqdn)-1))</f>
        <v>Value Missing</v>
      </c>
      <c r="J229" s="41"/>
      <c r="K229" s="84" t="s">
        <v>1949</v>
      </c>
      <c r="L229" s="18" t="str">
        <f>IF(ISBLANK(input_wld_az1_rack2_host9_fqdn),"Value Missing",input_wld_az1_rack2_host9_fqdn)</f>
        <v>Value Missing</v>
      </c>
      <c r="M229" s="41"/>
      <c r="N229" s="84" t="s">
        <v>1949</v>
      </c>
      <c r="O229" s="18" t="str">
        <f>IF(ISBLANK(input_wld_az1_rack3_host9_fqdn),"Value Missing",input_wld_az1_rack3_host9_fqdn)</f>
        <v>Value Missing</v>
      </c>
      <c r="P229" s="41"/>
      <c r="Q229" s="84" t="s">
        <v>1949</v>
      </c>
      <c r="R229" s="18" t="str">
        <f>IF(ISBLANK(input_wld_az1_rack4_host9_fqdn),"Value Missing",input_wld_az1_rack4_host9_fqdn)</f>
        <v>Value Missing</v>
      </c>
      <c r="S229" s="41"/>
      <c r="T229" s="84" t="s">
        <v>1949</v>
      </c>
      <c r="U229" s="18" t="str">
        <f>IF(ISBLANK(input_wld_az1_rack5_host9_fqdn),"Value Missing",input_wld_az1_rack5_host9_fqdn)</f>
        <v>Value Missing</v>
      </c>
      <c r="V229" s="41"/>
      <c r="W229" s="84" t="s">
        <v>1949</v>
      </c>
      <c r="X229" s="18" t="str">
        <f>IF(ISBLANK(input_wld_az1_rack6_host9_fqdn),"Value Missing",input_wld_az1_rack6_host9_fqdn)</f>
        <v>Value Missing</v>
      </c>
      <c r="Y229" s="41"/>
      <c r="Z229" s="84" t="s">
        <v>1949</v>
      </c>
      <c r="AA229" s="18" t="str">
        <f>IF(ISBLANK(input_wld_az1_rack7_host9_fqdn),"Value Missing",input_wld_az1_rack7_host9_fqdn)</f>
        <v>Value Missing</v>
      </c>
      <c r="AB229" s="41"/>
      <c r="AC229" s="84" t="s">
        <v>1949</v>
      </c>
      <c r="AD229" s="18" t="str">
        <f>IF(ISBLANK(input_wld_az1_rack8_host9_fqdn),"Value Missing",input_wld_az1_rack8_host9_fqdn)</f>
        <v>Value Missing</v>
      </c>
      <c r="AE229" s="41"/>
      <c r="AF229" s="41"/>
      <c r="AG229" s="41"/>
      <c r="AH229" s="41"/>
      <c r="AI229" s="41"/>
      <c r="AJ229" s="41"/>
      <c r="AK229" s="41"/>
    </row>
    <row r="230" ht="19.5" customHeight="1">
      <c r="A230" s="41"/>
      <c r="B230" s="41"/>
      <c r="C230" s="41"/>
      <c r="D230" s="41"/>
      <c r="E230" s="84" t="s">
        <v>1957</v>
      </c>
      <c r="F230" s="18" t="str">
        <f>IF(mgmt_az1_host13_fqdn="Value Missing",mgmt_az1_host13_fqdn,LEFT(mgmt_az1_host13_fqdn,FIND(".",mgmt_az1_host13_fqdn)-1))</f>
        <v>Value Missing</v>
      </c>
      <c r="G230" s="41"/>
      <c r="H230" s="84" t="s">
        <v>1957</v>
      </c>
      <c r="I230" s="18" t="str">
        <f>IF(wld_az1_host13_fqdn="Value Missing",wld_az1_host13_fqdn,LEFT(wld_az1_host13_fqdn,FIND(".",wld_az1_host13_fqdn)-1))</f>
        <v>Value Missing</v>
      </c>
      <c r="J230" s="41"/>
      <c r="K230" s="84" t="s">
        <v>1951</v>
      </c>
      <c r="L230" s="18" t="str">
        <f>IF(ISBLANK(input_wld_az1_rack2_host10_fqdn),"Value Missing",input_wld_az1_rack2_host10_fqdn)</f>
        <v>Value Missing</v>
      </c>
      <c r="M230" s="41"/>
      <c r="N230" s="84" t="s">
        <v>1951</v>
      </c>
      <c r="O230" s="18" t="str">
        <f>IF(ISBLANK(input_wld_az1_rack3_host10_fqdn),"Value Missing",input_wld_az1_rack3_host10_fqdn)</f>
        <v>Value Missing</v>
      </c>
      <c r="P230" s="41"/>
      <c r="Q230" s="84" t="s">
        <v>1951</v>
      </c>
      <c r="R230" s="18" t="str">
        <f>IF(ISBLANK(input_wld_az1_rack4_host10_fqdn),"Value Missing",input_wld_az1_rack4_host10_fqdn)</f>
        <v>Value Missing</v>
      </c>
      <c r="S230" s="41"/>
      <c r="T230" s="84" t="s">
        <v>1951</v>
      </c>
      <c r="U230" s="18" t="str">
        <f>IF(ISBLANK(input_wld_az1_rack5_host10_fqdn),"Value Missing",input_wld_az1_rack5_host10_fqdn)</f>
        <v>Value Missing</v>
      </c>
      <c r="V230" s="41"/>
      <c r="W230" s="84" t="s">
        <v>1951</v>
      </c>
      <c r="X230" s="18" t="str">
        <f>IF(ISBLANK(input_wld_az1_rack6_host10_fqdn),"Value Missing",input_wld_az1_rack6_host10_fqdn)</f>
        <v>Value Missing</v>
      </c>
      <c r="Y230" s="41"/>
      <c r="Z230" s="84" t="s">
        <v>1951</v>
      </c>
      <c r="AA230" s="18" t="str">
        <f>IF(ISBLANK(input_wld_az1_rack7_host10_fqdn),"Value Missing",input_wld_az1_rack7_host10_fqdn)</f>
        <v>Value Missing</v>
      </c>
      <c r="AB230" s="41"/>
      <c r="AC230" s="84" t="s">
        <v>1951</v>
      </c>
      <c r="AD230" s="18" t="str">
        <f>IF(ISBLANK(input_wld_az1_rack8_host10_fqdn),"Value Missing",input_wld_az1_rack8_host10_fqdn)</f>
        <v>Value Missing</v>
      </c>
      <c r="AE230" s="41"/>
      <c r="AF230" s="41"/>
      <c r="AG230" s="41"/>
      <c r="AH230" s="41"/>
      <c r="AI230" s="41"/>
      <c r="AJ230" s="41"/>
      <c r="AK230" s="41"/>
    </row>
    <row r="231" ht="19.5" customHeight="1">
      <c r="A231" s="41"/>
      <c r="B231" s="41"/>
      <c r="C231" s="41"/>
      <c r="D231" s="41"/>
      <c r="E231" s="84" t="s">
        <v>1958</v>
      </c>
      <c r="F231" s="18" t="str">
        <f>IF(mgmt_az1_host14_fqdn="Value Missing",mgmt_az1_host14_fqdn,LEFT(mgmt_az1_host14_fqdn,FIND(".",mgmt_az1_host14_fqdn)-1))</f>
        <v>Value Missing</v>
      </c>
      <c r="G231" s="41"/>
      <c r="H231" s="84" t="s">
        <v>1958</v>
      </c>
      <c r="I231" s="18" t="str">
        <f>IF(wld_az1_host14_fqdn="Value Missing",wld_az1_host14_fqdn,LEFT(wld_az1_host14_fqdn,FIND(".",wld_az1_host14_fqdn)-1))</f>
        <v>Value Missing</v>
      </c>
      <c r="J231" s="41"/>
      <c r="K231" s="84" t="s">
        <v>1953</v>
      </c>
      <c r="L231" s="18" t="str">
        <f>IF(ISBLANK(input_wld_az1_rack2_host11_fqdn),"Value Missing",input_wld_az1_rack2_host11_fqdn)</f>
        <v>Value Missing</v>
      </c>
      <c r="M231" s="41"/>
      <c r="N231" s="84" t="s">
        <v>1953</v>
      </c>
      <c r="O231" s="18" t="str">
        <f>IF(ISBLANK(input_wld_az1_rack3_host11_fqdn),"Value Missing",input_wld_az1_rack3_host11_fqdn)</f>
        <v>Value Missing</v>
      </c>
      <c r="P231" s="41"/>
      <c r="Q231" s="84" t="s">
        <v>1953</v>
      </c>
      <c r="R231" s="18" t="str">
        <f>IF(ISBLANK(input_wld_az1_rack4_host11_fqdn),"Value Missing",input_wld_az1_rack4_host11_fqdn)</f>
        <v>Value Missing</v>
      </c>
      <c r="S231" s="41"/>
      <c r="T231" s="84" t="s">
        <v>1953</v>
      </c>
      <c r="U231" s="18" t="str">
        <f>IF(ISBLANK(input_wld_az1_rack5_host11_fqdn),"Value Missing",input_wld_az1_rack5_host11_fqdn)</f>
        <v>Value Missing</v>
      </c>
      <c r="V231" s="41"/>
      <c r="W231" s="84" t="s">
        <v>1953</v>
      </c>
      <c r="X231" s="18" t="str">
        <f>IF(ISBLANK(input_wld_az1_rack6_host11_fqdn),"Value Missing",input_wld_az1_rack6_host11_fqdn)</f>
        <v>Value Missing</v>
      </c>
      <c r="Y231" s="41"/>
      <c r="Z231" s="84" t="s">
        <v>1953</v>
      </c>
      <c r="AA231" s="18" t="str">
        <f>IF(ISBLANK(input_wld_az1_rack7_host11_fqdn),"Value Missing",input_wld_az1_rack7_host11_fqdn)</f>
        <v>Value Missing</v>
      </c>
      <c r="AB231" s="41"/>
      <c r="AC231" s="84" t="s">
        <v>1953</v>
      </c>
      <c r="AD231" s="18" t="str">
        <f>IF(ISBLANK(input_wld_az1_rack8_host11_fqdn),"Value Missing",input_wld_az1_rack8_host11_fqdn)</f>
        <v>Value Missing</v>
      </c>
      <c r="AE231" s="41"/>
      <c r="AF231" s="41"/>
      <c r="AG231" s="41"/>
      <c r="AH231" s="41"/>
      <c r="AI231" s="41"/>
      <c r="AJ231" s="41"/>
      <c r="AK231" s="41"/>
    </row>
    <row r="232" ht="19.5" customHeight="1">
      <c r="A232" s="41"/>
      <c r="B232" s="41"/>
      <c r="C232" s="41"/>
      <c r="D232" s="41"/>
      <c r="E232" s="84" t="s">
        <v>1961</v>
      </c>
      <c r="F232" s="18" t="str">
        <f>IF(mgmt_az1_host15_fqdn="Value Missing",mgmt_az1_host15_fqdn,LEFT(mgmt_az1_host15_fqdn,FIND(".",mgmt_az1_host15_fqdn)-1))</f>
        <v>Value Missing</v>
      </c>
      <c r="G232" s="41"/>
      <c r="H232" s="84" t="s">
        <v>1961</v>
      </c>
      <c r="I232" s="18" t="str">
        <f>IF(wld_az1_host15_fqdn="Value Missing",wld_az1_host15_fqdn,LEFT(wld_az1_host15_fqdn,FIND(".",wld_az1_host15_fqdn)-1))</f>
        <v>Value Missing</v>
      </c>
      <c r="J232" s="41"/>
      <c r="K232" s="84" t="s">
        <v>1955</v>
      </c>
      <c r="L232" s="18" t="str">
        <f>IF(ISBLANK(input_wld_az1_rack2_host12_fqdn),"Value Missing",input_wld_az1_rack2_host12_fqdn)</f>
        <v>Value Missing</v>
      </c>
      <c r="M232" s="41"/>
      <c r="N232" s="84" t="s">
        <v>1955</v>
      </c>
      <c r="O232" s="18" t="str">
        <f>IF(ISBLANK(input_wld_az1_rack3_host12_fqdn),"Value Missing",input_wld_az1_rack3_host12_fqdn)</f>
        <v>Value Missing</v>
      </c>
      <c r="P232" s="41"/>
      <c r="Q232" s="84" t="s">
        <v>1955</v>
      </c>
      <c r="R232" s="18" t="str">
        <f>IF(ISBLANK(input_wld_az1_rack4_host12_fqdn),"Value Missing",input_wld_az1_rack4_host12_fqdn)</f>
        <v>Value Missing</v>
      </c>
      <c r="S232" s="41"/>
      <c r="T232" s="84" t="s">
        <v>1955</v>
      </c>
      <c r="U232" s="18" t="str">
        <f>IF(ISBLANK(input_wld_az1_rack5_host12_fqdn),"Value Missing",input_wld_az1_rack5_host12_fqdn)</f>
        <v>Value Missing</v>
      </c>
      <c r="V232" s="41"/>
      <c r="W232" s="84" t="s">
        <v>1955</v>
      </c>
      <c r="X232" s="18" t="str">
        <f>IF(ISBLANK(input_wld_az1_rack6_host12_fqdn),"Value Missing",input_wld_az1_rack6_host12_fqdn)</f>
        <v>Value Missing</v>
      </c>
      <c r="Y232" s="41"/>
      <c r="Z232" s="84" t="s">
        <v>1955</v>
      </c>
      <c r="AA232" s="18" t="str">
        <f>IF(ISBLANK(input_wld_az1_rack7_host12_fqdn),"Value Missing",input_wld_az1_rack7_host12_fqdn)</f>
        <v>Value Missing</v>
      </c>
      <c r="AB232" s="41"/>
      <c r="AC232" s="84" t="s">
        <v>1955</v>
      </c>
      <c r="AD232" s="18" t="str">
        <f>IF(ISBLANK(input_wld_az1_rack8_host12_fqdn),"Value Missing",input_wld_az1_rack8_host12_fqdn)</f>
        <v>Value Missing</v>
      </c>
      <c r="AE232" s="41"/>
      <c r="AF232" s="41"/>
      <c r="AG232" s="41"/>
      <c r="AH232" s="41"/>
      <c r="AI232" s="41"/>
      <c r="AJ232" s="41"/>
      <c r="AK232" s="41"/>
    </row>
    <row r="233" ht="19.5" customHeight="1">
      <c r="A233" s="41"/>
      <c r="B233" s="41"/>
      <c r="C233" s="41"/>
      <c r="D233" s="41"/>
      <c r="E233" s="84" t="s">
        <v>1962</v>
      </c>
      <c r="F233" s="18" t="str">
        <f>IF(mgmt_az1_host16_fqdn="Value Missing",mgmt_az1_host16_fqdn,LEFT(mgmt_az1_host16_fqdn,FIND(".",mgmt_az1_host16_fqdn)-1))</f>
        <v>Value Missing</v>
      </c>
      <c r="G233" s="41"/>
      <c r="H233" s="84" t="s">
        <v>1962</v>
      </c>
      <c r="I233" s="18" t="str">
        <f>IF(wld_az1_host16_fqdn="Value Missing",wld_az1_host16_fqdn,LEFT(wld_az1_host16_fqdn,FIND(".",wld_az1_host16_fqdn)-1))</f>
        <v>Value Missing</v>
      </c>
      <c r="J233" s="41"/>
      <c r="K233" s="84" t="s">
        <v>1957</v>
      </c>
      <c r="L233" s="18" t="str">
        <f>IF(ISBLANK(input_wld_az1_rack2_host13_fqdn),"Value Missing",input_wld_az1_rack2_host13_fqdn)</f>
        <v>Value Missing</v>
      </c>
      <c r="M233" s="41"/>
      <c r="N233" s="84" t="s">
        <v>1957</v>
      </c>
      <c r="O233" s="18" t="str">
        <f>IF(ISBLANK(input_wld_az1_rack3_host13_fqdn),"Value Missing",input_wld_az1_rack3_host13_fqdn)</f>
        <v>Value Missing</v>
      </c>
      <c r="P233" s="41"/>
      <c r="Q233" s="84" t="s">
        <v>1957</v>
      </c>
      <c r="R233" s="18" t="str">
        <f>IF(ISBLANK(input_wld_az1_rack4_host13_fqdn),"Value Missing",input_wld_az1_rack4_host13_fqdn)</f>
        <v>Value Missing</v>
      </c>
      <c r="S233" s="41"/>
      <c r="T233" s="84" t="s">
        <v>1957</v>
      </c>
      <c r="U233" s="18" t="str">
        <f>IF(ISBLANK(input_wld_az1_rack5_host13_fqdn),"Value Missing",input_wld_az1_rack5_host13_fqdn)</f>
        <v>Value Missing</v>
      </c>
      <c r="V233" s="41"/>
      <c r="W233" s="84" t="s">
        <v>1957</v>
      </c>
      <c r="X233" s="18" t="str">
        <f>IF(ISBLANK(input_wld_az1_rack6_host13_fqdn),"Value Missing",input_wld_az1_rack6_host13_fqdn)</f>
        <v>Value Missing</v>
      </c>
      <c r="Y233" s="41"/>
      <c r="Z233" s="84" t="s">
        <v>1957</v>
      </c>
      <c r="AA233" s="18" t="str">
        <f>IF(ISBLANK(input_wld_az1_rack7_host13_fqdn),"Value Missing",input_wld_az1_rack7_host13_fqdn)</f>
        <v>Value Missing</v>
      </c>
      <c r="AB233" s="41"/>
      <c r="AC233" s="84" t="s">
        <v>1957</v>
      </c>
      <c r="AD233" s="18" t="str">
        <f>IF(ISBLANK(input_wld_az1_rack8_host13_fqdn),"Value Missing",input_wld_az1_rack8_host13_fqdn)</f>
        <v>Value Missing</v>
      </c>
      <c r="AE233" s="41"/>
      <c r="AF233" s="41"/>
      <c r="AG233" s="41"/>
      <c r="AH233" s="41"/>
      <c r="AI233" s="41"/>
      <c r="AJ233" s="41"/>
      <c r="AK233" s="41"/>
    </row>
    <row r="234" ht="19.5" customHeight="1">
      <c r="A234" s="41"/>
      <c r="B234" s="41"/>
      <c r="C234" s="41"/>
      <c r="D234" s="41"/>
      <c r="E234" s="1"/>
      <c r="F234" s="1"/>
      <c r="G234" s="41"/>
      <c r="H234" s="1"/>
      <c r="I234" s="1"/>
      <c r="J234" s="41"/>
      <c r="K234" s="84" t="s">
        <v>1958</v>
      </c>
      <c r="L234" s="18" t="str">
        <f>IF(ISBLANK(input_wld_az1_rack2_host14_fqdn),"Value Missing",input_wld_az1_rack2_host14_fqdn)</f>
        <v>Value Missing</v>
      </c>
      <c r="M234" s="41"/>
      <c r="N234" s="84" t="s">
        <v>1958</v>
      </c>
      <c r="O234" s="18" t="str">
        <f>IF(ISBLANK(input_wld_az1_rack3_host14_fqdn),"Value Missing",input_wld_az1_rack3_host14_fqdn)</f>
        <v>Value Missing</v>
      </c>
      <c r="P234" s="41"/>
      <c r="Q234" s="84" t="s">
        <v>1958</v>
      </c>
      <c r="R234" s="18" t="str">
        <f>IF(ISBLANK(input_wld_az1_rack4_host14_fqdn),"Value Missing",input_wld_az1_rack4_host14_fqdn)</f>
        <v>Value Missing</v>
      </c>
      <c r="S234" s="41"/>
      <c r="T234" s="84" t="s">
        <v>1958</v>
      </c>
      <c r="U234" s="18" t="str">
        <f>IF(ISBLANK(input_wld_az1_rack5_host14_fqdn),"Value Missing",input_wld_az1_rack5_host14_fqdn)</f>
        <v>Value Missing</v>
      </c>
      <c r="V234" s="41"/>
      <c r="W234" s="84" t="s">
        <v>1958</v>
      </c>
      <c r="X234" s="18" t="str">
        <f>IF(ISBLANK(input_wld_az1_rack6_host14_fqdn),"Value Missing",input_wld_az1_rack6_host14_fqdn)</f>
        <v>Value Missing</v>
      </c>
      <c r="Y234" s="41"/>
      <c r="Z234" s="84" t="s">
        <v>1958</v>
      </c>
      <c r="AA234" s="18" t="str">
        <f>IF(ISBLANK(input_wld_az1_rack7_host14_fqdn),"Value Missing",input_wld_az1_rack7_host14_fqdn)</f>
        <v>Value Missing</v>
      </c>
      <c r="AB234" s="41"/>
      <c r="AC234" s="84" t="s">
        <v>1958</v>
      </c>
      <c r="AD234" s="18" t="str">
        <f>IF(ISBLANK(input_wld_az1_rack8_host14_fqdn),"Value Missing",input_wld_az1_rack8_host14_fqdn)</f>
        <v>Value Missing</v>
      </c>
      <c r="AE234" s="41"/>
      <c r="AF234" s="41"/>
      <c r="AG234" s="41"/>
      <c r="AH234" s="41"/>
      <c r="AI234" s="41"/>
      <c r="AJ234" s="41"/>
      <c r="AK234" s="41"/>
    </row>
    <row r="235" ht="19.5" customHeight="1">
      <c r="A235" s="41"/>
      <c r="B235" s="41"/>
      <c r="C235" s="41"/>
      <c r="D235" s="41"/>
      <c r="E235" s="309" t="s">
        <v>1970</v>
      </c>
      <c r="F235" s="324"/>
      <c r="G235" s="41"/>
      <c r="H235" s="309" t="s">
        <v>1971</v>
      </c>
      <c r="I235" s="324"/>
      <c r="J235" s="41"/>
      <c r="K235" s="84" t="s">
        <v>1961</v>
      </c>
      <c r="L235" s="18" t="str">
        <f>IF(ISBLANK(input_wld_az1_rack2_host15_fqdn),"Value Missing",input_wld_az1_rack2_host15_fqdn)</f>
        <v>Value Missing</v>
      </c>
      <c r="M235" s="41"/>
      <c r="N235" s="84" t="s">
        <v>1961</v>
      </c>
      <c r="O235" s="18" t="str">
        <f>IF(ISBLANK(input_wld_az1_rack3_host15_fqdn),"Value Missing",input_wld_az1_rack3_host15_fqdn)</f>
        <v>Value Missing</v>
      </c>
      <c r="P235" s="41"/>
      <c r="Q235" s="84" t="s">
        <v>1961</v>
      </c>
      <c r="R235" s="18" t="str">
        <f>IF(ISBLANK(input_wld_az1_rack4_host15_fqdn),"Value Missing",input_wld_az1_rack4_host15_fqdn)</f>
        <v>Value Missing</v>
      </c>
      <c r="S235" s="41"/>
      <c r="T235" s="84" t="s">
        <v>1961</v>
      </c>
      <c r="U235" s="18" t="str">
        <f>IF(ISBLANK(input_wld_az1_rack5_host15_fqdn),"Value Missing",input_wld_az1_rack5_host15_fqdn)</f>
        <v>Value Missing</v>
      </c>
      <c r="V235" s="41"/>
      <c r="W235" s="84" t="s">
        <v>1961</v>
      </c>
      <c r="X235" s="18" t="str">
        <f>IF(ISBLANK(input_wld_az1_rack6_host15_fqdn),"Value Missing",input_wld_az1_rack6_host15_fqdn)</f>
        <v>Value Missing</v>
      </c>
      <c r="Y235" s="41"/>
      <c r="Z235" s="84" t="s">
        <v>1961</v>
      </c>
      <c r="AA235" s="18" t="str">
        <f>IF(ISBLANK(input_wld_az1_rack7_host15_fqdn),"Value Missing",input_wld_az1_rack7_host15_fqdn)</f>
        <v>Value Missing</v>
      </c>
      <c r="AB235" s="41"/>
      <c r="AC235" s="84" t="s">
        <v>1961</v>
      </c>
      <c r="AD235" s="18" t="str">
        <f>IF(ISBLANK(input_wld_az1_rack8_host15_fqdn),"Value Missing",input_wld_az1_rack8_host15_fqdn)</f>
        <v>Value Missing</v>
      </c>
      <c r="AE235" s="41"/>
      <c r="AF235" s="41"/>
      <c r="AG235" s="41"/>
      <c r="AH235" s="41"/>
      <c r="AI235" s="41"/>
      <c r="AJ235" s="41"/>
      <c r="AK235" s="41"/>
    </row>
    <row r="236" ht="19.5" customHeight="1">
      <c r="A236" s="41"/>
      <c r="B236" s="41"/>
      <c r="C236" s="41"/>
      <c r="D236" s="41"/>
      <c r="E236" s="15" t="s">
        <v>256</v>
      </c>
      <c r="F236" s="15" t="s">
        <v>1707</v>
      </c>
      <c r="G236" s="41"/>
      <c r="H236" s="15" t="s">
        <v>256</v>
      </c>
      <c r="I236" s="15" t="s">
        <v>274</v>
      </c>
      <c r="J236" s="41"/>
      <c r="K236" s="84" t="s">
        <v>1962</v>
      </c>
      <c r="L236" s="18" t="str">
        <f>IF(ISBLANK(input_wld_az1_rack2_host16_fqdn),"Value Missing",input_wld_az1_rack2_host16_fqdn)</f>
        <v>Value Missing</v>
      </c>
      <c r="M236" s="41"/>
      <c r="N236" s="84" t="s">
        <v>1962</v>
      </c>
      <c r="O236" s="18" t="str">
        <f>IF(ISBLANK(input_wld_az1_rack3_host16_fqdn),"Value Missing",input_wld_az1_rack3_host16_fqdn)</f>
        <v>Value Missing</v>
      </c>
      <c r="P236" s="41"/>
      <c r="Q236" s="84" t="s">
        <v>1962</v>
      </c>
      <c r="R236" s="18" t="str">
        <f>IF(ISBLANK(input_wld_az1_rack4_host16_fqdn),"Value Missing",input_wld_az1_rack4_host16_fqdn)</f>
        <v>Value Missing</v>
      </c>
      <c r="S236" s="41"/>
      <c r="T236" s="84" t="s">
        <v>1962</v>
      </c>
      <c r="U236" s="18" t="str">
        <f>IF(ISBLANK(input_wld_az1_rack5_host16_fqdn),"Value Missing",input_wld_az1_rack5_host16_fqdn)</f>
        <v>Value Missing</v>
      </c>
      <c r="V236" s="41"/>
      <c r="W236" s="84" t="s">
        <v>1962</v>
      </c>
      <c r="X236" s="18" t="str">
        <f>IF(ISBLANK(input_wld_az1_rack6_host16_fqdn),"Value Missing",input_wld_az1_rack6_host16_fqdn)</f>
        <v>Value Missing</v>
      </c>
      <c r="Y236" s="41"/>
      <c r="Z236" s="84" t="s">
        <v>1962</v>
      </c>
      <c r="AA236" s="18" t="str">
        <f>IF(ISBLANK(input_wld_az1_rack7_host16_fqdn),"Value Missing",input_wld_az1_rack7_host16_fqdn)</f>
        <v>Value Missing</v>
      </c>
      <c r="AB236" s="41"/>
      <c r="AC236" s="84" t="s">
        <v>1962</v>
      </c>
      <c r="AD236" s="18" t="str">
        <f>IF(ISBLANK(input_wld_az1_rack8_host16_fqdn),"Value Missing",input_wld_az1_rack8_host16_fqdn)</f>
        <v>Value Missing</v>
      </c>
      <c r="AE236" s="41"/>
      <c r="AF236" s="41"/>
      <c r="AG236" s="41"/>
      <c r="AH236" s="41"/>
      <c r="AI236" s="41"/>
      <c r="AJ236" s="41"/>
      <c r="AK236" s="41"/>
    </row>
    <row r="237" ht="19.5" customHeight="1">
      <c r="A237" s="41"/>
      <c r="B237" s="41"/>
      <c r="C237" s="41"/>
      <c r="D237" s="41"/>
      <c r="E237" s="84" t="s">
        <v>1933</v>
      </c>
      <c r="F237" s="18" t="str">
        <f>IF(ISBLANK(input_mgmt_az1_host1_fqdn),"Value Missing",input_mgmt_az1_host1_fqdn)</f>
        <v>Value Missing</v>
      </c>
      <c r="G237" s="41"/>
      <c r="H237" s="84" t="s">
        <v>1933</v>
      </c>
      <c r="I237" s="18" t="str">
        <f>IF(ISBLANK(input_wld_az1_host1_fqdn),"Value Missing",input_wld_az1_host1_fqdn)</f>
        <v>Value Missing</v>
      </c>
      <c r="J237" s="41"/>
      <c r="K237" s="1"/>
      <c r="L237" s="1"/>
      <c r="M237" s="41"/>
      <c r="N237" s="1"/>
      <c r="O237" s="1"/>
      <c r="P237" s="41"/>
      <c r="Q237" s="1"/>
      <c r="R237" s="1"/>
      <c r="S237" s="41"/>
      <c r="T237" s="1"/>
      <c r="U237" s="1"/>
      <c r="V237" s="41"/>
      <c r="W237" s="1"/>
      <c r="X237" s="1"/>
      <c r="Y237" s="41"/>
      <c r="Z237" s="1"/>
      <c r="AA237" s="1"/>
      <c r="AB237" s="41"/>
      <c r="AC237" s="1"/>
      <c r="AD237" s="1"/>
      <c r="AE237" s="41"/>
      <c r="AF237" s="41"/>
      <c r="AG237" s="41"/>
      <c r="AH237" s="41"/>
      <c r="AI237" s="41"/>
      <c r="AJ237" s="41"/>
      <c r="AK237" s="41"/>
    </row>
    <row r="238" ht="19.5" customHeight="1">
      <c r="A238" s="41"/>
      <c r="B238" s="41"/>
      <c r="C238" s="41"/>
      <c r="D238" s="41"/>
      <c r="E238" s="84" t="s">
        <v>1935</v>
      </c>
      <c r="F238" s="18" t="str">
        <f>IF(ISBLANK(input_mgmt_az1_host2_fqdn),"Value Missing",input_mgmt_az1_host2_fqdn)</f>
        <v>Value Missing</v>
      </c>
      <c r="G238" s="41"/>
      <c r="H238" s="84" t="s">
        <v>1935</v>
      </c>
      <c r="I238" s="18" t="str">
        <f>IF(ISBLANK(input_wld_az1_host2_fqdn),"Value Missing",input_wld_az1_host2_fqdn)</f>
        <v>Value Missing</v>
      </c>
      <c r="J238" s="41"/>
      <c r="K238" s="309" t="s">
        <v>1972</v>
      </c>
      <c r="L238" s="324"/>
      <c r="M238" s="41"/>
      <c r="N238" s="309" t="s">
        <v>1973</v>
      </c>
      <c r="O238" s="324"/>
      <c r="P238" s="41"/>
      <c r="Q238" s="309" t="s">
        <v>1974</v>
      </c>
      <c r="R238" s="324"/>
      <c r="S238" s="41"/>
      <c r="T238" s="309" t="s">
        <v>1975</v>
      </c>
      <c r="U238" s="324"/>
      <c r="V238" s="41"/>
      <c r="W238" s="309" t="s">
        <v>1976</v>
      </c>
      <c r="X238" s="324"/>
      <c r="Y238" s="41"/>
      <c r="Z238" s="309" t="s">
        <v>1977</v>
      </c>
      <c r="AA238" s="324"/>
      <c r="AB238" s="41"/>
      <c r="AC238" s="309" t="s">
        <v>1978</v>
      </c>
      <c r="AD238" s="324"/>
      <c r="AE238" s="41"/>
      <c r="AF238" s="41"/>
      <c r="AG238" s="41"/>
      <c r="AH238" s="41"/>
      <c r="AI238" s="41"/>
      <c r="AJ238" s="41"/>
      <c r="AK238" s="41"/>
    </row>
    <row r="239" ht="19.5" customHeight="1">
      <c r="A239" s="41"/>
      <c r="B239" s="41"/>
      <c r="C239" s="41"/>
      <c r="D239" s="41"/>
      <c r="E239" s="84" t="s">
        <v>1937</v>
      </c>
      <c r="F239" s="18" t="str">
        <f>IF(ISBLANK(input_mgmt_az1_host3_fqdn),"Value Missing",input_mgmt_az1_host3_fqdn)</f>
        <v>Value Missing</v>
      </c>
      <c r="G239" s="41"/>
      <c r="H239" s="84" t="s">
        <v>1937</v>
      </c>
      <c r="I239" s="18" t="str">
        <f>IF(ISBLANK(input_wld_az1_host3_fqdn),"Value Missing",input_wld_az1_host3_fqdn)</f>
        <v>Value Missing</v>
      </c>
      <c r="J239" s="41"/>
      <c r="K239" s="84" t="s">
        <v>1979</v>
      </c>
      <c r="L239" s="18"/>
      <c r="M239" s="41"/>
      <c r="N239" s="84" t="s">
        <v>1979</v>
      </c>
      <c r="O239" s="18"/>
      <c r="P239" s="41"/>
      <c r="Q239" s="84" t="s">
        <v>1979</v>
      </c>
      <c r="R239" s="18"/>
      <c r="S239" s="41"/>
      <c r="T239" s="84" t="s">
        <v>1979</v>
      </c>
      <c r="U239" s="18"/>
      <c r="V239" s="41"/>
      <c r="W239" s="84" t="s">
        <v>1979</v>
      </c>
      <c r="X239" s="18"/>
      <c r="Y239" s="41"/>
      <c r="Z239" s="84" t="s">
        <v>1979</v>
      </c>
      <c r="AA239" s="18"/>
      <c r="AB239" s="41"/>
      <c r="AC239" s="84" t="s">
        <v>1979</v>
      </c>
      <c r="AD239" s="18"/>
      <c r="AE239" s="41"/>
      <c r="AF239" s="41"/>
      <c r="AG239" s="41"/>
      <c r="AH239" s="41"/>
      <c r="AI239" s="41"/>
      <c r="AJ239" s="41"/>
      <c r="AK239" s="41"/>
    </row>
    <row r="240" ht="19.5" customHeight="1">
      <c r="A240" s="41"/>
      <c r="B240" s="41"/>
      <c r="C240" s="41"/>
      <c r="D240" s="41"/>
      <c r="E240" s="84" t="s">
        <v>1939</v>
      </c>
      <c r="F240" s="18" t="str">
        <f>IF(ISBLANK(input_mgmt_az1_host4_fqdn),"Value Missing",input_mgmt_az1_host4_fqdn)</f>
        <v>Value Missing</v>
      </c>
      <c r="G240" s="322"/>
      <c r="H240" s="84" t="s">
        <v>1939</v>
      </c>
      <c r="I240" s="18" t="str">
        <f>IF(ISBLANK(input_wld_az1_host4_fqdn),"Value Missing",input_wld_az1_host4_fqdn)</f>
        <v>Value Missing</v>
      </c>
      <c r="J240" s="322"/>
      <c r="K240" s="84" t="s">
        <v>1980</v>
      </c>
      <c r="L240" s="18"/>
      <c r="M240" s="41"/>
      <c r="N240" s="84" t="s">
        <v>1980</v>
      </c>
      <c r="O240" s="18"/>
      <c r="P240" s="41"/>
      <c r="Q240" s="84" t="s">
        <v>1980</v>
      </c>
      <c r="R240" s="18"/>
      <c r="S240" s="41"/>
      <c r="T240" s="84" t="s">
        <v>1980</v>
      </c>
      <c r="U240" s="18"/>
      <c r="V240" s="41"/>
      <c r="W240" s="84" t="s">
        <v>1980</v>
      </c>
      <c r="X240" s="18"/>
      <c r="Y240" s="41"/>
      <c r="Z240" s="84" t="s">
        <v>1980</v>
      </c>
      <c r="AA240" s="18"/>
      <c r="AB240" s="41"/>
      <c r="AC240" s="84" t="s">
        <v>1980</v>
      </c>
      <c r="AD240" s="18"/>
      <c r="AE240" s="41"/>
      <c r="AF240" s="41"/>
      <c r="AG240" s="41"/>
      <c r="AH240" s="41"/>
      <c r="AI240" s="41"/>
      <c r="AJ240" s="41"/>
      <c r="AK240" s="41"/>
    </row>
    <row r="241" ht="19.5" customHeight="1">
      <c r="A241" s="41"/>
      <c r="B241" s="41"/>
      <c r="C241" s="41"/>
      <c r="D241" s="41"/>
      <c r="E241" s="84" t="s">
        <v>1941</v>
      </c>
      <c r="F241" s="18" t="str">
        <f>IF(ISBLANK(input_mgmt_az1_host5_fqdn),"Value Missing",input_mgmt_az1_host5_fqdn)</f>
        <v>Value Missing</v>
      </c>
      <c r="G241" s="41"/>
      <c r="H241" s="84" t="s">
        <v>1941</v>
      </c>
      <c r="I241" s="18" t="str">
        <f>IF(ISBLANK(input_wld_az1_host5_fqdn),"Value Missing",input_wld_az1_host5_fqdn)</f>
        <v>Value Missing</v>
      </c>
      <c r="J241" s="41"/>
      <c r="K241" s="84" t="s">
        <v>1981</v>
      </c>
      <c r="L241" s="18"/>
      <c r="M241" s="41"/>
      <c r="N241" s="84" t="s">
        <v>1981</v>
      </c>
      <c r="O241" s="18"/>
      <c r="P241" s="41"/>
      <c r="Q241" s="84" t="s">
        <v>1981</v>
      </c>
      <c r="R241" s="18"/>
      <c r="S241" s="41"/>
      <c r="T241" s="84" t="s">
        <v>1981</v>
      </c>
      <c r="U241" s="18"/>
      <c r="V241" s="41"/>
      <c r="W241" s="84" t="s">
        <v>1981</v>
      </c>
      <c r="X241" s="18"/>
      <c r="Y241" s="41"/>
      <c r="Z241" s="84" t="s">
        <v>1981</v>
      </c>
      <c r="AA241" s="18"/>
      <c r="AB241" s="41"/>
      <c r="AC241" s="84" t="s">
        <v>1981</v>
      </c>
      <c r="AD241" s="18"/>
      <c r="AE241" s="41"/>
      <c r="AF241" s="41"/>
      <c r="AG241" s="41"/>
      <c r="AH241" s="41"/>
      <c r="AI241" s="41"/>
      <c r="AJ241" s="41"/>
      <c r="AK241" s="41"/>
    </row>
    <row r="242" ht="19.5" customHeight="1">
      <c r="A242" s="41"/>
      <c r="B242" s="41"/>
      <c r="C242" s="41"/>
      <c r="D242" s="41"/>
      <c r="E242" s="84" t="s">
        <v>1943</v>
      </c>
      <c r="F242" s="18" t="str">
        <f>IF(ISBLANK(input_mgmt_az1_host6_fqdn),"Value Missing",input_mgmt_az1_host6_fqdn)</f>
        <v>Value Missing</v>
      </c>
      <c r="G242" s="41"/>
      <c r="H242" s="84" t="s">
        <v>1943</v>
      </c>
      <c r="I242" s="18" t="str">
        <f>IF(ISBLANK(input_wld_az1_host6_fqdn),"Value Missing",input_wld_az1_host6_fqdn)</f>
        <v>Value Missing</v>
      </c>
      <c r="J242" s="41"/>
      <c r="K242" s="84" t="s">
        <v>1982</v>
      </c>
      <c r="L242" s="18"/>
      <c r="M242" s="41"/>
      <c r="N242" s="84" t="s">
        <v>1982</v>
      </c>
      <c r="O242" s="18"/>
      <c r="P242" s="41"/>
      <c r="Q242" s="84" t="s">
        <v>1982</v>
      </c>
      <c r="R242" s="18"/>
      <c r="S242" s="41"/>
      <c r="T242" s="84" t="s">
        <v>1982</v>
      </c>
      <c r="U242" s="18"/>
      <c r="V242" s="41"/>
      <c r="W242" s="84" t="s">
        <v>1982</v>
      </c>
      <c r="X242" s="18"/>
      <c r="Y242" s="41"/>
      <c r="Z242" s="84" t="s">
        <v>1982</v>
      </c>
      <c r="AA242" s="18"/>
      <c r="AB242" s="41"/>
      <c r="AC242" s="84" t="s">
        <v>1982</v>
      </c>
      <c r="AD242" s="18"/>
      <c r="AE242" s="41"/>
      <c r="AF242" s="41"/>
      <c r="AG242" s="41"/>
      <c r="AH242" s="41"/>
      <c r="AI242" s="41"/>
      <c r="AJ242" s="41"/>
      <c r="AK242" s="41"/>
    </row>
    <row r="243" ht="19.5" customHeight="1">
      <c r="A243" s="41"/>
      <c r="B243" s="41"/>
      <c r="C243" s="41"/>
      <c r="D243" s="41"/>
      <c r="E243" s="84" t="s">
        <v>1945</v>
      </c>
      <c r="F243" s="18" t="str">
        <f>IF(ISBLANK(input_mgmt_az1_host7_fqdn),"Value Missing",input_mgmt_az1_host7_fqdn)</f>
        <v>Value Missing</v>
      </c>
      <c r="G243" s="41"/>
      <c r="H243" s="84" t="s">
        <v>1945</v>
      </c>
      <c r="I243" s="18" t="str">
        <f>IF(ISBLANK(input_wld_az1_host7_fqdn),"Value Missing",input_wld_az1_host7_fqdn)</f>
        <v>Value Missing</v>
      </c>
      <c r="J243" s="41"/>
      <c r="K243" s="84" t="s">
        <v>1983</v>
      </c>
      <c r="L243" s="18"/>
      <c r="M243" s="322"/>
      <c r="N243" s="84" t="s">
        <v>1983</v>
      </c>
      <c r="O243" s="18"/>
      <c r="P243" s="41"/>
      <c r="Q243" s="84" t="s">
        <v>1983</v>
      </c>
      <c r="R243" s="18"/>
      <c r="S243" s="41"/>
      <c r="T243" s="84" t="s">
        <v>1983</v>
      </c>
      <c r="U243" s="18"/>
      <c r="V243" s="41"/>
      <c r="W243" s="84" t="s">
        <v>1983</v>
      </c>
      <c r="X243" s="18"/>
      <c r="Y243" s="41"/>
      <c r="Z243" s="84" t="s">
        <v>1983</v>
      </c>
      <c r="AA243" s="18"/>
      <c r="AB243" s="41"/>
      <c r="AC243" s="84" t="s">
        <v>1983</v>
      </c>
      <c r="AD243" s="18"/>
      <c r="AE243" s="41"/>
      <c r="AF243" s="41"/>
      <c r="AG243" s="41"/>
      <c r="AH243" s="41"/>
      <c r="AI243" s="41"/>
      <c r="AJ243" s="41"/>
      <c r="AK243" s="41"/>
    </row>
    <row r="244" ht="19.5" customHeight="1">
      <c r="A244" s="41"/>
      <c r="B244" s="41"/>
      <c r="C244" s="41"/>
      <c r="D244" s="41"/>
      <c r="E244" s="84" t="s">
        <v>1947</v>
      </c>
      <c r="F244" s="18" t="str">
        <f>IF(ISBLANK(input_mgmt_az1_host8_fqdn),"Value Missing",input_mgmt_az1_host8_fqdn)</f>
        <v>Value Missing</v>
      </c>
      <c r="G244" s="41"/>
      <c r="H244" s="84" t="s">
        <v>1947</v>
      </c>
      <c r="I244" s="18" t="str">
        <f>IF(ISBLANK(input_wld_az1_host8_fqdn),"Value Missing",input_wld_az1_host8_fqdn)</f>
        <v>Value Missing</v>
      </c>
      <c r="J244" s="41"/>
      <c r="K244" s="84" t="s">
        <v>1984</v>
      </c>
      <c r="L244" s="18"/>
      <c r="M244" s="41"/>
      <c r="N244" s="84" t="s">
        <v>1984</v>
      </c>
      <c r="O244" s="18"/>
      <c r="P244" s="41"/>
      <c r="Q244" s="84" t="s">
        <v>1984</v>
      </c>
      <c r="R244" s="18"/>
      <c r="S244" s="41"/>
      <c r="T244" s="84" t="s">
        <v>1984</v>
      </c>
      <c r="U244" s="18"/>
      <c r="V244" s="41"/>
      <c r="W244" s="84" t="s">
        <v>1984</v>
      </c>
      <c r="X244" s="18"/>
      <c r="Y244" s="41"/>
      <c r="Z244" s="84" t="s">
        <v>1984</v>
      </c>
      <c r="AA244" s="18"/>
      <c r="AB244" s="41"/>
      <c r="AC244" s="84" t="s">
        <v>1984</v>
      </c>
      <c r="AD244" s="18"/>
      <c r="AE244" s="41"/>
      <c r="AF244" s="41"/>
      <c r="AG244" s="41"/>
      <c r="AH244" s="41"/>
      <c r="AI244" s="41"/>
      <c r="AJ244" s="41"/>
      <c r="AK244" s="41"/>
    </row>
    <row r="245" ht="19.5" customHeight="1">
      <c r="A245" s="41"/>
      <c r="B245" s="41"/>
      <c r="C245" s="41"/>
      <c r="D245" s="41"/>
      <c r="E245" s="84" t="s">
        <v>1949</v>
      </c>
      <c r="F245" s="18" t="str">
        <f>IF(ISBLANK(input_mgmt_az1_host9_fqdn),"Value Missing",input_mgmt_az1_host9_fqdn)</f>
        <v>Value Missing</v>
      </c>
      <c r="G245" s="41"/>
      <c r="H245" s="84" t="s">
        <v>1949</v>
      </c>
      <c r="I245" s="18" t="str">
        <f>IF(ISBLANK(input_wld_az1_host9_fqdn),"Value Missing",input_wld_az1_host9_fqdn)</f>
        <v>Value Missing</v>
      </c>
      <c r="J245" s="41"/>
      <c r="K245" s="84" t="s">
        <v>1985</v>
      </c>
      <c r="L245" s="18"/>
      <c r="M245" s="41"/>
      <c r="N245" s="84" t="s">
        <v>1985</v>
      </c>
      <c r="O245" s="18"/>
      <c r="P245" s="41"/>
      <c r="Q245" s="84" t="s">
        <v>1985</v>
      </c>
      <c r="R245" s="18"/>
      <c r="S245" s="41"/>
      <c r="T245" s="84" t="s">
        <v>1985</v>
      </c>
      <c r="U245" s="18"/>
      <c r="V245" s="41"/>
      <c r="W245" s="84" t="s">
        <v>1985</v>
      </c>
      <c r="X245" s="18"/>
      <c r="Y245" s="41"/>
      <c r="Z245" s="84" t="s">
        <v>1985</v>
      </c>
      <c r="AA245" s="18"/>
      <c r="AB245" s="41"/>
      <c r="AC245" s="84" t="s">
        <v>1985</v>
      </c>
      <c r="AD245" s="18"/>
      <c r="AE245" s="41"/>
      <c r="AF245" s="41"/>
      <c r="AG245" s="41"/>
      <c r="AH245" s="41"/>
      <c r="AI245" s="41"/>
      <c r="AJ245" s="41"/>
      <c r="AK245" s="41"/>
    </row>
    <row r="246" ht="19.5" customHeight="1">
      <c r="A246" s="41"/>
      <c r="B246" s="41"/>
      <c r="C246" s="41"/>
      <c r="D246" s="41"/>
      <c r="E246" s="84" t="s">
        <v>1951</v>
      </c>
      <c r="F246" s="18" t="str">
        <f>IF(ISBLANK(input_mgmt_az1_host10_fqdn),"Value Missing",input_mgmt_az1_host10_fqdn)</f>
        <v>Value Missing</v>
      </c>
      <c r="G246" s="41"/>
      <c r="H246" s="84" t="s">
        <v>1951</v>
      </c>
      <c r="I246" s="18" t="str">
        <f>IF(ISBLANK(input_wld_az1_host10_fqdn),"Value Missing",input_wld_az1_host10_fqdn)</f>
        <v>Value Missing</v>
      </c>
      <c r="J246" s="41"/>
      <c r="K246" s="80"/>
      <c r="L246" s="80"/>
      <c r="M246" s="41"/>
      <c r="N246" s="80"/>
      <c r="O246" s="80"/>
      <c r="P246" s="41"/>
      <c r="Q246" s="80"/>
      <c r="R246" s="80"/>
      <c r="S246" s="41"/>
      <c r="T246" s="80"/>
      <c r="U246" s="80"/>
      <c r="V246" s="41"/>
      <c r="W246" s="80"/>
      <c r="X246" s="80"/>
      <c r="Y246" s="41"/>
      <c r="Z246" s="80"/>
      <c r="AA246" s="80"/>
      <c r="AB246" s="41"/>
      <c r="AC246" s="80"/>
      <c r="AD246" s="80"/>
      <c r="AE246" s="41"/>
      <c r="AF246" s="41"/>
      <c r="AG246" s="41"/>
      <c r="AH246" s="41"/>
      <c r="AI246" s="41"/>
      <c r="AJ246" s="41"/>
      <c r="AK246" s="41"/>
    </row>
    <row r="247" ht="19.5" customHeight="1">
      <c r="A247" s="41"/>
      <c r="B247" s="41"/>
      <c r="C247" s="41"/>
      <c r="D247" s="41"/>
      <c r="E247" s="84" t="s">
        <v>1953</v>
      </c>
      <c r="F247" s="18" t="str">
        <f>IF(ISBLANK(input_mgmt_az1_host11_fqdn),"Value Missing",input_mgmt_az1_host11_fqdn)</f>
        <v>Value Missing</v>
      </c>
      <c r="G247" s="41"/>
      <c r="H247" s="84" t="s">
        <v>1953</v>
      </c>
      <c r="I247" s="18" t="str">
        <f>IF(ISBLANK(input_wld_az1_host11_fqdn),"Value Missing",input_wld_az1_host11_fqdn)</f>
        <v>Value Missing</v>
      </c>
      <c r="J247" s="41"/>
      <c r="K247" s="80"/>
      <c r="L247" s="80"/>
      <c r="M247" s="41"/>
      <c r="N247" s="80"/>
      <c r="O247" s="80"/>
      <c r="P247" s="41"/>
      <c r="Q247" s="80"/>
      <c r="R247" s="80"/>
      <c r="S247" s="41"/>
      <c r="T247" s="80"/>
      <c r="U247" s="80"/>
      <c r="V247" s="41"/>
      <c r="W247" s="80"/>
      <c r="X247" s="80"/>
      <c r="Y247" s="41"/>
      <c r="Z247" s="80"/>
      <c r="AA247" s="80"/>
      <c r="AB247" s="41"/>
      <c r="AC247" s="325"/>
      <c r="AD247" s="325"/>
      <c r="AE247" s="41"/>
      <c r="AF247" s="41"/>
      <c r="AG247" s="41"/>
      <c r="AH247" s="41"/>
      <c r="AI247" s="41"/>
      <c r="AJ247" s="41"/>
      <c r="AK247" s="41"/>
    </row>
    <row r="248" ht="19.5" customHeight="1">
      <c r="A248" s="41"/>
      <c r="B248" s="41"/>
      <c r="C248" s="41"/>
      <c r="D248" s="41"/>
      <c r="E248" s="84" t="s">
        <v>1955</v>
      </c>
      <c r="F248" s="18" t="str">
        <f>IF(ISBLANK(input_mgmt_az1_host12_fqdn),"Value Missing",input_mgmt_az1_host12_fqdn)</f>
        <v>Value Missing</v>
      </c>
      <c r="G248" s="41"/>
      <c r="H248" s="84" t="s">
        <v>1955</v>
      </c>
      <c r="I248" s="18" t="str">
        <f>IF(ISBLANK(input_wld_az1_host12_fqdn),"Value Missing",input_wld_az1_host12_fqdn)</f>
        <v>Value Missing</v>
      </c>
      <c r="J248" s="41"/>
      <c r="K248" s="309" t="s">
        <v>1972</v>
      </c>
      <c r="L248" s="324"/>
      <c r="M248" s="41"/>
      <c r="N248" s="309" t="s">
        <v>1973</v>
      </c>
      <c r="O248" s="324"/>
      <c r="P248" s="322"/>
      <c r="Q248" s="309" t="s">
        <v>1974</v>
      </c>
      <c r="R248" s="324"/>
      <c r="S248" s="322"/>
      <c r="T248" s="309" t="s">
        <v>1975</v>
      </c>
      <c r="U248" s="324"/>
      <c r="V248" s="322"/>
      <c r="W248" s="309" t="s">
        <v>1976</v>
      </c>
      <c r="X248" s="324"/>
      <c r="Y248" s="322"/>
      <c r="Z248" s="309" t="s">
        <v>1977</v>
      </c>
      <c r="AA248" s="324"/>
      <c r="AB248" s="322"/>
      <c r="AC248" s="309" t="s">
        <v>1978</v>
      </c>
      <c r="AD248" s="324"/>
      <c r="AE248" s="41"/>
      <c r="AF248" s="41"/>
      <c r="AG248" s="41"/>
      <c r="AH248" s="41"/>
      <c r="AI248" s="41"/>
      <c r="AJ248" s="41"/>
      <c r="AK248" s="41"/>
    </row>
    <row r="249" ht="19.5" customHeight="1">
      <c r="A249" s="41"/>
      <c r="B249" s="41"/>
      <c r="C249" s="41"/>
      <c r="D249" s="41"/>
      <c r="E249" s="84" t="s">
        <v>1957</v>
      </c>
      <c r="F249" s="18" t="str">
        <f>IF(ISBLANK(input_mgmt_az1_host13_fqdn),"Value Missing",input_mgmt_az1_host13_fqdn)</f>
        <v>Value Missing</v>
      </c>
      <c r="G249" s="41"/>
      <c r="H249" s="84" t="s">
        <v>1957</v>
      </c>
      <c r="I249" s="18" t="str">
        <f>IF(ISBLANK(input_wld_az1_host13_fqdn),"Value Missing",input_wld_az1_host13_fqdn)</f>
        <v>Value Missing</v>
      </c>
      <c r="J249" s="80"/>
      <c r="K249" s="84" t="s">
        <v>1979</v>
      </c>
      <c r="L249" s="18"/>
      <c r="M249" s="41"/>
      <c r="N249" s="84" t="s">
        <v>1979</v>
      </c>
      <c r="O249" s="18"/>
      <c r="P249" s="41"/>
      <c r="Q249" s="84" t="s">
        <v>1979</v>
      </c>
      <c r="R249" s="18"/>
      <c r="S249" s="41"/>
      <c r="T249" s="84" t="s">
        <v>1979</v>
      </c>
      <c r="U249" s="18"/>
      <c r="V249" s="41"/>
      <c r="W249" s="84" t="s">
        <v>1979</v>
      </c>
      <c r="X249" s="18"/>
      <c r="Y249" s="41"/>
      <c r="Z249" s="84" t="s">
        <v>1979</v>
      </c>
      <c r="AA249" s="18"/>
      <c r="AB249" s="41"/>
      <c r="AC249" s="84" t="s">
        <v>1979</v>
      </c>
      <c r="AD249" s="18"/>
      <c r="AE249" s="41"/>
      <c r="AF249" s="41"/>
      <c r="AG249" s="41"/>
      <c r="AH249" s="41"/>
      <c r="AI249" s="41"/>
      <c r="AJ249" s="41"/>
      <c r="AK249" s="41"/>
    </row>
    <row r="250" ht="19.5" customHeight="1">
      <c r="A250" s="41"/>
      <c r="B250" s="41"/>
      <c r="C250" s="41"/>
      <c r="D250" s="41"/>
      <c r="E250" s="84" t="s">
        <v>1958</v>
      </c>
      <c r="F250" s="18" t="str">
        <f>IF(ISBLANK(input_mgmt_az1_host14_fqdn),"Value Missing",input_mgmt_az1_host14_fqdn)</f>
        <v>Value Missing</v>
      </c>
      <c r="G250" s="41"/>
      <c r="H250" s="84" t="s">
        <v>1958</v>
      </c>
      <c r="I250" s="18" t="str">
        <f>IF(ISBLANK(input_wld_az1_host14_fqdn),"Value Missing",input_wld_az1_host14_fqdn)</f>
        <v>Value Missing</v>
      </c>
      <c r="J250" s="80"/>
      <c r="K250" s="84" t="s">
        <v>1980</v>
      </c>
      <c r="L250" s="18"/>
      <c r="M250" s="41"/>
      <c r="N250" s="84" t="s">
        <v>1980</v>
      </c>
      <c r="O250" s="18"/>
      <c r="P250" s="41"/>
      <c r="Q250" s="84" t="s">
        <v>1980</v>
      </c>
      <c r="R250" s="18"/>
      <c r="S250" s="41"/>
      <c r="T250" s="84" t="s">
        <v>1980</v>
      </c>
      <c r="U250" s="18"/>
      <c r="V250" s="41"/>
      <c r="W250" s="84" t="s">
        <v>1980</v>
      </c>
      <c r="X250" s="18"/>
      <c r="Y250" s="41"/>
      <c r="Z250" s="84" t="s">
        <v>1980</v>
      </c>
      <c r="AA250" s="18"/>
      <c r="AB250" s="41"/>
      <c r="AC250" s="84" t="s">
        <v>1980</v>
      </c>
      <c r="AD250" s="18"/>
      <c r="AE250" s="41"/>
      <c r="AF250" s="41"/>
      <c r="AG250" s="41"/>
      <c r="AH250" s="41"/>
      <c r="AI250" s="41"/>
      <c r="AJ250" s="41"/>
      <c r="AK250" s="41"/>
    </row>
    <row r="251" ht="19.5" customHeight="1">
      <c r="A251" s="41"/>
      <c r="B251" s="41"/>
      <c r="C251" s="41"/>
      <c r="D251" s="41"/>
      <c r="E251" s="84" t="s">
        <v>1961</v>
      </c>
      <c r="F251" s="18" t="str">
        <f>IF(ISBLANK(input_mgmt_az1_host15_fqdn),"Value Missing",input_mgmt_az1_host15_fqdn)</f>
        <v>Value Missing</v>
      </c>
      <c r="G251" s="41"/>
      <c r="H251" s="84" t="s">
        <v>1961</v>
      </c>
      <c r="I251" s="18" t="str">
        <f>IF(ISBLANK(input_wld_az1_host15_fqdn),"Value Missing",input_wld_az1_host15_fqdn)</f>
        <v>Value Missing</v>
      </c>
      <c r="J251" s="41"/>
      <c r="K251" s="84" t="s">
        <v>1981</v>
      </c>
      <c r="L251" s="18"/>
      <c r="M251" s="41"/>
      <c r="N251" s="84" t="s">
        <v>1981</v>
      </c>
      <c r="O251" s="18"/>
      <c r="P251" s="41"/>
      <c r="Q251" s="84" t="s">
        <v>1981</v>
      </c>
      <c r="R251" s="18"/>
      <c r="S251" s="41"/>
      <c r="T251" s="84" t="s">
        <v>1981</v>
      </c>
      <c r="U251" s="18"/>
      <c r="V251" s="41"/>
      <c r="W251" s="84" t="s">
        <v>1981</v>
      </c>
      <c r="X251" s="18"/>
      <c r="Y251" s="41"/>
      <c r="Z251" s="84" t="s">
        <v>1981</v>
      </c>
      <c r="AA251" s="18"/>
      <c r="AB251" s="41"/>
      <c r="AC251" s="84" t="s">
        <v>1981</v>
      </c>
      <c r="AD251" s="18"/>
      <c r="AE251" s="41"/>
      <c r="AF251" s="41"/>
      <c r="AG251" s="41"/>
      <c r="AH251" s="41"/>
      <c r="AI251" s="41"/>
      <c r="AJ251" s="41"/>
      <c r="AK251" s="41"/>
    </row>
    <row r="252" ht="19.5" customHeight="1">
      <c r="A252" s="41"/>
      <c r="B252" s="41"/>
      <c r="C252" s="41"/>
      <c r="D252" s="41"/>
      <c r="E252" s="84" t="s">
        <v>1962</v>
      </c>
      <c r="F252" s="18" t="str">
        <f>IF(ISBLANK(input_mgmt_az1_host16_fqdn),"Value Missing",input_mgmt_az1_host16_fqdn)</f>
        <v>Value Missing</v>
      </c>
      <c r="G252" s="41"/>
      <c r="H252" s="84" t="s">
        <v>1962</v>
      </c>
      <c r="I252" s="18" t="str">
        <f>IF(ISBLANK(input_wld_az1_host16_fqdn),"Value Missing",input_wld_az1_host16_fqdn)</f>
        <v>Value Missing</v>
      </c>
      <c r="J252" s="41"/>
      <c r="K252" s="84" t="s">
        <v>1982</v>
      </c>
      <c r="L252" s="18"/>
      <c r="M252" s="1"/>
      <c r="N252" s="84" t="s">
        <v>1982</v>
      </c>
      <c r="O252" s="18"/>
      <c r="P252" s="41"/>
      <c r="Q252" s="84" t="s">
        <v>1982</v>
      </c>
      <c r="R252" s="18"/>
      <c r="S252" s="41"/>
      <c r="T252" s="84" t="s">
        <v>1982</v>
      </c>
      <c r="U252" s="18"/>
      <c r="V252" s="41"/>
      <c r="W252" s="84" t="s">
        <v>1982</v>
      </c>
      <c r="X252" s="18"/>
      <c r="Y252" s="41"/>
      <c r="Z252" s="84" t="s">
        <v>1982</v>
      </c>
      <c r="AA252" s="18"/>
      <c r="AB252" s="41"/>
      <c r="AC252" s="84" t="s">
        <v>1982</v>
      </c>
      <c r="AD252" s="18"/>
      <c r="AE252" s="41"/>
      <c r="AF252" s="41"/>
      <c r="AG252" s="41"/>
      <c r="AH252" s="41"/>
      <c r="AI252" s="41"/>
      <c r="AJ252" s="41"/>
      <c r="AK252" s="41"/>
    </row>
    <row r="253" ht="19.5" customHeight="1">
      <c r="A253" s="41"/>
      <c r="B253" s="41"/>
      <c r="C253" s="41"/>
      <c r="D253" s="41"/>
      <c r="E253" s="41"/>
      <c r="F253" s="41"/>
      <c r="G253" s="41"/>
      <c r="H253" s="1"/>
      <c r="I253" s="1"/>
      <c r="J253" s="41"/>
      <c r="K253" s="84" t="s">
        <v>1983</v>
      </c>
      <c r="L253" s="18"/>
      <c r="M253" s="1"/>
      <c r="N253" s="84" t="s">
        <v>1983</v>
      </c>
      <c r="O253" s="18"/>
      <c r="P253" s="41"/>
      <c r="Q253" s="84" t="s">
        <v>1983</v>
      </c>
      <c r="R253" s="18"/>
      <c r="S253" s="41"/>
      <c r="T253" s="84" t="s">
        <v>1983</v>
      </c>
      <c r="U253" s="18"/>
      <c r="V253" s="41"/>
      <c r="W253" s="84" t="s">
        <v>1983</v>
      </c>
      <c r="X253" s="18"/>
      <c r="Y253" s="41"/>
      <c r="Z253" s="84" t="s">
        <v>1983</v>
      </c>
      <c r="AA253" s="18"/>
      <c r="AB253" s="41"/>
      <c r="AC253" s="84" t="s">
        <v>1983</v>
      </c>
      <c r="AD253" s="18"/>
      <c r="AE253" s="41"/>
      <c r="AF253" s="41"/>
      <c r="AG253" s="41"/>
      <c r="AH253" s="41"/>
      <c r="AI253" s="41"/>
      <c r="AJ253" s="41"/>
      <c r="AK253" s="41"/>
    </row>
    <row r="254" ht="19.5" customHeight="1">
      <c r="A254" s="41"/>
      <c r="B254" s="41"/>
      <c r="C254" s="41"/>
      <c r="D254" s="41"/>
      <c r="E254" s="309" t="s">
        <v>1986</v>
      </c>
      <c r="F254" s="324"/>
      <c r="G254" s="41"/>
      <c r="H254" s="309" t="s">
        <v>1987</v>
      </c>
      <c r="I254" s="324"/>
      <c r="J254" s="41"/>
      <c r="K254" s="84" t="s">
        <v>1984</v>
      </c>
      <c r="L254" s="18"/>
      <c r="M254" s="196" t="str">
        <f>IF(wld_dpg_separation_result="Included",(CONCATENATE(prefix_wld_az1_rack_cidr,".21.0/24")),(CONCATENATE(prefix_wld_az1_rack_cidr,".22.0/24")))</f>
        <v>10.23..21.0/24</v>
      </c>
      <c r="N254" s="84" t="s">
        <v>1984</v>
      </c>
      <c r="O254" s="18"/>
      <c r="P254" s="41"/>
      <c r="Q254" s="84" t="s">
        <v>1984</v>
      </c>
      <c r="R254" s="18"/>
      <c r="S254" s="41"/>
      <c r="T254" s="84" t="s">
        <v>1984</v>
      </c>
      <c r="U254" s="18"/>
      <c r="V254" s="41"/>
      <c r="W254" s="84" t="s">
        <v>1984</v>
      </c>
      <c r="X254" s="18"/>
      <c r="Y254" s="41"/>
      <c r="Z254" s="84" t="s">
        <v>1984</v>
      </c>
      <c r="AA254" s="18"/>
      <c r="AB254" s="41"/>
      <c r="AC254" s="84" t="s">
        <v>1984</v>
      </c>
      <c r="AD254" s="18"/>
      <c r="AE254" s="41"/>
      <c r="AF254" s="41"/>
      <c r="AG254" s="41"/>
      <c r="AH254" s="41"/>
      <c r="AI254" s="41"/>
      <c r="AJ254" s="41"/>
      <c r="AK254" s="41"/>
    </row>
    <row r="255" ht="19.5" customHeight="1">
      <c r="A255" s="41"/>
      <c r="B255" s="41"/>
      <c r="C255" s="41"/>
      <c r="D255" s="41"/>
      <c r="E255" s="84" t="s">
        <v>1979</v>
      </c>
      <c r="F255" s="18" t="str">
        <f>IF(mgmt_az1_en1_fqdn="Value Missing",mgmt_az1_en1_fqdn,LEFT(mgmt_az1_en1_fqdn,FIND(".",mgmt_az1_en1_fqdn)-1))</f>
        <v>Value Missing</v>
      </c>
      <c r="G255" s="41"/>
      <c r="H255" s="84" t="s">
        <v>1979</v>
      </c>
      <c r="I255" s="18" t="str">
        <f>IF(wld_az1_en1_fqdn="Value Missing",wld_az1_en1_fqdn,LEFT(wld_az1_en1_fqdn,FIND(".",wld_az1_en1_fqdn)-1))</f>
        <v>Value Missing</v>
      </c>
      <c r="J255" s="41"/>
      <c r="K255" s="84" t="s">
        <v>1985</v>
      </c>
      <c r="L255" s="18"/>
      <c r="M255" s="196" t="str">
        <f>IF(wld_dpg_separation_result="Included",(CONCATENATE(prefix_wld_az1_rack_cidr,".32.0/24")),(CONCATENATE(prefix_wld_az1_rack_cidr,".33.0/24")))</f>
        <v>10.23..32.0/24</v>
      </c>
      <c r="N255" s="84" t="s">
        <v>1985</v>
      </c>
      <c r="O255" s="18"/>
      <c r="P255" s="41"/>
      <c r="Q255" s="84" t="s">
        <v>1985</v>
      </c>
      <c r="R255" s="18"/>
      <c r="S255" s="41"/>
      <c r="T255" s="84" t="s">
        <v>1985</v>
      </c>
      <c r="U255" s="18"/>
      <c r="V255" s="41"/>
      <c r="W255" s="84" t="s">
        <v>1985</v>
      </c>
      <c r="X255" s="18"/>
      <c r="Y255" s="41"/>
      <c r="Z255" s="84" t="s">
        <v>1985</v>
      </c>
      <c r="AA255" s="18"/>
      <c r="AB255" s="41"/>
      <c r="AC255" s="84" t="s">
        <v>1985</v>
      </c>
      <c r="AD255" s="18"/>
      <c r="AE255" s="41"/>
      <c r="AF255" s="41"/>
      <c r="AG255" s="41"/>
      <c r="AH255" s="41"/>
      <c r="AI255" s="41"/>
      <c r="AJ255" s="41"/>
      <c r="AK255" s="41"/>
    </row>
    <row r="256" ht="19.5" customHeight="1">
      <c r="A256" s="41"/>
      <c r="B256" s="41"/>
      <c r="C256" s="41"/>
      <c r="D256" s="41"/>
      <c r="E256" s="84" t="s">
        <v>1980</v>
      </c>
      <c r="F256" s="18" t="str">
        <f>mgmt_az1_en1_fqdn</f>
        <v>Value Missing</v>
      </c>
      <c r="G256" s="41"/>
      <c r="H256" s="84" t="s">
        <v>1980</v>
      </c>
      <c r="I256" s="18" t="str">
        <f>wld_az1_en1_fqdn</f>
        <v>Value Missing</v>
      </c>
      <c r="J256" s="41"/>
      <c r="K256" s="80"/>
      <c r="L256" s="1"/>
      <c r="M256" s="196" t="str">
        <f>IF(wld_dpg_separation_result="Included",(CONCATENATE(prefix_wld_az1_rack_cidr,".43.0/24")),(CONCATENATE(prefix_wld_az1_rack_cidr,".44.0/24")))</f>
        <v>10.23..43.0/24</v>
      </c>
      <c r="N256" s="80"/>
      <c r="O256" s="1"/>
      <c r="P256" s="41"/>
      <c r="Q256" s="80"/>
      <c r="R256" s="1"/>
      <c r="S256" s="41"/>
      <c r="T256" s="80"/>
      <c r="U256" s="1"/>
      <c r="V256" s="41"/>
      <c r="W256" s="80"/>
      <c r="X256" s="1"/>
      <c r="Y256" s="41"/>
      <c r="Z256" s="80"/>
      <c r="AA256" s="1"/>
      <c r="AB256" s="41"/>
      <c r="AC256" s="80"/>
      <c r="AD256" s="1"/>
      <c r="AE256" s="41"/>
      <c r="AF256" s="41"/>
      <c r="AG256" s="41"/>
      <c r="AH256" s="41"/>
      <c r="AI256" s="41"/>
      <c r="AJ256" s="41"/>
      <c r="AK256" s="41"/>
    </row>
    <row r="257" ht="19.5" customHeight="1">
      <c r="A257" s="41"/>
      <c r="B257" s="41"/>
      <c r="C257" s="41"/>
      <c r="D257" s="41"/>
      <c r="E257" s="84" t="s">
        <v>1981</v>
      </c>
      <c r="F257" s="18" t="str">
        <f>IF(mgmt_az1_en1_mgmt_cidr="Value Missing","Value Missing",(TEXTBEFORE(mgmt_az1_en1_mgmt_cidr,"/",1)))</f>
        <v>Value Missing</v>
      </c>
      <c r="G257" s="41"/>
      <c r="H257" s="84" t="s">
        <v>1981</v>
      </c>
      <c r="I257" s="18" t="str">
        <f>IF(wld_az1_en1_mgmt_cidr="Value Missing","Value Missing",(TEXTBEFORE(wld_az1_en1_mgmt_cidr,"/",1)))</f>
        <v>Value Missing</v>
      </c>
      <c r="J257" s="41"/>
      <c r="K257" s="41"/>
      <c r="L257" s="114"/>
      <c r="M257" s="196" t="str">
        <f>IF(wld_dpg_separation_result="Included",(CONCATENATE(prefix_wld_az1_rack_cidr,".54.0/24")),(CONCATENATE(prefix_wld_az1_rack_cidr,".55.0/24")))</f>
        <v>10.23..54.0/24</v>
      </c>
      <c r="N257" s="41"/>
      <c r="O257" s="41"/>
      <c r="P257" s="1"/>
      <c r="Q257" s="41"/>
      <c r="R257" s="41"/>
      <c r="S257" s="1"/>
      <c r="T257" s="41"/>
      <c r="U257" s="41"/>
      <c r="V257" s="1"/>
      <c r="W257" s="1"/>
      <c r="X257" s="41"/>
      <c r="Y257" s="1"/>
      <c r="Z257" s="41"/>
      <c r="AA257" s="41"/>
      <c r="AB257" s="1"/>
      <c r="AC257" s="41"/>
      <c r="AD257" s="41"/>
      <c r="AE257" s="41"/>
      <c r="AF257" s="41"/>
      <c r="AG257" s="41"/>
      <c r="AH257" s="41"/>
      <c r="AI257" s="41"/>
      <c r="AJ257" s="41"/>
      <c r="AK257" s="41"/>
    </row>
    <row r="258" ht="19.5" customHeight="1">
      <c r="A258" s="41"/>
      <c r="B258" s="41"/>
      <c r="C258" s="41"/>
      <c r="D258" s="41"/>
      <c r="E258" s="84" t="s">
        <v>1988</v>
      </c>
      <c r="F258" s="18" t="str">
        <f>IF(ISBLANK('Configure Management Domain'!D107),"Value Missing",'Configure Management Domain'!D107)</f>
        <v>Value Missing</v>
      </c>
      <c r="G258" s="41"/>
      <c r="H258" s="84" t="s">
        <v>1988</v>
      </c>
      <c r="I258" s="18" t="str">
        <f>IF(ISBLANK('Configure Workload Domain'!D50),"Value Missing",'Configure Workload Domain'!D50)</f>
        <v>Value Missing</v>
      </c>
      <c r="J258" s="41"/>
      <c r="K258" s="41"/>
      <c r="L258" s="114"/>
      <c r="M258" s="196" t="str">
        <f>IF(wld_dpg_separation_result="Included",(CONCATENATE(prefix_wld_az1_rack_cidr,".65.0/24")),(CONCATENATE(prefix_wld_az1_rack_cidr,".66.0/24")))</f>
        <v>10.23..65.0/24</v>
      </c>
      <c r="N258" s="41"/>
      <c r="O258" s="41"/>
      <c r="P258" s="1"/>
      <c r="Q258" s="41"/>
      <c r="R258" s="41"/>
      <c r="S258" s="1"/>
      <c r="T258" s="41"/>
      <c r="U258" s="41"/>
      <c r="V258" s="1"/>
      <c r="W258" s="1"/>
      <c r="X258" s="41"/>
      <c r="Y258" s="1"/>
      <c r="Z258" s="41"/>
      <c r="AA258" s="41"/>
      <c r="AB258" s="1"/>
      <c r="AC258" s="41"/>
      <c r="AD258" s="41"/>
      <c r="AE258" s="41"/>
      <c r="AF258" s="41"/>
      <c r="AG258" s="41"/>
      <c r="AH258" s="41"/>
      <c r="AI258" s="41"/>
      <c r="AJ258" s="41"/>
      <c r="AK258" s="41"/>
    </row>
    <row r="259" ht="19.5" customHeight="1">
      <c r="A259" s="41"/>
      <c r="B259" s="41"/>
      <c r="C259" s="41"/>
      <c r="D259" s="41"/>
      <c r="E259" s="84" t="s">
        <v>1982</v>
      </c>
      <c r="F259" s="18" t="str">
        <f>IF(ISBLANK('Configure Management Domain'!D159),"Value Missing",'Configure Management Domain'!D159)</f>
        <v>Value Missing</v>
      </c>
      <c r="G259" s="41"/>
      <c r="H259" s="84" t="s">
        <v>1982</v>
      </c>
      <c r="I259" s="18" t="str">
        <f>IF(ISBLANK('Configure Workload Domain'!D102),"Value Missing",'Configure Workload Domain'!D102)</f>
        <v>Value Missing</v>
      </c>
      <c r="J259" s="41"/>
      <c r="K259" s="244" t="str">
        <f t="array" ref="K259">IF(wld_dpg_separation_result="Included",CONCATENATE(prefix_wld_az1_rack_vlan,"21"),CONCATENATE(prefix_wld_az1_rack_vlan,"22"))</f>
        <v>2321</v>
      </c>
      <c r="L259" s="18"/>
      <c r="M259" s="196" t="str">
        <f>IF(wld_dpg_separation_result="Included",(CONCATENATE(prefix_wld_az1_rack_cidr,".76.0/24")),(CONCATENATE(prefix_wld_az1_rack_cidr,".77.0/24")))</f>
        <v>10.23..76.0/24</v>
      </c>
      <c r="N259" s="18"/>
      <c r="O259" s="196" t="str">
        <f>IF(wld_dpg_separation_result="Included",CONCATENATE(prefix_wld_az1_rack_cidr,".21.1"),CONCATENATE(prefix_wld_az1_rack_cidr,".22.1"))</f>
        <v>10.23..21.1</v>
      </c>
      <c r="P259" s="18"/>
      <c r="Q259" s="196">
        <v>1500.0</v>
      </c>
      <c r="R259" s="18"/>
      <c r="S259" s="1"/>
      <c r="T259" s="41"/>
      <c r="U259" s="41"/>
      <c r="V259" s="1"/>
      <c r="W259" s="1"/>
      <c r="X259" s="41"/>
      <c r="Y259" s="1"/>
      <c r="Z259" s="41"/>
      <c r="AA259" s="41"/>
      <c r="AB259" s="1"/>
      <c r="AC259" s="41"/>
      <c r="AD259" s="41"/>
      <c r="AE259" s="41"/>
      <c r="AF259" s="41"/>
      <c r="AG259" s="41"/>
      <c r="AH259" s="41"/>
      <c r="AI259" s="41"/>
      <c r="AJ259" s="41"/>
      <c r="AK259" s="41"/>
    </row>
    <row r="260" ht="19.5" customHeight="1">
      <c r="A260" s="41"/>
      <c r="B260" s="41"/>
      <c r="C260" s="41"/>
      <c r="D260" s="41"/>
      <c r="E260" s="84" t="s">
        <v>1983</v>
      </c>
      <c r="F260" s="18" t="str">
        <f>IF(ISBLANK('Configure Management Domain'!D166),"Value Missing",'Configure Management Domain'!D166)</f>
        <v>Value Missing</v>
      </c>
      <c r="G260" s="41"/>
      <c r="H260" s="84" t="s">
        <v>1983</v>
      </c>
      <c r="I260" s="18" t="str">
        <f>IF(ISBLANK('Configure Workload Domain'!D109),"Value Missing",'Configure Workload Domain'!D109)</f>
        <v>Value Missing</v>
      </c>
      <c r="J260" s="41"/>
      <c r="K260" s="244" t="str">
        <f>IF(wld_dpg_separation_result="Included",CONCATENATE(prefix_wld_az1_rack_vlan,"32"),CONCATENATE(prefix_wld_az1_rack_vlan,"33"))</f>
        <v>2332</v>
      </c>
      <c r="L260" s="18"/>
      <c r="M260" s="196" t="str">
        <f>IF(wld_dpg_separation_result="Included",(CONCATENATE(prefix_wld_az1_rack_cidr,".87.0/24")),(CONCATENATE(prefix_wld_az1_rack_cidr,".88.0/24")))</f>
        <v>10.23..87.0/24</v>
      </c>
      <c r="N260" s="18"/>
      <c r="O260" s="196" t="str">
        <f>IF(wld_dpg_separation_result="Included",CONCATENATE(prefix_wld_az1_rack_cidr,".32.1"),CONCATENATE(prefix_wld_az1_rack_cidr,".33.1"))</f>
        <v>10.23..32.1</v>
      </c>
      <c r="P260" s="18"/>
      <c r="Q260" s="196">
        <v>1500.0</v>
      </c>
      <c r="R260" s="18"/>
      <c r="S260" s="1"/>
      <c r="T260" s="41"/>
      <c r="U260" s="41"/>
      <c r="V260" s="1"/>
      <c r="W260" s="1"/>
      <c r="X260" s="41"/>
      <c r="Y260" s="1"/>
      <c r="Z260" s="41"/>
      <c r="AA260" s="41"/>
      <c r="AB260" s="1"/>
      <c r="AC260" s="41"/>
      <c r="AD260" s="41"/>
      <c r="AE260" s="41"/>
      <c r="AF260" s="41"/>
      <c r="AG260" s="41"/>
      <c r="AH260" s="41"/>
      <c r="AI260" s="41"/>
      <c r="AJ260" s="41"/>
      <c r="AK260" s="41"/>
    </row>
    <row r="261" ht="19.5" customHeight="1">
      <c r="A261" s="41"/>
      <c r="B261" s="41"/>
      <c r="C261" s="41"/>
      <c r="D261" s="41"/>
      <c r="E261" s="84" t="s">
        <v>1984</v>
      </c>
      <c r="F261" s="18" t="str">
        <f>IF(ISBLANK('Configure Management Domain'!D120),"Value Missing",'Configure Management Domain'!D120)</f>
        <v>Value Missing</v>
      </c>
      <c r="G261" s="41"/>
      <c r="H261" s="84" t="s">
        <v>1984</v>
      </c>
      <c r="I261" s="18" t="str">
        <f>IF(ISBLANK('Configure Workload Domain'!D63),"Value Missing",'Configure Workload Domain'!D63)</f>
        <v>Value Missing</v>
      </c>
      <c r="J261" s="41"/>
      <c r="K261" s="244" t="str">
        <f>IF(wld_dpg_separation_result="Included",CONCATENATE(prefix_wld_az1_rack_vlan,"43"),CONCATENATE(prefix_wld_az1_rack_vlan,"44"))</f>
        <v>2343</v>
      </c>
      <c r="L261" s="18"/>
      <c r="M261" s="1"/>
      <c r="N261" s="18"/>
      <c r="O261" s="196" t="str">
        <f>IF(wld_dpg_separation_result="Included",CONCATENATE(prefix_wld_az1_rack_cidr,".43.1"),CONCATENATE(prefix_wld_az1_rack_cidr,".44.1"))</f>
        <v>10.23..43.1</v>
      </c>
      <c r="P261" s="18"/>
      <c r="Q261" s="196">
        <v>1500.0</v>
      </c>
      <c r="R261" s="18"/>
      <c r="S261" s="1"/>
      <c r="T261" s="41"/>
      <c r="U261" s="41"/>
      <c r="V261" s="1"/>
      <c r="W261" s="1"/>
      <c r="X261" s="41"/>
      <c r="Y261" s="1"/>
      <c r="Z261" s="41"/>
      <c r="AA261" s="41"/>
      <c r="AB261" s="1"/>
      <c r="AC261" s="41"/>
      <c r="AD261" s="41"/>
      <c r="AE261" s="41"/>
      <c r="AF261" s="41"/>
      <c r="AG261" s="41"/>
      <c r="AH261" s="41"/>
      <c r="AI261" s="41"/>
      <c r="AJ261" s="41"/>
      <c r="AK261" s="41"/>
    </row>
    <row r="262" ht="19.5" customHeight="1">
      <c r="A262" s="41"/>
      <c r="B262" s="41"/>
      <c r="C262" s="41"/>
      <c r="D262" s="41"/>
      <c r="E262" s="84" t="s">
        <v>1985</v>
      </c>
      <c r="F262" s="18" t="str">
        <f>IF(ISBLANK('Configure Management Domain'!D121),"Value Missing",'Configure Management Domain'!D121)</f>
        <v>Value Missing</v>
      </c>
      <c r="G262" s="41"/>
      <c r="H262" s="84" t="s">
        <v>1985</v>
      </c>
      <c r="I262" s="18" t="str">
        <f>IF(ISBLANK('Configure Workload Domain'!D64),"Value Missing",'Configure Workload Domain'!D64)</f>
        <v>Value Missing</v>
      </c>
      <c r="J262" s="41"/>
      <c r="K262" s="244" t="str">
        <f>IF(wld_dpg_separation_result="Included",CONCATENATE(prefix_wld_az1_rack_vlan,"54"),CONCATENATE(prefix_wld_az1_rack_vlan,"55"))</f>
        <v>2354</v>
      </c>
      <c r="L262" s="18"/>
      <c r="M262" s="1"/>
      <c r="N262" s="18"/>
      <c r="O262" s="196" t="str">
        <f>IF(wld_dpg_separation_result="Included",CONCATENATE(prefix_wld_az1_rack_cidr,".54.1"),CONCATENATE(prefix_wld_az1_rack_cidr,".55.1"))</f>
        <v>10.23..54.1</v>
      </c>
      <c r="P262" s="18"/>
      <c r="Q262" s="196">
        <v>1500.0</v>
      </c>
      <c r="R262" s="18"/>
      <c r="S262" s="1"/>
      <c r="T262" s="41"/>
      <c r="U262" s="41"/>
      <c r="V262" s="1"/>
      <c r="W262" s="1"/>
      <c r="X262" s="41"/>
      <c r="Y262" s="1"/>
      <c r="Z262" s="41"/>
      <c r="AA262" s="41"/>
      <c r="AB262" s="1"/>
      <c r="AC262" s="41"/>
      <c r="AD262" s="41"/>
      <c r="AE262" s="41"/>
      <c r="AF262" s="41"/>
      <c r="AG262" s="41"/>
      <c r="AH262" s="41"/>
      <c r="AI262" s="41"/>
      <c r="AJ262" s="41"/>
      <c r="AK262" s="41"/>
    </row>
    <row r="263" ht="19.5" customHeight="1">
      <c r="A263" s="41"/>
      <c r="B263" s="41"/>
      <c r="C263" s="41"/>
      <c r="D263" s="41"/>
      <c r="E263" s="84" t="s">
        <v>1989</v>
      </c>
      <c r="F263" s="18" t="str">
        <f>IF(ISBLANK(mgmt_en01_bfd_chosen),"Value Missing",mgmt_en01_bfd_chosen)</f>
        <v>Selected</v>
      </c>
      <c r="G263" s="41"/>
      <c r="H263" s="80"/>
      <c r="I263" s="80"/>
      <c r="J263" s="41"/>
      <c r="K263" s="244" t="str">
        <f>IF(wld_dpg_separation_result="Included",CONCATENATE(prefix_wld_az1_rack_vlan,"65"),CONCATENATE(prefix_wld_az1_rack_vlan,"66"))</f>
        <v>2365</v>
      </c>
      <c r="L263" s="18"/>
      <c r="M263" s="1"/>
      <c r="N263" s="18"/>
      <c r="O263" s="196" t="str">
        <f>IF(wld_dpg_separation_result="Included",CONCATENATE(prefix_wld_az1_rack_cidr,".65.1"),CONCATENATE(prefix_wld_az1_rack_cidr,".66.1"))</f>
        <v>10.23..65.1</v>
      </c>
      <c r="P263" s="18"/>
      <c r="Q263" s="196">
        <v>1500.0</v>
      </c>
      <c r="R263" s="18"/>
      <c r="S263" s="1"/>
      <c r="T263" s="41"/>
      <c r="U263" s="41"/>
      <c r="V263" s="1"/>
      <c r="W263" s="1"/>
      <c r="X263" s="41"/>
      <c r="Y263" s="1"/>
      <c r="Z263" s="41"/>
      <c r="AA263" s="41"/>
      <c r="AB263" s="1"/>
      <c r="AC263" s="41"/>
      <c r="AD263" s="41"/>
      <c r="AE263" s="41"/>
      <c r="AF263" s="41"/>
      <c r="AG263" s="41"/>
      <c r="AH263" s="41"/>
      <c r="AI263" s="41"/>
      <c r="AJ263" s="41"/>
      <c r="AK263" s="41"/>
    </row>
    <row r="264" ht="19.5" customHeight="1">
      <c r="A264" s="41"/>
      <c r="B264" s="41"/>
      <c r="C264" s="41"/>
      <c r="D264" s="41"/>
      <c r="E264" s="80"/>
      <c r="F264" s="41"/>
      <c r="G264" s="41"/>
      <c r="H264" s="80"/>
      <c r="I264" s="41"/>
      <c r="J264" s="41"/>
      <c r="K264" s="244" t="str">
        <f>IF(wld_dpg_separation_result="Included",CONCATENATE(prefix_wld_az1_rack_vlan,"76"),CONCATENATE(prefix_wld_az1_rack_vlan,"77"))</f>
        <v>2376</v>
      </c>
      <c r="L264" s="18"/>
      <c r="M264" s="1"/>
      <c r="N264" s="18"/>
      <c r="O264" s="196" t="str">
        <f>IF(wld_dpg_separation_result="Included",CONCATENATE(prefix_wld_az1_rack_cidr,".76.1"),CONCATENATE(prefix_wld_az1_rack_cidr,".77.1"))</f>
        <v>10.23..76.1</v>
      </c>
      <c r="P264" s="18"/>
      <c r="Q264" s="196">
        <v>1500.0</v>
      </c>
      <c r="R264" s="18"/>
      <c r="S264" s="1"/>
      <c r="T264" s="41"/>
      <c r="U264" s="41"/>
      <c r="V264" s="1"/>
      <c r="W264" s="1"/>
      <c r="X264" s="41"/>
      <c r="Y264" s="1"/>
      <c r="Z264" s="41"/>
      <c r="AA264" s="41"/>
      <c r="AB264" s="1"/>
      <c r="AC264" s="41"/>
      <c r="AD264" s="41"/>
      <c r="AE264" s="114"/>
      <c r="AF264" s="41"/>
      <c r="AG264" s="41"/>
      <c r="AH264" s="41"/>
      <c r="AI264" s="41"/>
      <c r="AJ264" s="41"/>
      <c r="AK264" s="41"/>
    </row>
    <row r="265" ht="19.5" customHeight="1">
      <c r="A265" s="41"/>
      <c r="B265" s="41"/>
      <c r="C265" s="41"/>
      <c r="D265" s="41"/>
      <c r="E265" s="309" t="s">
        <v>1990</v>
      </c>
      <c r="F265" s="324"/>
      <c r="G265" s="322"/>
      <c r="H265" s="309" t="s">
        <v>1991</v>
      </c>
      <c r="I265" s="324"/>
      <c r="J265" s="41"/>
      <c r="K265" s="244" t="str">
        <f>IF(wld_dpg_separation_result="Included",CONCATENATE(prefix_wld_az1_rack_vlan,"87"),CONCATENATE(prefix_wld_az1_rack_vlan,"88"))</f>
        <v>2387</v>
      </c>
      <c r="L265" s="18"/>
      <c r="M265" s="1"/>
      <c r="N265" s="18"/>
      <c r="O265" s="196" t="str">
        <f>IF(wld_dpg_separation_result="Included",CONCATENATE(prefix_wld_az1_rack_cidr,".87.1"),CONCATENATE(prefix_wld_az1_rack_cidr,".88.1"))</f>
        <v>10.23..87.1</v>
      </c>
      <c r="P265" s="18"/>
      <c r="Q265" s="196">
        <v>1500.0</v>
      </c>
      <c r="R265" s="18"/>
      <c r="S265" s="1"/>
      <c r="T265" s="41"/>
      <c r="U265" s="41"/>
      <c r="V265" s="1"/>
      <c r="W265" s="1"/>
      <c r="X265" s="41"/>
      <c r="Y265" s="1"/>
      <c r="Z265" s="41"/>
      <c r="AA265" s="41"/>
      <c r="AB265" s="1"/>
      <c r="AC265" s="41"/>
      <c r="AD265" s="41"/>
      <c r="AE265" s="41"/>
      <c r="AF265" s="41"/>
      <c r="AG265" s="41"/>
      <c r="AH265" s="41"/>
      <c r="AI265" s="41"/>
      <c r="AJ265" s="41"/>
      <c r="AK265" s="41"/>
    </row>
    <row r="266" ht="19.5" customHeight="1">
      <c r="A266" s="41"/>
      <c r="B266" s="41"/>
      <c r="C266" s="41"/>
      <c r="D266" s="41"/>
      <c r="E266" s="84" t="s">
        <v>1979</v>
      </c>
      <c r="F266" s="18" t="str">
        <f>IF(mgmt_az1_en2_fqdn="Value Missing",mgmt_az1_en2_fqdn,LEFT(mgmt_az1_en2_fqdn,FIND(".",mgmt_az1_en2_fqdn)-1))</f>
        <v>Value Missing</v>
      </c>
      <c r="G266" s="41"/>
      <c r="H266" s="84" t="s">
        <v>1979</v>
      </c>
      <c r="I266" s="18" t="str">
        <f>IF(wld_az1_en2_fqdn="Value Missing",wld_az1_en2_fqdn,LEFT(wld_az1_en2_fqdn,FIND(".",wld_az1_en2_fqdn)-1))</f>
        <v>Value Missing</v>
      </c>
      <c r="J266" s="41"/>
      <c r="K266" s="41"/>
      <c r="L266" s="114"/>
      <c r="M266" s="1"/>
      <c r="N266" s="41"/>
      <c r="O266" s="41"/>
      <c r="P266" s="1"/>
      <c r="Q266" s="41"/>
      <c r="R266" s="41"/>
      <c r="S266" s="1"/>
      <c r="T266" s="41"/>
      <c r="U266" s="41"/>
      <c r="V266" s="1"/>
      <c r="W266" s="1"/>
      <c r="X266" s="41"/>
      <c r="Y266" s="1"/>
      <c r="Z266" s="41"/>
      <c r="AA266" s="41"/>
      <c r="AB266" s="1"/>
      <c r="AC266" s="41"/>
      <c r="AD266" s="41"/>
      <c r="AE266" s="41"/>
      <c r="AF266" s="41"/>
      <c r="AG266" s="41"/>
      <c r="AH266" s="41"/>
      <c r="AI266" s="41"/>
      <c r="AJ266" s="41"/>
      <c r="AK266" s="41"/>
    </row>
    <row r="267" ht="19.5" customHeight="1">
      <c r="A267" s="41"/>
      <c r="B267" s="41"/>
      <c r="C267" s="41"/>
      <c r="D267" s="41"/>
      <c r="E267" s="84" t="s">
        <v>1980</v>
      </c>
      <c r="F267" s="18" t="str">
        <f>mgmt_az1_en1_fqdn</f>
        <v>Value Missing</v>
      </c>
      <c r="G267" s="41"/>
      <c r="H267" s="84" t="s">
        <v>1980</v>
      </c>
      <c r="I267" s="18" t="str">
        <f>wld_az1_en2_fqdn</f>
        <v>Value Missing</v>
      </c>
      <c r="J267" s="41"/>
      <c r="K267" s="41"/>
      <c r="L267" s="114"/>
      <c r="M267" s="1"/>
      <c r="N267" s="41"/>
      <c r="O267" s="41"/>
      <c r="P267" s="1"/>
      <c r="Q267" s="41"/>
      <c r="R267" s="41"/>
      <c r="S267" s="1"/>
      <c r="T267" s="41"/>
      <c r="U267" s="41"/>
      <c r="V267" s="1"/>
      <c r="W267" s="1"/>
      <c r="X267" s="41"/>
      <c r="Y267" s="1"/>
      <c r="Z267" s="41"/>
      <c r="AA267" s="41"/>
      <c r="AB267" s="1"/>
      <c r="AC267" s="41"/>
      <c r="AD267" s="41"/>
      <c r="AE267" s="41"/>
      <c r="AF267" s="41"/>
      <c r="AG267" s="41"/>
      <c r="AH267" s="41"/>
      <c r="AI267" s="41"/>
      <c r="AJ267" s="41"/>
      <c r="AK267" s="41"/>
    </row>
    <row r="268" ht="19.5" customHeight="1">
      <c r="A268" s="41"/>
      <c r="B268" s="41"/>
      <c r="C268" s="41"/>
      <c r="D268" s="41"/>
      <c r="E268" s="84" t="s">
        <v>1981</v>
      </c>
      <c r="F268" s="18" t="str">
        <f>IF(mgmt_az1_en2_mgmt_cidr="Value Missing","Value Missing",(TEXTBEFORE(mgmt_az1_en2_mgmt_cidr,"/",1)))</f>
        <v>Value Missing</v>
      </c>
      <c r="G268" s="41"/>
      <c r="H268" s="84" t="s">
        <v>1981</v>
      </c>
      <c r="I268" s="18" t="str">
        <f>IF(wld_az1_en2_mgmt_cidr="Value Missing","Value Missing",(TEXTBEFORE(wld_az1_en2_mgmt_cidr,"/",1)))</f>
        <v>Value Missing</v>
      </c>
      <c r="J268" s="41"/>
      <c r="K268" s="41"/>
      <c r="L268" s="114"/>
      <c r="M268" s="1"/>
      <c r="N268" s="41"/>
      <c r="O268" s="41"/>
      <c r="P268" s="1"/>
      <c r="Q268" s="41"/>
      <c r="R268" s="41"/>
      <c r="S268" s="1"/>
      <c r="T268" s="41"/>
      <c r="U268" s="41"/>
      <c r="V268" s="1"/>
      <c r="W268" s="1"/>
      <c r="X268" s="41"/>
      <c r="Y268" s="1"/>
      <c r="Z268" s="41"/>
      <c r="AA268" s="41"/>
      <c r="AB268" s="1"/>
      <c r="AC268" s="41"/>
      <c r="AD268" s="41"/>
      <c r="AE268" s="41"/>
      <c r="AF268" s="41"/>
      <c r="AG268" s="41"/>
      <c r="AH268" s="41"/>
      <c r="AI268" s="41"/>
      <c r="AJ268" s="41"/>
      <c r="AK268" s="41"/>
    </row>
    <row r="269" ht="19.5" customHeight="1">
      <c r="A269" s="41"/>
      <c r="B269" s="41"/>
      <c r="C269" s="41"/>
      <c r="D269" s="41"/>
      <c r="E269" s="84" t="s">
        <v>1988</v>
      </c>
      <c r="F269" s="18" t="str">
        <f>IF(ISBLANK('Configure Management Domain'!D133),"Value Missing",'Configure Management Domain'!D133)</f>
        <v>Value Missing</v>
      </c>
      <c r="G269" s="41"/>
      <c r="H269" s="84" t="s">
        <v>1988</v>
      </c>
      <c r="I269" s="18" t="str">
        <f>IF(ISBLANK('Configure Workload Domain'!D76),"Value Missing",'Configure Workload Domain'!D76)</f>
        <v>Value Missing</v>
      </c>
      <c r="J269" s="41"/>
      <c r="K269" s="41"/>
      <c r="L269" s="114"/>
      <c r="M269" s="41"/>
      <c r="N269" s="41"/>
      <c r="O269" s="41"/>
      <c r="P269" s="1"/>
      <c r="Q269" s="41"/>
      <c r="R269" s="41"/>
      <c r="S269" s="1"/>
      <c r="T269" s="41"/>
      <c r="U269" s="41"/>
      <c r="V269" s="1"/>
      <c r="W269" s="1"/>
      <c r="X269" s="41"/>
      <c r="Y269" s="1"/>
      <c r="Z269" s="41"/>
      <c r="AA269" s="41"/>
      <c r="AB269" s="1"/>
      <c r="AC269" s="41"/>
      <c r="AD269" s="41"/>
      <c r="AE269" s="41"/>
      <c r="AF269" s="41"/>
      <c r="AG269" s="41"/>
      <c r="AH269" s="41"/>
      <c r="AI269" s="41"/>
      <c r="AJ269" s="41"/>
      <c r="AK269" s="41"/>
    </row>
    <row r="270" ht="19.5" customHeight="1">
      <c r="A270" s="41"/>
      <c r="B270" s="41"/>
      <c r="C270" s="41"/>
      <c r="D270" s="41"/>
      <c r="E270" s="84" t="s">
        <v>1982</v>
      </c>
      <c r="F270" s="18" t="str">
        <f>IF(ISBLANK('Configure Management Domain'!D174),"Value Missing",'Configure Management Domain'!D174)</f>
        <v>Value Missing</v>
      </c>
      <c r="G270" s="41"/>
      <c r="H270" s="84" t="s">
        <v>1982</v>
      </c>
      <c r="I270" s="18" t="str">
        <f>IF(ISBLANK('Configure Workload Domain'!D117),"Value Missing",'Configure Workload Domain'!D117)</f>
        <v>Value Missing</v>
      </c>
      <c r="J270" s="41"/>
      <c r="K270" s="41"/>
      <c r="L270" s="114"/>
      <c r="M270" s="41"/>
      <c r="N270" s="41"/>
      <c r="O270" s="41"/>
      <c r="P270" s="1"/>
      <c r="Q270" s="41"/>
      <c r="R270" s="41"/>
      <c r="S270" s="1"/>
      <c r="T270" s="41"/>
      <c r="U270" s="41"/>
      <c r="V270" s="1"/>
      <c r="W270" s="1"/>
      <c r="X270" s="41"/>
      <c r="Y270" s="1"/>
      <c r="Z270" s="41"/>
      <c r="AA270" s="41"/>
      <c r="AB270" s="1"/>
      <c r="AC270" s="41"/>
      <c r="AD270" s="41"/>
      <c r="AE270" s="41"/>
      <c r="AF270" s="41"/>
      <c r="AG270" s="41"/>
      <c r="AH270" s="41"/>
      <c r="AI270" s="41"/>
      <c r="AJ270" s="41"/>
      <c r="AK270" s="41"/>
    </row>
    <row r="271" ht="19.5" customHeight="1">
      <c r="A271" s="41"/>
      <c r="B271" s="41"/>
      <c r="C271" s="41"/>
      <c r="D271" s="41"/>
      <c r="E271" s="84" t="s">
        <v>1983</v>
      </c>
      <c r="F271" s="18" t="str">
        <f>IF(ISBLANK('Configure Management Domain'!D181),"Value Missing",'Configure Management Domain'!D181)</f>
        <v>Value Missing</v>
      </c>
      <c r="G271" s="41"/>
      <c r="H271" s="84" t="s">
        <v>1983</v>
      </c>
      <c r="I271" s="18" t="str">
        <f>IF(ISBLANK('Configure Workload Domain'!D124),"Value Missing",'Configure Workload Domain'!D124)</f>
        <v>Value Missing</v>
      </c>
      <c r="J271" s="41"/>
      <c r="K271" s="41"/>
      <c r="L271" s="114"/>
      <c r="M271" s="41"/>
      <c r="N271" s="41"/>
      <c r="O271" s="41"/>
      <c r="P271" s="1"/>
      <c r="Q271" s="41"/>
      <c r="R271" s="41"/>
      <c r="S271" s="1"/>
      <c r="T271" s="41"/>
      <c r="U271" s="41"/>
      <c r="V271" s="1"/>
      <c r="W271" s="1"/>
      <c r="X271" s="41"/>
      <c r="Y271" s="1"/>
      <c r="Z271" s="41"/>
      <c r="AA271" s="41"/>
      <c r="AB271" s="1"/>
      <c r="AC271" s="41"/>
      <c r="AD271" s="41"/>
      <c r="AE271" s="41"/>
      <c r="AF271" s="41"/>
      <c r="AG271" s="41"/>
      <c r="AH271" s="41"/>
      <c r="AI271" s="41"/>
      <c r="AJ271" s="41"/>
      <c r="AK271" s="41"/>
    </row>
    <row r="272" ht="19.5" customHeight="1">
      <c r="A272" s="41"/>
      <c r="B272" s="41"/>
      <c r="C272" s="41"/>
      <c r="D272" s="41"/>
      <c r="E272" s="84" t="s">
        <v>1984</v>
      </c>
      <c r="F272" s="18" t="str">
        <f>IF(ISBLANK('Configure Management Domain'!D144),"Value Missing",'Configure Management Domain'!D144)</f>
        <v>Value Missing</v>
      </c>
      <c r="G272" s="41"/>
      <c r="H272" s="84" t="s">
        <v>1984</v>
      </c>
      <c r="I272" s="18" t="str">
        <f>IF(ISBLANK('Configure Workload Domain'!D87),"Value Missing",'Configure Workload Domain'!D87)</f>
        <v>Value Missing</v>
      </c>
      <c r="J272" s="41"/>
      <c r="K272" s="41"/>
      <c r="L272" s="114"/>
      <c r="M272" s="41"/>
      <c r="N272" s="41"/>
      <c r="O272" s="41"/>
      <c r="P272" s="41"/>
      <c r="Q272" s="41"/>
      <c r="R272" s="41"/>
      <c r="S272" s="1"/>
      <c r="T272" s="41"/>
      <c r="U272" s="41"/>
      <c r="V272" s="1"/>
      <c r="W272" s="1"/>
      <c r="X272" s="41"/>
      <c r="Y272" s="1"/>
      <c r="Z272" s="41"/>
      <c r="AA272" s="41"/>
      <c r="AB272" s="1"/>
      <c r="AC272" s="41"/>
      <c r="AD272" s="41"/>
      <c r="AE272" s="41"/>
      <c r="AF272" s="41"/>
      <c r="AG272" s="41"/>
      <c r="AH272" s="41"/>
      <c r="AI272" s="41"/>
      <c r="AJ272" s="41"/>
      <c r="AK272" s="41"/>
    </row>
    <row r="273" ht="19.5" customHeight="1">
      <c r="A273" s="41"/>
      <c r="B273" s="41"/>
      <c r="C273" s="41"/>
      <c r="D273" s="41"/>
      <c r="E273" s="84" t="s">
        <v>1985</v>
      </c>
      <c r="F273" s="18" t="str">
        <f>IF(ISBLANK('Configure Management Domain'!D145),"Value Missing",'Configure Management Domain'!D145)</f>
        <v>Value Missing</v>
      </c>
      <c r="G273" s="41"/>
      <c r="H273" s="84" t="s">
        <v>1985</v>
      </c>
      <c r="I273" s="18" t="str">
        <f>IF(ISBLANK('Configure Workload Domain'!D88),"Value Missing",'Configure Workload Domain'!D88)</f>
        <v>Value Missing</v>
      </c>
      <c r="J273" s="41"/>
      <c r="K273" s="41"/>
      <c r="L273" s="114"/>
      <c r="M273" s="41"/>
      <c r="N273" s="41"/>
      <c r="O273" s="41"/>
      <c r="P273" s="41"/>
      <c r="Q273" s="41"/>
      <c r="R273" s="41"/>
      <c r="S273" s="1"/>
      <c r="T273" s="41"/>
      <c r="U273" s="41"/>
      <c r="V273" s="1"/>
      <c r="W273" s="1"/>
      <c r="X273" s="41"/>
      <c r="Y273" s="1"/>
      <c r="Z273" s="41"/>
      <c r="AA273" s="41"/>
      <c r="AB273" s="1"/>
      <c r="AC273" s="41"/>
      <c r="AD273" s="41"/>
      <c r="AE273" s="41"/>
      <c r="AF273" s="41"/>
      <c r="AG273" s="41"/>
      <c r="AH273" s="41"/>
      <c r="AI273" s="41"/>
      <c r="AJ273" s="41"/>
      <c r="AK273" s="41"/>
    </row>
    <row r="274" ht="19.5" customHeight="1">
      <c r="A274" s="41"/>
      <c r="B274" s="41"/>
      <c r="C274" s="41"/>
      <c r="D274" s="41"/>
      <c r="E274" s="84" t="s">
        <v>1989</v>
      </c>
      <c r="F274" s="18" t="str">
        <f>IF(ISBLANK(mgmt_en02_bfd_chosen),"Value Missing",mgmt_en02_bfd_chosen)</f>
        <v>Selected</v>
      </c>
      <c r="G274" s="41"/>
      <c r="H274" s="80"/>
      <c r="I274" s="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row>
    <row r="275" ht="19.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row>
    <row r="276" ht="19.5" customHeight="1">
      <c r="A276" s="41"/>
      <c r="B276" s="41"/>
      <c r="C276" s="41"/>
      <c r="D276" s="41"/>
      <c r="E276" s="309" t="s">
        <v>1992</v>
      </c>
      <c r="F276" s="310"/>
      <c r="G276" s="41"/>
      <c r="H276" s="309" t="s">
        <v>1993</v>
      </c>
      <c r="I276" s="310"/>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row>
    <row r="277" ht="19.5" customHeight="1">
      <c r="A277" s="41"/>
      <c r="B277" s="41"/>
      <c r="C277" s="41"/>
      <c r="D277" s="41"/>
      <c r="E277" s="15" t="s">
        <v>256</v>
      </c>
      <c r="F277" s="15" t="s">
        <v>1994</v>
      </c>
      <c r="G277" s="41"/>
      <c r="H277" s="15" t="s">
        <v>256</v>
      </c>
      <c r="I277" s="15" t="s">
        <v>1994</v>
      </c>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row>
    <row r="278" ht="19.5" customHeight="1">
      <c r="A278" s="41"/>
      <c r="B278" s="41"/>
      <c r="C278" s="41"/>
      <c r="D278" s="41"/>
      <c r="E278" s="84" t="s">
        <v>1710</v>
      </c>
      <c r="F278" s="18"/>
      <c r="G278" s="41"/>
      <c r="H278" s="84" t="s">
        <v>1710</v>
      </c>
      <c r="I278" s="18"/>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row>
    <row r="279" ht="19.5" customHeight="1">
      <c r="A279" s="41"/>
      <c r="B279" s="41"/>
      <c r="C279" s="41"/>
      <c r="D279" s="41"/>
      <c r="E279" s="84" t="s">
        <v>1712</v>
      </c>
      <c r="F279" s="18" t="str">
        <f>IF(ISBLANK('Configure Management Domain'!D225),"Value Missing",'Configure Management Domain'!D225)</f>
        <v>Value Missing</v>
      </c>
      <c r="G279" s="322"/>
      <c r="H279" s="84" t="s">
        <v>1712</v>
      </c>
      <c r="I279" s="18" t="str">
        <f>IF(ISBLANK('Configure Workload Domain'!D169),"Value Missing",'Configure Workload Domain'!D169)</f>
        <v>Value Missing</v>
      </c>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row>
    <row r="280" ht="19.5" customHeight="1">
      <c r="A280" s="41"/>
      <c r="B280" s="41"/>
      <c r="C280" s="41"/>
      <c r="D280" s="41"/>
      <c r="E280" s="84" t="s">
        <v>407</v>
      </c>
      <c r="F280" s="18" t="str">
        <f>IF(ISBLANK('Configure Management Domain'!D252),"Value Missing",'Configure Management Domain'!D252)</f>
        <v>Value Missing</v>
      </c>
      <c r="G280" s="41"/>
      <c r="H280" s="84" t="s">
        <v>407</v>
      </c>
      <c r="I280" s="18" t="str">
        <f>IF(ISBLANK(input_wld_az2_vmotion_vlan),"Value Missing",input_wld_az2_vmotion_vlan)</f>
        <v>Value Missing</v>
      </c>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row>
    <row r="281" ht="19.5" customHeight="1">
      <c r="A281" s="41"/>
      <c r="B281" s="41"/>
      <c r="C281" s="41"/>
      <c r="D281" s="41"/>
      <c r="E281" s="173" t="str">
        <f>CONCATENATE("Principal Storage Network ",wld_principal_storage_chosen)</f>
        <v>Principal Storage Network vSAN-ESA</v>
      </c>
      <c r="F281" s="18" t="str">
        <f>IF(ISBLANK('Configure Management Domain'!D260),"Value Missing",'Configure Management Domain'!D260)</f>
        <v>Value Missing</v>
      </c>
      <c r="G281" s="41"/>
      <c r="H281" s="173" t="s">
        <v>1995</v>
      </c>
      <c r="I281" s="18" t="str">
        <f>IF(ISBLANK(input_wld_az2_principal_storage_vlan),"Value Missing",input_wld_az2_principal_storage_vlan)</f>
        <v>Value Missing</v>
      </c>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row>
    <row r="282" ht="19.5" customHeight="1">
      <c r="A282" s="41"/>
      <c r="B282" s="41"/>
      <c r="C282" s="41"/>
      <c r="D282" s="41"/>
      <c r="E282" s="84" t="s">
        <v>1716</v>
      </c>
      <c r="F282" s="18" t="str">
        <f>IF(ISBLANK('Configure Management Domain'!D365),"Value Missing",'Configure Management Domain'!D365)</f>
        <v>Value Missing</v>
      </c>
      <c r="G282" s="41"/>
      <c r="H282" s="84" t="s">
        <v>1716</v>
      </c>
      <c r="I282" s="18" t="str">
        <f>IF(ISBLANK('Configure Workload Domain'!D323),"Value Missing",'Configure Workload Domain'!D323)</f>
        <v>Value Missing</v>
      </c>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row>
    <row r="283" ht="19.5" customHeight="1">
      <c r="A283" s="41"/>
      <c r="B283" s="41"/>
      <c r="C283" s="41"/>
      <c r="D283" s="41"/>
      <c r="E283" s="84" t="s">
        <v>1717</v>
      </c>
      <c r="F283" s="18" t="str">
        <f>IF(ISBLANK(input_mgmt_az2_secondary_storage_vlan),"Value Missing",input_mgmt_az2_secondary_storage_vlan)</f>
        <v>Value Missing</v>
      </c>
      <c r="G283" s="41"/>
      <c r="H283" s="84" t="s">
        <v>1717</v>
      </c>
      <c r="I283" s="18" t="str">
        <f>IF(ISBLANK('Configure Workload Domain'!D213),"Value Missing",'Configure Workload Domain'!D213)</f>
        <v>Value Missing</v>
      </c>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row>
    <row r="284" ht="19.5" customHeight="1">
      <c r="A284" s="41"/>
      <c r="B284" s="41"/>
      <c r="C284" s="41"/>
      <c r="D284" s="41"/>
      <c r="E284" s="84" t="s">
        <v>1719</v>
      </c>
      <c r="F284" s="18" t="str">
        <f>IF(ISBLANK(input_mgmt_az1_uplink01_vlan),"Value Missing",input_mgmt_az1_uplink01_vlan)</f>
        <v>Value Missing</v>
      </c>
      <c r="G284" s="41"/>
      <c r="H284" s="84" t="s">
        <v>1244</v>
      </c>
      <c r="I284" s="18" t="str">
        <f>IF(ISBLANK(input_wld_az2_storage_cluster_vlan),"Value Missing",input_wld_az2_storage_cluster_vlan)</f>
        <v>Value Missing</v>
      </c>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row>
    <row r="285" ht="19.5" customHeight="1">
      <c r="A285" s="41"/>
      <c r="B285" s="41"/>
      <c r="C285" s="41"/>
      <c r="D285" s="41"/>
      <c r="E285" s="84" t="s">
        <v>1720</v>
      </c>
      <c r="F285" s="18" t="str">
        <f>IF(ISBLANK(input_mgmt_az1_uplink02_vlan),"Value Missing",input_mgmt_az1_uplink02_vlan)</f>
        <v>Value Missing</v>
      </c>
      <c r="G285" s="41"/>
      <c r="H285" s="84" t="s">
        <v>1719</v>
      </c>
      <c r="I285" s="18" t="str">
        <f>IF(ISBLANK(input_wld_az1_uplink01_vlan),"Value Missing",input_wld_az1_uplink01_vlan)</f>
        <v>Value Missing</v>
      </c>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row>
    <row r="286" ht="19.5" customHeight="1">
      <c r="A286" s="41"/>
      <c r="B286" s="41"/>
      <c r="C286" s="41"/>
      <c r="D286" s="41"/>
      <c r="E286" s="84" t="s">
        <v>1722</v>
      </c>
      <c r="F286" s="18" t="str">
        <f>IF(ISBLANK(input_mgmt_az1_edge_overlay_vlan),"Value Missing",input_mgmt_az1_edge_overlay_vlan)</f>
        <v>Value Missing</v>
      </c>
      <c r="G286" s="41"/>
      <c r="H286" s="84" t="s">
        <v>1720</v>
      </c>
      <c r="I286" s="18" t="str">
        <f>IF(ISBLANK(input_wld_az1_uplink02_vlan),"Value Missing",input_wld_az1_uplink02_vlan)</f>
        <v>Value Missing</v>
      </c>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row>
    <row r="287" ht="19.5" customHeight="1">
      <c r="A287" s="41"/>
      <c r="B287" s="41"/>
      <c r="C287" s="41"/>
      <c r="D287" s="41"/>
      <c r="E287" s="84" t="s">
        <v>1724</v>
      </c>
      <c r="F287" s="18" t="str">
        <f>IF(ISBLANK(input_mgmt_az1_rtep_overlay_vlan),"Value Missing",input_mgmt_az1_rtep_overlay_vlan)</f>
        <v>Value Missing</v>
      </c>
      <c r="G287" s="41"/>
      <c r="H287" s="84" t="s">
        <v>1722</v>
      </c>
      <c r="I287" s="18" t="str">
        <f>IF(ISBLANK(input_wld_az1_edge_overlay_vlan),"Value Missing",input_wld_az1_edge_overlay_vlan)</f>
        <v>Value Missing</v>
      </c>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row>
    <row r="288" ht="19.5" customHeight="1">
      <c r="A288" s="41"/>
      <c r="B288" s="41"/>
      <c r="C288" s="41"/>
      <c r="D288" s="41"/>
      <c r="E288" s="84" t="s">
        <v>1726</v>
      </c>
      <c r="F288" s="18" t="str">
        <f>IF(ISBLANK(input_mgmt_az1_vrms_vlan),"Value Missing",input_mgmt_az1_vrms_vlan)</f>
        <v>Value Missing</v>
      </c>
      <c r="G288" s="41"/>
      <c r="H288" s="84" t="s">
        <v>1724</v>
      </c>
      <c r="I288" s="18" t="str">
        <f>IF(ISBLANK(input_wld_az1_rtep_overlay_vlan),"Value Missing",input_wld_az1_rtep_overlay_vlan)</f>
        <v>Value Missing</v>
      </c>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row>
    <row r="289" ht="19.5" customHeight="1">
      <c r="A289" s="41"/>
      <c r="B289" s="41"/>
      <c r="C289" s="41"/>
      <c r="D289" s="41"/>
      <c r="E289" s="1"/>
      <c r="F289" s="1"/>
      <c r="G289" s="41"/>
      <c r="H289" s="84" t="s">
        <v>1726</v>
      </c>
      <c r="I289" s="18" t="str">
        <f>IF(ISBLANK(input_wld_az1_vrms_vlan),"Value Missing",input_wld_az1_vrms_vlan)</f>
        <v>Value Missing</v>
      </c>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row>
    <row r="290" ht="19.5" customHeight="1">
      <c r="A290" s="41"/>
      <c r="B290" s="41"/>
      <c r="C290" s="41"/>
      <c r="D290" s="41"/>
      <c r="E290" s="309" t="s">
        <v>1996</v>
      </c>
      <c r="F290" s="31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row>
    <row r="291" ht="19.5" customHeight="1">
      <c r="A291" s="41"/>
      <c r="B291" s="41"/>
      <c r="C291" s="41"/>
      <c r="D291" s="41"/>
      <c r="E291" s="15" t="s">
        <v>256</v>
      </c>
      <c r="F291" s="15" t="s">
        <v>1994</v>
      </c>
      <c r="G291" s="41"/>
      <c r="H291" s="309" t="s">
        <v>1997</v>
      </c>
      <c r="I291" s="310"/>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row>
    <row r="292" ht="19.5" customHeight="1">
      <c r="A292" s="41"/>
      <c r="B292" s="41"/>
      <c r="C292" s="41"/>
      <c r="D292" s="41"/>
      <c r="E292" s="84" t="s">
        <v>1710</v>
      </c>
      <c r="F292" s="18"/>
      <c r="G292" s="41"/>
      <c r="H292" s="15" t="s">
        <v>256</v>
      </c>
      <c r="I292" s="15" t="s">
        <v>1998</v>
      </c>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row>
    <row r="293" ht="19.5" customHeight="1">
      <c r="A293" s="41"/>
      <c r="B293" s="41"/>
      <c r="C293" s="41"/>
      <c r="D293" s="41"/>
      <c r="E293" s="84" t="s">
        <v>1712</v>
      </c>
      <c r="F293" s="18" t="str">
        <f>IF(ISBLANK('Configure Management Domain'!D227),"Value Missing",'Configure Management Domain'!D227)</f>
        <v>Value Missing</v>
      </c>
      <c r="G293" s="322"/>
      <c r="H293" s="84" t="s">
        <v>1710</v>
      </c>
      <c r="I293" s="18"/>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row>
    <row r="294" ht="19.5" customHeight="1">
      <c r="A294" s="41"/>
      <c r="B294" s="41"/>
      <c r="C294" s="41"/>
      <c r="D294" s="41"/>
      <c r="E294" s="84" t="s">
        <v>407</v>
      </c>
      <c r="F294" s="18" t="str">
        <f>IF(OR(mgmt_az2_vmotion_network="Value Missing",mgmt_az2_vmotion_network="Value Missing"),"Value Missing",(CONCATENATE(mgmt_az2_vmotion_network,"/",VLOOKUP(mgmt_az2_vmotion_mask,table_mask_to_cidr,2,FALSE))))</f>
        <v>Value Missing</v>
      </c>
      <c r="G294" s="41"/>
      <c r="H294" s="84" t="s">
        <v>1712</v>
      </c>
      <c r="I294" s="18" t="str">
        <f>IF(ISBLANK('Configure Workload Domain'!D171),"Value Missing",'Configure Workload Domain'!D171)</f>
        <v>Value Missing</v>
      </c>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row>
    <row r="295" ht="19.5" customHeight="1">
      <c r="A295" s="41"/>
      <c r="B295" s="41"/>
      <c r="C295" s="41"/>
      <c r="D295" s="41"/>
      <c r="E295" s="173" t="str">
        <f>CONCATENATE("Principal Storage Network ",wld_principal_storage_chosen)</f>
        <v>Principal Storage Network vSAN-ESA</v>
      </c>
      <c r="F295" s="18" t="str">
        <f>IF(OR(mgmt_az2_vsan_network="Value Missing",mgmt_az2_vsan_network="Value Missing"),"Value Missing",(CONCATENATE(mgmt_az2_vsan_network,"/",VLOOKUP(mgmt_az2_vsan_mask,table_mask_to_cidr,2,FALSE))))</f>
        <v>Value Missing</v>
      </c>
      <c r="G295" s="41"/>
      <c r="H295" s="84" t="s">
        <v>407</v>
      </c>
      <c r="I295" s="18" t="str">
        <f>IF(OR(ISBLANK(input_wld_az2_vmotion_network),input_wld_az2_vmotion_network="Value Missing"),"Value Missing",(CONCATENATE(input_wld_az2_vmotion_network,"/",VLOOKUP(input_wld_az2_vmotion_mask,table_mask_to_cidr,2,FALSE))))</f>
        <v>Value Missing</v>
      </c>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row>
    <row r="296" ht="19.5" customHeight="1">
      <c r="A296" s="41"/>
      <c r="B296" s="41"/>
      <c r="C296" s="41"/>
      <c r="D296" s="41"/>
      <c r="E296" s="84" t="s">
        <v>1716</v>
      </c>
      <c r="F296" s="18" t="str">
        <f>IF(ISBLANK(input_mgmt_az2_host_overlay_cidr),"Value Missing",input_mgmt_az2_host_overlay_cidr)</f>
        <v>Value Missing</v>
      </c>
      <c r="G296" s="41"/>
      <c r="H296" s="173" t="s">
        <v>1995</v>
      </c>
      <c r="I296" s="18" t="str">
        <f>IF(OR(ISBLANK(input_wld_az2_principal_storage_network),input_wld_az2_principal_storage_network="Value Missing"),"Value Missing",(CONCATENATE(input_wld_az2_principal_storage_network,"/",VLOOKUP(input_wld_az2_principal_storage_mask,table_mask_to_cidr,2,FALSE))))</f>
        <v>Value Missing</v>
      </c>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row>
    <row r="297" ht="19.5" customHeight="1">
      <c r="A297" s="41"/>
      <c r="B297" s="41"/>
      <c r="C297" s="41"/>
      <c r="D297" s="41"/>
      <c r="E297" s="84" t="s">
        <v>1717</v>
      </c>
      <c r="F297" s="18" t="str">
        <f>IF(OR(mgmt_az2_secondary_storage_network="Value Missing",mgmt_az2_secondary_storage_network="Value Missing"),"Value Missing",(CONCATENATE(mgmt_az2_secondary_storage_network,"/",VLOOKUP(mgmt_az2_vmotion_mask,table_mask_to_cidr,2,FALSE))))</f>
        <v>Value Missing</v>
      </c>
      <c r="G297" s="41"/>
      <c r="H297" s="84" t="s">
        <v>1716</v>
      </c>
      <c r="I297" s="18" t="str">
        <f>IF(ISBLANK(input_wld_az2_host_overlay_cidr),"Value Missing",input_wld_az2_host_overlay_cidr)</f>
        <v>Value Missing</v>
      </c>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row>
    <row r="298" ht="19.5" customHeight="1">
      <c r="A298" s="41"/>
      <c r="B298" s="41"/>
      <c r="C298" s="41"/>
      <c r="D298" s="41"/>
      <c r="E298" s="84" t="s">
        <v>1719</v>
      </c>
      <c r="F298" s="18" t="str">
        <f>IF(ISBLANK(input_mgmt_az1_uplink01_cidr),"Value Missing",input_mgmt_az1_uplink01_cidr)</f>
        <v>Value Missing</v>
      </c>
      <c r="G298" s="41"/>
      <c r="H298" s="84" t="s">
        <v>1717</v>
      </c>
      <c r="I298" s="18" t="str">
        <f>IF(OR(wld_az2_secondary_storage_network="Value Missing",wld_az2_secondary_storage_mask="Value Missing"),"Value Missing",(CONCATENATE(wld_az2_secondary_storage_network,"/",VLOOKUP(wld_az2_secondary_storage_mask,table_mask_to_cidr,2,FALSE))))</f>
        <v>#N/A</v>
      </c>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row>
    <row r="299" ht="19.5" customHeight="1">
      <c r="A299" s="41"/>
      <c r="B299" s="41"/>
      <c r="C299" s="41"/>
      <c r="D299" s="41"/>
      <c r="E299" s="84" t="s">
        <v>1720</v>
      </c>
      <c r="F299" s="18" t="str">
        <f>IF(ISBLANK(input_mgmt_az1_uplink02_cidr),"Value Missing",input_mgmt_az1_uplink02_cidr)</f>
        <v>Value Missing</v>
      </c>
      <c r="G299" s="41"/>
      <c r="H299" s="84" t="s">
        <v>1244</v>
      </c>
      <c r="I299" s="18" t="str">
        <f>IF(OR(ISBLANK(wld_az2_storage_cluster_network),wld_az2_storage_cluster_mask="Value Missing"),"Value Missing",(CONCATENATE(wld_az2_storage_cluster_network,"/",VLOOKUP(wld_az2_storage_cluster_mask,table_mask_to_cidr,2,FALSE))))</f>
        <v>Value Missing</v>
      </c>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row>
    <row r="300" ht="19.5" customHeight="1">
      <c r="A300" s="41"/>
      <c r="B300" s="41"/>
      <c r="C300" s="41"/>
      <c r="D300" s="41"/>
      <c r="E300" s="84" t="s">
        <v>1722</v>
      </c>
      <c r="F300" s="18" t="str">
        <f>IF(ISBLANK(input_mgmt_az1_edge_overlay_cidr),"Value Missing",input_mgmt_az1_edge_overlay_cidr)</f>
        <v>Value Missing</v>
      </c>
      <c r="G300" s="41"/>
      <c r="H300" s="84" t="s">
        <v>1719</v>
      </c>
      <c r="I300" s="18" t="str">
        <f>IF(ISBLANK(input_wld_az1_uplink01_cidr),"Value Missing",input_wld_az1_uplink01_cidr)</f>
        <v>Value Missing</v>
      </c>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row>
    <row r="301" ht="19.5" customHeight="1">
      <c r="A301" s="41"/>
      <c r="B301" s="41"/>
      <c r="C301" s="41"/>
      <c r="D301" s="41"/>
      <c r="E301" s="84" t="s">
        <v>1724</v>
      </c>
      <c r="F301" s="18" t="str">
        <f>IF(ISBLANK(input_mgmt_az1_rtep_overlay_cidr),"Value Missing",input_mgmt_az1_rtep_overlay_cidr)</f>
        <v>Value Missing</v>
      </c>
      <c r="G301" s="41"/>
      <c r="H301" s="84" t="s">
        <v>1720</v>
      </c>
      <c r="I301" s="18" t="str">
        <f>IF(ISBLANK(input_wld_az1_uplink02_cidr),"Value Missing",input_wld_az1_uplink02_cidr)</f>
        <v>Value Missing</v>
      </c>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row>
    <row r="302" ht="19.5" customHeight="1">
      <c r="A302" s="41"/>
      <c r="B302" s="41"/>
      <c r="C302" s="41"/>
      <c r="D302" s="41"/>
      <c r="E302" s="84" t="s">
        <v>1726</v>
      </c>
      <c r="F302" s="18"/>
      <c r="G302" s="41"/>
      <c r="H302" s="84" t="s">
        <v>1722</v>
      </c>
      <c r="I302" s="18" t="str">
        <f>IF(ISBLANK(input_wld_az1_edge_overlay_cidr),"Value Missing",input_wld_az1_edge_overlay_cidr)</f>
        <v>Value Missing</v>
      </c>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row>
    <row r="303" ht="19.5" customHeight="1">
      <c r="A303" s="41"/>
      <c r="B303" s="41"/>
      <c r="C303" s="41"/>
      <c r="D303" s="41"/>
      <c r="E303" s="80"/>
      <c r="F303" s="80"/>
      <c r="G303" s="41"/>
      <c r="H303" s="84" t="s">
        <v>1724</v>
      </c>
      <c r="I303" s="18" t="str">
        <f>IF(ISBLANK(input_wld_az1_rtep_overlay_cidr),"Value Missing",input_wld_az1_rtep_overlay_cidr)</f>
        <v>Value Missing</v>
      </c>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row>
    <row r="304" ht="19.5" customHeight="1">
      <c r="A304" s="41"/>
      <c r="B304" s="41"/>
      <c r="C304" s="41"/>
      <c r="D304" s="41"/>
      <c r="E304" s="309" t="s">
        <v>1999</v>
      </c>
      <c r="F304" s="310"/>
      <c r="G304" s="41"/>
      <c r="H304" s="84" t="s">
        <v>1726</v>
      </c>
      <c r="I304" s="18" t="str">
        <f>IF(ISBLANK(input_wld_az1_vrms_cidr),"Value Missing",input_wld_az1_vrms_cidr)</f>
        <v>Value Missing</v>
      </c>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row>
    <row r="305" ht="19.5" customHeight="1">
      <c r="A305" s="41"/>
      <c r="B305" s="41"/>
      <c r="C305" s="41"/>
      <c r="D305" s="41"/>
      <c r="E305" s="15" t="s">
        <v>256</v>
      </c>
      <c r="F305" s="15" t="s">
        <v>1994</v>
      </c>
      <c r="G305" s="41"/>
      <c r="H305" s="80"/>
      <c r="I305" s="80"/>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row>
    <row r="306" ht="19.5" customHeight="1">
      <c r="A306" s="41"/>
      <c r="B306" s="41"/>
      <c r="C306" s="41"/>
      <c r="D306" s="41"/>
      <c r="E306" s="84" t="s">
        <v>1710</v>
      </c>
      <c r="F306" s="18"/>
      <c r="G306" s="322"/>
      <c r="H306" s="309" t="s">
        <v>2000</v>
      </c>
      <c r="I306" s="310"/>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row>
    <row r="307" ht="19.5" customHeight="1">
      <c r="A307" s="41"/>
      <c r="B307" s="41"/>
      <c r="C307" s="41"/>
      <c r="D307" s="41"/>
      <c r="E307" s="84" t="s">
        <v>1712</v>
      </c>
      <c r="F307" s="18" t="str">
        <f>IF(ISBLANK(input_mgmt_az2_mgmt_cidr),"Value Missing",LEFT(mgmt_az2_mgmt_cidr,(FIND("/",mgmt_az2_mgmt_cidr)-1)))</f>
        <v>Value Missing</v>
      </c>
      <c r="G307" s="322"/>
      <c r="H307" s="15" t="s">
        <v>256</v>
      </c>
      <c r="I307" s="15" t="s">
        <v>1998</v>
      </c>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row>
    <row r="308" ht="19.5" customHeight="1">
      <c r="A308" s="41"/>
      <c r="B308" s="41"/>
      <c r="C308" s="41"/>
      <c r="D308" s="41"/>
      <c r="E308" s="84" t="s">
        <v>407</v>
      </c>
      <c r="F308" s="18" t="str">
        <f>IF(ISBLANK(input_mgmt_az2_vmotion_network),"Value Missing",input_mgmt_az2_vmotion_network)</f>
        <v>Value Missing</v>
      </c>
      <c r="G308" s="41"/>
      <c r="H308" s="84" t="s">
        <v>1710</v>
      </c>
      <c r="I308" s="18" t="s">
        <v>502</v>
      </c>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row>
    <row r="309" ht="19.5" customHeight="1">
      <c r="A309" s="41"/>
      <c r="B309" s="41"/>
      <c r="C309" s="41"/>
      <c r="D309" s="41"/>
      <c r="E309" s="173" t="str">
        <f>CONCATENATE("Principal Storage Network ",wld_principal_storage_chosen)</f>
        <v>Principal Storage Network vSAN-ESA</v>
      </c>
      <c r="F309" s="18" t="str">
        <f>IF(ISBLANK(input_mgmt_az2_vsan_network),"Value Missing",input_mgmt_az2_vsan_network)</f>
        <v>Value Missing</v>
      </c>
      <c r="G309" s="41"/>
      <c r="H309" s="84" t="s">
        <v>1712</v>
      </c>
      <c r="I309" s="18" t="str">
        <f>IF(OR(ISBLANK(wld_az2_mgmt_cidr),wld_az2_mgmt_cidr="Value Missing"),"Value Missing",LEFT(wld_az2_mgmt_cidr,(FIND("/",wld_az2_mgmt_cidr)-1)))</f>
        <v>Value Missing</v>
      </c>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row>
    <row r="310" ht="19.5" customHeight="1">
      <c r="A310" s="41"/>
      <c r="B310" s="41"/>
      <c r="C310" s="41"/>
      <c r="D310" s="41"/>
      <c r="E310" s="84" t="s">
        <v>1716</v>
      </c>
      <c r="F310" s="18" t="str">
        <f>IF(OR(ISBLANK(mgmt_az2_host_overlay_cidr),mgmt_az2_host_overlay_cidr="Value Missing"),"Value Missing",LEFT(mgmt_az2_host_overlay_cidr,(FIND("/",mgmt_az2_host_overlay_cidr)-1)))</f>
        <v>Value Missing</v>
      </c>
      <c r="G310" s="41"/>
      <c r="H310" s="84" t="s">
        <v>407</v>
      </c>
      <c r="I310" s="18" t="str">
        <f>IF(ISBLANK(input_wld_az2_vmotion_network),"Value Missing",input_wld_az2_vmotion_network)</f>
        <v>Value Missing</v>
      </c>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row>
    <row r="311" ht="19.5" customHeight="1">
      <c r="A311" s="41"/>
      <c r="B311" s="41"/>
      <c r="C311" s="41"/>
      <c r="D311" s="41"/>
      <c r="E311" s="84" t="s">
        <v>1717</v>
      </c>
      <c r="F311" s="18" t="str">
        <f>IF(ISBLANK(input_mgmt_az2_secondary_storage_network),"Value Missing",input_mgmt_az2_secondary_storage_network)</f>
        <v>Value Missing</v>
      </c>
      <c r="G311" s="41"/>
      <c r="H311" s="173" t="s">
        <v>1995</v>
      </c>
      <c r="I311" s="18" t="str">
        <f>IF(ISBLANK(input_wld_az2_principal_storage_network),"Value Missing",input_wld_az2_principal_storage_network)</f>
        <v>Value Missing</v>
      </c>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row>
    <row r="312" ht="19.5" customHeight="1">
      <c r="A312" s="41"/>
      <c r="B312" s="41"/>
      <c r="C312" s="41"/>
      <c r="D312" s="41"/>
      <c r="E312" s="84" t="s">
        <v>1719</v>
      </c>
      <c r="F312" s="18" t="str">
        <f>IF(mgmt_az1_uplink01_cidr="Value Missing",mgmt_az1_uplink01_cidr,LEFT(mgmt_az1_uplink01_cidr,(FIND("/",mgmt_az1_uplink01_cidr)-1)))</f>
        <v>Value Missing</v>
      </c>
      <c r="G312" s="41"/>
      <c r="H312" s="84" t="s">
        <v>1716</v>
      </c>
      <c r="I312" s="18" t="str">
        <f>IF(OR(ISBLANK(wld_az2_host_overlay_cidr),wld_az2_host_overlay_cidr="Value Missing"),"Value Missing",LEFT(wld_az2_host_overlay_cidr,(FIND("/",wld_az2_host_overlay_cidr)-1)))</f>
        <v>Value Missing</v>
      </c>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row>
    <row r="313" ht="19.5" customHeight="1">
      <c r="A313" s="41"/>
      <c r="B313" s="41"/>
      <c r="C313" s="41"/>
      <c r="D313" s="41"/>
      <c r="E313" s="84" t="s">
        <v>1720</v>
      </c>
      <c r="F313" s="18" t="str">
        <f>IF(mgmt_az1_uplink02_cidr="Value Missing",mgmt_az1_uplink02_cidr,LEFT(mgmt_az1_uplink02_cidr,(FIND("/",mgmt_az1_uplink02_cidr)-1)))</f>
        <v>Value Missing</v>
      </c>
      <c r="G313" s="41"/>
      <c r="H313" s="84" t="s">
        <v>1717</v>
      </c>
      <c r="I313" s="1" t="str">
        <f>input_wld_az2_secondary_storage_network</f>
        <v/>
      </c>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row>
    <row r="314" ht="19.5" customHeight="1">
      <c r="A314" s="41"/>
      <c r="B314" s="41"/>
      <c r="C314" s="41"/>
      <c r="D314" s="41"/>
      <c r="E314" s="84" t="s">
        <v>1722</v>
      </c>
      <c r="F314" s="18" t="str">
        <f>IF(mgmt_az1_edge_overlay_cidr="Value Missing",mgmt_az1_edge_overlay_cidr,(LEFT(mgmt_az1_edge_overlay_cidr,(FIND("/",mgmt_az1_edge_overlay_cidr)-1))))</f>
        <v>Value Missing</v>
      </c>
      <c r="G314" s="41"/>
      <c r="H314" s="84" t="s">
        <v>1244</v>
      </c>
      <c r="I314" s="1" t="str">
        <f>IF(ISBLANK(input_wld_az2_storage_cluster_network),"Value Missing",input_wld_az2_storage_cluster_network)</f>
        <v>Value Missing</v>
      </c>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row>
    <row r="315" ht="19.5" customHeight="1">
      <c r="A315" s="41"/>
      <c r="B315" s="41"/>
      <c r="C315" s="41"/>
      <c r="D315" s="41"/>
      <c r="E315" s="84" t="s">
        <v>1724</v>
      </c>
      <c r="F315" s="18" t="str">
        <f>mgmt_az1_rtep_overlay_cidr</f>
        <v>Value Missing</v>
      </c>
      <c r="G315" s="41"/>
      <c r="H315" s="84" t="s">
        <v>1719</v>
      </c>
      <c r="I315" s="18" t="str">
        <f>wld_az1_uplink01_network</f>
        <v>Value Missing</v>
      </c>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row>
    <row r="316" ht="19.5" customHeight="1">
      <c r="A316" s="41"/>
      <c r="B316" s="41"/>
      <c r="C316" s="41"/>
      <c r="D316" s="41"/>
      <c r="E316" s="84" t="s">
        <v>1726</v>
      </c>
      <c r="F316" s="18"/>
      <c r="G316" s="41"/>
      <c r="H316" s="84" t="s">
        <v>1720</v>
      </c>
      <c r="I316" s="18" t="str">
        <f>wld_az1_uplink02_network</f>
        <v>Value Missing</v>
      </c>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row>
    <row r="317" ht="19.5" customHeight="1">
      <c r="A317" s="41"/>
      <c r="B317" s="41"/>
      <c r="C317" s="41"/>
      <c r="D317" s="41"/>
      <c r="E317" s="1"/>
      <c r="F317" s="1"/>
      <c r="G317" s="41"/>
      <c r="H317" s="84" t="s">
        <v>1722</v>
      </c>
      <c r="I317" s="18" t="str">
        <f>wld_az1_edge_overlay_network</f>
        <v>Value Missing</v>
      </c>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row>
    <row r="318" ht="19.5" customHeight="1">
      <c r="A318" s="41"/>
      <c r="B318" s="41"/>
      <c r="C318" s="41"/>
      <c r="D318" s="41"/>
      <c r="E318" s="309" t="s">
        <v>2001</v>
      </c>
      <c r="F318" s="310"/>
      <c r="G318" s="41"/>
      <c r="H318" s="84" t="s">
        <v>1724</v>
      </c>
      <c r="I318" s="18" t="str">
        <f>IF(ISBLANK(input_wld_az1_rtep_overlay_cidr),"Value Missing",input_wld_az1_rtep_overlay_cidr)</f>
        <v>Value Missing</v>
      </c>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row>
    <row r="319" ht="19.5" customHeight="1">
      <c r="A319" s="41"/>
      <c r="B319" s="41"/>
      <c r="C319" s="41"/>
      <c r="D319" s="41"/>
      <c r="E319" s="15" t="s">
        <v>256</v>
      </c>
      <c r="F319" s="15" t="s">
        <v>1994</v>
      </c>
      <c r="G319" s="41"/>
      <c r="H319" s="84" t="s">
        <v>1726</v>
      </c>
      <c r="I319" s="18" t="str">
        <f>IF(ISBLANK(input_wld_az1_vrms_cidr),"Value Missing",input_wld_az1_vrms_cidr)</f>
        <v>Value Missing</v>
      </c>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row>
    <row r="320" ht="19.5" customHeight="1">
      <c r="A320" s="41"/>
      <c r="B320" s="41"/>
      <c r="C320" s="41"/>
      <c r="D320" s="41"/>
      <c r="E320" s="84" t="s">
        <v>1710</v>
      </c>
      <c r="F320" s="18"/>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row>
    <row r="321" ht="19.5" customHeight="1">
      <c r="A321" s="41"/>
      <c r="B321" s="41"/>
      <c r="C321" s="41"/>
      <c r="D321" s="41"/>
      <c r="E321" s="84" t="s">
        <v>1712</v>
      </c>
      <c r="F321" s="18" t="str">
        <f>IF(mgmt_az2_mgmt_cidr="Value Missing","Value Missing",VLOOKUP(INT(RIGHT(mgmt_az2_mgmt_cidr,LEN(mgmt_az2_mgmt_cidr)-FIND("/",mgmt_az2_mgmt_cidr))),table_cidr_to_mask,2,FALSE))</f>
        <v>Value Missing</v>
      </c>
      <c r="G321" s="322"/>
      <c r="H321" s="309" t="s">
        <v>2002</v>
      </c>
      <c r="I321" s="310"/>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row>
    <row r="322" ht="19.5" customHeight="1">
      <c r="A322" s="41"/>
      <c r="B322" s="41"/>
      <c r="C322" s="41"/>
      <c r="D322" s="41"/>
      <c r="E322" s="84" t="s">
        <v>407</v>
      </c>
      <c r="F322" s="18" t="str">
        <f>IF(ISBLANK(input_mgmt_az2_vmotion_mask),"Value Missing",input_mgmt_az2_vmotion_mask)</f>
        <v>Value Missing</v>
      </c>
      <c r="G322" s="41"/>
      <c r="H322" s="15" t="s">
        <v>256</v>
      </c>
      <c r="I322" s="15" t="s">
        <v>1998</v>
      </c>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row>
    <row r="323" ht="19.5" customHeight="1">
      <c r="A323" s="41"/>
      <c r="B323" s="41"/>
      <c r="C323" s="41"/>
      <c r="D323" s="41"/>
      <c r="E323" s="173" t="str">
        <f>CONCATENATE("Principal Storage Network ",wld_principal_storage_chosen)</f>
        <v>Principal Storage Network vSAN-ESA</v>
      </c>
      <c r="F323" s="18" t="str">
        <f>IF(ISBLANK(input_mgmt_az2_vsan_mask),"Value Missing",input_mgmt_az2_vsan_mask)</f>
        <v>Value Missing</v>
      </c>
      <c r="G323" s="41"/>
      <c r="H323" s="84" t="s">
        <v>1710</v>
      </c>
      <c r="I323" s="18" t="s">
        <v>502</v>
      </c>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row>
    <row r="324" ht="19.5" customHeight="1">
      <c r="A324" s="41"/>
      <c r="B324" s="41"/>
      <c r="C324" s="41"/>
      <c r="D324" s="41"/>
      <c r="E324" s="84" t="s">
        <v>1716</v>
      </c>
      <c r="F324" s="18" t="str">
        <f>IF(mgmt_az2_host_overlay_cidr="Value Missing","Value Missing",(VLOOKUP(INT(RIGHT(mgmt_az2_host_overlay_cidr,LEN(mgmt_az2_host_overlay_cidr)-FIND("/",mgmt_az2_host_overlay_cidr))),table_cidr_to_mask,2,FALSE)))</f>
        <v>Value Missing</v>
      </c>
      <c r="G324" s="41"/>
      <c r="H324" s="84" t="s">
        <v>1712</v>
      </c>
      <c r="I324" s="18" t="str">
        <f>IF(wld_az2_mgmt_cidr="Value Missing","Value Missing",VLOOKUP(INT(RIGHT(wld_az2_mgmt_cidr,LEN(wld_az2_mgmt_cidr)-FIND("/",wld_az2_mgmt_cidr))),table_cidr_to_mask,2,FALSE))</f>
        <v>Value Missing</v>
      </c>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row>
    <row r="325" ht="19.5" customHeight="1">
      <c r="A325" s="41"/>
      <c r="B325" s="41"/>
      <c r="C325" s="41"/>
      <c r="D325" s="41"/>
      <c r="E325" s="84" t="s">
        <v>1717</v>
      </c>
      <c r="F325" s="18" t="str">
        <f>IF(ISBLANK(input_mgmt_az2_secondary_storage_mask),"Value Missing",input_mgmt_az2_secondary_storage_mask)</f>
        <v>Value Missing</v>
      </c>
      <c r="G325" s="41"/>
      <c r="H325" s="84" t="s">
        <v>407</v>
      </c>
      <c r="I325" s="18" t="str">
        <f>IF(ISBLANK(input_wld_az2_vmotion_mask),"Value Missing",input_wld_az2_vmotion_mask)</f>
        <v>Value Missing</v>
      </c>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row>
    <row r="326" ht="19.5" customHeight="1">
      <c r="A326" s="41"/>
      <c r="B326" s="41"/>
      <c r="C326" s="41"/>
      <c r="D326" s="41"/>
      <c r="E326" s="84" t="s">
        <v>1719</v>
      </c>
      <c r="F326" s="18" t="str">
        <f>mgmt_az1_uplink01_mask</f>
        <v>Value Missing</v>
      </c>
      <c r="G326" s="41"/>
      <c r="H326" s="173" t="s">
        <v>1995</v>
      </c>
      <c r="I326" s="18" t="str">
        <f>IF(ISBLANK(input_wld_az2_principal_storage_mask),"Value Missing",input_wld_az2_principal_storage_mask)</f>
        <v>Value Missing</v>
      </c>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row>
    <row r="327" ht="19.5" customHeight="1">
      <c r="A327" s="41"/>
      <c r="B327" s="41"/>
      <c r="C327" s="41"/>
      <c r="D327" s="41"/>
      <c r="E327" s="84" t="s">
        <v>1720</v>
      </c>
      <c r="F327" s="18" t="str">
        <f>mgmt_az1_uplink02_mask</f>
        <v>Value Missing</v>
      </c>
      <c r="G327" s="41"/>
      <c r="H327" s="84" t="s">
        <v>1716</v>
      </c>
      <c r="I327" s="18" t="str">
        <f>IF(wld_az2_host_overlay_cidr="Value Missing","Value Missing",(VLOOKUP(INT(RIGHT(wld_az2_host_overlay_cidr,LEN(wld_az2_host_overlay_cidr)-FIND("/",wld_az2_host_overlay_cidr))),table_cidr_to_mask,2,FALSE)))</f>
        <v>Value Missing</v>
      </c>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row>
    <row r="328" ht="19.5" customHeight="1">
      <c r="A328" s="41"/>
      <c r="B328" s="41"/>
      <c r="C328" s="41"/>
      <c r="D328" s="41"/>
      <c r="E328" s="84" t="s">
        <v>1722</v>
      </c>
      <c r="F328" s="18" t="str">
        <f>mgmt_az1_edge_overlay_mask</f>
        <v>Value Missing</v>
      </c>
      <c r="G328" s="41"/>
      <c r="H328" s="84" t="s">
        <v>1717</v>
      </c>
      <c r="I328" s="1" t="str">
        <f>input_wld_az2_secondary_storage_mask</f>
        <v/>
      </c>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row>
    <row r="329" ht="19.5" customHeight="1">
      <c r="A329" s="41"/>
      <c r="B329" s="41"/>
      <c r="C329" s="41"/>
      <c r="D329" s="41"/>
      <c r="E329" s="84" t="s">
        <v>1724</v>
      </c>
      <c r="F329" s="18"/>
      <c r="G329" s="41"/>
      <c r="H329" s="84" t="s">
        <v>1244</v>
      </c>
      <c r="I329" s="1" t="str">
        <f>IF(ISBLANK(input_wld_az2_storage_cluster_mask),"Value Missing",input_wld_az2_storage_cluster_mask)</f>
        <v>Value Missing</v>
      </c>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row>
    <row r="330" ht="19.5" customHeight="1">
      <c r="A330" s="41"/>
      <c r="B330" s="41"/>
      <c r="C330" s="41"/>
      <c r="D330" s="41"/>
      <c r="E330" s="84" t="s">
        <v>1726</v>
      </c>
      <c r="F330" s="18" t="str">
        <f>IF(mgmt_az2_mgmt_cidr="Value Missing","Value Missing",VLOOKUP(INT(RIGHT(mgmt_az2_mgmt_cidr,LEN(mgmt_az2_mgmt_cidr)-FIND("/",mgmt_az2_mgmt_cidr))),table_cidr_to_mask,2,FALSE))</f>
        <v>Value Missing</v>
      </c>
      <c r="G330" s="41"/>
      <c r="H330" s="84" t="s">
        <v>1719</v>
      </c>
      <c r="I330" s="18" t="str">
        <f>wld_az1_uplink01_mask</f>
        <v>Value Missing</v>
      </c>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row>
    <row r="331" ht="19.5" customHeight="1">
      <c r="A331" s="41"/>
      <c r="B331" s="41"/>
      <c r="C331" s="41"/>
      <c r="D331" s="41"/>
      <c r="E331" s="1"/>
      <c r="F331" s="1"/>
      <c r="G331" s="41"/>
      <c r="H331" s="84" t="s">
        <v>1720</v>
      </c>
      <c r="I331" s="18" t="str">
        <f>wld_az1_uplink02_mask</f>
        <v>Value Missing</v>
      </c>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row>
    <row r="332" ht="19.5" customHeight="1">
      <c r="A332" s="41"/>
      <c r="B332" s="41"/>
      <c r="C332" s="41"/>
      <c r="D332" s="41"/>
      <c r="E332" s="309" t="s">
        <v>2003</v>
      </c>
      <c r="F332" s="310"/>
      <c r="G332" s="41"/>
      <c r="H332" s="84" t="s">
        <v>1722</v>
      </c>
      <c r="I332" s="18" t="str">
        <f>wld_az1_edge_overlay_mask</f>
        <v>Value Missing</v>
      </c>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row>
    <row r="333" ht="19.5" customHeight="1">
      <c r="A333" s="41"/>
      <c r="B333" s="41"/>
      <c r="C333" s="41"/>
      <c r="D333" s="41"/>
      <c r="E333" s="15" t="s">
        <v>256</v>
      </c>
      <c r="F333" s="15" t="s">
        <v>1994</v>
      </c>
      <c r="G333" s="41"/>
      <c r="H333" s="84" t="s">
        <v>1724</v>
      </c>
      <c r="I333" s="18" t="str">
        <f>IF(ISBLANK(input_wld_az1_rtep_overlay_cidr),"Value Missing",input_wld_az1_rtep_overlay_cidr)</f>
        <v>Value Missing</v>
      </c>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row>
    <row r="334" ht="19.5" customHeight="1">
      <c r="A334" s="41"/>
      <c r="B334" s="41"/>
      <c r="C334" s="41"/>
      <c r="D334" s="41"/>
      <c r="E334" s="84" t="s">
        <v>1710</v>
      </c>
      <c r="F334" s="18"/>
      <c r="G334" s="41"/>
      <c r="H334" s="84" t="s">
        <v>1726</v>
      </c>
      <c r="I334" s="18" t="str">
        <f>IF(ISBLANK(input_wld_az1_vrms_cidr),"Value Missing",input_wld_az1_vrms_cidr)</f>
        <v>Value Missing</v>
      </c>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row>
    <row r="335" ht="19.5" customHeight="1">
      <c r="A335" s="41"/>
      <c r="B335" s="41"/>
      <c r="C335" s="41"/>
      <c r="D335" s="41"/>
      <c r="E335" s="84" t="s">
        <v>1712</v>
      </c>
      <c r="F335" s="18" t="str">
        <f>IF(ISBLANK('Configure Management Domain'!D226),"Value Missing",'Configure Management Domain'!D226)</f>
        <v>Value Missing</v>
      </c>
      <c r="G335" s="322"/>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row>
    <row r="336" ht="19.5" customHeight="1">
      <c r="A336" s="41"/>
      <c r="B336" s="41"/>
      <c r="C336" s="41"/>
      <c r="D336" s="41"/>
      <c r="E336" s="84" t="s">
        <v>407</v>
      </c>
      <c r="F336" s="18" t="str">
        <f>IF(ISBLANK('Configure Management Domain'!D256),"Value Missing",'Configure Management Domain'!D256)</f>
        <v>Value Missing</v>
      </c>
      <c r="G336" s="41"/>
      <c r="H336" s="309" t="s">
        <v>2004</v>
      </c>
      <c r="I336" s="310"/>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row>
    <row r="337" ht="19.5" customHeight="1">
      <c r="A337" s="41"/>
      <c r="B337" s="41"/>
      <c r="C337" s="41"/>
      <c r="D337" s="41"/>
      <c r="E337" s="173" t="str">
        <f>CONCATENATE("Principal Storage Network ",wld_principal_storage_chosen)</f>
        <v>Principal Storage Network vSAN-ESA</v>
      </c>
      <c r="F337" s="18" t="str">
        <f>IF(ISBLANK('Configure Management Domain'!D264),"Value Missing",'Configure Management Domain'!D264)</f>
        <v>Value Missing</v>
      </c>
      <c r="G337" s="41"/>
      <c r="H337" s="15" t="s">
        <v>256</v>
      </c>
      <c r="I337" s="15" t="s">
        <v>1998</v>
      </c>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row>
    <row r="338" ht="19.5" customHeight="1">
      <c r="A338" s="41"/>
      <c r="B338" s="41"/>
      <c r="C338" s="41"/>
      <c r="D338" s="41"/>
      <c r="E338" s="84" t="s">
        <v>1716</v>
      </c>
      <c r="F338" s="18" t="str">
        <f>IF(ISBLANK('Configure Management Domain'!D366),"Value Missing",'Configure Management Domain'!D366)</f>
        <v>Value Missing</v>
      </c>
      <c r="G338" s="41"/>
      <c r="H338" s="84" t="s">
        <v>1710</v>
      </c>
      <c r="I338" s="18" t="s">
        <v>502</v>
      </c>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row>
    <row r="339" ht="19.5" customHeight="1">
      <c r="A339" s="41"/>
      <c r="B339" s="1"/>
      <c r="C339" s="1"/>
      <c r="D339" s="41"/>
      <c r="E339" s="84" t="s">
        <v>1717</v>
      </c>
      <c r="F339" s="18" t="str">
        <f>IF(ISBLANK(input_mgmt_az2_secondary_storage_gateway_ip),"Value Missing",input_mgmt_az2_secondary_storage_gateway_ip)</f>
        <v>Value Missing</v>
      </c>
      <c r="G339" s="41"/>
      <c r="H339" s="84" t="s">
        <v>1712</v>
      </c>
      <c r="I339" s="18" t="str">
        <f>IF(ISBLANK('Configure Workload Domain'!D170),"Value Missing",'Configure Workload Domain'!D170)</f>
        <v>Value Missing</v>
      </c>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row>
    <row r="340" ht="19.5" customHeight="1">
      <c r="A340" s="41"/>
      <c r="B340" s="1"/>
      <c r="C340" s="1"/>
      <c r="D340" s="41"/>
      <c r="E340" s="84" t="s">
        <v>1719</v>
      </c>
      <c r="F340" s="18" t="str">
        <f>IF(ISBLANK(mgmt_az1_uplink01_gateway_ip),"Value Missing",mgmt_az1_uplink01_gateway_ip)</f>
        <v>Value Missing</v>
      </c>
      <c r="G340" s="41"/>
      <c r="H340" s="84" t="s">
        <v>407</v>
      </c>
      <c r="I340" s="18" t="str">
        <f>IF(ISBLANK(input_wld_az2_vmotion_gateway_ip),"Value Missing",input_wld_az2_vmotion_gateway_ip)</f>
        <v>Value Missing</v>
      </c>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row>
    <row r="341" ht="19.5" customHeight="1">
      <c r="A341" s="41"/>
      <c r="B341" s="1"/>
      <c r="C341" s="1"/>
      <c r="D341" s="41"/>
      <c r="E341" s="84" t="s">
        <v>1720</v>
      </c>
      <c r="F341" s="18" t="str">
        <f>IF(ISBLANK(input_mgmt_az1_uplink02_gateway_ip),"Value Missing",mgmt_az1_uplink02_gateway_ip)</f>
        <v>Value Missing</v>
      </c>
      <c r="G341" s="41"/>
      <c r="H341" s="173" t="s">
        <v>1995</v>
      </c>
      <c r="I341" s="18" t="str">
        <f>IF(ISBLANK(input_wld_az2_principal_storage_gateway_ip),"Value Missing",input_wld_az2_principal_storage_gateway_ip)</f>
        <v>Value Missing</v>
      </c>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row>
    <row r="342" ht="19.5" customHeight="1">
      <c r="A342" s="41"/>
      <c r="B342" s="1"/>
      <c r="C342" s="1"/>
      <c r="D342" s="41"/>
      <c r="E342" s="84" t="s">
        <v>1722</v>
      </c>
      <c r="F342" s="18" t="str">
        <f>IF(ISBLANK(input_mgmt_az1_edge_overlay_gateway_ip),"Value Missing",input_mgmt_az1_edge_overlay_gateway_ip)</f>
        <v>Value Missing</v>
      </c>
      <c r="G342" s="41"/>
      <c r="H342" s="84" t="s">
        <v>1716</v>
      </c>
      <c r="I342" s="18" t="str">
        <f>IF(ISBLANK(input_wld_az2_host_overlay_gateway_ip),"Value Missing",input_wld_az2_host_overlay_gateway_ip)</f>
        <v>Value Missing</v>
      </c>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row>
    <row r="343" ht="19.5" customHeight="1">
      <c r="A343" s="41"/>
      <c r="B343" s="1"/>
      <c r="C343" s="1"/>
      <c r="D343" s="41"/>
      <c r="E343" s="84" t="s">
        <v>1724</v>
      </c>
      <c r="F343" s="18" t="str">
        <f>IF(ISBLANK(input_mgmt_az1_rtep_overlay_gateway_ip),"Value Missing",input_mgmt_az1_rtep_overlay_gateway_ip)</f>
        <v>Value Missing</v>
      </c>
      <c r="G343" s="41"/>
      <c r="H343" s="84" t="s">
        <v>1717</v>
      </c>
      <c r="I343" s="18" t="str">
        <f>IF(ISBLANK(input_wld_az2_secondary_storage_gateway_ip),"Value Missing",input_wld_az2_secondary_storage_gateway_ip)</f>
        <v>Value Missing</v>
      </c>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row>
    <row r="344" ht="19.5" customHeight="1">
      <c r="A344" s="41"/>
      <c r="B344" s="1"/>
      <c r="C344" s="1"/>
      <c r="D344" s="41"/>
      <c r="E344" s="84" t="s">
        <v>1726</v>
      </c>
      <c r="F344" s="18"/>
      <c r="G344" s="41"/>
      <c r="H344" s="84" t="s">
        <v>1244</v>
      </c>
      <c r="I344" s="18" t="str">
        <f>IF(ISBLANK(input_wld_az2_storage_cluster_gateway_ip),"Value Missing",input_wld_az2_storage_cluster_gateway_ip)</f>
        <v>Value Missing</v>
      </c>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row>
    <row r="345" ht="19.5" customHeight="1">
      <c r="A345" s="41"/>
      <c r="B345" s="1"/>
      <c r="C345" s="1"/>
      <c r="D345" s="41"/>
      <c r="E345" s="1"/>
      <c r="F345" s="1"/>
      <c r="G345" s="322"/>
      <c r="H345" s="84" t="s">
        <v>1719</v>
      </c>
      <c r="I345" s="18" t="str">
        <f>wld_az1_uplink01_gateway_ip</f>
        <v>Value Missing</v>
      </c>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row>
    <row r="346" ht="19.5" customHeight="1">
      <c r="A346" s="41"/>
      <c r="B346" s="1"/>
      <c r="C346" s="1"/>
      <c r="D346" s="41"/>
      <c r="E346" s="309" t="s">
        <v>2005</v>
      </c>
      <c r="F346" s="310"/>
      <c r="G346" s="41"/>
      <c r="H346" s="84" t="s">
        <v>1720</v>
      </c>
      <c r="I346" s="18" t="str">
        <f>wld_az1_uplink02_gateway_ip</f>
        <v>Value Missing</v>
      </c>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row>
    <row r="347" ht="19.5" customHeight="1">
      <c r="A347" s="41"/>
      <c r="B347" s="1"/>
      <c r="C347" s="1"/>
      <c r="D347" s="41"/>
      <c r="E347" s="15" t="s">
        <v>256</v>
      </c>
      <c r="F347" s="15" t="s">
        <v>1994</v>
      </c>
      <c r="G347" s="41"/>
      <c r="H347" s="84" t="s">
        <v>1722</v>
      </c>
      <c r="I347" s="18" t="str">
        <f>wld_az1_edge_overlay_gateway_ip</f>
        <v>Value Missing</v>
      </c>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row>
    <row r="348" ht="19.5" customHeight="1">
      <c r="A348" s="41"/>
      <c r="B348" s="1"/>
      <c r="C348" s="1"/>
      <c r="D348" s="41"/>
      <c r="E348" s="84" t="s">
        <v>1710</v>
      </c>
      <c r="F348" s="18"/>
      <c r="G348" s="41"/>
      <c r="H348" s="84" t="s">
        <v>1724</v>
      </c>
      <c r="I348" s="18" t="str">
        <f>wld_az1_rtep_overlay_gateway_ip</f>
        <v>Value Missing</v>
      </c>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row>
    <row r="349" ht="19.5" customHeight="1">
      <c r="A349" s="41"/>
      <c r="B349" s="1"/>
      <c r="C349" s="1"/>
      <c r="D349" s="41"/>
      <c r="E349" s="84" t="s">
        <v>1712</v>
      </c>
      <c r="F349" s="18" t="str">
        <f>IF(ISBLANK('Configure Management Domain'!D228),"Value Missing",'Configure Management Domain'!D228)</f>
        <v>Value Missing</v>
      </c>
      <c r="G349" s="41"/>
      <c r="H349" s="84" t="s">
        <v>1726</v>
      </c>
      <c r="I349" s="18" t="str">
        <f>wld_az1_vrms_gateway_ip</f>
        <v>Value Missing</v>
      </c>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row>
    <row r="350" ht="19.5" customHeight="1">
      <c r="A350" s="41"/>
      <c r="B350" s="1"/>
      <c r="C350" s="1"/>
      <c r="D350" s="41"/>
      <c r="E350" s="84" t="s">
        <v>407</v>
      </c>
      <c r="F350" s="18" t="str">
        <f>IF(ISBLANK('Configure Management Domain'!D253),"Value Missing",'Configure Management Domain'!D253)</f>
        <v>Value Missing</v>
      </c>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row>
    <row r="351" ht="19.5" customHeight="1">
      <c r="A351" s="41"/>
      <c r="B351" s="1"/>
      <c r="C351" s="1"/>
      <c r="D351" s="41"/>
      <c r="E351" s="173" t="str">
        <f>CONCATENATE("Principal Storage Network ",wld_principal_storage_chosen)</f>
        <v>Principal Storage Network vSAN-ESA</v>
      </c>
      <c r="F351" s="18" t="str">
        <f>IF(ISBLANK('Configure Management Domain'!D261),"Value Missing",'Configure Management Domain'!D261)</f>
        <v>Value Missing</v>
      </c>
      <c r="G351" s="41"/>
      <c r="H351" s="309" t="s">
        <v>2006</v>
      </c>
      <c r="I351" s="310"/>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row>
    <row r="352" ht="19.5" customHeight="1">
      <c r="A352" s="1"/>
      <c r="B352" s="1"/>
      <c r="C352" s="1"/>
      <c r="D352" s="1"/>
      <c r="E352" s="84" t="s">
        <v>1716</v>
      </c>
      <c r="F352" s="18" t="str">
        <f>IF(ISBLANK(input_mgmt_az2_host_overlay_mtu),"Value Missing",input_mgmt_az2_host_overlay_mtu)</f>
        <v>Value Missing</v>
      </c>
      <c r="G352" s="41"/>
      <c r="H352" s="15" t="s">
        <v>256</v>
      </c>
      <c r="I352" s="15" t="s">
        <v>1998</v>
      </c>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row>
    <row r="353" ht="19.5" customHeight="1">
      <c r="A353" s="1"/>
      <c r="B353" s="1"/>
      <c r="C353" s="1"/>
      <c r="D353" s="1"/>
      <c r="E353" s="84" t="s">
        <v>1717</v>
      </c>
      <c r="F353" s="18" t="str">
        <f>IF(ISBLANK(input_mgmt_az2_secondary_storage_mtu),"Value Missing",input_mgmt_az2_secondary_storage_mtu)</f>
        <v>Value Missing</v>
      </c>
      <c r="G353" s="41"/>
      <c r="H353" s="84" t="s">
        <v>1710</v>
      </c>
      <c r="I353" s="18"/>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row>
    <row r="354" ht="19.5" customHeight="1">
      <c r="A354" s="1"/>
      <c r="B354" s="1"/>
      <c r="C354" s="1"/>
      <c r="D354" s="1"/>
      <c r="E354" s="84" t="s">
        <v>1719</v>
      </c>
      <c r="F354" s="18" t="str">
        <f>IF(ISBLANK(input_mgmt_az1_uplink01_mtu),"Value Missing",input_mgmt_az1_uplink01_mtu)</f>
        <v>Value Missing</v>
      </c>
      <c r="G354" s="41"/>
      <c r="H354" s="84" t="s">
        <v>1712</v>
      </c>
      <c r="I354" s="18" t="str">
        <f>IF(ISBLANK('Configure Workload Domain'!D172),"Value Missing",'Configure Workload Domain'!D172)</f>
        <v>Value Missing</v>
      </c>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row>
    <row r="355" ht="19.5" customHeight="1">
      <c r="A355" s="1"/>
      <c r="B355" s="1"/>
      <c r="C355" s="1"/>
      <c r="D355" s="1"/>
      <c r="E355" s="84" t="s">
        <v>1720</v>
      </c>
      <c r="F355" s="18" t="str">
        <f>IF(ISBLANK(input_mgmt_az1_uplink02_mtu),"Value Missing",input_mgmt_az1_uplink02_mtu)</f>
        <v>Value Missing</v>
      </c>
      <c r="G355" s="41"/>
      <c r="H355" s="84" t="s">
        <v>407</v>
      </c>
      <c r="I355" s="18" t="str">
        <f>IF(ISBLANK(input_wld_az2_vmotion_mtu),"Value Missing",input_wld_az2_vmotion_mtu)</f>
        <v>Value Missing</v>
      </c>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row>
    <row r="356" ht="19.5" customHeight="1">
      <c r="A356" s="1"/>
      <c r="B356" s="1"/>
      <c r="C356" s="1"/>
      <c r="D356" s="1"/>
      <c r="E356" s="84" t="s">
        <v>1722</v>
      </c>
      <c r="F356" s="18" t="s">
        <v>502</v>
      </c>
      <c r="G356" s="41"/>
      <c r="H356" s="173" t="s">
        <v>1995</v>
      </c>
      <c r="I356" s="18" t="str">
        <f>IF(ISBLANK(input_wld_az2_principal_storage_mtu),"Value Missing",input_wld_az2_principal_storage_mtu)</f>
        <v>Value Missing</v>
      </c>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row>
    <row r="357" ht="19.5" customHeight="1">
      <c r="A357" s="1"/>
      <c r="B357" s="1"/>
      <c r="C357" s="1"/>
      <c r="D357" s="1"/>
      <c r="E357" s="84" t="s">
        <v>1724</v>
      </c>
      <c r="F357" s="18"/>
      <c r="G357" s="41"/>
      <c r="H357" s="84" t="s">
        <v>1716</v>
      </c>
      <c r="I357" s="18" t="str">
        <f>IF(ISBLANK(input_wld_az2_host_overlay_mtu),"Value Missing",input_wld_az2_host_overlay_mtu)</f>
        <v>Value Missing</v>
      </c>
      <c r="J357" s="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row>
    <row r="358" ht="19.5" customHeight="1">
      <c r="A358" s="1"/>
      <c r="B358" s="1"/>
      <c r="C358" s="1"/>
      <c r="D358" s="1"/>
      <c r="E358" s="84" t="s">
        <v>1726</v>
      </c>
      <c r="F358" s="18"/>
      <c r="G358" s="322"/>
      <c r="H358" s="84" t="s">
        <v>1717</v>
      </c>
      <c r="I358" s="18" t="str">
        <f>IF(ISBLANK('Configure Workload Domain'!D214),"Value Missing",'Configure Workload Domain'!D214)</f>
        <v>Value Missing</v>
      </c>
      <c r="J358" s="8"/>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row>
    <row r="359" ht="19.5" customHeight="1">
      <c r="A359" s="1"/>
      <c r="B359" s="1"/>
      <c r="C359" s="1"/>
      <c r="D359" s="1"/>
      <c r="E359" s="1"/>
      <c r="F359" s="1"/>
      <c r="G359" s="41"/>
      <c r="H359" s="84" t="s">
        <v>1244</v>
      </c>
      <c r="I359" s="18" t="str">
        <f>IF(ISBLANK(input_wld_az2_storage_cluster_mtu),"Value Missing",input_wld_az2_storage_cluster_mtu)</f>
        <v>Value Missing</v>
      </c>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row>
    <row r="360" ht="19.5" customHeight="1">
      <c r="A360" s="1"/>
      <c r="B360" s="1"/>
      <c r="C360" s="1"/>
      <c r="D360" s="1"/>
      <c r="E360" s="309" t="s">
        <v>2007</v>
      </c>
      <c r="F360" s="310"/>
      <c r="G360" s="41"/>
      <c r="H360" s="84" t="s">
        <v>1719</v>
      </c>
      <c r="I360" s="18" t="str">
        <f>IF(ISBLANK(input_wld_az1_uplink01_mtu),"Value Missing",input_wld_az1_uplink01_mtu)</f>
        <v>Value Missing</v>
      </c>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row>
    <row r="361" ht="19.5" customHeight="1">
      <c r="A361" s="1"/>
      <c r="B361" s="1"/>
      <c r="C361" s="1"/>
      <c r="D361" s="1"/>
      <c r="E361" s="15" t="s">
        <v>256</v>
      </c>
      <c r="F361" s="15" t="s">
        <v>1994</v>
      </c>
      <c r="G361" s="41"/>
      <c r="H361" s="84" t="s">
        <v>1720</v>
      </c>
      <c r="I361" s="18" t="str">
        <f>IF(ISBLANK(input_wld_az1_uplink02_mtu),"Value Missing",input_wld_az1_uplink02_mtu)</f>
        <v>Value Missing</v>
      </c>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row>
    <row r="362" ht="19.5" customHeight="1">
      <c r="A362" s="1"/>
      <c r="B362" s="1"/>
      <c r="C362" s="1"/>
      <c r="D362" s="1"/>
      <c r="E362" s="84" t="s">
        <v>1439</v>
      </c>
      <c r="F362" s="18" t="str">
        <f>mgmt_en_asn</f>
        <v>Value Missing</v>
      </c>
      <c r="G362" s="41"/>
      <c r="H362" s="84" t="s">
        <v>1722</v>
      </c>
      <c r="I362" s="18" t="str">
        <f>wld_az1_edge_overlay_mtu</f>
        <v>N/A</v>
      </c>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row>
    <row r="363" ht="19.5" customHeight="1">
      <c r="A363" s="1"/>
      <c r="B363" s="1"/>
      <c r="C363" s="1"/>
      <c r="D363" s="1"/>
      <c r="E363" s="84" t="s">
        <v>658</v>
      </c>
      <c r="F363" s="18" t="str">
        <f>IF(ISBLANK('Configure Management Domain'!D384),"Value Missing",'Configure Management Domain'!D384)</f>
        <v>Value Missing</v>
      </c>
      <c r="G363" s="41"/>
      <c r="H363" s="84" t="s">
        <v>1724</v>
      </c>
      <c r="I363" s="18" t="str">
        <f>wld_az1_rtep_overlay_mtu</f>
        <v/>
      </c>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row>
    <row r="364" ht="19.5" customHeight="1">
      <c r="A364" s="1"/>
      <c r="B364" s="1"/>
      <c r="C364" s="1"/>
      <c r="D364" s="1"/>
      <c r="E364" s="84" t="s">
        <v>659</v>
      </c>
      <c r="F364" s="18" t="str">
        <f>IF(ISBLANK('Configure Management Domain'!D385),"Value Missing",'Configure Management Domain'!D385)</f>
        <v>Value Missing</v>
      </c>
      <c r="G364" s="41"/>
      <c r="H364" s="84" t="s">
        <v>1726</v>
      </c>
      <c r="I364" s="18" t="str">
        <f>wld_az1_vrms_mtu</f>
        <v>Value Missing</v>
      </c>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row>
    <row r="365" ht="19.5" customHeight="1">
      <c r="A365" s="1"/>
      <c r="B365" s="1"/>
      <c r="C365" s="1"/>
      <c r="D365" s="1"/>
      <c r="E365" s="84" t="s">
        <v>660</v>
      </c>
      <c r="F365" s="18" t="str">
        <f>IF(ISBLANK(input_mgmt_az2_tor1_peer_bgp_password),"Value Missing",input_mgmt_az2_tor1_peer_bgp_password)</f>
        <v>Value Missing</v>
      </c>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row>
    <row r="366" ht="19.5" customHeight="1">
      <c r="A366" s="1"/>
      <c r="B366" s="1"/>
      <c r="C366" s="1"/>
      <c r="D366" s="1"/>
      <c r="E366" s="84" t="s">
        <v>661</v>
      </c>
      <c r="F366" s="18" t="str">
        <f>IF(ISBLANK('Configure Management Domain'!D389),"Value Missing",'Configure Management Domain'!D389)</f>
        <v>Value Missing</v>
      </c>
      <c r="G366" s="41"/>
      <c r="H366" s="309" t="s">
        <v>2008</v>
      </c>
      <c r="I366" s="310"/>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row>
    <row r="367" ht="19.5" customHeight="1">
      <c r="A367" s="1"/>
      <c r="B367" s="1"/>
      <c r="C367" s="1"/>
      <c r="D367" s="1"/>
      <c r="E367" s="84" t="s">
        <v>662</v>
      </c>
      <c r="F367" s="18" t="str">
        <f>IF(ISBLANK('Configure Management Domain'!D392),"Value Missing",'Configure Management Domain'!D392)</f>
        <v>Value Missing</v>
      </c>
      <c r="G367" s="41"/>
      <c r="H367" s="15" t="s">
        <v>256</v>
      </c>
      <c r="I367" s="15" t="s">
        <v>1994</v>
      </c>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row>
    <row r="368" ht="19.5" customHeight="1">
      <c r="A368" s="1"/>
      <c r="B368" s="1"/>
      <c r="C368" s="1"/>
      <c r="D368" s="1"/>
      <c r="E368" s="84" t="s">
        <v>663</v>
      </c>
      <c r="F368" s="18" t="str">
        <f>IF(ISBLANK('Configure Management Domain'!D393),"Value Missing",'Configure Management Domain'!D393)</f>
        <v>Value Missing</v>
      </c>
      <c r="G368" s="41"/>
      <c r="H368" s="84" t="s">
        <v>1439</v>
      </c>
      <c r="I368" s="18" t="str">
        <f>wld_en_asn</f>
        <v>Value Missing</v>
      </c>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row>
    <row r="369" ht="19.5" customHeight="1">
      <c r="A369" s="1"/>
      <c r="B369" s="1"/>
      <c r="C369" s="1"/>
      <c r="D369" s="1"/>
      <c r="E369" s="35"/>
      <c r="F369" s="35"/>
      <c r="G369" s="41"/>
      <c r="H369" s="84" t="s">
        <v>658</v>
      </c>
      <c r="I369" s="18" t="str">
        <f>IF(ISBLANK('Configure Workload Domain'!D345),"Value Missing",'Configure Workload Domain'!D345)</f>
        <v>Value Missing</v>
      </c>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row>
    <row r="370" ht="19.5" customHeight="1">
      <c r="A370" s="1"/>
      <c r="B370" s="1"/>
      <c r="C370" s="1"/>
      <c r="D370" s="1"/>
      <c r="E370" s="309" t="s">
        <v>2009</v>
      </c>
      <c r="F370" s="310"/>
      <c r="G370" s="41"/>
      <c r="H370" s="84" t="s">
        <v>659</v>
      </c>
      <c r="I370" s="18" t="str">
        <f>IF(ISBLANK('Configure Workload Domain'!D346),"Value Missing",'Configure Workload Domain'!D346)</f>
        <v>Value Missing</v>
      </c>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row>
    <row r="371" ht="19.5" customHeight="1">
      <c r="A371" s="1"/>
      <c r="B371" s="1"/>
      <c r="C371" s="1"/>
      <c r="D371" s="1"/>
      <c r="E371" s="15" t="s">
        <v>256</v>
      </c>
      <c r="F371" s="15" t="s">
        <v>1998</v>
      </c>
      <c r="G371" s="322"/>
      <c r="H371" s="84" t="s">
        <v>660</v>
      </c>
      <c r="I371" s="18" t="str">
        <f>IF(ISBLANK('Configure Workload Domain'!D349),"Value Missing",'Configure Workload Domain'!D349)</f>
        <v>Value Missing</v>
      </c>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row>
    <row r="372" ht="19.5" customHeight="1">
      <c r="A372" s="1"/>
      <c r="B372" s="1"/>
      <c r="C372" s="1"/>
      <c r="D372" s="1"/>
      <c r="E372" s="84" t="s">
        <v>1710</v>
      </c>
      <c r="F372" s="18"/>
      <c r="G372" s="41"/>
      <c r="H372" s="84" t="s">
        <v>661</v>
      </c>
      <c r="I372" s="18" t="str">
        <f>IF(ISBLANK('Configure Workload Domain'!D350),"Value Missing",'Configure Workload Domain'!D350)</f>
        <v>Value Missing</v>
      </c>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row>
    <row r="373" ht="19.5" customHeight="1">
      <c r="A373" s="1"/>
      <c r="B373" s="1"/>
      <c r="C373" s="1"/>
      <c r="D373" s="1"/>
      <c r="E373" s="84" t="s">
        <v>1712</v>
      </c>
      <c r="F373" s="18" t="str">
        <f>IF('Value Reference Tables - MR'!$F111="Value Missing","Value Missing",CONCATENATE("az2_",'Value Reference Tables - MR'!$F111))</f>
        <v>Value Missing</v>
      </c>
      <c r="G373" s="41"/>
      <c r="H373" s="84" t="s">
        <v>662</v>
      </c>
      <c r="I373" s="18" t="str">
        <f>IF(ISBLANK('Configure Workload Domain'!D351),"Value Missing",'Configure Workload Domain'!D351)</f>
        <v>Value Missing</v>
      </c>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row>
    <row r="374" ht="19.5" customHeight="1">
      <c r="A374" s="1"/>
      <c r="B374" s="1"/>
      <c r="C374" s="1"/>
      <c r="D374" s="1"/>
      <c r="E374" s="84" t="s">
        <v>407</v>
      </c>
      <c r="F374" s="18" t="str">
        <f>IF('Value Reference Tables - MR'!$F112="Value Missing","Value Missing",CONCATENATE("az2_",'Value Reference Tables - MR'!$F112))</f>
        <v>Value Missing</v>
      </c>
      <c r="G374" s="41"/>
      <c r="H374" s="84" t="s">
        <v>663</v>
      </c>
      <c r="I374" s="18" t="str">
        <f>IF(ISBLANK('Configure Workload Domain'!D354),"Value Missing",'Configure Workload Domain'!D354)</f>
        <v>Value Missing</v>
      </c>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row>
    <row r="375" ht="19.5" customHeight="1">
      <c r="A375" s="1"/>
      <c r="B375" s="1"/>
      <c r="C375" s="1"/>
      <c r="D375" s="1"/>
      <c r="E375" s="84" t="s">
        <v>410</v>
      </c>
      <c r="F375" s="18" t="str">
        <f>IF('Value Reference Tables - MR'!$F113="Value Missing","Value Missing",CONCATENATE("az2_",'Value Reference Tables - MR'!$F113))</f>
        <v>Value Missing</v>
      </c>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row>
    <row r="376" ht="19.5" customHeight="1">
      <c r="A376" s="1"/>
      <c r="B376" s="1"/>
      <c r="C376" s="1"/>
      <c r="D376" s="1"/>
      <c r="E376" s="84" t="s">
        <v>1716</v>
      </c>
      <c r="F376" s="18" t="str">
        <f>mgmt_az1_host_overlay_pg</f>
        <v>N/A</v>
      </c>
      <c r="G376" s="41"/>
      <c r="H376" s="309" t="s">
        <v>2010</v>
      </c>
      <c r="I376" s="310"/>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row>
    <row r="377" ht="19.5" customHeight="1">
      <c r="A377" s="1"/>
      <c r="B377" s="1"/>
      <c r="C377" s="1"/>
      <c r="D377" s="1"/>
      <c r="E377" s="84" t="s">
        <v>1726</v>
      </c>
      <c r="F377" s="18"/>
      <c r="G377" s="41"/>
      <c r="H377" s="15" t="s">
        <v>256</v>
      </c>
      <c r="I377" s="15" t="s">
        <v>1998</v>
      </c>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row>
    <row r="378" ht="19.5" customHeight="1">
      <c r="A378" s="1"/>
      <c r="B378" s="1"/>
      <c r="C378" s="1"/>
      <c r="D378" s="1"/>
      <c r="E378" s="84" t="s">
        <v>1719</v>
      </c>
      <c r="F378" s="18" t="str">
        <f>mgmt_cl01_az1_uplink01_pg</f>
        <v>Value Missing</v>
      </c>
      <c r="G378" s="322"/>
      <c r="H378" s="84" t="s">
        <v>1710</v>
      </c>
      <c r="I378" s="326"/>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row>
    <row r="379" ht="19.5" customHeight="1">
      <c r="A379" s="1"/>
      <c r="B379" s="1"/>
      <c r="C379" s="1"/>
      <c r="D379" s="1"/>
      <c r="E379" s="84" t="s">
        <v>1720</v>
      </c>
      <c r="F379" s="18" t="str">
        <f>mgmt_cl01_az1_uplink02_pg</f>
        <v>Value Missing</v>
      </c>
      <c r="G379" s="322"/>
      <c r="H379" s="84" t="s">
        <v>1712</v>
      </c>
      <c r="I379" s="18" t="str">
        <f>IF('Value Reference Tables - MR'!$I111="Value Missing","Value Missing",CONCATENATE("az2_",'Value Reference Tables - MR'!$I111))</f>
        <v>Value Missing</v>
      </c>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row>
    <row r="380" ht="19.5" customHeight="1">
      <c r="A380" s="1"/>
      <c r="B380" s="1"/>
      <c r="C380" s="1"/>
      <c r="D380" s="1"/>
      <c r="E380" s="173" t="s">
        <v>1722</v>
      </c>
      <c r="F380" s="18" t="str">
        <f>mgmt_az1_edge_overlay_pg</f>
        <v>N/A</v>
      </c>
      <c r="G380" s="41"/>
      <c r="H380" s="84" t="s">
        <v>407</v>
      </c>
      <c r="I380" s="18" t="str">
        <f>IF('Value Reference Tables - MR'!$I112="Value Missing","Value Missing",CONCATENATE("az2_",'Value Reference Tables - MR'!$I112))</f>
        <v>Value Missing</v>
      </c>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row>
    <row r="381" ht="19.5" customHeight="1">
      <c r="A381" s="1"/>
      <c r="B381" s="1"/>
      <c r="C381" s="1"/>
      <c r="D381" s="1"/>
      <c r="E381" s="84" t="s">
        <v>1807</v>
      </c>
      <c r="F381" s="18" t="str">
        <f>mgmt_az1_rtep_overlay_pg</f>
        <v>N/A</v>
      </c>
      <c r="G381" s="41"/>
      <c r="H381" s="84" t="s">
        <v>410</v>
      </c>
      <c r="I381" s="18" t="str">
        <f>IF('Value Reference Tables - MR'!$I113="Value Missing","Value Missing",CONCATENATE("az2_",'Value Reference Tables - MR'!$I113))</f>
        <v>Value Missing</v>
      </c>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row>
    <row r="382" ht="19.5" customHeight="1">
      <c r="A382" s="1"/>
      <c r="B382" s="1"/>
      <c r="C382" s="1"/>
      <c r="D382" s="1"/>
      <c r="E382" s="1"/>
      <c r="F382" s="1"/>
      <c r="G382" s="41"/>
      <c r="H382" s="84" t="s">
        <v>1716</v>
      </c>
      <c r="I382" s="18" t="str">
        <f>mgmt_az2_host_overlay_pg</f>
        <v>N/A</v>
      </c>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row>
    <row r="383" ht="19.5" customHeight="1">
      <c r="A383" s="1"/>
      <c r="B383" s="1"/>
      <c r="C383" s="1"/>
      <c r="D383" s="1"/>
      <c r="E383" s="320" t="s">
        <v>2011</v>
      </c>
      <c r="F383" s="310"/>
      <c r="G383" s="41"/>
      <c r="H383" s="84" t="s">
        <v>1726</v>
      </c>
      <c r="I383" s="18"/>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row>
    <row r="384" ht="19.5" customHeight="1">
      <c r="A384" s="1"/>
      <c r="B384" s="1"/>
      <c r="C384" s="1"/>
      <c r="D384" s="1"/>
      <c r="E384" s="15" t="s">
        <v>256</v>
      </c>
      <c r="F384" s="15" t="s">
        <v>1998</v>
      </c>
      <c r="G384" s="41"/>
      <c r="H384" s="84" t="s">
        <v>1719</v>
      </c>
      <c r="I384" s="18" t="str">
        <f>wld_cl01_az1_uplink01_pg</f>
        <v>Value Missing</v>
      </c>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row>
    <row r="385" ht="19.5" customHeight="1">
      <c r="A385" s="1"/>
      <c r="B385" s="41"/>
      <c r="C385" s="41"/>
      <c r="D385" s="1"/>
      <c r="E385" s="85" t="s">
        <v>1842</v>
      </c>
      <c r="F385" s="18" t="str">
        <f>IF(ISBLANK('Configure Management Domain'!D257),"Value Missing",'Configure Management Domain'!D257)</f>
        <v>Value Missing</v>
      </c>
      <c r="G385" s="41"/>
      <c r="H385" s="84" t="s">
        <v>1720</v>
      </c>
      <c r="I385" s="18" t="str">
        <f>wld_cl01_az1_uplink02_pg</f>
        <v>Value Missing</v>
      </c>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row>
    <row r="386" ht="19.5" customHeight="1">
      <c r="A386" s="1"/>
      <c r="B386" s="41"/>
      <c r="C386" s="41"/>
      <c r="D386" s="1"/>
      <c r="E386" s="85" t="s">
        <v>1843</v>
      </c>
      <c r="F386" s="18" t="str">
        <f>IF(ISBLANK('Configure Management Domain'!D258),"Value Missing",'Configure Management Domain'!D258)</f>
        <v>Value Missing</v>
      </c>
      <c r="G386" s="41"/>
      <c r="H386" s="173" t="s">
        <v>1722</v>
      </c>
      <c r="I386" s="18" t="str">
        <f>wld_az1_edge_overlay_pg</f>
        <v>N/A</v>
      </c>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row>
    <row r="387" ht="19.5" customHeight="1">
      <c r="A387" s="1"/>
      <c r="B387" s="41"/>
      <c r="C387" s="41"/>
      <c r="D387" s="1"/>
      <c r="E387" s="85" t="s">
        <v>1844</v>
      </c>
      <c r="F387" s="18" t="str">
        <f>IF(ISBLANK('Configure Management Domain'!D265),"Value Missing",'Configure Management Domain'!D265)</f>
        <v>Value Missing</v>
      </c>
      <c r="G387" s="41"/>
      <c r="H387" s="84" t="s">
        <v>1807</v>
      </c>
      <c r="I387" s="18" t="str">
        <f>mgmt_az1_rtep_overlay_pg</f>
        <v>N/A</v>
      </c>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row>
    <row r="388" ht="19.5" customHeight="1">
      <c r="A388" s="1"/>
      <c r="B388" s="41"/>
      <c r="C388" s="41"/>
      <c r="D388" s="1"/>
      <c r="E388" s="85" t="s">
        <v>1845</v>
      </c>
      <c r="F388" s="18" t="str">
        <f>IF(ISBLANK('Configure Management Domain'!D266),"Value Missing",'Configure Management Domain'!D266)</f>
        <v>Value Missing</v>
      </c>
      <c r="G388" s="322"/>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row>
    <row r="389" ht="19.5" customHeight="1">
      <c r="A389" s="1"/>
      <c r="B389" s="41"/>
      <c r="C389" s="41"/>
      <c r="D389" s="1"/>
      <c r="E389" s="85" t="s">
        <v>1846</v>
      </c>
      <c r="F389" s="18" t="str">
        <f>IF(ISBLANK('Configure Management Domain'!D369),"Value Missing",'Configure Management Domain'!D369)</f>
        <v>Value Missing</v>
      </c>
      <c r="G389" s="41"/>
      <c r="H389" s="320" t="s">
        <v>2012</v>
      </c>
      <c r="I389" s="310"/>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row>
    <row r="390" ht="19.5" customHeight="1">
      <c r="A390" s="1"/>
      <c r="B390" s="41"/>
      <c r="C390" s="41"/>
      <c r="D390" s="1"/>
      <c r="E390" s="85" t="s">
        <v>1847</v>
      </c>
      <c r="F390" s="18" t="str">
        <f>IF(ISBLANK('Configure Management Domain'!D370),"Value Missing",'Configure Management Domain'!D370)</f>
        <v>Value Missing</v>
      </c>
      <c r="G390" s="41"/>
      <c r="H390" s="15" t="s">
        <v>256</v>
      </c>
      <c r="I390" s="15" t="s">
        <v>1998</v>
      </c>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row>
    <row r="391" ht="19.5" customHeight="1">
      <c r="A391" s="1"/>
      <c r="B391" s="41"/>
      <c r="C391" s="41"/>
      <c r="D391" s="1"/>
      <c r="E391" s="173" t="s">
        <v>1848</v>
      </c>
      <c r="F391" s="18" t="str">
        <f>IF(ISBLANK(input_mgmt_az2_secondary_storage_pool_start_ip),"Value Missing",input_mgmt_az2_secondary_storage_pool_start_ip)</f>
        <v>Value Missing</v>
      </c>
      <c r="G391" s="41"/>
      <c r="H391" s="85" t="s">
        <v>1842</v>
      </c>
      <c r="I391" s="18" t="str">
        <f>IF(ISBLANK(input_wld_az2_vmotion_pool_start_ip),"Value Missing",input_wld_az2_vmotion_pool_start_ip)</f>
        <v>Value Missing</v>
      </c>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row>
    <row r="392" ht="19.5" customHeight="1">
      <c r="A392" s="1"/>
      <c r="B392" s="41"/>
      <c r="C392" s="41"/>
      <c r="D392" s="1"/>
      <c r="E392" s="187" t="s">
        <v>1849</v>
      </c>
      <c r="F392" s="18" t="str">
        <f>IF(ISBLANK(input_mgmt_az2_secondary_storage_pool_end_ip),"Value Missing",input_mgmt_az2_secondary_storage_pool_end_ip)</f>
        <v>Value Missing</v>
      </c>
      <c r="G392" s="41"/>
      <c r="H392" s="85" t="s">
        <v>1843</v>
      </c>
      <c r="I392" s="18" t="str">
        <f>IF(ISBLANK(input_wld_az2_vmotion_pool_end_ip),"Value Missing",input_wld_az2_vmotion_pool_end_ip)</f>
        <v>Value Missing</v>
      </c>
      <c r="J392" s="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row>
    <row r="393" ht="19.5" customHeight="1">
      <c r="A393" s="1"/>
      <c r="B393" s="41"/>
      <c r="C393" s="41"/>
      <c r="D393" s="1"/>
      <c r="E393" s="85" t="s">
        <v>1852</v>
      </c>
      <c r="F393" s="18"/>
      <c r="G393" s="41"/>
      <c r="H393" s="85" t="s">
        <v>1844</v>
      </c>
      <c r="I393" s="18" t="str">
        <f>IF(ISBLANK(input_wld_az2_principal_storage_pool_start_ip),"Value Missing",input_wld_az2_principal_storage_pool_start_ip)</f>
        <v>Value Missing</v>
      </c>
      <c r="J393" s="8"/>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row>
    <row r="394" ht="19.5" customHeight="1">
      <c r="A394" s="1"/>
      <c r="B394" s="41"/>
      <c r="C394" s="41"/>
      <c r="D394" s="1"/>
      <c r="E394" s="85" t="s">
        <v>1853</v>
      </c>
      <c r="F394" s="18"/>
      <c r="G394" s="41"/>
      <c r="H394" s="85" t="s">
        <v>1845</v>
      </c>
      <c r="I394" s="18" t="str">
        <f>IF(ISBLANK(input_wld_az2_principal_storage_pool_end_ip),"Value Missing",input_wld_az2_principal_storage_pool_end_ip)</f>
        <v>Value Missing</v>
      </c>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row>
    <row r="395" ht="19.5" customHeight="1">
      <c r="A395" s="1"/>
      <c r="B395" s="41"/>
      <c r="C395" s="41"/>
      <c r="D395" s="1"/>
      <c r="E395" s="1"/>
      <c r="F395" s="1"/>
      <c r="G395" s="41"/>
      <c r="H395" s="85" t="s">
        <v>1846</v>
      </c>
      <c r="I395" s="18" t="str">
        <f>IF(ISBLANK('Configure Workload Domain'!D327),"Value Missing",'Configure Workload Domain'!D327)</f>
        <v>Value Missing</v>
      </c>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row>
    <row r="396" ht="19.5" customHeight="1">
      <c r="A396" s="1"/>
      <c r="B396" s="41"/>
      <c r="C396" s="41"/>
      <c r="D396" s="1"/>
      <c r="E396" s="320" t="s">
        <v>2013</v>
      </c>
      <c r="F396" s="310"/>
      <c r="G396" s="41"/>
      <c r="H396" s="85" t="s">
        <v>1847</v>
      </c>
      <c r="I396" s="18" t="str">
        <f>IF(ISBLANK('Configure Workload Domain'!D328),"Value Missing",'Configure Workload Domain'!D328)</f>
        <v>Value Missing</v>
      </c>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row>
    <row r="397" ht="19.5" customHeight="1">
      <c r="A397" s="1"/>
      <c r="B397" s="41"/>
      <c r="C397" s="41"/>
      <c r="D397" s="1"/>
      <c r="E397" s="15" t="s">
        <v>256</v>
      </c>
      <c r="F397" s="15" t="s">
        <v>1998</v>
      </c>
      <c r="G397" s="41"/>
      <c r="H397" s="173" t="s">
        <v>1848</v>
      </c>
      <c r="I397" s="18" t="str">
        <f>IF(ISBLANK(input_wld_az2_secondary_storage_pool_start_ip),"Value Missing",input_wld_az2_secondary_storage_pool_start_ip)</f>
        <v>Value Missing</v>
      </c>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row>
    <row r="398" ht="19.5" customHeight="1">
      <c r="A398" s="1"/>
      <c r="B398" s="41"/>
      <c r="C398" s="41"/>
      <c r="D398" s="1"/>
      <c r="E398" s="85" t="s">
        <v>1863</v>
      </c>
      <c r="F398" s="18" t="str">
        <f>IF(ISBLANK(input_mgmt_az2_pool_name),"Value Missing",input_mgmt_az2_pool_name)</f>
        <v>Value Missing</v>
      </c>
      <c r="G398" s="41"/>
      <c r="H398" s="187" t="s">
        <v>1849</v>
      </c>
      <c r="I398" s="18" t="str">
        <f>IF(ISBLANK(input_wld_az2_secondary_storage_pool_end_ip),"Value Missing",input_wld_az2_secondary_storage_pool_end_ip)</f>
        <v>Value Missing</v>
      </c>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row>
    <row r="399" ht="19.5" customHeight="1">
      <c r="A399" s="1"/>
      <c r="B399" s="41"/>
      <c r="C399" s="41"/>
      <c r="D399" s="1"/>
      <c r="E399" s="85" t="s">
        <v>1864</v>
      </c>
      <c r="F399" s="18" t="str">
        <f>IF(ISBLANK(input_mgmt_az2_host_overlay_network_profile_name),"Value Missing",input_mgmt_az2_host_overlay_network_profile_name)</f>
        <v>Value Missing</v>
      </c>
      <c r="G399" s="41"/>
      <c r="H399" s="84" t="s">
        <v>1244</v>
      </c>
      <c r="I399" s="18" t="str">
        <f>IF(ISBLANK(input_wld_az2_storage_cluster_pool_start_ip),"Value Missing",input_wld_az2_storage_cluster_pool_start_ip)</f>
        <v>Value Missing</v>
      </c>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row>
    <row r="400" ht="19.5" customHeight="1">
      <c r="A400" s="41"/>
      <c r="B400" s="41"/>
      <c r="C400" s="41"/>
      <c r="D400" s="41"/>
      <c r="E400" s="85" t="s">
        <v>1867</v>
      </c>
      <c r="F400" s="18" t="str">
        <f>IF(ISBLANK(input_mgmt_az2_host_overlay_network_pool_name),"Value Missing",input_mgmt_az2_host_overlay_network_pool_name)</f>
        <v>Value Missing</v>
      </c>
      <c r="G400" s="41"/>
      <c r="H400" s="84" t="s">
        <v>1244</v>
      </c>
      <c r="I400" s="18" t="str">
        <f>IF(ISBLANK(input_wld_az2_storage_cluster_pool_end_ip),"Value Missing",input_wld_az2_storage_cluster_pool_end_ip)</f>
        <v>Value Missing</v>
      </c>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row>
    <row r="401" ht="19.5" customHeight="1">
      <c r="A401" s="41"/>
      <c r="B401" s="41"/>
      <c r="C401" s="41"/>
      <c r="D401" s="41"/>
      <c r="E401" s="85" t="s">
        <v>1870</v>
      </c>
      <c r="F401" s="18" t="str">
        <f>IF(ISBLANK(input_mgmt_az2_host_overlay_uplink_profile_name),"Value Missing",input_mgmt_az2_host_overlay_uplink_profile_name)</f>
        <v>Value Missing</v>
      </c>
      <c r="G401" s="41"/>
      <c r="H401" s="85" t="s">
        <v>1852</v>
      </c>
      <c r="I401" s="19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row>
    <row r="402" ht="19.5" customHeight="1">
      <c r="A402" s="41"/>
      <c r="B402" s="41"/>
      <c r="C402" s="41"/>
      <c r="D402" s="41"/>
      <c r="E402" s="35"/>
      <c r="F402" s="35"/>
      <c r="G402" s="41"/>
      <c r="H402" s="85" t="s">
        <v>1853</v>
      </c>
      <c r="I402" s="19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row>
    <row r="403" ht="19.5" customHeight="1">
      <c r="A403" s="41"/>
      <c r="B403" s="41"/>
      <c r="C403" s="41"/>
      <c r="D403" s="41"/>
      <c r="E403" s="311" t="s">
        <v>2014</v>
      </c>
      <c r="F403" s="38"/>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row>
    <row r="404" ht="19.5" customHeight="1">
      <c r="A404" s="41"/>
      <c r="B404" s="41"/>
      <c r="C404" s="41"/>
      <c r="D404" s="41"/>
      <c r="E404" s="15" t="s">
        <v>256</v>
      </c>
      <c r="F404" s="15" t="s">
        <v>1998</v>
      </c>
      <c r="G404" s="41"/>
      <c r="H404" s="320" t="s">
        <v>2015</v>
      </c>
      <c r="I404" s="310"/>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row>
    <row r="405" ht="19.5" customHeight="1">
      <c r="A405" s="41"/>
      <c r="B405" s="41"/>
      <c r="C405" s="41"/>
      <c r="D405" s="41"/>
      <c r="E405" s="84" t="s">
        <v>1880</v>
      </c>
      <c r="F405" s="317"/>
      <c r="G405" s="41"/>
      <c r="H405" s="15" t="s">
        <v>256</v>
      </c>
      <c r="I405" s="15" t="s">
        <v>1998</v>
      </c>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row>
    <row r="406" ht="19.5" customHeight="1">
      <c r="A406" s="41"/>
      <c r="B406" s="41"/>
      <c r="C406" s="41"/>
      <c r="D406" s="41"/>
      <c r="E406" s="84" t="s">
        <v>1889</v>
      </c>
      <c r="F406" s="18"/>
      <c r="G406" s="41"/>
      <c r="H406" s="85" t="s">
        <v>1863</v>
      </c>
      <c r="I406" s="18" t="str">
        <f>IF(ISBLANK(input_wld_az2_pool_name),"Value Missing",input_wld_az2_pool_name)</f>
        <v>Value Missing</v>
      </c>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row>
    <row r="407" ht="19.5" customHeight="1">
      <c r="A407" s="41"/>
      <c r="B407" s="41"/>
      <c r="C407" s="41"/>
      <c r="D407" s="41"/>
      <c r="E407" s="84" t="s">
        <v>2016</v>
      </c>
      <c r="F407" s="18"/>
      <c r="G407" s="41"/>
      <c r="H407" s="85" t="s">
        <v>1864</v>
      </c>
      <c r="I407" s="18" t="str">
        <f>IF(ISBLANK(input_wld_az2_host_overlay_network_profile_name),"Value Missing",input_wld_az2_host_overlay_network_profile_name)</f>
        <v>Value Missing</v>
      </c>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row>
    <row r="408" ht="19.5" customHeight="1">
      <c r="A408" s="41"/>
      <c r="B408" s="41"/>
      <c r="C408" s="41"/>
      <c r="D408" s="41"/>
      <c r="E408" s="84" t="s">
        <v>2017</v>
      </c>
      <c r="F408" s="18"/>
      <c r="G408" s="41"/>
      <c r="H408" s="85" t="s">
        <v>1867</v>
      </c>
      <c r="I408" s="18" t="str">
        <f>IF(ISBLANK(input_wld_az2_host_overlay_network_pool_name),"Value Missing",input_wld_az2_host_overlay_network_pool_name)</f>
        <v>Value Missing</v>
      </c>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row>
    <row r="409" ht="19.5" customHeight="1">
      <c r="A409" s="41"/>
      <c r="B409" s="41"/>
      <c r="C409" s="41"/>
      <c r="D409" s="41"/>
      <c r="E409" s="84" t="s">
        <v>2018</v>
      </c>
      <c r="F409" s="18"/>
      <c r="G409" s="41"/>
      <c r="H409" s="85" t="s">
        <v>1870</v>
      </c>
      <c r="I409" s="18" t="str">
        <f>IF(ISBLANK(input_wld_az2_host_overlay_uplink_profile_name),"Value Missing",input_wld_az2_host_overlay_uplink_profile_name)</f>
        <v>Value Missing</v>
      </c>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row>
    <row r="410" ht="19.5" customHeight="1">
      <c r="A410" s="41"/>
      <c r="B410" s="41"/>
      <c r="C410" s="41"/>
      <c r="D410" s="41"/>
      <c r="E410" s="84" t="s">
        <v>2019</v>
      </c>
      <c r="F410" s="18"/>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row>
    <row r="411" ht="19.5" customHeight="1">
      <c r="A411" s="41"/>
      <c r="B411" s="41"/>
      <c r="C411" s="41"/>
      <c r="D411" s="41"/>
      <c r="E411" s="84" t="s">
        <v>2020</v>
      </c>
      <c r="F411" s="18"/>
      <c r="G411" s="41"/>
      <c r="H411" s="311" t="s">
        <v>2021</v>
      </c>
      <c r="I411" s="38"/>
      <c r="J411" s="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row>
    <row r="412" ht="19.5" customHeight="1">
      <c r="A412" s="41"/>
      <c r="B412" s="41"/>
      <c r="C412" s="41"/>
      <c r="D412" s="41"/>
      <c r="E412" s="80"/>
      <c r="F412" s="80"/>
      <c r="G412" s="41"/>
      <c r="H412" s="15" t="s">
        <v>256</v>
      </c>
      <c r="I412" s="15" t="s">
        <v>1998</v>
      </c>
      <c r="J412" s="8"/>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row>
    <row r="413" ht="19.5" customHeight="1">
      <c r="A413" s="41"/>
      <c r="B413" s="41"/>
      <c r="C413" s="41"/>
      <c r="D413" s="41"/>
      <c r="E413" s="320" t="s">
        <v>2022</v>
      </c>
      <c r="F413" s="310"/>
      <c r="G413" s="1"/>
      <c r="H413" s="84" t="s">
        <v>1880</v>
      </c>
      <c r="I413" s="317"/>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row>
    <row r="414" ht="19.5" customHeight="1">
      <c r="A414" s="41"/>
      <c r="B414" s="41"/>
      <c r="C414" s="41"/>
      <c r="D414" s="41"/>
      <c r="E414" s="15" t="s">
        <v>256</v>
      </c>
      <c r="F414" s="15" t="s">
        <v>1998</v>
      </c>
      <c r="G414" s="1"/>
      <c r="H414" s="84" t="s">
        <v>1889</v>
      </c>
      <c r="I414" s="18"/>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row>
    <row r="415" ht="19.5" customHeight="1">
      <c r="A415" s="41"/>
      <c r="B415" s="41"/>
      <c r="C415" s="41"/>
      <c r="D415" s="41"/>
      <c r="E415" s="84" t="s">
        <v>1906</v>
      </c>
      <c r="F415" s="18" t="str">
        <f>IF(ISBLANK(input_mgmt_az2_host1_mgmt_ip),"Value Missing",input_mgmt_az2_host1_mgmt_ip)</f>
        <v>Value Missing</v>
      </c>
      <c r="G415" s="1"/>
      <c r="H415" s="84" t="s">
        <v>2016</v>
      </c>
      <c r="I415" s="18"/>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row>
    <row r="416" ht="19.5" customHeight="1">
      <c r="A416" s="41"/>
      <c r="B416" s="41"/>
      <c r="C416" s="41"/>
      <c r="D416" s="41"/>
      <c r="E416" s="84" t="s">
        <v>1907</v>
      </c>
      <c r="F416" s="18" t="str">
        <f>IF(ISBLANK(input_mgmt_az2_host2_mgmt_ip),"Value Missing",input_mgmt_az2_host2_mgmt_ip)</f>
        <v>Value Missing</v>
      </c>
      <c r="G416" s="1"/>
      <c r="H416" s="84" t="s">
        <v>2017</v>
      </c>
      <c r="I416" s="18"/>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row>
    <row r="417" ht="19.5" customHeight="1">
      <c r="A417" s="41"/>
      <c r="B417" s="41"/>
      <c r="C417" s="41"/>
      <c r="D417" s="41"/>
      <c r="E417" s="84" t="s">
        <v>1908</v>
      </c>
      <c r="F417" s="18" t="str">
        <f>IF(ISBLANK(input_mgmt_az2_host3_mgmt_ip),"Value Missing",input_mgmt_az2_host3_mgmt_ip)</f>
        <v>Value Missing</v>
      </c>
      <c r="G417" s="1"/>
      <c r="H417" s="84" t="s">
        <v>2018</v>
      </c>
      <c r="I417" s="18"/>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row>
    <row r="418" ht="19.5" customHeight="1">
      <c r="A418" s="41"/>
      <c r="B418" s="41"/>
      <c r="C418" s="41"/>
      <c r="D418" s="41"/>
      <c r="E418" s="84" t="s">
        <v>1909</v>
      </c>
      <c r="F418" s="18" t="str">
        <f>IF(ISBLANK(input_mgmt_az2_host4_mgmt_ip),"Value Missing",input_mgmt_az2_host4_mgmt_ip)</f>
        <v>Value Missing</v>
      </c>
      <c r="G418" s="1"/>
      <c r="H418" s="84" t="s">
        <v>2019</v>
      </c>
      <c r="I418" s="18"/>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row>
    <row r="419" ht="19.5" customHeight="1">
      <c r="A419" s="41"/>
      <c r="B419" s="41"/>
      <c r="C419" s="41"/>
      <c r="D419" s="41"/>
      <c r="E419" s="84" t="s">
        <v>1910</v>
      </c>
      <c r="F419" s="18" t="str">
        <f>IF(ISBLANK(input_mgmt_az2_host5_mgmt_ip),"Value Missing",input_mgmt_az2_host5_mgmt_ip)</f>
        <v>Value Missing</v>
      </c>
      <c r="G419" s="1"/>
      <c r="H419" s="84" t="s">
        <v>2020</v>
      </c>
      <c r="I419" s="18"/>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row>
    <row r="420" ht="19.5" customHeight="1">
      <c r="A420" s="41"/>
      <c r="B420" s="41"/>
      <c r="C420" s="41"/>
      <c r="D420" s="41"/>
      <c r="E420" s="84" t="s">
        <v>1911</v>
      </c>
      <c r="F420" s="18" t="str">
        <f>IF(ISBLANK(input_mgmt_az2_host6_mgmt_ip),"Value Missing",input_mgmt_az2_host6_mgmt_ip)</f>
        <v>Value Missing</v>
      </c>
      <c r="G420" s="1"/>
      <c r="H420" s="80"/>
      <c r="I420" s="80"/>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row>
    <row r="421" ht="19.5" customHeight="1">
      <c r="A421" s="41"/>
      <c r="B421" s="41"/>
      <c r="C421" s="41"/>
      <c r="D421" s="41"/>
      <c r="E421" s="84" t="s">
        <v>1912</v>
      </c>
      <c r="F421" s="18" t="str">
        <f>IF(ISBLANK(input_mgmt_az2_host7_mgmt_ip),"Value Missing",input_mgmt_az2_host7_mgmt_ip)</f>
        <v>Value Missing</v>
      </c>
      <c r="G421" s="1"/>
      <c r="H421" s="320" t="s">
        <v>2023</v>
      </c>
      <c r="I421" s="310"/>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row>
    <row r="422" ht="19.5" customHeight="1">
      <c r="A422" s="41"/>
      <c r="B422" s="41"/>
      <c r="C422" s="41"/>
      <c r="D422" s="41"/>
      <c r="E422" s="84" t="s">
        <v>1913</v>
      </c>
      <c r="F422" s="18" t="str">
        <f>IF(ISBLANK(input_mgmt_az2_host8_mgmt_ip),"Value Missing",input_mgmt_az2_host8_mgmt_ip)</f>
        <v>Value Missing</v>
      </c>
      <c r="G422" s="1"/>
      <c r="H422" s="15" t="s">
        <v>256</v>
      </c>
      <c r="I422" s="15" t="s">
        <v>1998</v>
      </c>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row>
    <row r="423" ht="19.5" customHeight="1">
      <c r="A423" s="41"/>
      <c r="B423" s="41"/>
      <c r="C423" s="41"/>
      <c r="D423" s="41"/>
      <c r="E423" s="84" t="s">
        <v>1914</v>
      </c>
      <c r="F423" s="18" t="str">
        <f>IF(ISBLANK(input_mgmt_az2_host9_mgmt_ip),"Value Missing",input_mgmt_az2_host9_mgmt_ip)</f>
        <v>Value Missing</v>
      </c>
      <c r="G423" s="8"/>
      <c r="H423" s="84" t="s">
        <v>1906</v>
      </c>
      <c r="I423" s="18" t="str">
        <f>IF(ISBLANK('Configure Workload Domain'!D174),"Value Missing",'Configure Workload Domain'!D174)</f>
        <v>Value Missing</v>
      </c>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row>
    <row r="424" ht="19.5" customHeight="1">
      <c r="A424" s="41"/>
      <c r="B424" s="41"/>
      <c r="C424" s="41"/>
      <c r="D424" s="41"/>
      <c r="E424" s="84" t="s">
        <v>1915</v>
      </c>
      <c r="F424" s="18" t="str">
        <f>IF(ISBLANK(input_mgmt_az2_host10_mgmt_ip),"Value Missing",input_mgmt_az2_host10_mgmt_ip)</f>
        <v>Value Missing</v>
      </c>
      <c r="G424" s="1"/>
      <c r="H424" s="84" t="s">
        <v>1907</v>
      </c>
      <c r="I424" s="18" t="str">
        <f>IF(ISBLANK('Configure Workload Domain'!D175),"Value Missing",'Configure Workload Domain'!D175)</f>
        <v>Value Missing</v>
      </c>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row>
    <row r="425" ht="19.5" customHeight="1">
      <c r="A425" s="41"/>
      <c r="B425" s="41"/>
      <c r="C425" s="41"/>
      <c r="D425" s="41"/>
      <c r="E425" s="84" t="s">
        <v>1916</v>
      </c>
      <c r="F425" s="18" t="str">
        <f>IF(ISBLANK(input_mgmt_az2_host11_mgmt_ip),"Value Missing",input_mgmt_az2_host11_mgmt_ip)</f>
        <v>Value Missing</v>
      </c>
      <c r="G425" s="1"/>
      <c r="H425" s="84" t="s">
        <v>1908</v>
      </c>
      <c r="I425" s="18" t="str">
        <f>IF(ISBLANK('Configure Workload Domain'!D176),"Value Missing",'Configure Workload Domain'!D176)</f>
        <v>Value Missing</v>
      </c>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row>
    <row r="426" ht="19.5" customHeight="1">
      <c r="A426" s="41"/>
      <c r="B426" s="41"/>
      <c r="C426" s="41"/>
      <c r="D426" s="41"/>
      <c r="E426" s="84" t="s">
        <v>1917</v>
      </c>
      <c r="F426" s="18" t="str">
        <f>IF(ISBLANK(input_mgmt_az2_host12_mgmt_ip),"Value Missing",input_mgmt_az2_host12_mgmt_ip)</f>
        <v>Value Missing</v>
      </c>
      <c r="G426" s="1"/>
      <c r="H426" s="84" t="s">
        <v>1909</v>
      </c>
      <c r="I426" s="18" t="str">
        <f>IF(ISBLANK('Configure Workload Domain'!D177),"Value Missing",'Configure Workload Domain'!D177)</f>
        <v>Value Missing</v>
      </c>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row>
    <row r="427" ht="19.5" customHeight="1">
      <c r="A427" s="41"/>
      <c r="B427" s="41"/>
      <c r="C427" s="41"/>
      <c r="D427" s="41"/>
      <c r="E427" s="84" t="s">
        <v>1918</v>
      </c>
      <c r="F427" s="18" t="str">
        <f>IF(ISBLANK(input_mgmt_az2_host13_mgmt_ip),"Value Missing",input_mgmt_az2_host13_mgmt_ip)</f>
        <v>Value Missing</v>
      </c>
      <c r="G427" s="1"/>
      <c r="H427" s="84" t="s">
        <v>1910</v>
      </c>
      <c r="I427" s="18" t="str">
        <f>IF(ISBLANK('Configure Workload Domain'!D178),"Value Missing",'Configure Workload Domain'!D178)</f>
        <v>Value Missing</v>
      </c>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row>
    <row r="428" ht="19.5" customHeight="1">
      <c r="A428" s="41"/>
      <c r="B428" s="41"/>
      <c r="C428" s="41"/>
      <c r="D428" s="41"/>
      <c r="E428" s="84" t="s">
        <v>1919</v>
      </c>
      <c r="F428" s="18" t="str">
        <f>IF(ISBLANK(input_mgmt_az2_host14_mgmt_ip),"Value Missing",input_mgmt_az2_host14_mgmt_ip)</f>
        <v>Value Missing</v>
      </c>
      <c r="G428" s="1"/>
      <c r="H428" s="84" t="s">
        <v>1911</v>
      </c>
      <c r="I428" s="18" t="str">
        <f>IF(ISBLANK('Configure Workload Domain'!D179),"Value Missing",'Configure Workload Domain'!D179)</f>
        <v>Value Missing</v>
      </c>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row>
    <row r="429" ht="19.5" customHeight="1">
      <c r="A429" s="41"/>
      <c r="B429" s="41"/>
      <c r="C429" s="41"/>
      <c r="D429" s="41"/>
      <c r="E429" s="84" t="s">
        <v>1920</v>
      </c>
      <c r="F429" s="18" t="str">
        <f>IF(ISBLANK(input_mgmt_az2_host15_mgmt_ip),"Value Missing",input_mgmt_az2_host15_mgmt_ip)</f>
        <v>Value Missing</v>
      </c>
      <c r="G429" s="1"/>
      <c r="H429" s="84" t="s">
        <v>1912</v>
      </c>
      <c r="I429" s="18" t="str">
        <f>IF(ISBLANK('Configure Workload Domain'!D180),"Value Missing",'Configure Workload Domain'!D180)</f>
        <v>Value Missing</v>
      </c>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row>
    <row r="430" ht="19.5" customHeight="1">
      <c r="A430" s="41"/>
      <c r="B430" s="41"/>
      <c r="C430" s="41"/>
      <c r="D430" s="41"/>
      <c r="E430" s="84" t="s">
        <v>1921</v>
      </c>
      <c r="F430" s="18" t="str">
        <f>IF(ISBLANK(input_mgmt_az2_host16_mgmt_ip),"Value Missing",input_mgmt_az2_host16_mgmt_ip)</f>
        <v>Value Missing</v>
      </c>
      <c r="G430" s="1"/>
      <c r="H430" s="84" t="s">
        <v>1913</v>
      </c>
      <c r="I430" s="18" t="str">
        <f>IF(ISBLANK('Configure Workload Domain'!D181),"Value Missing",'Configure Workload Domain'!D181)</f>
        <v>Value Missing</v>
      </c>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row>
    <row r="431" ht="19.5" customHeight="1">
      <c r="A431" s="41"/>
      <c r="B431" s="41"/>
      <c r="C431" s="41"/>
      <c r="D431" s="41"/>
      <c r="E431" s="84" t="s">
        <v>1922</v>
      </c>
      <c r="F431" s="18" t="str">
        <f>IF(ISBLANK('Site Protection &amp; DR'!D193),"Value Missing",'Site Protection &amp; DR'!D193)</f>
        <v>Value Missing</v>
      </c>
      <c r="G431" s="1"/>
      <c r="H431" s="84" t="s">
        <v>1914</v>
      </c>
      <c r="I431" s="18" t="str">
        <f>IF(ISBLANK('Configure Workload Domain'!D182),"Value Missing",'Configure Workload Domain'!D182)</f>
        <v>Value Missing</v>
      </c>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row>
    <row r="432" ht="19.5" customHeight="1">
      <c r="A432" s="41"/>
      <c r="B432" s="41"/>
      <c r="C432" s="41"/>
      <c r="D432" s="41"/>
      <c r="E432" s="84" t="s">
        <v>1923</v>
      </c>
      <c r="F432" s="18" t="str">
        <f>IF(ISBLANK('Site Protection &amp; DR'!D194),"Value Missing",'Site Protection &amp; DR'!D194)</f>
        <v>Value Missing</v>
      </c>
      <c r="G432" s="1"/>
      <c r="H432" s="84" t="s">
        <v>1915</v>
      </c>
      <c r="I432" s="18" t="str">
        <f>IF(ISBLANK('Configure Workload Domain'!D183),"Value Missing",'Configure Workload Domain'!D183)</f>
        <v>Value Missing</v>
      </c>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row>
    <row r="433" ht="19.5" customHeight="1">
      <c r="A433" s="41"/>
      <c r="B433" s="41"/>
      <c r="C433" s="41"/>
      <c r="D433" s="41"/>
      <c r="E433" s="84" t="s">
        <v>1931</v>
      </c>
      <c r="F433" s="18" t="str">
        <f>IF(ISBLANK('Site Protection &amp; DR'!D195),"Value Missing",'Site Protection &amp; DR'!D195)</f>
        <v>Value Missing</v>
      </c>
      <c r="G433" s="1"/>
      <c r="H433" s="84" t="s">
        <v>1916</v>
      </c>
      <c r="I433" s="18" t="str">
        <f>IF(ISBLANK('Configure Workload Domain'!D184),"Value Missing",'Configure Workload Domain'!D184)</f>
        <v>Value Missing</v>
      </c>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row>
    <row r="434" ht="19.5" customHeight="1">
      <c r="A434" s="41"/>
      <c r="B434" s="41"/>
      <c r="C434" s="41"/>
      <c r="D434" s="41"/>
      <c r="E434" s="84" t="s">
        <v>1932</v>
      </c>
      <c r="F434" s="18" t="str">
        <f>IF(ISBLANK('Site Protection &amp; DR'!D196),"Value Missing",'Site Protection &amp; DR'!D196)</f>
        <v>Value Missing</v>
      </c>
      <c r="G434" s="1"/>
      <c r="H434" s="84" t="s">
        <v>1917</v>
      </c>
      <c r="I434" s="18" t="str">
        <f>IF(ISBLANK('Configure Workload Domain'!D185),"Value Missing",'Configure Workload Domain'!D185)</f>
        <v>Value Missing</v>
      </c>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row>
    <row r="435" ht="19.5" customHeight="1">
      <c r="A435" s="41"/>
      <c r="B435" s="41"/>
      <c r="C435" s="41"/>
      <c r="D435" s="41"/>
      <c r="E435" s="84" t="s">
        <v>1934</v>
      </c>
      <c r="F435" s="18" t="str">
        <f>IF(ISBLANK('Site Protection &amp; DR'!D197),"Value Missing",'Site Protection &amp; DR'!D197)</f>
        <v>Value Missing</v>
      </c>
      <c r="G435" s="1"/>
      <c r="H435" s="84" t="s">
        <v>1918</v>
      </c>
      <c r="I435" s="18" t="str">
        <f>IF(ISBLANK('Configure Workload Domain'!D186),"Value Missing",'Configure Workload Domain'!D186)</f>
        <v>Value Missing</v>
      </c>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row>
    <row r="436" ht="19.5" customHeight="1">
      <c r="A436" s="41"/>
      <c r="B436" s="41"/>
      <c r="C436" s="41"/>
      <c r="D436" s="41"/>
      <c r="E436" s="84" t="s">
        <v>1936</v>
      </c>
      <c r="F436" s="18" t="str">
        <f>IF(ISBLANK('Site Protection &amp; DR'!D198),"Value Missing",'Site Protection &amp; DR'!D198)</f>
        <v>Value Missing</v>
      </c>
      <c r="G436" s="1"/>
      <c r="H436" s="84" t="s">
        <v>1919</v>
      </c>
      <c r="I436" s="18" t="str">
        <f>IF(ISBLANK('Configure Workload Domain'!D187),"Value Missing",'Configure Workload Domain'!D187)</f>
        <v>Value Missing</v>
      </c>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row>
    <row r="437" ht="19.5" customHeight="1">
      <c r="A437" s="41"/>
      <c r="B437" s="41"/>
      <c r="C437" s="41"/>
      <c r="D437" s="41"/>
      <c r="E437" s="84" t="s">
        <v>1938</v>
      </c>
      <c r="F437" s="18" t="str">
        <f>IF(ISBLANK('Site Protection &amp; DR'!D199),"Value Missing",'Site Protection &amp; DR'!D199)</f>
        <v>Value Missing</v>
      </c>
      <c r="G437" s="1"/>
      <c r="H437" s="84" t="s">
        <v>1920</v>
      </c>
      <c r="I437" s="18" t="str">
        <f>IF(ISBLANK('Configure Workload Domain'!D188),"Value Missing",'Configure Workload Domain'!D188)</f>
        <v>Value Missing</v>
      </c>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row>
    <row r="438" ht="19.5" customHeight="1">
      <c r="A438" s="41"/>
      <c r="B438" s="41"/>
      <c r="C438" s="41"/>
      <c r="D438" s="41"/>
      <c r="E438" s="84" t="s">
        <v>1940</v>
      </c>
      <c r="F438" s="18" t="str">
        <f>IF(ISBLANK('Site Protection &amp; DR'!D200),"Value Missing",'Site Protection &amp; DR'!D200)</f>
        <v>Value Missing</v>
      </c>
      <c r="G438" s="1"/>
      <c r="H438" s="84" t="s">
        <v>1921</v>
      </c>
      <c r="I438" s="18" t="str">
        <f>IF(ISBLANK('Configure Workload Domain'!D189),"Value Missing",'Configure Workload Domain'!D189)</f>
        <v>Value Missing</v>
      </c>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row>
    <row r="439" ht="19.5" customHeight="1">
      <c r="A439" s="41"/>
      <c r="B439" s="41"/>
      <c r="C439" s="41"/>
      <c r="D439" s="41"/>
      <c r="E439" s="84" t="s">
        <v>1942</v>
      </c>
      <c r="F439" s="18" t="str">
        <f>IF(ISBLANK('Site Protection &amp; DR'!D201),"Value Missing",'Site Protection &amp; DR'!D201)</f>
        <v>Value Missing</v>
      </c>
      <c r="G439" s="1"/>
      <c r="H439" s="84" t="s">
        <v>1922</v>
      </c>
      <c r="I439" s="18" t="str">
        <f>IF(ISBLANK('Dumping Ground'!D310),"Value Missing",'Dumping Ground'!D310)</f>
        <v>Value Missing</v>
      </c>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row>
    <row r="440" ht="19.5" customHeight="1">
      <c r="A440" s="41"/>
      <c r="B440" s="41"/>
      <c r="C440" s="41"/>
      <c r="D440" s="41"/>
      <c r="E440" s="84" t="s">
        <v>1944</v>
      </c>
      <c r="F440" s="18" t="str">
        <f>IF(ISBLANK('Site Protection &amp; DR'!D202),"Value Missing",'Site Protection &amp; DR'!D202)</f>
        <v>Value Missing</v>
      </c>
      <c r="G440" s="1"/>
      <c r="H440" s="84" t="s">
        <v>1923</v>
      </c>
      <c r="I440" s="18" t="str">
        <f>IF(ISBLANK('Dumping Ground'!D311),"Value Missing",'Dumping Ground'!D311)</f>
        <v>Value Missing</v>
      </c>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row>
    <row r="441" ht="19.5" customHeight="1">
      <c r="A441" s="41"/>
      <c r="B441" s="41"/>
      <c r="C441" s="41"/>
      <c r="D441" s="41"/>
      <c r="E441" s="84" t="s">
        <v>1946</v>
      </c>
      <c r="F441" s="18" t="str">
        <f>IF(ISBLANK('Site Protection &amp; DR'!D203),"Value Missing",'Site Protection &amp; DR'!D203)</f>
        <v>Value Missing</v>
      </c>
      <c r="G441" s="1"/>
      <c r="H441" s="84" t="s">
        <v>1931</v>
      </c>
      <c r="I441" s="18" t="str">
        <f>IF(ISBLANK('Dumping Ground'!D312),"Value Missing",'Dumping Ground'!D312)</f>
        <v>Value Missing</v>
      </c>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row>
    <row r="442" ht="19.5" customHeight="1">
      <c r="A442" s="41"/>
      <c r="B442" s="41"/>
      <c r="C442" s="41"/>
      <c r="D442" s="41"/>
      <c r="E442" s="84" t="s">
        <v>1948</v>
      </c>
      <c r="F442" s="18" t="str">
        <f>IF(ISBLANK('Site Protection &amp; DR'!D204),"Value Missing",'Site Protection &amp; DR'!D204)</f>
        <v>Value Missing</v>
      </c>
      <c r="G442" s="8"/>
      <c r="H442" s="84" t="s">
        <v>1932</v>
      </c>
      <c r="I442" s="18" t="str">
        <f>IF(ISBLANK('Dumping Ground'!D313),"Value Missing",'Dumping Ground'!D313)</f>
        <v>Value Missing</v>
      </c>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row>
    <row r="443" ht="19.5" customHeight="1">
      <c r="A443" s="41"/>
      <c r="B443" s="41"/>
      <c r="C443" s="41"/>
      <c r="D443" s="41"/>
      <c r="E443" s="84" t="s">
        <v>1950</v>
      </c>
      <c r="F443" s="18" t="str">
        <f>IF(ISBLANK('Site Protection &amp; DR'!D205),"Value Missing",'Site Protection &amp; DR'!D205)</f>
        <v>Value Missing</v>
      </c>
      <c r="G443" s="1"/>
      <c r="H443" s="84" t="s">
        <v>1934</v>
      </c>
      <c r="I443" s="18" t="str">
        <f>IF(ISBLANK('Dumping Ground'!D314),"Value Missing",'Dumping Ground'!D314)</f>
        <v>Value Missing</v>
      </c>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row>
    <row r="444" ht="19.5" customHeight="1">
      <c r="A444" s="41"/>
      <c r="B444" s="41"/>
      <c r="C444" s="41"/>
      <c r="D444" s="41"/>
      <c r="E444" s="84" t="s">
        <v>1952</v>
      </c>
      <c r="F444" s="18" t="str">
        <f>IF(ISBLANK('Site Protection &amp; DR'!D206),"Value Missing",'Site Protection &amp; DR'!D206)</f>
        <v>Value Missing</v>
      </c>
      <c r="G444" s="1"/>
      <c r="H444" s="84" t="s">
        <v>1936</v>
      </c>
      <c r="I444" s="18" t="str">
        <f>IF(ISBLANK('Dumping Ground'!D315),"Value Missing",'Dumping Ground'!D315)</f>
        <v>Value Missing</v>
      </c>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row>
    <row r="445" ht="19.5" customHeight="1">
      <c r="A445" s="41"/>
      <c r="B445" s="41"/>
      <c r="C445" s="41"/>
      <c r="D445" s="41"/>
      <c r="E445" s="84" t="s">
        <v>1954</v>
      </c>
      <c r="F445" s="18" t="str">
        <f>IF(ISBLANK('Site Protection &amp; DR'!D207),"Value Missing",'Site Protection &amp; DR'!D207)</f>
        <v>Value Missing</v>
      </c>
      <c r="G445" s="1"/>
      <c r="H445" s="84" t="s">
        <v>1938</v>
      </c>
      <c r="I445" s="18" t="str">
        <f>IF(ISBLANK('Dumping Ground'!D316),"Value Missing",'Dumping Ground'!D316)</f>
        <v>Value Missing</v>
      </c>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row>
    <row r="446" ht="19.5" customHeight="1">
      <c r="A446" s="41"/>
      <c r="B446" s="41"/>
      <c r="C446" s="41"/>
      <c r="D446" s="41"/>
      <c r="E446" s="84" t="s">
        <v>1956</v>
      </c>
      <c r="F446" s="18" t="str">
        <f>IF(ISBLANK('Site Protection &amp; DR'!D208),"Value Missing",'Site Protection &amp; DR'!D208)</f>
        <v>Value Missing</v>
      </c>
      <c r="G446" s="1"/>
      <c r="H446" s="84" t="s">
        <v>1940</v>
      </c>
      <c r="I446" s="18" t="str">
        <f>IF(ISBLANK('Dumping Ground'!D317),"Value Missing",'Dumping Ground'!D317)</f>
        <v>Value Missing</v>
      </c>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row>
    <row r="447" ht="19.5" customHeight="1">
      <c r="A447" s="41"/>
      <c r="B447" s="41"/>
      <c r="C447" s="41"/>
      <c r="D447" s="41"/>
      <c r="E447" s="1"/>
      <c r="F447" s="1"/>
      <c r="G447" s="1"/>
      <c r="H447" s="84" t="s">
        <v>1942</v>
      </c>
      <c r="I447" s="18" t="str">
        <f>IF(ISBLANK('Dumping Ground'!D318),"Value Missing",'Dumping Ground'!D318)</f>
        <v>Value Missing</v>
      </c>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row>
    <row r="448" ht="19.5" customHeight="1">
      <c r="A448" s="41"/>
      <c r="B448" s="41"/>
      <c r="C448" s="41"/>
      <c r="D448" s="41"/>
      <c r="E448" s="311" t="s">
        <v>2024</v>
      </c>
      <c r="F448" s="38"/>
      <c r="G448" s="1"/>
      <c r="H448" s="84" t="s">
        <v>1944</v>
      </c>
      <c r="I448" s="18" t="str">
        <f>IF(ISBLANK('Dumping Ground'!D319),"Value Missing",'Dumping Ground'!D319)</f>
        <v>Value Missing</v>
      </c>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row>
    <row r="449" ht="19.5" customHeight="1">
      <c r="A449" s="41"/>
      <c r="B449" s="41"/>
      <c r="C449" s="41"/>
      <c r="D449" s="41"/>
      <c r="E449" s="15" t="s">
        <v>256</v>
      </c>
      <c r="F449" s="15" t="s">
        <v>1998</v>
      </c>
      <c r="G449" s="1"/>
      <c r="H449" s="84" t="s">
        <v>1946</v>
      </c>
      <c r="I449" s="18" t="str">
        <f>IF(ISBLANK('Dumping Ground'!D320),"Value Missing",'Dumping Ground'!D320)</f>
        <v>Value Missing</v>
      </c>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row>
    <row r="450" ht="19.5" customHeight="1">
      <c r="A450" s="41"/>
      <c r="B450" s="41"/>
      <c r="C450" s="41"/>
      <c r="D450" s="41"/>
      <c r="E450" s="84" t="s">
        <v>1933</v>
      </c>
      <c r="F450" s="18" t="str">
        <f>IF(mgmt_az2_host1_fqdn="Value Missing",mgmt_az2_host1_fqdn,LEFT(mgmt_az2_host1_fqdn,FIND(".",mgmt_az2_host1_fqdn)-1))</f>
        <v>Value Missing</v>
      </c>
      <c r="G450" s="1"/>
      <c r="H450" s="84" t="s">
        <v>1948</v>
      </c>
      <c r="I450" s="18" t="str">
        <f>IF(ISBLANK('Dumping Ground'!D321),"Value Missing",'Dumping Ground'!D321)</f>
        <v>Value Missing</v>
      </c>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row>
    <row r="451" ht="19.5" customHeight="1">
      <c r="A451" s="41"/>
      <c r="B451" s="41"/>
      <c r="C451" s="41"/>
      <c r="D451" s="41"/>
      <c r="E451" s="84" t="s">
        <v>1935</v>
      </c>
      <c r="F451" s="18" t="str">
        <f>IF(mgmt_az2_host2_fqdn="Value Missing",mgmt_az2_host2_fqdn,LEFT(mgmt_az2_host2_fqdn,FIND(".",mgmt_az2_host2_fqdn)-1))</f>
        <v>Value Missing</v>
      </c>
      <c r="G451" s="1"/>
      <c r="H451" s="84" t="s">
        <v>1950</v>
      </c>
      <c r="I451" s="18" t="str">
        <f>IF(ISBLANK('Dumping Ground'!D322),"Value Missing",'Dumping Ground'!D322)</f>
        <v>Value Missing</v>
      </c>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row>
    <row r="452" ht="19.5" customHeight="1">
      <c r="A452" s="41"/>
      <c r="B452" s="41"/>
      <c r="C452" s="41"/>
      <c r="D452" s="41"/>
      <c r="E452" s="84" t="s">
        <v>1937</v>
      </c>
      <c r="F452" s="18" t="str">
        <f>IF(mgmt_az2_host3_fqdn="Value Missing",mgmt_az2_host3_fqdn,LEFT(mgmt_az2_host3_fqdn,FIND(".",mgmt_az2_host3_fqdn)-1))</f>
        <v>Value Missing</v>
      </c>
      <c r="G452" s="1"/>
      <c r="H452" s="84" t="s">
        <v>1952</v>
      </c>
      <c r="I452" s="18" t="str">
        <f>IF(ISBLANK('Dumping Ground'!D323),"Value Missing",'Dumping Ground'!D323)</f>
        <v>Value Missing</v>
      </c>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row>
    <row r="453" ht="19.5" customHeight="1">
      <c r="A453" s="41"/>
      <c r="B453" s="41"/>
      <c r="C453" s="41"/>
      <c r="D453" s="41"/>
      <c r="E453" s="84" t="s">
        <v>1939</v>
      </c>
      <c r="F453" s="18" t="str">
        <f>IF(mgmt_az2_host4_fqdn="Value Missing",mgmt_az2_host4_fqdn,LEFT(mgmt_az2_host4_fqdn,FIND(".",mgmt_az2_host4_fqdn)-1))</f>
        <v>Value Missing</v>
      </c>
      <c r="G453" s="1"/>
      <c r="H453" s="84" t="s">
        <v>1954</v>
      </c>
      <c r="I453" s="18" t="str">
        <f>IF(ISBLANK('Dumping Ground'!D324),"Value Missing",'Dumping Ground'!D324)</f>
        <v>Value Missing</v>
      </c>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row>
    <row r="454" ht="19.5" customHeight="1">
      <c r="A454" s="41"/>
      <c r="B454" s="41"/>
      <c r="C454" s="41"/>
      <c r="D454" s="41"/>
      <c r="E454" s="84" t="s">
        <v>1941</v>
      </c>
      <c r="F454" s="18" t="str">
        <f>IF(mgmt_az2_host5_fqdn="Value Missing",mgmt_az2_host5_fqdn,LEFT(mgmt_az2_host5_fqdn,FIND(".",mgmt_az2_host5_fqdn)-1))</f>
        <v>Value Missing</v>
      </c>
      <c r="G454" s="1"/>
      <c r="H454" s="84" t="s">
        <v>1956</v>
      </c>
      <c r="I454" s="18" t="str">
        <f>IF(ISBLANK('Dumping Ground'!D325),"Value Missing",'Dumping Ground'!D325)</f>
        <v>Value Missing</v>
      </c>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row>
    <row r="455" ht="19.5" customHeight="1">
      <c r="A455" s="41"/>
      <c r="B455" s="41"/>
      <c r="C455" s="41"/>
      <c r="D455" s="41"/>
      <c r="E455" s="84" t="s">
        <v>1943</v>
      </c>
      <c r="F455" s="18" t="str">
        <f>IF(mgmt_az2_host6_fqdn="Value Missing",mgmt_az2_host6_fqdn,LEFT(mgmt_az2_host6_fqdn,FIND(".",mgmt_az2_host6_fqdn)-1))</f>
        <v>Value Missing</v>
      </c>
      <c r="G455" s="1"/>
      <c r="H455" s="41"/>
      <c r="I455" s="114"/>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row>
    <row r="456" ht="19.5" customHeight="1">
      <c r="A456" s="41"/>
      <c r="B456" s="41"/>
      <c r="C456" s="41"/>
      <c r="D456" s="41"/>
      <c r="E456" s="84" t="s">
        <v>1945</v>
      </c>
      <c r="F456" s="18" t="str">
        <f>IF(mgmt_az2_host7_fqdn="Value Missing",mgmt_az2_host7_fqdn,LEFT(mgmt_az2_host7_fqdn,FIND(".",mgmt_az2_host7_fqdn)-1))</f>
        <v>Value Missing</v>
      </c>
      <c r="G456" s="1"/>
      <c r="H456" s="311" t="s">
        <v>2025</v>
      </c>
      <c r="I456" s="38"/>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row>
    <row r="457" ht="19.5" customHeight="1">
      <c r="A457" s="41"/>
      <c r="B457" s="41"/>
      <c r="C457" s="41"/>
      <c r="D457" s="41"/>
      <c r="E457" s="84" t="s">
        <v>1947</v>
      </c>
      <c r="F457" s="18" t="str">
        <f>IF(mgmt_az2_host8_fqdn="Value Missing",mgmt_az2_host8_fqdn,LEFT(mgmt_az2_host8_fqdn,FIND(".",mgmt_az2_host8_fqdn)-1))</f>
        <v>Value Missing</v>
      </c>
      <c r="G457" s="1"/>
      <c r="H457" s="15" t="s">
        <v>256</v>
      </c>
      <c r="I457" s="15" t="s">
        <v>1998</v>
      </c>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row>
    <row r="458" ht="19.5" customHeight="1">
      <c r="A458" s="41"/>
      <c r="B458" s="41"/>
      <c r="C458" s="41"/>
      <c r="D458" s="41"/>
      <c r="E458" s="84" t="s">
        <v>1949</v>
      </c>
      <c r="F458" s="18" t="str">
        <f>IF(mgmt_az2_host9_fqdn="Value Missing",mgmt_az2_host9_fqdn,LEFT(mgmt_az2_host9_fqdn,FIND(".",mgmt_az2_host9_fqdn)-1))</f>
        <v>Value Missing</v>
      </c>
      <c r="G458" s="1"/>
      <c r="H458" s="84" t="s">
        <v>1933</v>
      </c>
      <c r="I458" s="18" t="str">
        <f>IF(wld_az2_host1_fqdn="Value Missing",wld_az2_host1_fqdn,LEFT(wld_az2_host1_fqdn,FIND(".",wld_az2_host1_fqdn)-1))</f>
        <v>Value Missing</v>
      </c>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row>
    <row r="459" ht="19.5" customHeight="1">
      <c r="A459" s="41"/>
      <c r="B459" s="41"/>
      <c r="C459" s="41"/>
      <c r="D459" s="41"/>
      <c r="E459" s="84" t="s">
        <v>1951</v>
      </c>
      <c r="F459" s="18" t="str">
        <f>IF(mgmt_az2_host10_fqdn="Value Missing",mgmt_az2_host10_fqdn,LEFT(mgmt_az2_host10_fqdn,FIND(".",mgmt_az2_host10_fqdn)-1))</f>
        <v>Value Missing</v>
      </c>
      <c r="G459" s="41"/>
      <c r="H459" s="84" t="s">
        <v>1935</v>
      </c>
      <c r="I459" s="18" t="str">
        <f>IF(wld_az2_host2_fqdn="Value Missing",wld_az2_host2_fqdn,LEFT(wld_az2_host2_fqdn,FIND(".",wld_az2_host2_fqdn)-1))</f>
        <v>Value Missing</v>
      </c>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row>
    <row r="460" ht="19.5" customHeight="1">
      <c r="A460" s="41"/>
      <c r="B460" s="41"/>
      <c r="C460" s="41"/>
      <c r="D460" s="41"/>
      <c r="E460" s="84" t="s">
        <v>1953</v>
      </c>
      <c r="F460" s="18" t="str">
        <f>IF(mgmt_az2_host11_fqdn="Value Missing",mgmt_az2_host11_fqdn,LEFT(mgmt_az2_host11_fqdn,FIND(".",mgmt_az2_host11_fqdn)-1))</f>
        <v>Value Missing</v>
      </c>
      <c r="G460" s="41"/>
      <c r="H460" s="84" t="s">
        <v>1937</v>
      </c>
      <c r="I460" s="18" t="str">
        <f>IF(wld_az2_host3_fqdn="Value Missing",wld_az2_host3_fqdn,LEFT(wld_az2_host3_fqdn,FIND(".",wld_az2_host3_fqdn)-1))</f>
        <v>Value Missing</v>
      </c>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row>
    <row r="461" ht="19.5" customHeight="1">
      <c r="A461" s="41"/>
      <c r="B461" s="41"/>
      <c r="C461" s="41"/>
      <c r="D461" s="41"/>
      <c r="E461" s="84" t="s">
        <v>1955</v>
      </c>
      <c r="F461" s="18" t="str">
        <f>IF(mgmt_az2_host12_fqdn="Value Missing",mgmt_az2_host12_fqdn,LEFT(mgmt_az2_host12_fqdn,FIND(".",mgmt_az2_host12_fqdn)-1))</f>
        <v>Value Missing</v>
      </c>
      <c r="G461" s="41"/>
      <c r="H461" s="84" t="s">
        <v>1939</v>
      </c>
      <c r="I461" s="18" t="str">
        <f>IF(wld_az2_host4_fqdn="Value Missing",wld_az2_host4_fqdn,LEFT(wld_az2_host4_fqdn,FIND(".",wld_az2_host4_fqdn)-1))</f>
        <v>Value Missing</v>
      </c>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row>
    <row r="462" ht="19.5" customHeight="1">
      <c r="A462" s="41"/>
      <c r="B462" s="41"/>
      <c r="C462" s="41"/>
      <c r="D462" s="41"/>
      <c r="E462" s="84" t="s">
        <v>1957</v>
      </c>
      <c r="F462" s="18" t="str">
        <f>IF(mgmt_az2_host13_fqdn="Value Missing",mgmt_az2_host13_fqdn,LEFT(mgmt_az2_host13_fqdn,FIND(".",mgmt_az2_host13_fqdn)-1))</f>
        <v>Value Missing</v>
      </c>
      <c r="G462" s="41"/>
      <c r="H462" s="84" t="s">
        <v>1941</v>
      </c>
      <c r="I462" s="18" t="str">
        <f>IF(wld_az2_host5_fqdn="Value Missing",wld_az2_host5_fqdn,LEFT(wld_az2_host5_fqdn,FIND(".",wld_az2_host5_fqdn)-1))</f>
        <v>Value Missing</v>
      </c>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row>
    <row r="463" ht="19.5" customHeight="1">
      <c r="A463" s="41"/>
      <c r="B463" s="41"/>
      <c r="C463" s="41"/>
      <c r="D463" s="41"/>
      <c r="E463" s="84" t="s">
        <v>1958</v>
      </c>
      <c r="F463" s="18" t="str">
        <f>IF(mgmt_az2_host14_fqdn="Value Missing",mgmt_az2_host14_fqdn,LEFT(mgmt_az2_host14_fqdn,FIND(".",mgmt_az2_host14_fqdn)-1))</f>
        <v>Value Missing</v>
      </c>
      <c r="G463" s="41"/>
      <c r="H463" s="84" t="s">
        <v>1943</v>
      </c>
      <c r="I463" s="18" t="str">
        <f>IF(wld_az2_host6_fqdn="Value Missing",wld_az2_host6_fqdn,LEFT(wld_az2_host6_fqdn,FIND(".",wld_az2_host6_fqdn)-1))</f>
        <v>Value Missing</v>
      </c>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row>
    <row r="464" ht="19.5" customHeight="1">
      <c r="A464" s="41"/>
      <c r="B464" s="41"/>
      <c r="C464" s="41"/>
      <c r="D464" s="41"/>
      <c r="E464" s="84" t="s">
        <v>1961</v>
      </c>
      <c r="F464" s="18" t="str">
        <f>IF(mgmt_az2_host15_fqdn="Value Missing",mgmt_az2_host15_fqdn,LEFT(mgmt_az2_host15_fqdn,FIND(".",mgmt_az2_host15_fqdn)-1))</f>
        <v>Value Missing</v>
      </c>
      <c r="G464" s="41"/>
      <c r="H464" s="84" t="s">
        <v>1945</v>
      </c>
      <c r="I464" s="18" t="str">
        <f>IF(wld_az2_host7_fqdn="Value Missing",wld_az2_host7_fqdn,LEFT(wld_az2_host7_fqdn,FIND(".",wld_az2_host7_fqdn)-1))</f>
        <v>Value Missing</v>
      </c>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row>
    <row r="465" ht="19.5" customHeight="1">
      <c r="A465" s="41"/>
      <c r="B465" s="41"/>
      <c r="C465" s="41"/>
      <c r="D465" s="41"/>
      <c r="E465" s="84" t="s">
        <v>1962</v>
      </c>
      <c r="F465" s="18" t="str">
        <f>IF(mgmt_az2_host16_fqdn="Value Missing",mgmt_az2_host16_fqdn,LEFT(mgmt_az2_host16_fqdn,FIND(".",mgmt_az2_host16_fqdn)-1))</f>
        <v>Value Missing</v>
      </c>
      <c r="G465" s="41"/>
      <c r="H465" s="84" t="s">
        <v>1947</v>
      </c>
      <c r="I465" s="18" t="str">
        <f>IF(wld_az2_host8_fqdn="Value Missing",wld_az2_host8_fqdn,LEFT(wld_az2_host8_fqdn,FIND(".",wld_az2_host8_fqdn)-1))</f>
        <v>Value Missing</v>
      </c>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row>
    <row r="466" ht="19.5" customHeight="1">
      <c r="A466" s="41"/>
      <c r="B466" s="41"/>
      <c r="C466" s="41"/>
      <c r="D466" s="41"/>
      <c r="E466" s="1"/>
      <c r="F466" s="1"/>
      <c r="G466" s="41"/>
      <c r="H466" s="84" t="s">
        <v>1949</v>
      </c>
      <c r="I466" s="18" t="str">
        <f>IF(wld_az2_host9_fqdn="Value Missing",wld_az2_host9_fqdn,LEFT(wld_az2_host9_fqdn,FIND(".",wld_az2_host9_fqdn)-1))</f>
        <v>Value Missing</v>
      </c>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row>
    <row r="467" ht="19.5" customHeight="1">
      <c r="A467" s="41"/>
      <c r="B467" s="41"/>
      <c r="C467" s="41"/>
      <c r="D467" s="41"/>
      <c r="E467" s="309" t="s">
        <v>2026</v>
      </c>
      <c r="F467" s="324"/>
      <c r="G467" s="41"/>
      <c r="H467" s="84" t="s">
        <v>1951</v>
      </c>
      <c r="I467" s="18" t="str">
        <f>IF(wld_az2_host10_fqdn="Value Missing",wld_az2_host10_fqdn,LEFT(wld_az2_host10_fqdn,FIND(".",wld_az2_host10_fqdn)-1))</f>
        <v>Value Missing</v>
      </c>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row>
    <row r="468" ht="19.5" customHeight="1">
      <c r="A468" s="41"/>
      <c r="B468" s="41"/>
      <c r="C468" s="41"/>
      <c r="D468" s="41"/>
      <c r="E468" s="15" t="s">
        <v>256</v>
      </c>
      <c r="F468" s="15" t="s">
        <v>1998</v>
      </c>
      <c r="G468" s="41"/>
      <c r="H468" s="84" t="s">
        <v>1953</v>
      </c>
      <c r="I468" s="18" t="str">
        <f>IF(wld_az2_host11_fqdn="Value Missing",wld_az2_host11_fqdn,LEFT(wld_az2_host11_fqdn,FIND(".",wld_az2_host11_fqdn)-1))</f>
        <v>Value Missing</v>
      </c>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row>
    <row r="469" ht="19.5" customHeight="1">
      <c r="A469" s="41"/>
      <c r="B469" s="41"/>
      <c r="C469" s="41"/>
      <c r="D469" s="41"/>
      <c r="E469" s="84" t="s">
        <v>1933</v>
      </c>
      <c r="F469" s="18" t="str">
        <f>IF(ISBLANK(input_mgmt_az2_host1_fqdn),"Value Missing",input_mgmt_az2_host1_fqdn)</f>
        <v>Value Missing</v>
      </c>
      <c r="G469" s="41"/>
      <c r="H469" s="84" t="s">
        <v>1955</v>
      </c>
      <c r="I469" s="18" t="str">
        <f>IF(wld_az2_host12_fqdn="Value Missing",wld_az2_host12_fqdn,LEFT(wld_az2_host12_fqdn,FIND(".",wld_az2_host12_fqdn)-1))</f>
        <v>Value Missing</v>
      </c>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row>
    <row r="470" ht="19.5" customHeight="1">
      <c r="A470" s="41"/>
      <c r="B470" s="41"/>
      <c r="C470" s="41"/>
      <c r="D470" s="41"/>
      <c r="E470" s="84" t="s">
        <v>1935</v>
      </c>
      <c r="F470" s="18" t="str">
        <f>IF(ISBLANK(input_mgmt_az2_host2_fqdn),"Value Missing",input_mgmt_az2_host2_fqdn)</f>
        <v>Value Missing</v>
      </c>
      <c r="G470" s="41"/>
      <c r="H470" s="84" t="s">
        <v>1957</v>
      </c>
      <c r="I470" s="18" t="str">
        <f>IF(wld_az2_host13_fqdn="Value Missing",wld_az2_host13_fqdn,LEFT(wld_az2_host13_fqdn,FIND(".",wld_az2_host13_fqdn)-1))</f>
        <v>Value Missing</v>
      </c>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row>
    <row r="471" ht="19.5" customHeight="1">
      <c r="A471" s="41"/>
      <c r="B471" s="41"/>
      <c r="C471" s="41"/>
      <c r="D471" s="41"/>
      <c r="E471" s="84" t="s">
        <v>1937</v>
      </c>
      <c r="F471" s="18" t="str">
        <f>IF(ISBLANK(input_mgmt_az2_host3_fqdn),"Value Missing",input_mgmt_az2_host3_fqdn)</f>
        <v>Value Missing</v>
      </c>
      <c r="G471" s="41"/>
      <c r="H471" s="84" t="s">
        <v>1958</v>
      </c>
      <c r="I471" s="18" t="str">
        <f>IF(wld_az2_host14_fqdn="Value Missing",wld_az2_host14_fqdn,LEFT(wld_az2_host14_fqdn,FIND(".",wld_az2_host14_fqdn)-1))</f>
        <v>Value Missing</v>
      </c>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row>
    <row r="472" ht="19.5" customHeight="1">
      <c r="A472" s="41"/>
      <c r="B472" s="41"/>
      <c r="C472" s="41"/>
      <c r="D472" s="41"/>
      <c r="E472" s="84" t="s">
        <v>1939</v>
      </c>
      <c r="F472" s="18" t="str">
        <f>IF(ISBLANK(input_mgmt_az2_host4_fqdn),"Value Missing",input_mgmt_az2_host4_fqdn)</f>
        <v>Value Missing</v>
      </c>
      <c r="G472" s="41"/>
      <c r="H472" s="84" t="s">
        <v>1961</v>
      </c>
      <c r="I472" s="18" t="str">
        <f>IF(wld_az2_host15_fqdn="Value Missing",wld_az2_host15_fqdn,LEFT(wld_az2_host15_fqdn,FIND(".",wld_az2_host15_fqdn)-1))</f>
        <v>Value Missing</v>
      </c>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row>
    <row r="473" ht="19.5" customHeight="1">
      <c r="A473" s="41"/>
      <c r="B473" s="41"/>
      <c r="C473" s="41"/>
      <c r="D473" s="41"/>
      <c r="E473" s="84" t="s">
        <v>1941</v>
      </c>
      <c r="F473" s="18" t="str">
        <f>IF(ISBLANK(input_mgmt_az2_host5_fqdn),"Value Missing",input_mgmt_az2_host5_fqdn)</f>
        <v>Value Missing</v>
      </c>
      <c r="G473" s="41"/>
      <c r="H473" s="84" t="s">
        <v>1962</v>
      </c>
      <c r="I473" s="18" t="str">
        <f>IF(wld_az2_host16_fqdn="Value Missing",wld_az2_host16_fqdn,LEFT(wld_az2_host16_fqdn,FIND(".",wld_az2_host16_fqdn)-1))</f>
        <v>Value Missing</v>
      </c>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row>
    <row r="474" ht="19.5" customHeight="1">
      <c r="A474" s="41"/>
      <c r="B474" s="41"/>
      <c r="C474" s="41"/>
      <c r="D474" s="41"/>
      <c r="E474" s="84" t="s">
        <v>1943</v>
      </c>
      <c r="F474" s="18" t="str">
        <f>IF(ISBLANK(input_mgmt_az2_host6_fqdn),"Value Missing",input_mgmt_az2_host6_fqdn)</f>
        <v>Value Missing</v>
      </c>
      <c r="G474" s="41"/>
      <c r="H474" s="41"/>
      <c r="I474" s="114"/>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row>
    <row r="475" ht="19.5" customHeight="1">
      <c r="A475" s="41"/>
      <c r="B475" s="41"/>
      <c r="C475" s="41"/>
      <c r="D475" s="41"/>
      <c r="E475" s="84" t="s">
        <v>1945</v>
      </c>
      <c r="F475" s="18" t="str">
        <f>IF(ISBLANK(input_mgmt_az2_host7_fqdn),"Value Missing",input_mgmt_az2_host7_fqdn)</f>
        <v>Value Missing</v>
      </c>
      <c r="G475" s="41"/>
      <c r="H475" s="309" t="s">
        <v>1971</v>
      </c>
      <c r="I475" s="324"/>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row>
    <row r="476" ht="19.5" customHeight="1">
      <c r="A476" s="41"/>
      <c r="B476" s="41"/>
      <c r="C476" s="41"/>
      <c r="D476" s="41"/>
      <c r="E476" s="84" t="s">
        <v>1947</v>
      </c>
      <c r="F476" s="18" t="str">
        <f>IF(ISBLANK(input_mgmt_az2_host8_fqdn),"Value Missing",input_mgmt_az2_host8_fqdn)</f>
        <v>Value Missing</v>
      </c>
      <c r="G476" s="41"/>
      <c r="H476" s="15" t="s">
        <v>256</v>
      </c>
      <c r="I476" s="15" t="s">
        <v>1998</v>
      </c>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row>
    <row r="477" ht="19.5" customHeight="1">
      <c r="A477" s="41"/>
      <c r="B477" s="41"/>
      <c r="C477" s="41"/>
      <c r="D477" s="41"/>
      <c r="E477" s="84" t="s">
        <v>1949</v>
      </c>
      <c r="F477" s="18" t="str">
        <f>IF(ISBLANK(input_mgmt_az2_host9_fqdn),"Value Missing",input_mgmt_az2_host9_fqdn)</f>
        <v>Value Missing</v>
      </c>
      <c r="G477" s="41"/>
      <c r="H477" s="84" t="s">
        <v>1933</v>
      </c>
      <c r="I477" s="18" t="str">
        <f>IF(ISBLANK(input_wld_az2_host1_fqdn),"Value Missing",input_wld_az2_host1_fqdn)</f>
        <v>Value Missing</v>
      </c>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row>
    <row r="478" ht="19.5" customHeight="1">
      <c r="A478" s="41"/>
      <c r="B478" s="41"/>
      <c r="C478" s="41"/>
      <c r="D478" s="41"/>
      <c r="E478" s="84" t="s">
        <v>1951</v>
      </c>
      <c r="F478" s="18" t="str">
        <f>IF(ISBLANK(input_mgmt_az2_host10_fqdn),"Value Missing",input_mgmt_az2_host10_fqdn)</f>
        <v>Value Missing</v>
      </c>
      <c r="G478" s="41"/>
      <c r="H478" s="84" t="s">
        <v>1935</v>
      </c>
      <c r="I478" s="18" t="str">
        <f>IF(ISBLANK(input_wld_az2_host2_fqdn),"Value Missing",input_wld_az2_host2_fqdn)</f>
        <v>Value Missing</v>
      </c>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row>
    <row r="479" ht="19.5" customHeight="1">
      <c r="A479" s="41"/>
      <c r="B479" s="41"/>
      <c r="C479" s="41"/>
      <c r="D479" s="41"/>
      <c r="E479" s="84" t="s">
        <v>1953</v>
      </c>
      <c r="F479" s="18" t="str">
        <f>IF(ISBLANK(input_mgmt_az2_host11_fqdn),"Value Missing",input_mgmt_az2_host11_fqdn)</f>
        <v>Value Missing</v>
      </c>
      <c r="G479" s="41"/>
      <c r="H479" s="84" t="s">
        <v>1937</v>
      </c>
      <c r="I479" s="18" t="str">
        <f>IF(ISBLANK(input_wld_az2_host3_fqdn),"Value Missing",input_wld_az2_host3_fqdn)</f>
        <v>Value Missing</v>
      </c>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row>
    <row r="480" ht="19.5" customHeight="1">
      <c r="A480" s="41"/>
      <c r="B480" s="41"/>
      <c r="C480" s="41"/>
      <c r="D480" s="41"/>
      <c r="E480" s="84" t="s">
        <v>1955</v>
      </c>
      <c r="F480" s="18" t="str">
        <f>IF(ISBLANK(input_mgmt_az2_host12_fqdn),"Value Missing",input_mgmt_az2_host12_fqdn)</f>
        <v>Value Missing</v>
      </c>
      <c r="G480" s="41"/>
      <c r="H480" s="84" t="s">
        <v>1939</v>
      </c>
      <c r="I480" s="18" t="str">
        <f>IF(ISBLANK(input_wld_az2_host4_fqdn),"Value Missing",input_wld_az2_host4_fqdn)</f>
        <v>Value Missing</v>
      </c>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row>
    <row r="481" ht="19.5" customHeight="1">
      <c r="A481" s="41"/>
      <c r="B481" s="41"/>
      <c r="C481" s="41"/>
      <c r="D481" s="41"/>
      <c r="E481" s="84" t="s">
        <v>1957</v>
      </c>
      <c r="F481" s="18" t="str">
        <f>IF(ISBLANK(input_mgmt_az2_host13_fqdn),"Value Missing",input_mgmt_az2_host13_fqdn)</f>
        <v>Value Missing</v>
      </c>
      <c r="G481" s="41"/>
      <c r="H481" s="84" t="s">
        <v>1941</v>
      </c>
      <c r="I481" s="18" t="str">
        <f>IF(ISBLANK(input_wld_az2_host5_fqdn),"Value Missing",input_wld_az2_host5_fqdn)</f>
        <v>Value Missing</v>
      </c>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row>
    <row r="482" ht="19.5" customHeight="1">
      <c r="A482" s="41"/>
      <c r="B482" s="41"/>
      <c r="C482" s="41"/>
      <c r="D482" s="41"/>
      <c r="E482" s="84" t="s">
        <v>1958</v>
      </c>
      <c r="F482" s="18" t="str">
        <f>IF(ISBLANK(input_mgmt_az2_host14_fqdn),"Value Missing",input_mgmt_az2_host14_fqdn)</f>
        <v>Value Missing</v>
      </c>
      <c r="G482" s="41"/>
      <c r="H482" s="84" t="s">
        <v>1943</v>
      </c>
      <c r="I482" s="18" t="str">
        <f>IF(ISBLANK(input_wld_az2_host6_fqdn),"Value Missing",input_wld_az2_host6_fqdn)</f>
        <v>Value Missing</v>
      </c>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row>
    <row r="483" ht="19.5" customHeight="1">
      <c r="A483" s="41"/>
      <c r="B483" s="41"/>
      <c r="C483" s="41"/>
      <c r="D483" s="41"/>
      <c r="E483" s="84" t="s">
        <v>1961</v>
      </c>
      <c r="F483" s="18" t="str">
        <f>IF(ISBLANK(input_mgmt_az2_host15_fqdn),"Value Missing",input_mgmt_az2_host15_fqdn)</f>
        <v>Value Missing</v>
      </c>
      <c r="G483" s="41"/>
      <c r="H483" s="84" t="s">
        <v>1945</v>
      </c>
      <c r="I483" s="18" t="str">
        <f>IF(ISBLANK(input_wld_az2_host7_fqdn),"Value Missing",input_wld_az2_host7_fqdn)</f>
        <v>Value Missing</v>
      </c>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row>
    <row r="484" ht="19.5" customHeight="1">
      <c r="A484" s="41"/>
      <c r="B484" s="41"/>
      <c r="C484" s="41"/>
      <c r="D484" s="41"/>
      <c r="E484" s="84" t="s">
        <v>1962</v>
      </c>
      <c r="F484" s="18" t="str">
        <f>IF(ISBLANK(input_mgmt_az2_host16_fqdn),"Value Missing",input_mgmt_az2_host16_fqdn)</f>
        <v>Value Missing</v>
      </c>
      <c r="G484" s="41"/>
      <c r="H484" s="84" t="s">
        <v>1947</v>
      </c>
      <c r="I484" s="18" t="str">
        <f>IF(ISBLANK(input_wld_az2_host8_fqdn),"Value Missing",input_wld_az2_host8_fqdn)</f>
        <v>Value Missing</v>
      </c>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row>
    <row r="485" ht="19.5" customHeight="1">
      <c r="A485" s="41"/>
      <c r="B485" s="41"/>
      <c r="C485" s="41"/>
      <c r="D485" s="41"/>
      <c r="E485" s="1"/>
      <c r="F485" s="1"/>
      <c r="G485" s="41"/>
      <c r="H485" s="84" t="s">
        <v>1949</v>
      </c>
      <c r="I485" s="18" t="str">
        <f>IF(ISBLANK(input_wld_az2_host9_fqdn),"Value Missing",input_wld_az2_host9_fqdn)</f>
        <v>Value Missing</v>
      </c>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row>
    <row r="486" ht="19.5" customHeight="1">
      <c r="A486" s="41"/>
      <c r="B486" s="41"/>
      <c r="C486" s="41"/>
      <c r="D486" s="41"/>
      <c r="E486" s="41"/>
      <c r="F486" s="41"/>
      <c r="G486" s="41"/>
      <c r="H486" s="84" t="s">
        <v>1951</v>
      </c>
      <c r="I486" s="18" t="str">
        <f>IF(ISBLANK(input_wld_az2_host10_fqdn),"Value Missing",input_wld_az2_host10_fqdn)</f>
        <v>Value Missing</v>
      </c>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row>
    <row r="487" ht="19.5" customHeight="1">
      <c r="A487" s="41"/>
      <c r="B487" s="41"/>
      <c r="C487" s="41"/>
      <c r="D487" s="41"/>
      <c r="E487" s="41"/>
      <c r="F487" s="41"/>
      <c r="G487" s="41"/>
      <c r="H487" s="84" t="s">
        <v>1953</v>
      </c>
      <c r="I487" s="18" t="str">
        <f>IF(ISBLANK(input_wld_az2_host11_fqdn),"Value Missing",input_wld_az2_host11_fqdn)</f>
        <v>Value Missing</v>
      </c>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row>
    <row r="488" ht="19.5" customHeight="1">
      <c r="A488" s="41"/>
      <c r="B488" s="41"/>
      <c r="C488" s="41"/>
      <c r="D488" s="41"/>
      <c r="E488" s="41"/>
      <c r="F488" s="41"/>
      <c r="G488" s="41"/>
      <c r="H488" s="84" t="s">
        <v>1955</v>
      </c>
      <c r="I488" s="18" t="str">
        <f>IF(ISBLANK(input_wld_az2_host12_fqdn),"Value Missing",input_wld_az2_host12_fqdn)</f>
        <v>Value Missing</v>
      </c>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row>
    <row r="489" ht="19.5" customHeight="1">
      <c r="A489" s="41"/>
      <c r="B489" s="41"/>
      <c r="C489" s="41"/>
      <c r="D489" s="41"/>
      <c r="E489" s="41"/>
      <c r="F489" s="41"/>
      <c r="G489" s="41"/>
      <c r="H489" s="84" t="s">
        <v>1957</v>
      </c>
      <c r="I489" s="18" t="str">
        <f>IF(ISBLANK(input_wld_az2_host13_fqdn),"Value Missing",input_wld_az2_host13_fqdn)</f>
        <v>Value Missing</v>
      </c>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row>
    <row r="490" ht="19.5" customHeight="1">
      <c r="A490" s="41"/>
      <c r="B490" s="41"/>
      <c r="C490" s="41"/>
      <c r="D490" s="41"/>
      <c r="E490" s="41"/>
      <c r="F490" s="41"/>
      <c r="G490" s="41"/>
      <c r="H490" s="84" t="s">
        <v>1958</v>
      </c>
      <c r="I490" s="18" t="str">
        <f>IF(ISBLANK(input_wld_az2_host14_fqdn),"Value Missing",input_wld_az2_host14_fqdn)</f>
        <v>Value Missing</v>
      </c>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row>
    <row r="491" ht="19.5" customHeight="1">
      <c r="A491" s="41"/>
      <c r="B491" s="41"/>
      <c r="C491" s="41"/>
      <c r="D491" s="41"/>
      <c r="E491" s="41"/>
      <c r="F491" s="41"/>
      <c r="G491" s="41"/>
      <c r="H491" s="84" t="s">
        <v>1961</v>
      </c>
      <c r="I491" s="18" t="str">
        <f>IF(ISBLANK(input_wld_az2_host15_fqdn),"Value Missing",input_wld_az2_host15_fqdn)</f>
        <v>Value Missing</v>
      </c>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row>
    <row r="492" ht="19.5" customHeight="1">
      <c r="A492" s="41"/>
      <c r="B492" s="41"/>
      <c r="C492" s="41"/>
      <c r="D492" s="41"/>
      <c r="E492" s="41"/>
      <c r="F492" s="41"/>
      <c r="G492" s="41"/>
      <c r="H492" s="84" t="s">
        <v>1962</v>
      </c>
      <c r="I492" s="18" t="str">
        <f>IF(ISBLANK(input_wld_az2_host16_fqdn),"Value Missing",input_wld_az2_host16_fqdn)</f>
        <v>Value Missing</v>
      </c>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row>
    <row r="493" ht="19.5" customHeight="1">
      <c r="A493" s="41"/>
      <c r="B493" s="41"/>
      <c r="C493" s="41"/>
      <c r="D493" s="41"/>
      <c r="E493" s="41"/>
      <c r="F493" s="41"/>
      <c r="G493" s="41"/>
      <c r="H493" s="41"/>
      <c r="I493" s="114"/>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row>
    <row r="494" ht="19.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row>
    <row r="495" ht="19.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row>
    <row r="496" ht="19.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row>
    <row r="497" ht="19.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row>
    <row r="498" ht="19.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row>
    <row r="499" ht="19.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row>
    <row r="500" ht="19.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row>
    <row r="501" ht="19.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row>
    <row r="502" ht="19.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row>
    <row r="503" ht="19.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row>
    <row r="504" ht="19.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row>
    <row r="505" ht="19.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row>
    <row r="506" ht="19.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row>
    <row r="507" ht="19.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row>
    <row r="508" ht="19.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row>
    <row r="509" ht="19.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row>
    <row r="510" ht="19.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row>
    <row r="511" ht="19.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row>
    <row r="512" ht="19.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row>
    <row r="513" ht="19.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row>
    <row r="514" ht="19.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row>
    <row r="515" ht="19.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row>
    <row r="516" ht="19.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row>
    <row r="517" ht="19.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row>
    <row r="518" ht="19.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row>
    <row r="519" ht="19.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row>
    <row r="520" ht="19.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row>
    <row r="521" ht="19.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row>
    <row r="522" ht="19.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row>
    <row r="523" ht="19.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row>
    <row r="524" ht="19.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row>
    <row r="525" ht="19.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row>
    <row r="526" ht="19.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row>
    <row r="527" ht="19.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row>
    <row r="528" ht="19.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row>
    <row r="529" ht="19.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row>
    <row r="530" ht="19.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row>
    <row r="531" ht="19.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row>
    <row r="532" ht="19.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row>
    <row r="533" ht="19.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row>
    <row r="534" ht="19.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row>
    <row r="535" ht="19.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row>
    <row r="536" ht="19.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row>
    <row r="537" ht="19.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row>
    <row r="538" ht="19.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row>
    <row r="539" ht="19.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row>
    <row r="540" ht="19.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row>
    <row r="541" ht="19.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row>
    <row r="542" ht="19.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row>
    <row r="543" ht="19.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row>
    <row r="544" ht="19.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row>
    <row r="545" ht="19.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row>
    <row r="546" ht="19.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row>
    <row r="547" ht="19.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row>
    <row r="548" ht="19.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row>
    <row r="549" ht="19.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row>
    <row r="550" ht="19.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row>
    <row r="551" ht="19.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row>
    <row r="552" ht="19.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row>
    <row r="553" ht="19.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row>
    <row r="554" ht="19.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row>
    <row r="555" ht="19.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row>
    <row r="556" ht="19.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row>
    <row r="557" ht="19.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row>
    <row r="558" ht="19.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row>
    <row r="559" ht="19.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row>
    <row r="560" ht="19.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row>
    <row r="561" ht="19.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row>
    <row r="562" ht="19.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row>
    <row r="563" ht="19.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row>
    <row r="564" ht="19.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row>
    <row r="565" ht="19.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row>
    <row r="566" ht="19.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row>
    <row r="567" ht="19.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row>
    <row r="568" ht="19.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row>
    <row r="569" ht="19.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row>
    <row r="570" ht="19.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row>
    <row r="571" ht="19.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row>
    <row r="572" ht="19.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row>
    <row r="573" ht="19.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row>
    <row r="574" ht="19.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row>
    <row r="575" ht="19.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row>
    <row r="576" ht="19.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row>
    <row r="577" ht="19.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row>
    <row r="578" ht="19.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row>
    <row r="579" ht="19.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row>
    <row r="580" ht="19.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row>
    <row r="581" ht="19.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row>
    <row r="582" ht="19.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row>
    <row r="583" ht="19.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row>
    <row r="584" ht="19.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row>
    <row r="585" ht="19.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row>
    <row r="586" ht="19.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row>
    <row r="587" ht="19.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row>
    <row r="588" ht="19.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row>
    <row r="589" ht="19.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row>
    <row r="590" ht="19.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row>
    <row r="591" ht="19.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row>
    <row r="592" ht="19.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row>
    <row r="593" ht="19.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row>
    <row r="594" ht="19.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row>
    <row r="595" ht="19.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row>
    <row r="596" ht="19.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row>
    <row r="597" ht="19.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row>
    <row r="598" ht="19.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row>
    <row r="599" ht="19.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row>
    <row r="600" ht="19.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row>
    <row r="601" ht="19.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row>
    <row r="602" ht="19.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row>
    <row r="603" ht="19.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row>
    <row r="604" ht="19.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row>
    <row r="605" ht="19.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row>
    <row r="606" ht="19.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row>
    <row r="607" ht="19.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row>
    <row r="608" ht="19.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row>
    <row r="609" ht="19.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row>
    <row r="610" ht="19.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row>
    <row r="611" ht="19.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row>
    <row r="612" ht="19.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row>
    <row r="613" ht="19.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row>
    <row r="614" ht="19.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row>
    <row r="615" ht="19.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row>
    <row r="616" ht="19.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row>
    <row r="617" ht="19.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row>
    <row r="618" ht="19.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row>
    <row r="619" ht="19.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row>
    <row r="620" ht="19.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row>
    <row r="621" ht="19.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row>
    <row r="622" ht="19.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row>
    <row r="623" ht="19.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row>
    <row r="624" ht="19.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row>
    <row r="625" ht="19.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row>
    <row r="626" ht="19.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row>
    <row r="627" ht="19.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row>
    <row r="628" ht="19.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row>
    <row r="629" ht="19.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row>
    <row r="630" ht="19.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row>
    <row r="631" ht="19.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row>
    <row r="632" ht="19.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row>
    <row r="633" ht="19.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row>
    <row r="634" ht="19.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row>
    <row r="635" ht="19.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row>
    <row r="636" ht="19.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row>
    <row r="637" ht="19.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row>
    <row r="638" ht="19.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row>
    <row r="639" ht="19.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row>
    <row r="640" ht="19.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row>
    <row r="641" ht="19.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row>
    <row r="642" ht="19.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row>
    <row r="643" ht="19.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row>
    <row r="644" ht="19.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row>
    <row r="645" ht="19.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row>
    <row r="646" ht="19.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row>
    <row r="647" ht="19.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row>
    <row r="648" ht="19.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row>
    <row r="649" ht="19.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row>
    <row r="650" ht="19.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row>
    <row r="651" ht="19.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row>
    <row r="652" ht="19.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row>
    <row r="653" ht="19.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row>
    <row r="654" ht="19.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row>
    <row r="655" ht="19.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row>
    <row r="656" ht="19.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row>
    <row r="657" ht="19.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row>
    <row r="658" ht="19.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row>
    <row r="659" ht="19.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row>
    <row r="660" ht="19.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row>
    <row r="661" ht="19.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row>
    <row r="662" ht="19.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row>
    <row r="663" ht="19.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row>
    <row r="664" ht="19.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row>
    <row r="665" ht="19.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row>
    <row r="666" ht="19.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row>
    <row r="667" ht="19.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row>
    <row r="668" ht="19.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row>
    <row r="669" ht="19.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row>
    <row r="670" ht="19.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row>
    <row r="671" ht="19.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row>
    <row r="672" ht="19.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row>
    <row r="673" ht="19.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row>
    <row r="674" ht="19.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row>
    <row r="675" ht="19.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row>
    <row r="676" ht="19.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row>
    <row r="677" ht="19.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row>
    <row r="678" ht="19.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row>
    <row r="679" ht="19.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row>
    <row r="680" ht="19.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row>
    <row r="681" ht="19.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row>
    <row r="682" ht="19.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row>
    <row r="683" ht="19.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row>
    <row r="684" ht="19.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row>
    <row r="685" ht="19.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row>
    <row r="686" ht="19.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row>
    <row r="687" ht="19.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row>
    <row r="688" ht="19.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row>
    <row r="689" ht="19.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row>
    <row r="690" ht="19.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row>
    <row r="691" ht="19.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row>
    <row r="692" ht="19.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row>
    <row r="693" ht="19.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row>
    <row r="694" ht="19.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row>
    <row r="695" ht="19.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row>
    <row r="696" ht="19.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row>
    <row r="697" ht="19.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row>
    <row r="698" ht="19.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row>
    <row r="699" ht="19.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row>
    <row r="700" ht="19.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row>
    <row r="701" ht="19.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row>
    <row r="702" ht="19.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row>
    <row r="703" ht="19.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row>
    <row r="704" ht="19.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row>
    <row r="705" ht="19.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row>
    <row r="706" ht="19.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row>
    <row r="707" ht="19.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row>
    <row r="708" ht="19.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row>
    <row r="709" ht="19.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row>
    <row r="710" ht="19.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row>
    <row r="711" ht="19.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row>
    <row r="712" ht="19.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row>
    <row r="713" ht="19.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row>
    <row r="714" ht="19.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row>
    <row r="715" ht="19.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row>
    <row r="716" ht="19.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row>
    <row r="717" ht="19.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row>
    <row r="718" ht="19.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row>
    <row r="719" ht="19.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row>
    <row r="720" ht="19.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row>
    <row r="721" ht="19.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row>
    <row r="722" ht="19.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row>
    <row r="723" ht="19.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row>
    <row r="724" ht="19.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row>
    <row r="725" ht="19.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row>
    <row r="726" ht="19.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row>
    <row r="727" ht="19.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row>
    <row r="728" ht="19.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row>
    <row r="729" ht="19.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row>
    <row r="730" ht="19.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row>
    <row r="731" ht="19.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row>
    <row r="732" ht="19.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row>
    <row r="733" ht="19.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row>
    <row r="734" ht="19.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row>
    <row r="735" ht="19.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row>
    <row r="736" ht="19.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row>
    <row r="737" ht="19.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row>
    <row r="738" ht="19.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row>
    <row r="739" ht="19.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row>
    <row r="740" ht="19.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row>
    <row r="741" ht="19.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row>
    <row r="742" ht="19.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row>
    <row r="743" ht="19.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row>
    <row r="744" ht="19.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row>
    <row r="745" ht="19.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row>
    <row r="746" ht="19.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row>
    <row r="747" ht="19.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row>
    <row r="748" ht="19.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row>
    <row r="749" ht="19.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row>
    <row r="750" ht="19.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row>
    <row r="751" ht="19.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row>
    <row r="752" ht="19.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row>
    <row r="753" ht="19.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row>
    <row r="754" ht="19.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row>
    <row r="755" ht="19.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row>
    <row r="756" ht="19.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row>
    <row r="757" ht="19.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row>
    <row r="758" ht="19.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row>
    <row r="759" ht="19.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row>
    <row r="760" ht="19.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row>
    <row r="761" ht="19.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row>
    <row r="762" ht="19.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row>
    <row r="763" ht="19.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row>
    <row r="764" ht="19.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row>
    <row r="765" ht="19.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row>
    <row r="766" ht="19.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row>
    <row r="767" ht="19.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row>
    <row r="768" ht="19.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row>
    <row r="769" ht="19.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row>
    <row r="770" ht="19.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row>
    <row r="771" ht="19.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row>
    <row r="772" ht="19.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row>
    <row r="773" ht="19.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row>
    <row r="774" ht="19.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row>
    <row r="775" ht="19.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row>
    <row r="776" ht="19.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row>
    <row r="777" ht="19.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row>
    <row r="778" ht="19.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row>
    <row r="779" ht="19.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row>
    <row r="780" ht="19.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row>
    <row r="781" ht="19.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row>
    <row r="782" ht="19.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row>
    <row r="783" ht="19.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row>
    <row r="784" ht="19.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row>
    <row r="785" ht="19.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row>
    <row r="786" ht="19.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row>
    <row r="787" ht="19.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row>
    <row r="788" ht="19.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row>
    <row r="789" ht="19.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row>
    <row r="790" ht="19.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row>
    <row r="791" ht="19.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row>
    <row r="792" ht="19.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row>
    <row r="793" ht="19.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row>
    <row r="794" ht="19.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row>
    <row r="795" ht="19.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row>
    <row r="796" ht="19.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row>
    <row r="797" ht="19.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row>
    <row r="798" ht="19.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row>
    <row r="799" ht="19.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row>
    <row r="800" ht="19.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row>
    <row r="801" ht="19.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row>
    <row r="802" ht="19.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row>
    <row r="803" ht="19.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row>
    <row r="804" ht="19.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row>
    <row r="805" ht="19.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row>
    <row r="806" ht="19.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row>
    <row r="807" ht="19.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row>
    <row r="808" ht="19.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row>
    <row r="809" ht="19.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row>
    <row r="810" ht="19.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row>
    <row r="811" ht="19.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row>
    <row r="812" ht="19.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row>
    <row r="813" ht="19.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row>
    <row r="814" ht="19.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row>
    <row r="815" ht="19.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row>
    <row r="816" ht="19.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row>
    <row r="817" ht="19.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row>
    <row r="818" ht="19.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row>
    <row r="819" ht="19.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row>
    <row r="820" ht="19.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row>
    <row r="821" ht="19.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row>
    <row r="822" ht="19.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row>
    <row r="823" ht="19.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row>
    <row r="824" ht="19.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row>
    <row r="825" ht="19.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row>
    <row r="826" ht="19.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row>
    <row r="827" ht="19.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row>
    <row r="828" ht="19.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row>
    <row r="829" ht="19.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row>
    <row r="830" ht="19.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row>
    <row r="831" ht="19.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row>
    <row r="832" ht="19.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row>
    <row r="833" ht="19.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row>
    <row r="834" ht="19.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row>
    <row r="835" ht="19.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row>
    <row r="836" ht="19.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row>
    <row r="837" ht="19.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row>
    <row r="838" ht="19.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row>
    <row r="839" ht="19.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row>
    <row r="840" ht="19.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row>
    <row r="841" ht="19.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row>
    <row r="842" ht="19.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row>
    <row r="843" ht="19.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row>
    <row r="844" ht="19.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row>
    <row r="845" ht="19.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row>
    <row r="846" ht="19.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row>
    <row r="847" ht="19.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row>
    <row r="848" ht="19.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row>
    <row r="849" ht="19.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row>
    <row r="850" ht="19.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row>
    <row r="851" ht="19.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row>
    <row r="852" ht="19.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row>
    <row r="853" ht="19.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row>
    <row r="854" ht="19.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row>
    <row r="855" ht="19.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row>
    <row r="856" ht="19.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row>
    <row r="857" ht="19.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row>
    <row r="858" ht="19.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row>
    <row r="859" ht="19.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row>
    <row r="860" ht="19.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row>
    <row r="861" ht="19.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row>
    <row r="862" ht="19.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row>
    <row r="863" ht="19.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row>
    <row r="864" ht="19.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row>
    <row r="865" ht="19.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row>
    <row r="866" ht="19.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row>
    <row r="867" ht="19.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row>
    <row r="868" ht="19.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row>
    <row r="869" ht="19.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row>
    <row r="870" ht="19.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row>
    <row r="871" ht="19.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row>
    <row r="872" ht="19.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row>
    <row r="873" ht="19.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row>
    <row r="874" ht="19.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row>
    <row r="875" ht="19.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row>
    <row r="876" ht="19.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row>
    <row r="877" ht="19.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row>
    <row r="878" ht="19.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row>
    <row r="879" ht="19.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row>
    <row r="880" ht="19.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row>
    <row r="881" ht="19.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row>
    <row r="882" ht="19.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row>
    <row r="883" ht="19.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row>
    <row r="884" ht="19.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row>
    <row r="885" ht="19.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row>
    <row r="886" ht="19.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row>
    <row r="887" ht="19.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row>
    <row r="888" ht="19.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row>
    <row r="889" ht="19.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row>
    <row r="890" ht="19.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row>
    <row r="891" ht="19.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row>
    <row r="892" ht="19.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row>
    <row r="893" ht="19.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row>
    <row r="894" ht="19.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row>
    <row r="895" ht="19.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row>
    <row r="896" ht="19.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row>
    <row r="897" ht="19.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row>
    <row r="898" ht="19.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row>
    <row r="899" ht="19.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row>
    <row r="900" ht="19.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row>
    <row r="901" ht="19.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row>
    <row r="902" ht="19.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row>
    <row r="903" ht="19.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row>
    <row r="904" ht="19.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row>
    <row r="905" ht="19.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row>
    <row r="906" ht="19.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row>
    <row r="907" ht="19.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row>
    <row r="908" ht="19.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row>
    <row r="909" ht="19.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row>
    <row r="910" ht="19.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row>
    <row r="911" ht="19.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row>
    <row r="912" ht="19.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row>
    <row r="913" ht="19.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row>
    <row r="914" ht="19.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row>
    <row r="915" ht="19.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row>
    <row r="916" ht="19.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row>
    <row r="917" ht="19.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row>
    <row r="918" ht="19.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row>
    <row r="919" ht="19.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row>
    <row r="920" ht="19.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row>
    <row r="921" ht="19.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row>
    <row r="922" ht="19.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row>
    <row r="923" ht="19.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row>
    <row r="924" ht="19.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row>
    <row r="925" ht="19.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row>
    <row r="926" ht="19.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row>
    <row r="927" ht="19.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row>
    <row r="928" ht="19.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row>
    <row r="929" ht="19.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row>
    <row r="930" ht="19.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row>
    <row r="931" ht="19.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row>
    <row r="932" ht="19.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row>
    <row r="933" ht="19.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row>
    <row r="934" ht="19.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row>
    <row r="935" ht="19.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row>
    <row r="936" ht="19.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row>
    <row r="937" ht="19.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row>
    <row r="938" ht="19.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row>
    <row r="939" ht="19.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row>
    <row r="940" ht="19.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row>
    <row r="941" ht="19.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row>
    <row r="942" ht="19.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row>
    <row r="943" ht="19.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row>
    <row r="944" ht="19.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row>
    <row r="945" ht="19.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row>
    <row r="946" ht="19.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row>
    <row r="947" ht="19.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row>
    <row r="948" ht="19.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row>
    <row r="949" ht="19.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row>
    <row r="950" ht="19.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row>
    <row r="951" ht="19.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row>
    <row r="952" ht="19.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row>
    <row r="953" ht="19.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row>
    <row r="954" ht="19.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row>
    <row r="955" ht="19.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row>
    <row r="956" ht="19.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row>
    <row r="957" ht="19.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row>
    <row r="958" ht="19.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row>
    <row r="959" ht="19.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row>
    <row r="960" ht="19.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row>
    <row r="961" ht="19.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row>
    <row r="962" ht="19.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row>
    <row r="963" ht="19.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row>
    <row r="964" ht="19.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row>
    <row r="965" ht="19.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row>
    <row r="966" ht="19.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row>
    <row r="967" ht="19.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row>
    <row r="968" ht="19.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row>
    <row r="969" ht="19.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row>
    <row r="970" ht="19.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row>
    <row r="971" ht="19.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row>
    <row r="972" ht="19.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row>
    <row r="973" ht="19.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row>
    <row r="974" ht="19.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row>
    <row r="975" ht="19.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row>
    <row r="976" ht="19.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row>
    <row r="977" ht="19.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row>
    <row r="978" ht="19.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row>
    <row r="979" ht="19.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row>
    <row r="980" ht="19.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row>
    <row r="981" ht="19.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row>
    <row r="982" ht="19.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row>
    <row r="983" ht="19.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row>
    <row r="984" ht="19.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row>
    <row r="985" ht="19.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row>
    <row r="986" ht="19.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row>
    <row r="987" ht="19.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row>
    <row r="988" ht="19.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row>
    <row r="989" ht="19.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row>
    <row r="990" ht="19.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row>
    <row r="991" ht="19.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row>
    <row r="992" ht="19.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row>
    <row r="993" ht="19.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row>
    <row r="994" ht="19.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row>
    <row r="995" ht="19.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row>
    <row r="996" ht="19.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row>
    <row r="997" ht="19.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row>
    <row r="998" ht="19.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row>
    <row r="999" ht="19.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row>
    <row r="1000" ht="19.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row>
  </sheetData>
  <mergeCells count="33">
    <mergeCell ref="E2:M2"/>
    <mergeCell ref="E3:M3"/>
    <mergeCell ref="B6:C6"/>
    <mergeCell ref="E6:F6"/>
    <mergeCell ref="AG6:AH6"/>
    <mergeCell ref="AG17:AH17"/>
    <mergeCell ref="B21:C21"/>
    <mergeCell ref="Q200:R200"/>
    <mergeCell ref="T200:U200"/>
    <mergeCell ref="W200:X200"/>
    <mergeCell ref="Z200:AA200"/>
    <mergeCell ref="N176:O176"/>
    <mergeCell ref="Q176:R176"/>
    <mergeCell ref="T176:U176"/>
    <mergeCell ref="W176:X176"/>
    <mergeCell ref="Z176:AA176"/>
    <mergeCell ref="AC176:AD176"/>
    <mergeCell ref="N200:O200"/>
    <mergeCell ref="AC200:AD200"/>
    <mergeCell ref="E176:F176"/>
    <mergeCell ref="E216:F216"/>
    <mergeCell ref="H216:I216"/>
    <mergeCell ref="E403:F403"/>
    <mergeCell ref="H411:I411"/>
    <mergeCell ref="E448:F448"/>
    <mergeCell ref="H456:I456"/>
    <mergeCell ref="B31:C31"/>
    <mergeCell ref="B43:C43"/>
    <mergeCell ref="B51:C51"/>
    <mergeCell ref="B59:C59"/>
    <mergeCell ref="H176:I176"/>
    <mergeCell ref="K176:L176"/>
    <mergeCell ref="K200:L200"/>
  </mergeCells>
  <conditionalFormatting sqref="C8:C19 C34:C36 C38:C41 C45:C49 C53:C57 C61">
    <cfRule type="notContainsBlanks" dxfId="0" priority="1">
      <formula>LEN(TRIM(C8))&gt;0</formula>
    </cfRule>
  </conditionalFormatting>
  <conditionalFormatting sqref="C23:C29">
    <cfRule type="notContainsBlanks" dxfId="0" priority="2">
      <formula>LEN(TRIM(C23))&gt;0</formula>
    </cfRule>
  </conditionalFormatting>
  <conditionalFormatting sqref="F120">
    <cfRule type="notContainsBlanks" dxfId="0" priority="3">
      <formula>LEN(TRIM(F120))&gt;0</formula>
    </cfRule>
  </conditionalFormatting>
  <conditionalFormatting sqref="F120">
    <cfRule type="containsBlanks" dxfId="7" priority="4">
      <formula>LEN(TRIM(F120))=0</formula>
    </cfRule>
  </conditionalFormatting>
  <conditionalFormatting sqref="F134:F135">
    <cfRule type="notContainsBlanks" dxfId="0" priority="5">
      <formula>LEN(TRIM(F134))&gt;0</formula>
    </cfRule>
  </conditionalFormatting>
  <conditionalFormatting sqref="F134:F135">
    <cfRule type="containsBlanks" dxfId="7" priority="6">
      <formula>LEN(TRIM(F134))=0</formula>
    </cfRule>
  </conditionalFormatting>
  <conditionalFormatting sqref="F145">
    <cfRule type="notContainsBlanks" dxfId="0" priority="7">
      <formula>LEN(TRIM(F145))&gt;0</formula>
    </cfRule>
  </conditionalFormatting>
  <conditionalFormatting sqref="F145">
    <cfRule type="containsBlanks" dxfId="7" priority="8">
      <formula>LEN(TRIM(F145))=0</formula>
    </cfRule>
  </conditionalFormatting>
  <conditionalFormatting sqref="F170">
    <cfRule type="notContainsBlanks" dxfId="0" priority="9">
      <formula>LEN(TRIM(F170))&gt;0</formula>
    </cfRule>
  </conditionalFormatting>
  <conditionalFormatting sqref="F170">
    <cfRule type="containsBlanks" dxfId="7" priority="10">
      <formula>LEN(TRIM(F170))=0</formula>
    </cfRule>
  </conditionalFormatting>
  <conditionalFormatting sqref="F170">
    <cfRule type="expression" dxfId="22" priority="11">
      <formula>(VROPS_Result="Excluded")</formula>
    </cfRule>
  </conditionalFormatting>
  <conditionalFormatting sqref="F170">
    <cfRule type="expression" dxfId="22" priority="12">
      <formula>AND((VRLI_Result="Excluded"),(VROPS_Result="Excluded"),(VRA_Result="Excluded"))</formula>
    </cfRule>
  </conditionalFormatting>
  <conditionalFormatting sqref="F170">
    <cfRule type="notContainsBlanks" dxfId="0" priority="13">
      <formula>LEN(TRIM(F170))&gt;0</formula>
    </cfRule>
  </conditionalFormatting>
  <conditionalFormatting sqref="F170">
    <cfRule type="containsBlanks" dxfId="7" priority="14">
      <formula>LEN(TRIM(F170))=0</formula>
    </cfRule>
  </conditionalFormatting>
  <conditionalFormatting sqref="F170">
    <cfRule type="expression" dxfId="22" priority="15">
      <formula>(VROPS_Result="Excluded")</formula>
    </cfRule>
  </conditionalFormatting>
  <conditionalFormatting sqref="F170">
    <cfRule type="expression" dxfId="22" priority="16">
      <formula>AND((VRLI_Result="Excluded"),(VROPS_Result="Excluded"),(VRA_Result="Excluded"))</formula>
    </cfRule>
  </conditionalFormatting>
  <conditionalFormatting sqref="I140">
    <cfRule type="notContainsBlanks" dxfId="0" priority="17">
      <formula>LEN(TRIM(I140))&gt;0</formula>
    </cfRule>
  </conditionalFormatting>
  <conditionalFormatting sqref="I140">
    <cfRule type="containsBlanks" dxfId="7" priority="18">
      <formula>LEN(TRIM(I140))=0</formula>
    </cfRule>
  </conditionalFormatting>
  <conditionalFormatting sqref="I140">
    <cfRule type="expression" dxfId="22" priority="19">
      <formula>(VROPS_Result="Excluded")</formula>
    </cfRule>
  </conditionalFormatting>
  <conditionalFormatting sqref="I140">
    <cfRule type="expression" dxfId="22" priority="20">
      <formula>AND((VRLI_Result="Excluded"),(VROPS_Result="Excluded"),(VRA_Result="Excluded"))</formula>
    </cfRule>
  </conditionalFormatting>
  <conditionalFormatting sqref="L260 N260 P260">
    <cfRule type="notContainsBlanks" dxfId="26" priority="21" stopIfTrue="1">
      <formula>LEN(TRIM(L260))&gt;0</formula>
    </cfRule>
  </conditionalFormatting>
  <conditionalFormatting sqref="L260 N260 P260">
    <cfRule type="containsBlanks" dxfId="27" priority="22">
      <formula>LEN(TRIM(L260))=0</formula>
    </cfRule>
  </conditionalFormatting>
  <conditionalFormatting sqref="L261 N261 P261">
    <cfRule type="notContainsBlanks" dxfId="26" priority="23" stopIfTrue="1">
      <formula>LEN(TRIM(L261))&gt;0</formula>
    </cfRule>
  </conditionalFormatting>
  <conditionalFormatting sqref="L261 N261 P261">
    <cfRule type="containsBlanks" dxfId="27" priority="24">
      <formula>LEN(TRIM(L261))=0</formula>
    </cfRule>
  </conditionalFormatting>
  <conditionalFormatting sqref="L262 N262 P262">
    <cfRule type="notContainsBlanks" dxfId="26" priority="25" stopIfTrue="1">
      <formula>LEN(TRIM(L262))&gt;0</formula>
    </cfRule>
  </conditionalFormatting>
  <conditionalFormatting sqref="L262 N262 P262">
    <cfRule type="containsBlanks" dxfId="27" priority="26">
      <formula>LEN(TRIM(L262))=0</formula>
    </cfRule>
  </conditionalFormatting>
  <conditionalFormatting sqref="L263 N263 P263">
    <cfRule type="notContainsBlanks" dxfId="26" priority="27" stopIfTrue="1">
      <formula>LEN(TRIM(L263))&gt;0</formula>
    </cfRule>
  </conditionalFormatting>
  <conditionalFormatting sqref="L263 N263 P263">
    <cfRule type="containsBlanks" dxfId="27" priority="28">
      <formula>LEN(TRIM(L263))=0</formula>
    </cfRule>
  </conditionalFormatting>
  <conditionalFormatting sqref="L264 N264 P264">
    <cfRule type="notContainsBlanks" dxfId="26" priority="29" stopIfTrue="1">
      <formula>LEN(TRIM(L264))&gt;0</formula>
    </cfRule>
  </conditionalFormatting>
  <conditionalFormatting sqref="L264 N264 P264">
    <cfRule type="containsBlanks" dxfId="27" priority="30">
      <formula>LEN(TRIM(L264))=0</formula>
    </cfRule>
  </conditionalFormatting>
  <conditionalFormatting sqref="L265 N265 P265">
    <cfRule type="notContainsBlanks" dxfId="26" priority="31" stopIfTrue="1">
      <formula>LEN(TRIM(L265))&gt;0</formula>
    </cfRule>
  </conditionalFormatting>
  <conditionalFormatting sqref="L265 N265 P265">
    <cfRule type="containsBlanks" dxfId="27" priority="32">
      <formula>LEN(TRIM(L265))=0</formula>
    </cfRule>
  </conditionalFormatting>
  <conditionalFormatting sqref="R260">
    <cfRule type="notContainsBlanks" dxfId="26" priority="33" stopIfTrue="1">
      <formula>LEN(TRIM(R260))&gt;0</formula>
    </cfRule>
  </conditionalFormatting>
  <conditionalFormatting sqref="R260">
    <cfRule type="containsBlanks" dxfId="27" priority="34" stopIfTrue="1">
      <formula>LEN(TRIM(R260))=0</formula>
    </cfRule>
  </conditionalFormatting>
  <conditionalFormatting sqref="R261">
    <cfRule type="notContainsBlanks" dxfId="26" priority="35" stopIfTrue="1">
      <formula>LEN(TRIM(R261))&gt;0</formula>
    </cfRule>
  </conditionalFormatting>
  <conditionalFormatting sqref="R261">
    <cfRule type="containsBlanks" dxfId="27" priority="36" stopIfTrue="1">
      <formula>LEN(TRIM(R261))=0</formula>
    </cfRule>
  </conditionalFormatting>
  <conditionalFormatting sqref="R262">
    <cfRule type="notContainsBlanks" dxfId="26" priority="37" stopIfTrue="1">
      <formula>LEN(TRIM(R262))&gt;0</formula>
    </cfRule>
  </conditionalFormatting>
  <conditionalFormatting sqref="R262">
    <cfRule type="containsBlanks" dxfId="27" priority="38" stopIfTrue="1">
      <formula>LEN(TRIM(R262))=0</formula>
    </cfRule>
  </conditionalFormatting>
  <conditionalFormatting sqref="R263">
    <cfRule type="notContainsBlanks" dxfId="26" priority="39" stopIfTrue="1">
      <formula>LEN(TRIM(R263))&gt;0</formula>
    </cfRule>
  </conditionalFormatting>
  <conditionalFormatting sqref="R263">
    <cfRule type="containsBlanks" dxfId="27" priority="40" stopIfTrue="1">
      <formula>LEN(TRIM(R263))=0</formula>
    </cfRule>
  </conditionalFormatting>
  <conditionalFormatting sqref="R264">
    <cfRule type="notContainsBlanks" dxfId="26" priority="41" stopIfTrue="1">
      <formula>LEN(TRIM(R264))&gt;0</formula>
    </cfRule>
  </conditionalFormatting>
  <conditionalFormatting sqref="R264">
    <cfRule type="containsBlanks" dxfId="27" priority="42" stopIfTrue="1">
      <formula>LEN(TRIM(R264))=0</formula>
    </cfRule>
  </conditionalFormatting>
  <conditionalFormatting sqref="R265">
    <cfRule type="notContainsBlanks" dxfId="26" priority="43" stopIfTrue="1">
      <formula>LEN(TRIM(R265))&gt;0</formula>
    </cfRule>
  </conditionalFormatting>
  <conditionalFormatting sqref="R265">
    <cfRule type="containsBlanks" dxfId="27" priority="44" stopIfTrue="1">
      <formula>LEN(TRIM(R265))=0</formula>
    </cfRule>
  </conditionalFormatting>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57.0"/>
    <col customWidth="1" min="3" max="3" width="44.78"/>
    <col customWidth="1" min="4" max="4" width="2.78"/>
    <col customWidth="1" min="5" max="5" width="73.67"/>
    <col customWidth="1" min="6" max="6" width="45.33"/>
    <col customWidth="1" min="7" max="7" width="2.78"/>
    <col customWidth="1" min="8" max="8" width="58.33"/>
    <col customWidth="1" min="9" max="9" width="41.78"/>
    <col customWidth="1" min="10" max="10" width="2.78"/>
    <col customWidth="1" min="11" max="11" width="57.11"/>
    <col customWidth="1" min="12" max="12" width="73.78"/>
    <col customWidth="1" min="13" max="13" width="2.78"/>
    <col customWidth="1" min="14" max="14" width="73.78"/>
    <col customWidth="1" min="15" max="15" width="50.78"/>
    <col customWidth="1" min="16" max="16" width="2.78"/>
    <col customWidth="1" min="17" max="17" width="71.78"/>
    <col customWidth="1" min="18" max="18" width="57.67"/>
    <col customWidth="1" min="19" max="19" width="2.78"/>
    <col customWidth="1" min="20" max="20" width="85.33"/>
    <col customWidth="1" min="21" max="21" width="72.78"/>
    <col customWidth="1" min="22" max="22" width="2.78"/>
    <col customWidth="1" min="23" max="23" width="69.0"/>
    <col customWidth="1" min="24" max="24" width="59.33"/>
    <col customWidth="1" min="25" max="25" width="2.78"/>
    <col customWidth="1" min="26" max="26" width="55.78"/>
    <col customWidth="1" min="27" max="27" width="49.67"/>
    <col customWidth="1" min="28" max="28" width="2.78"/>
    <col customWidth="1" min="29" max="29" width="49.67"/>
    <col customWidth="1" min="30" max="31" width="19.11"/>
    <col customWidth="1" min="32" max="32" width="2.78"/>
  </cols>
  <sheetData>
    <row r="1" ht="15.75" customHeight="1">
      <c r="A1" s="1"/>
      <c r="B1" s="1"/>
      <c r="C1" s="1"/>
      <c r="D1" s="1"/>
      <c r="E1" s="1"/>
      <c r="F1" s="1"/>
      <c r="G1" s="1"/>
      <c r="H1" s="41"/>
      <c r="I1" s="41"/>
      <c r="J1" s="1"/>
      <c r="K1" s="1"/>
      <c r="L1" s="1"/>
      <c r="M1" s="1"/>
      <c r="N1" s="1"/>
      <c r="O1" s="1"/>
      <c r="P1" s="1"/>
      <c r="Q1" s="1"/>
      <c r="R1" s="1"/>
      <c r="S1" s="1"/>
      <c r="T1" s="1"/>
      <c r="U1" s="1"/>
      <c r="V1" s="1"/>
      <c r="W1" s="1"/>
      <c r="X1" s="1"/>
      <c r="Y1" s="1"/>
      <c r="Z1" s="1"/>
      <c r="AA1" s="1"/>
      <c r="AB1" s="1"/>
      <c r="AC1" s="1"/>
      <c r="AD1" s="1"/>
      <c r="AE1" s="1"/>
      <c r="AF1" s="1"/>
    </row>
    <row r="2" ht="54.0" customHeight="1">
      <c r="A2" s="1"/>
      <c r="B2" s="1"/>
      <c r="C2" s="1"/>
      <c r="D2" s="1"/>
      <c r="E2" s="1"/>
      <c r="F2" s="1"/>
      <c r="G2" s="1"/>
      <c r="H2" s="41"/>
      <c r="I2" s="41"/>
      <c r="J2" s="1"/>
      <c r="K2" s="1"/>
      <c r="L2" s="1"/>
      <c r="M2" s="1"/>
      <c r="N2" s="1"/>
      <c r="O2" s="1"/>
      <c r="P2" s="1"/>
      <c r="Q2" s="327"/>
      <c r="R2" s="38"/>
      <c r="S2" s="328"/>
      <c r="T2" s="328"/>
      <c r="U2" s="328"/>
      <c r="V2" s="329"/>
      <c r="W2" s="13"/>
      <c r="X2" s="13"/>
      <c r="Y2" s="13"/>
      <c r="Z2" s="14"/>
      <c r="AA2" s="1"/>
      <c r="AB2" s="1"/>
      <c r="AC2" s="1"/>
      <c r="AD2" s="1"/>
      <c r="AE2" s="1"/>
      <c r="AF2" s="1"/>
    </row>
    <row r="3" ht="19.5" customHeight="1">
      <c r="A3" s="1"/>
      <c r="B3" s="1"/>
      <c r="C3" s="1"/>
      <c r="D3" s="1"/>
      <c r="E3" s="1"/>
      <c r="F3" s="1"/>
      <c r="G3" s="1"/>
      <c r="H3" s="41"/>
      <c r="I3" s="41"/>
      <c r="J3" s="1"/>
      <c r="K3" s="1"/>
      <c r="L3" s="1"/>
      <c r="M3" s="1"/>
      <c r="N3" s="1"/>
      <c r="O3" s="1"/>
      <c r="P3" s="1"/>
      <c r="Q3" s="330" t="s">
        <v>1695</v>
      </c>
      <c r="R3" s="58"/>
      <c r="S3" s="58"/>
      <c r="T3" s="58"/>
      <c r="U3" s="58"/>
      <c r="V3" s="58"/>
      <c r="W3" s="58"/>
      <c r="X3" s="58"/>
      <c r="Y3" s="58"/>
      <c r="Z3" s="98"/>
      <c r="AA3" s="1"/>
      <c r="AB3" s="1"/>
      <c r="AC3" s="1"/>
      <c r="AD3" s="1"/>
      <c r="AE3" s="1"/>
      <c r="AF3" s="1"/>
    </row>
    <row r="4" ht="19.5" customHeight="1">
      <c r="A4" s="1"/>
      <c r="B4" s="1"/>
      <c r="C4" s="1"/>
      <c r="D4" s="1"/>
      <c r="E4" s="1"/>
      <c r="F4" s="1"/>
      <c r="G4" s="1"/>
      <c r="H4" s="41"/>
      <c r="I4" s="41"/>
      <c r="J4" s="1"/>
      <c r="K4" s="1"/>
      <c r="L4" s="1"/>
      <c r="M4" s="1"/>
      <c r="N4" s="1"/>
      <c r="O4" s="1"/>
      <c r="P4" s="1"/>
      <c r="Q4" s="1"/>
      <c r="R4" s="1"/>
      <c r="S4" s="1"/>
      <c r="T4" s="1"/>
      <c r="U4" s="1"/>
      <c r="V4" s="9"/>
      <c r="W4" s="10"/>
      <c r="X4" s="1"/>
      <c r="Y4" s="1"/>
      <c r="Z4" s="1"/>
      <c r="AA4" s="1"/>
      <c r="AB4" s="1"/>
      <c r="AC4" s="1"/>
      <c r="AD4" s="1"/>
      <c r="AE4" s="1"/>
      <c r="AF4" s="1"/>
    </row>
    <row r="5" ht="19.5" customHeight="1">
      <c r="A5" s="1"/>
      <c r="B5" s="1"/>
      <c r="C5" s="1"/>
      <c r="D5" s="1"/>
      <c r="E5" s="1"/>
      <c r="F5" s="1"/>
      <c r="G5" s="1"/>
      <c r="H5" s="41"/>
      <c r="I5" s="41"/>
      <c r="J5" s="1"/>
      <c r="K5" s="1"/>
      <c r="L5" s="1"/>
      <c r="M5" s="1"/>
      <c r="N5" s="1"/>
      <c r="O5" s="1"/>
      <c r="P5" s="1"/>
      <c r="Q5" s="1"/>
      <c r="R5" s="1"/>
      <c r="S5" s="1"/>
      <c r="T5" s="1"/>
      <c r="U5" s="1"/>
      <c r="V5" s="9"/>
      <c r="W5" s="10"/>
      <c r="X5" s="1"/>
      <c r="Y5" s="1"/>
      <c r="Z5" s="1"/>
      <c r="AA5" s="1"/>
      <c r="AB5" s="1"/>
      <c r="AC5" s="1"/>
      <c r="AD5" s="1"/>
      <c r="AE5" s="1"/>
      <c r="AF5" s="1"/>
    </row>
    <row r="6" ht="19.5" customHeight="1">
      <c r="A6" s="1"/>
      <c r="B6" s="331" t="s">
        <v>2027</v>
      </c>
      <c r="C6" s="331"/>
      <c r="D6" s="1"/>
      <c r="E6" s="331" t="s">
        <v>2028</v>
      </c>
      <c r="F6" s="331"/>
      <c r="G6" s="1"/>
      <c r="H6" s="331" t="s">
        <v>2029</v>
      </c>
      <c r="I6" s="331"/>
      <c r="J6" s="1"/>
      <c r="K6" s="332" t="s">
        <v>2030</v>
      </c>
      <c r="L6" s="14"/>
      <c r="M6" s="1"/>
      <c r="N6" s="333" t="s">
        <v>2031</v>
      </c>
      <c r="O6" s="333"/>
      <c r="P6" s="1"/>
      <c r="Q6" s="334" t="s">
        <v>2032</v>
      </c>
      <c r="R6" s="14"/>
      <c r="S6" s="1"/>
      <c r="T6" s="332" t="s">
        <v>2033</v>
      </c>
      <c r="U6" s="14"/>
      <c r="V6" s="9"/>
      <c r="W6" s="332" t="s">
        <v>2034</v>
      </c>
      <c r="X6" s="14"/>
      <c r="Y6" s="1"/>
      <c r="Z6" s="335" t="s">
        <v>2035</v>
      </c>
      <c r="AA6" s="336"/>
      <c r="AB6" s="1"/>
      <c r="AC6" s="332" t="s">
        <v>2036</v>
      </c>
      <c r="AD6" s="13"/>
      <c r="AE6" s="14"/>
      <c r="AF6" s="1"/>
    </row>
    <row r="7" ht="19.5" customHeight="1">
      <c r="A7" s="1"/>
      <c r="B7" s="84" t="s">
        <v>2037</v>
      </c>
      <c r="C7" s="18" t="str">
        <f>IF(ISBLANK(mgmt_vcf_installer_location_chosen),"Value Missing",mgmt_vcf_installer_location_chosen)</f>
        <v>Deployed on one of the hosts in the management domain</v>
      </c>
      <c r="D7" s="1"/>
      <c r="E7" s="84" t="s">
        <v>2038</v>
      </c>
      <c r="F7" s="18">
        <v>1.0</v>
      </c>
      <c r="G7" s="1"/>
      <c r="H7" s="15" t="s">
        <v>256</v>
      </c>
      <c r="I7" s="15" t="s">
        <v>274</v>
      </c>
      <c r="J7" s="1"/>
      <c r="K7" s="337" t="s">
        <v>256</v>
      </c>
      <c r="L7" s="338" t="s">
        <v>274</v>
      </c>
      <c r="M7" s="1"/>
      <c r="N7" s="337" t="s">
        <v>256</v>
      </c>
      <c r="O7" s="338" t="s">
        <v>274</v>
      </c>
      <c r="P7" s="1"/>
      <c r="Q7" s="15" t="s">
        <v>256</v>
      </c>
      <c r="R7" s="15" t="s">
        <v>274</v>
      </c>
      <c r="S7" s="1"/>
      <c r="T7" s="337" t="s">
        <v>256</v>
      </c>
      <c r="U7" s="338" t="s">
        <v>274</v>
      </c>
      <c r="V7" s="1"/>
      <c r="W7" s="337" t="s">
        <v>256</v>
      </c>
      <c r="X7" s="338" t="s">
        <v>274</v>
      </c>
      <c r="Y7" s="1"/>
      <c r="Z7" s="337" t="s">
        <v>256</v>
      </c>
      <c r="AA7" s="338" t="s">
        <v>274</v>
      </c>
      <c r="AB7" s="1"/>
      <c r="AC7" s="337" t="s">
        <v>256</v>
      </c>
      <c r="AD7" s="338" t="s">
        <v>1707</v>
      </c>
      <c r="AE7" s="338" t="s">
        <v>1998</v>
      </c>
      <c r="AF7" s="1"/>
    </row>
    <row r="8" ht="19.5" customHeight="1">
      <c r="A8" s="1"/>
      <c r="B8" s="84" t="s">
        <v>2039</v>
      </c>
      <c r="C8" s="186" t="str">
        <f>CONCATENATE(this_instance,"-ins01.",sample_child_dns_zone)</f>
        <v>lax-ins01.lax.rainpole.io</v>
      </c>
      <c r="D8" s="1"/>
      <c r="E8" s="84" t="s">
        <v>2040</v>
      </c>
      <c r="F8" s="238" t="str">
        <f>wld_compute_hosts_per_rack_chosen</f>
        <v>Exclude</v>
      </c>
      <c r="G8" s="1"/>
      <c r="H8" s="84" t="s">
        <v>2041</v>
      </c>
      <c r="I8" s="18" t="s">
        <v>2042</v>
      </c>
      <c r="J8" s="1"/>
      <c r="K8" s="84" t="s">
        <v>2043</v>
      </c>
      <c r="L8" s="18" t="str">
        <f>IF(ISBLANK(input_ca_administrator_username),"Value Missing",input_ca_administrator_username)</f>
        <v>Value Missing</v>
      </c>
      <c r="M8" s="1"/>
      <c r="N8" s="84" t="s">
        <v>2044</v>
      </c>
      <c r="O8" s="18" t="str">
        <f>IF(ISBLANK(input_mgmt_sddc_domain),"Value Missing",input_mgmt_sddc_domain)</f>
        <v>Value Missing</v>
      </c>
      <c r="P8" s="1"/>
      <c r="Q8" s="173" t="s">
        <v>2045</v>
      </c>
      <c r="R8" s="18" t="str">
        <f>IF(ISBLANK(input_xreg_vrslcm_ip),"Value Missing",input_xreg_vrslcm_ip)</f>
        <v>Value Missing</v>
      </c>
      <c r="S8" s="1"/>
      <c r="T8" s="85" t="s">
        <v>2042</v>
      </c>
      <c r="U8" s="18" t="str">
        <f>IF(mgmt_consolidated_result="Included",mgmt_sddc_domain,wld_sddc_domain)</f>
        <v>Value Missing</v>
      </c>
      <c r="V8" s="1"/>
      <c r="W8" s="84" t="s">
        <v>2046</v>
      </c>
      <c r="X8" s="18"/>
      <c r="Y8" s="1"/>
      <c r="Z8" s="84" t="s">
        <v>2047</v>
      </c>
      <c r="AA8" s="18"/>
      <c r="AB8" s="1"/>
      <c r="AC8" s="84" t="s">
        <v>2048</v>
      </c>
      <c r="AD8" s="18" t="str">
        <f>'Value Reference Tables - MR'!F9</f>
        <v>Value Missing</v>
      </c>
      <c r="AE8" s="18" t="str">
        <f>'Value Reference Tables - MR'!F279</f>
        <v>Value Missing</v>
      </c>
      <c r="AF8" s="1"/>
    </row>
    <row r="9" ht="19.5" customHeight="1">
      <c r="A9" s="1"/>
      <c r="B9" s="84" t="s">
        <v>2049</v>
      </c>
      <c r="C9" s="18" t="s">
        <v>77</v>
      </c>
      <c r="D9" s="1"/>
      <c r="E9" s="84" t="s">
        <v>2050</v>
      </c>
      <c r="F9" s="18">
        <f>IF(vcf_granular_option_chosen="Create Cluster",PRODUCT(cluster_compute_hosts_per_rack_chosen,wld_multi_rack_count_chosen),PRODUCT(wld_compute_hosts_per_rack,wld_multi_rack_count_chosen))</f>
        <v>0</v>
      </c>
      <c r="G9" s="1"/>
      <c r="H9" s="84" t="s">
        <v>2051</v>
      </c>
      <c r="I9" s="18" t="str">
        <f>IF(ISBLANK(input_cluster_domain_name),"Value Missing",input_cluster_domain_name)</f>
        <v>Value Missing</v>
      </c>
      <c r="J9" s="1"/>
      <c r="K9" s="84" t="s">
        <v>2052</v>
      </c>
      <c r="L9" s="18"/>
      <c r="M9" s="1"/>
      <c r="N9" s="84" t="s">
        <v>2053</v>
      </c>
      <c r="O9" s="18"/>
      <c r="P9" s="1"/>
      <c r="Q9" s="1"/>
      <c r="R9" s="1"/>
      <c r="S9" s="1"/>
      <c r="T9" s="85" t="s">
        <v>2054</v>
      </c>
      <c r="U9" s="18" t="str">
        <f>IF(mgmt_consolidated_result="Included",mgmt_vc_fqdn,wld_vc_fqdn)</f>
        <v>Value Missing</v>
      </c>
      <c r="V9" s="1"/>
      <c r="W9" s="84" t="s">
        <v>2055</v>
      </c>
      <c r="X9" s="18"/>
      <c r="Y9" s="1"/>
      <c r="Z9" s="84" t="s">
        <v>2056</v>
      </c>
      <c r="AA9" s="18"/>
      <c r="AB9" s="1"/>
      <c r="AC9" s="84" t="s">
        <v>2057</v>
      </c>
      <c r="AD9" s="18"/>
      <c r="AE9" s="18"/>
      <c r="AF9" s="1"/>
    </row>
    <row r="10" ht="19.5" customHeight="1">
      <c r="A10" s="1"/>
      <c r="B10" s="18" t="s">
        <v>2058</v>
      </c>
      <c r="C10" s="186" t="str">
        <f>CONCATENATE(this_instance,".rainpole.io")</f>
        <v>lax.rainpole.io</v>
      </c>
      <c r="D10" s="1"/>
      <c r="E10" s="18" t="str">
        <f>IF(OR(wld_domain_chosen="Deploy Workload Domain with a Multi-Rack Layer 3 Cluster",cluster_chosen="Deploy a Multi-Rack Layer 3 Cluster",),"Include","Exclude")</f>
        <v>Exclude</v>
      </c>
      <c r="F10" s="18"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IF(wld_multirack_calc="Include","Included","Excluded"),"Excluded")))))</f>
        <v>Excluded</v>
      </c>
      <c r="G10" s="1"/>
      <c r="H10" s="84" t="s">
        <v>1207</v>
      </c>
      <c r="I10" s="18" t="str">
        <f>cluster_principal_storage_chosen</f>
        <v>vSAN-ESA</v>
      </c>
      <c r="J10" s="1"/>
      <c r="K10" s="1"/>
      <c r="L10" s="1"/>
      <c r="M10" s="1"/>
      <c r="N10" s="84" t="s">
        <v>2059</v>
      </c>
      <c r="O10" s="18" t="str">
        <f>IF(ISBLANK('Configure Management Domain'!D50),"Value Missing",'Configure Management Domain'!D50)</f>
        <v>Value Missing</v>
      </c>
      <c r="P10" s="1"/>
      <c r="Q10" s="334" t="s">
        <v>2060</v>
      </c>
      <c r="R10" s="14"/>
      <c r="S10" s="1"/>
      <c r="T10" s="85" t="s">
        <v>2061</v>
      </c>
      <c r="U10" s="18" t="str">
        <f>IF(mgmt_consolidated_result="Included",mgmt_datacenter,wld_datacenter)</f>
        <v>Value Missing</v>
      </c>
      <c r="V10" s="1"/>
      <c r="W10" s="1"/>
      <c r="X10" s="10"/>
      <c r="Y10" s="1"/>
      <c r="Z10" s="84" t="s">
        <v>2062</v>
      </c>
      <c r="AA10" s="18"/>
      <c r="AB10" s="1"/>
      <c r="AC10" s="84" t="s">
        <v>2063</v>
      </c>
      <c r="AD10" s="18"/>
      <c r="AE10" s="18"/>
      <c r="AF10" s="1"/>
    </row>
    <row r="11" ht="19.5" customHeight="1">
      <c r="A11" s="1"/>
      <c r="B11" s="1" t="s">
        <v>2064</v>
      </c>
      <c r="C11" s="1" t="str">
        <f t="array" ref="C11">INDIRECT("'Version History'!B8")</f>
        <v>v1.9.0.007</v>
      </c>
      <c r="D11" s="1"/>
      <c r="E11" s="1"/>
      <c r="F11" s="1"/>
      <c r="G11" s="1"/>
      <c r="H11" s="17" t="s">
        <v>400</v>
      </c>
      <c r="I11" s="14"/>
      <c r="J11" s="1"/>
      <c r="K11" s="335" t="s">
        <v>2065</v>
      </c>
      <c r="L11" s="336"/>
      <c r="M11" s="1"/>
      <c r="N11" s="84" t="s">
        <v>351</v>
      </c>
      <c r="O11" s="18" t="str">
        <f>'Management Domain Sizing'!D32</f>
        <v>Medium</v>
      </c>
      <c r="P11" s="1"/>
      <c r="Q11" s="15" t="s">
        <v>256</v>
      </c>
      <c r="R11" s="15" t="s">
        <v>274</v>
      </c>
      <c r="S11" s="1"/>
      <c r="T11" s="85" t="s">
        <v>2066</v>
      </c>
      <c r="U11" s="18" t="str">
        <f>IF(mgmt_consolidated_result="Included",mgmt_cl01_cluster,wld_cl01_cluster)</f>
        <v>Value Missing</v>
      </c>
      <c r="V11" s="1"/>
      <c r="W11" s="332" t="s">
        <v>2067</v>
      </c>
      <c r="X11" s="38"/>
      <c r="Y11" s="1"/>
      <c r="Z11" s="84" t="s">
        <v>2068</v>
      </c>
      <c r="AA11" s="18"/>
      <c r="AB11" s="1"/>
      <c r="AC11" s="1"/>
      <c r="AD11" s="1"/>
      <c r="AE11" s="1"/>
      <c r="AF11" s="1"/>
    </row>
    <row r="12" ht="19.5" customHeight="1">
      <c r="A12" s="1"/>
      <c r="B12" s="331" t="s">
        <v>2069</v>
      </c>
      <c r="C12" s="331"/>
      <c r="D12" s="1"/>
      <c r="E12" s="331" t="s">
        <v>2070</v>
      </c>
      <c r="F12" s="331"/>
      <c r="G12" s="1"/>
      <c r="H12" s="84" t="s">
        <v>401</v>
      </c>
      <c r="I12" s="18" t="str">
        <f>IF(ISBLANK(input_cluster_az1_mgmt_vlan),"Value Missing",input_cluster_az1_mgmt_vlan)</f>
        <v>Value Missing</v>
      </c>
      <c r="J12" s="1"/>
      <c r="K12" s="337" t="s">
        <v>256</v>
      </c>
      <c r="L12" s="338" t="s">
        <v>274</v>
      </c>
      <c r="M12" s="1"/>
      <c r="N12" s="84" t="s">
        <v>2071</v>
      </c>
      <c r="O12" s="18" t="str">
        <f>'Management Domain Sizing'!F32</f>
        <v>Default</v>
      </c>
      <c r="P12" s="1"/>
      <c r="Q12" s="173" t="s">
        <v>2045</v>
      </c>
      <c r="R12" s="18" t="str">
        <f>IF(xreg_vrslcm_fqdn="Value Missing",xreg_vrslcm_fqdn,LEFT(xreg_vrslcm_fqdn,FIND(".",xreg_vrslcm_fqdn)-1))</f>
        <v>Value Missing</v>
      </c>
      <c r="S12" s="1"/>
      <c r="T12" s="85" t="s">
        <v>2072</v>
      </c>
      <c r="U12" s="18" t="str">
        <f>IF(mgmt_consolidated_result="Included",mgmt_cl01_vds01_name,wld_cl01_vds01_name)</f>
        <v>Value Missing</v>
      </c>
      <c r="V12" s="1"/>
      <c r="W12" s="337" t="s">
        <v>256</v>
      </c>
      <c r="X12" s="338" t="s">
        <v>274</v>
      </c>
      <c r="Y12" s="1"/>
      <c r="Z12" s="84" t="s">
        <v>2073</v>
      </c>
      <c r="AA12" s="18"/>
      <c r="AB12" s="1"/>
      <c r="AC12" s="335" t="s">
        <v>2074</v>
      </c>
      <c r="AD12" s="336"/>
      <c r="AE12" s="336"/>
      <c r="AF12" s="1"/>
    </row>
    <row r="13" ht="19.5" customHeight="1">
      <c r="A13" s="1"/>
      <c r="B13" s="15" t="s">
        <v>256</v>
      </c>
      <c r="C13" s="15" t="s">
        <v>274</v>
      </c>
      <c r="D13" s="1"/>
      <c r="E13" s="15" t="s">
        <v>256</v>
      </c>
      <c r="F13" s="15" t="s">
        <v>274</v>
      </c>
      <c r="G13" s="1"/>
      <c r="H13" s="84" t="s">
        <v>402</v>
      </c>
      <c r="I13" s="18" t="str">
        <f>IF(ISBLANK(input_cluster_az1_mgmt_gateway_ip),"Value Missing",input_cluster_az1_mgmt_gateway_ip)</f>
        <v>Value Missing</v>
      </c>
      <c r="J13" s="1"/>
      <c r="K13" s="84" t="s">
        <v>2075</v>
      </c>
      <c r="L13" s="18" t="str">
        <f>IF(ISBLANK(input_esxi_root_password),"Value Missing",input_esxi_root_password)</f>
        <v>Value Missing</v>
      </c>
      <c r="M13" s="1"/>
      <c r="N13" s="84" t="s">
        <v>2076</v>
      </c>
      <c r="O13" s="18" t="str">
        <f>IF(ISBLANK(mgmt_ceip_status_chosen),"Value Missing",mgmt_ceip_status_chosen)</f>
        <v>Unselected</v>
      </c>
      <c r="P13" s="1"/>
      <c r="Q13" s="1"/>
      <c r="R13" s="1"/>
      <c r="S13" s="1"/>
      <c r="T13" s="84" t="s">
        <v>2077</v>
      </c>
      <c r="U13" s="18" t="str">
        <f>IF(mgmt_consolidated_result="Included",mgmt_cl01_vsan_datastore,wld_cl01_vsan_datastore)</f>
        <v>Value Missing</v>
      </c>
      <c r="V13" s="1"/>
      <c r="W13" s="84" t="s">
        <v>2078</v>
      </c>
      <c r="X13" s="18"/>
      <c r="Y13" s="1"/>
      <c r="Z13" s="84" t="s">
        <v>2079</v>
      </c>
      <c r="AA13" s="18"/>
      <c r="AB13" s="1"/>
      <c r="AC13" s="337" t="s">
        <v>256</v>
      </c>
      <c r="AD13" s="338" t="s">
        <v>1707</v>
      </c>
      <c r="AE13" s="338" t="s">
        <v>1998</v>
      </c>
      <c r="AF13" s="1"/>
    </row>
    <row r="14" ht="19.5" customHeight="1">
      <c r="A14" s="1"/>
      <c r="B14" s="84" t="s">
        <v>2080</v>
      </c>
      <c r="C14" s="18" t="str">
        <f>IF(ISBLANK(input_vcf_installer_ip),"Value Missing",input_vcf_installer_ip)</f>
        <v>Value Missing</v>
      </c>
      <c r="D14" s="1"/>
      <c r="E14" s="84" t="s">
        <v>2081</v>
      </c>
      <c r="F14" s="18" t="str">
        <f>IF(ISBLANK(input_wld_vc_ip),"Value Missing",input_wld_vc_ip)</f>
        <v>Value Missing</v>
      </c>
      <c r="G14" s="1"/>
      <c r="H14" s="84" t="s">
        <v>403</v>
      </c>
      <c r="I14" s="18" t="str">
        <f>IF(ISBLANK(input_cluster_az1_mgmt_cidr),"Value Missing",input_cluster_az1_mgmt_cidr)</f>
        <v>Value Missing</v>
      </c>
      <c r="J14" s="1"/>
      <c r="K14" s="173" t="s">
        <v>2082</v>
      </c>
      <c r="L14" s="18" t="str">
        <f>IF(ISBLANK(input_administrator_vsphere_local_password),"Value Missing",input_administrator_vsphere_local_password)</f>
        <v>Value Missing</v>
      </c>
      <c r="M14" s="1"/>
      <c r="N14" s="84" t="s">
        <v>2083</v>
      </c>
      <c r="O14" s="18" t="str">
        <f>'Management Domain Sizing'!I32</f>
        <v>Medium</v>
      </c>
      <c r="P14" s="1"/>
      <c r="Q14" s="334" t="s">
        <v>2084</v>
      </c>
      <c r="R14" s="14"/>
      <c r="S14" s="1"/>
      <c r="T14" s="85" t="s">
        <v>2085</v>
      </c>
      <c r="U14" s="18" t="str">
        <f>IF(mgmt_consolidated_result="Included",mgmt_nsxt_vip_fqdn,wld_nsxt_vip_fqdn)</f>
        <v>Value Missing</v>
      </c>
      <c r="V14" s="1"/>
      <c r="W14" s="84" t="s">
        <v>2086</v>
      </c>
      <c r="X14" s="18"/>
      <c r="Y14" s="1"/>
      <c r="Z14" s="84" t="s">
        <v>2087</v>
      </c>
      <c r="AA14" s="18"/>
      <c r="AB14" s="1"/>
      <c r="AC14" s="1"/>
      <c r="AD14" s="1"/>
      <c r="AE14" s="1"/>
      <c r="AF14" s="1"/>
    </row>
    <row r="15" ht="19.5" customHeight="1">
      <c r="A15" s="1"/>
      <c r="B15" s="84" t="s">
        <v>146</v>
      </c>
      <c r="C15" s="18" t="str">
        <f>IF(ISBLANK('Deploy Management Domain'!L322),"Value Missing",'Deploy Management Domain'!L322)</f>
        <v>Value Missing</v>
      </c>
      <c r="D15" s="1"/>
      <c r="E15" s="84" t="s">
        <v>2088</v>
      </c>
      <c r="F15" s="18" t="str">
        <f>IF(ISBLANK('Deploy Workload Domain'!D182),"Value Missing",'Deploy Workload Domain'!D182)</f>
        <v>Value Missing</v>
      </c>
      <c r="G15" s="1"/>
      <c r="H15" s="84" t="s">
        <v>404</v>
      </c>
      <c r="I15" s="18" t="str">
        <f>IF(ISBLANK(input_cluster_az1_mgmt_mtu),"Value Missing",input_cluster_az1_mgmt_mtu)</f>
        <v>Value Missing</v>
      </c>
      <c r="J15" s="1"/>
      <c r="K15" s="173" t="s">
        <v>2089</v>
      </c>
      <c r="L15" s="18" t="str">
        <f>IF(ISBLANK(input_vcenter_root_password),"Value Missing",input_vcenter_root_password)</f>
        <v>Value Missing</v>
      </c>
      <c r="M15" s="1"/>
      <c r="N15" s="84" t="s">
        <v>2090</v>
      </c>
      <c r="O15" s="18" t="str">
        <f>IF(ISBLANK('Configure Management Domain'!D95),"Value Missing",'Configure Management Domain'!D95)</f>
        <v>Value Missing</v>
      </c>
      <c r="P15" s="1"/>
      <c r="Q15" s="15" t="s">
        <v>256</v>
      </c>
      <c r="R15" s="15" t="s">
        <v>274</v>
      </c>
      <c r="S15" s="1"/>
      <c r="T15" s="84" t="s">
        <v>2091</v>
      </c>
      <c r="U15" s="18"/>
      <c r="V15" s="10"/>
      <c r="W15" s="1"/>
      <c r="X15" s="1"/>
      <c r="Y15" s="1"/>
      <c r="Z15" s="84" t="s">
        <v>2092</v>
      </c>
      <c r="AA15" s="18"/>
      <c r="AB15" s="1"/>
      <c r="AC15" s="335" t="s">
        <v>2093</v>
      </c>
      <c r="AD15" s="336"/>
      <c r="AE15" s="336"/>
      <c r="AF15" s="1"/>
    </row>
    <row r="16" ht="19.5" customHeight="1">
      <c r="A16" s="1"/>
      <c r="B16" s="84" t="s">
        <v>2081</v>
      </c>
      <c r="C16" s="18" t="str">
        <f>IF(ISBLANK('Deploy Management Domain'!L323),"Value Missing",'Deploy Management Domain'!L323)</f>
        <v>Value Missing</v>
      </c>
      <c r="D16" s="1"/>
      <c r="E16" s="84" t="s">
        <v>2094</v>
      </c>
      <c r="F16" s="18" t="str">
        <f>IF(ISBLANK('Deploy Workload Domain'!D176),"Value Missing",'Deploy Workload Domain'!D176)</f>
        <v>Value Missing</v>
      </c>
      <c r="G16" s="1"/>
      <c r="H16" s="17" t="s">
        <v>2095</v>
      </c>
      <c r="I16" s="14"/>
      <c r="J16" s="1"/>
      <c r="K16" s="173" t="s">
        <v>2096</v>
      </c>
      <c r="L16" s="18" t="str">
        <f>IF(ISBLANK(input_nsxt_lm_root_password),"Value Missing",input_nsxt_lm_root_password)</f>
        <v>Value Missing</v>
      </c>
      <c r="M16" s="1"/>
      <c r="N16" s="84" t="s">
        <v>2097</v>
      </c>
      <c r="O16" s="18" t="str">
        <f>'Management Domain Sizing'!L32</f>
        <v>Medium</v>
      </c>
      <c r="P16" s="1"/>
      <c r="Q16" s="173" t="s">
        <v>2045</v>
      </c>
      <c r="R16" s="18" t="str">
        <f>IF(ISBLANK(input_xreg_vrslcm_fqdn),"Value Missing",input_xreg_vrslcm_fqdn)</f>
        <v>Value Missing</v>
      </c>
      <c r="S16" s="1"/>
      <c r="T16" s="84" t="s">
        <v>2098</v>
      </c>
      <c r="U16" s="18" t="str">
        <f>IF(mgmt_consolidated_result="Included",mgmt_tier0_name,wld_tier0_name)</f>
        <v>Value Missing</v>
      </c>
      <c r="V16" s="10"/>
      <c r="W16" s="335" t="s">
        <v>2099</v>
      </c>
      <c r="X16" s="336"/>
      <c r="Y16" s="1"/>
      <c r="Z16" s="84" t="s">
        <v>2100</v>
      </c>
      <c r="AA16" s="18"/>
      <c r="AB16" s="1"/>
      <c r="AC16" s="337" t="s">
        <v>256</v>
      </c>
      <c r="AD16" s="338" t="s">
        <v>1707</v>
      </c>
      <c r="AE16" s="338" t="s">
        <v>1998</v>
      </c>
      <c r="AF16" s="1"/>
    </row>
    <row r="17" ht="19.5" customHeight="1">
      <c r="A17" s="1"/>
      <c r="B17" s="84" t="s">
        <v>2088</v>
      </c>
      <c r="C17" s="18" t="str">
        <f>IF(ISBLANK('Deploy Management Domain'!L325),"Value Missing",'Deploy Management Domain'!L325)</f>
        <v>Value Missing</v>
      </c>
      <c r="D17" s="1"/>
      <c r="E17" s="84" t="s">
        <v>2101</v>
      </c>
      <c r="F17" s="18" t="str">
        <f>IF(ISBLANK('Deploy Workload Domain'!D178),"Value Missing",'Deploy Workload Domain'!D178)</f>
        <v>Value Missing</v>
      </c>
      <c r="G17" s="1"/>
      <c r="H17" s="84" t="s">
        <v>401</v>
      </c>
      <c r="I17" s="18" t="str">
        <f>IF(ISBLANK(input_cluster_az1_vmotion_vlan),"Value Missing",input_cluster_az1_vmotion_vlan)</f>
        <v>Value Missing</v>
      </c>
      <c r="J17" s="1"/>
      <c r="K17" s="173" t="s">
        <v>2102</v>
      </c>
      <c r="L17" s="18" t="str">
        <f>IF(ISBLANK(input_nsxt_lm_admin_password),"Value Missing",input_nsxt_lm_admin_password)</f>
        <v>Value Missing</v>
      </c>
      <c r="M17" s="1"/>
      <c r="N17" s="84" t="s">
        <v>2103</v>
      </c>
      <c r="O17" s="18" t="str">
        <f>IF(ISBLANK('Configure Management Domain'!D153),"Value Missing",'Configure Management Domain'!D153)</f>
        <v>Value Missing</v>
      </c>
      <c r="P17" s="1"/>
      <c r="Q17" s="1"/>
      <c r="R17" s="1"/>
      <c r="S17" s="1"/>
      <c r="T17" s="84" t="s">
        <v>2104</v>
      </c>
      <c r="U17" s="18" t="str">
        <f>IF(mgmt_consolidated_result="Included",CONCATENATE("overlay-tz-",mgmt_nsxt_hostname),CONCATENATE("overlay-tz-",wld_nsxt_hostname))</f>
        <v>overlay-tz-Value Missing</v>
      </c>
      <c r="V17" s="10"/>
      <c r="W17" s="337" t="s">
        <v>256</v>
      </c>
      <c r="X17" s="338" t="s">
        <v>274</v>
      </c>
      <c r="Y17" s="1"/>
      <c r="Z17" s="173" t="s">
        <v>2105</v>
      </c>
      <c r="AA17" s="18"/>
      <c r="AB17" s="1"/>
      <c r="AC17" s="84" t="s">
        <v>2048</v>
      </c>
      <c r="AD17" s="18" t="str">
        <f>'Value Reference Tables - MR'!F24</f>
        <v>Value Missing</v>
      </c>
      <c r="AE17" s="18" t="str">
        <f>'Value Reference Tables - MR'!F293</f>
        <v>Value Missing</v>
      </c>
      <c r="AF17" s="1"/>
    </row>
    <row r="18" ht="19.5" customHeight="1">
      <c r="A18" s="1"/>
      <c r="B18" s="84" t="s">
        <v>2094</v>
      </c>
      <c r="C18" s="18" t="str">
        <f>IF(ISBLANK('Deploy Management Domain'!L326),"Value Missing",'Deploy Management Domain'!L326)</f>
        <v>Value Missing</v>
      </c>
      <c r="D18" s="1"/>
      <c r="E18" s="84" t="s">
        <v>2106</v>
      </c>
      <c r="F18" s="18" t="str">
        <f>IF(ISBLANK('Deploy Workload Domain'!D180),"Value Missing",'Deploy Workload Domain'!D180)</f>
        <v>Value Missing</v>
      </c>
      <c r="G18" s="1"/>
      <c r="H18" s="84" t="s">
        <v>404</v>
      </c>
      <c r="I18" s="18" t="str">
        <f>IF(ISBLANK(input_cluster_az1_vmotion_mtu),"Value Missing",input_cluster_az1_vmotion_mtu)</f>
        <v>Value Missing</v>
      </c>
      <c r="J18" s="1"/>
      <c r="K18" s="173" t="s">
        <v>2107</v>
      </c>
      <c r="L18" s="18" t="str">
        <f>IF(ISBLANK(input_nsxt_lm_audit_password),"Value Missing",input_nsxt_lm_audit_password)</f>
        <v>Value Missing</v>
      </c>
      <c r="M18" s="1"/>
      <c r="N18" s="84" t="s">
        <v>2108</v>
      </c>
      <c r="O18" s="18" t="str">
        <f>IF(ISBLANK('Value Reference Tables'!U212),"Value Missing",'Value Reference Tables'!U212)</f>
        <v>Value Missing</v>
      </c>
      <c r="P18" s="1"/>
      <c r="Q18" s="333" t="s">
        <v>2109</v>
      </c>
      <c r="R18" s="336"/>
      <c r="S18" s="1"/>
      <c r="T18" s="84" t="s">
        <v>2110</v>
      </c>
      <c r="U18" s="18" t="str">
        <f>IF(ISBLANK('Private AI Ready Infrastructure'!D19),"Value Missing",'Private AI Ready Infrastructure'!D19)</f>
        <v>Value Missing</v>
      </c>
      <c r="V18" s="1"/>
      <c r="W18" s="84" t="s">
        <v>2046</v>
      </c>
      <c r="X18" s="18"/>
      <c r="Y18" s="1"/>
      <c r="Z18" s="187" t="s">
        <v>2111</v>
      </c>
      <c r="AA18" s="18"/>
      <c r="AB18" s="1"/>
      <c r="AC18" s="1"/>
      <c r="AD18" s="1"/>
      <c r="AE18" s="1"/>
      <c r="AF18" s="1"/>
    </row>
    <row r="19" ht="19.5" customHeight="1">
      <c r="A19" s="1"/>
      <c r="B19" s="84" t="s">
        <v>2101</v>
      </c>
      <c r="C19" s="18" t="str">
        <f>IF(ISBLANK('Deploy Management Domain'!L327),"Value Missing",'Deploy Management Domain'!L327)</f>
        <v>Value Missing</v>
      </c>
      <c r="D19" s="1"/>
      <c r="E19" s="84" t="s">
        <v>2112</v>
      </c>
      <c r="F19" s="18" t="str">
        <f>IF(ISBLANK('Configure Workload Domain'!D442),"Value Missing",'Configure Workload Domain'!D442)</f>
        <v>Value Missing</v>
      </c>
      <c r="G19" s="1"/>
      <c r="H19" s="84" t="s">
        <v>717</v>
      </c>
      <c r="I19" s="18" t="str">
        <f>IF(ISBLANK(input_cluster_az1_vmotion_network),"Value Missing",input_cluster_az1_vmotion_network)</f>
        <v>Value Missing</v>
      </c>
      <c r="J19" s="1"/>
      <c r="K19" s="173" t="s">
        <v>2113</v>
      </c>
      <c r="L19" s="18" t="str">
        <f>IF(ISBLANK(input_mgmt_nsxt_en_root_password),"Value Missing",input_mgmt_nsxt_en_root_password)</f>
        <v>Value Missing</v>
      </c>
      <c r="M19" s="1"/>
      <c r="N19" s="84" t="s">
        <v>2114</v>
      </c>
      <c r="O19" s="18" t="str">
        <f>IF(ISBLANK(input_mgmt_nsxt_global_mgr_vmca_signed_thumbprint),"Value Missing",input_mgmt_nsxt_global_mgr_vmca_signed_thumbprint)</f>
        <v>Value Missing</v>
      </c>
      <c r="P19" s="1"/>
      <c r="Q19" s="337" t="s">
        <v>256</v>
      </c>
      <c r="R19" s="338" t="s">
        <v>274</v>
      </c>
      <c r="S19" s="1"/>
      <c r="T19" s="84" t="s">
        <v>2115</v>
      </c>
      <c r="U19" s="18" t="str">
        <f>IF(ISBLANK(input_k8s_ip_prefixlist),"Value Missing",input_k8s_ip_prefixlist)</f>
        <v>Value Missing</v>
      </c>
      <c r="V19" s="1"/>
      <c r="W19" s="84" t="s">
        <v>2055</v>
      </c>
      <c r="X19" s="18"/>
      <c r="Y19" s="1"/>
      <c r="Z19" s="187" t="s">
        <v>2116</v>
      </c>
      <c r="AA19" s="18"/>
      <c r="AB19" s="1"/>
      <c r="AC19" s="335" t="s">
        <v>2117</v>
      </c>
      <c r="AD19" s="336"/>
      <c r="AE19" s="336"/>
      <c r="AF19" s="1"/>
    </row>
    <row r="20" ht="19.5" customHeight="1">
      <c r="A20" s="1"/>
      <c r="B20" s="84" t="s">
        <v>2106</v>
      </c>
      <c r="C20" s="18" t="str">
        <f>IF(ISBLANK('Deploy Management Domain'!L328),"Value Missing",'Deploy Management Domain'!L328)</f>
        <v>Value Missing</v>
      </c>
      <c r="D20" s="1"/>
      <c r="E20" s="84" t="s">
        <v>2118</v>
      </c>
      <c r="F20" s="18" t="str">
        <f>IF(ISBLANK('Configure Workload Domain'!D371),"Value Missing",'Configure Workload Domain'!D371)</f>
        <v>Value Missing</v>
      </c>
      <c r="G20" s="1"/>
      <c r="H20" s="84" t="s">
        <v>743</v>
      </c>
      <c r="I20" s="18" t="str">
        <f>IF(ISBLANK(input_cluster_az1_vmotion_mask),"Value Missing",input_cluster_az1_vmotion_mask)</f>
        <v>Value Missing</v>
      </c>
      <c r="J20" s="1"/>
      <c r="K20" s="173" t="s">
        <v>2119</v>
      </c>
      <c r="L20" s="18" t="str">
        <f>IF(ISBLANK(input_mgmt_nsxt_en_admin_password),"Value Missing",input_mgmt_nsxt_en_admin_password)</f>
        <v>Value Missing</v>
      </c>
      <c r="M20" s="1"/>
      <c r="N20" s="84" t="s">
        <v>2120</v>
      </c>
      <c r="O20" s="18" t="str">
        <f>IF(ISBLANK(input_mgmt_nsxt_global_mgr_cluster_id),"Value Missing",input_mgmt_nsxt_global_mgr_cluster_id)</f>
        <v>Value Missing</v>
      </c>
      <c r="P20" s="1"/>
      <c r="Q20" s="84"/>
      <c r="R20" s="18"/>
      <c r="S20" s="1"/>
      <c r="T20" s="173" t="s">
        <v>2121</v>
      </c>
      <c r="U20" s="18" t="str">
        <f>IF(ISBLANK(input_k8s_ip_routemap),"Value Missing",input_k8s_ip_routemap)</f>
        <v>Value Missing</v>
      </c>
      <c r="V20" s="10"/>
      <c r="W20" s="1"/>
      <c r="X20" s="1"/>
      <c r="Y20" s="1"/>
      <c r="Z20" s="187" t="s">
        <v>2122</v>
      </c>
      <c r="AA20" s="18"/>
      <c r="AB20" s="1"/>
      <c r="AC20" s="337" t="s">
        <v>256</v>
      </c>
      <c r="AD20" s="338" t="s">
        <v>1707</v>
      </c>
      <c r="AE20" s="338" t="s">
        <v>1998</v>
      </c>
      <c r="AF20" s="1"/>
    </row>
    <row r="21" ht="19.5" customHeight="1">
      <c r="A21" s="1"/>
      <c r="B21" s="84" t="s">
        <v>2112</v>
      </c>
      <c r="C21" s="18" t="str">
        <f>IF(ISBLANK('Configure Management Domain'!D475),"Value Missing",'Configure Management Domain'!D475)</f>
        <v>Value Missing</v>
      </c>
      <c r="D21" s="1"/>
      <c r="E21" s="84" t="s">
        <v>2123</v>
      </c>
      <c r="F21" s="18" t="str">
        <f>IF(ISBLANK('Configure Workload Domain'!D388),"Value Missing",'Configure Workload Domain'!D388)</f>
        <v>Value Missing</v>
      </c>
      <c r="G21" s="1"/>
      <c r="H21" s="84" t="s">
        <v>464</v>
      </c>
      <c r="I21" s="18" t="str">
        <f>IF(OR(cluster_az1_vmotion_network="Value Missing",cluster_az1_vmotion_mask="Value Missing"),"Value Missing",(CONCATENATE(cluster_az1_vmotion_network,"/",VLOOKUP(cluster_az1_vmotion_mask,table_mask_to_cidr,2,FALSE))))</f>
        <v>Value Missing</v>
      </c>
      <c r="J21" s="1"/>
      <c r="K21" s="173" t="s">
        <v>2124</v>
      </c>
      <c r="L21" s="18" t="str">
        <f>IF(ISBLANK(input_nsxt_gm_root_password),"Value Missing",input_nsxt_gm_root_password)</f>
        <v>Value Missing</v>
      </c>
      <c r="M21" s="1"/>
      <c r="N21" s="84" t="s">
        <v>2125</v>
      </c>
      <c r="O21" s="18" t="str">
        <f>IF(ISBLANK('Configure Management Domain'!D469),"Value Missing",'Configure Management Domain'!D469)</f>
        <v>Value Missing</v>
      </c>
      <c r="P21" s="1"/>
      <c r="Q21" s="84"/>
      <c r="R21" s="18"/>
      <c r="S21" s="1"/>
      <c r="T21" s="84" t="s">
        <v>583</v>
      </c>
      <c r="U21" s="18" t="str">
        <f>IF(mgmt_consolidated_result="Included",mgmt_ec_name,wld_ec_name)</f>
        <v>Value Missing</v>
      </c>
      <c r="V21" s="10"/>
      <c r="W21" s="335" t="s">
        <v>2126</v>
      </c>
      <c r="X21" s="336"/>
      <c r="Y21" s="1"/>
      <c r="Z21" s="187" t="s">
        <v>2127</v>
      </c>
      <c r="AA21" s="18"/>
      <c r="AB21" s="1"/>
      <c r="AC21" s="84" t="s">
        <v>2048</v>
      </c>
      <c r="AD21" s="18" t="str">
        <f>'Value Reference Tables - MR'!F86</f>
        <v>Value Missing</v>
      </c>
      <c r="AE21" s="18" t="str">
        <f>'Value Reference Tables - MR'!F335</f>
        <v>Value Missing</v>
      </c>
      <c r="AF21" s="1"/>
    </row>
    <row r="22" ht="19.5" customHeight="1">
      <c r="A22" s="1"/>
      <c r="B22" s="84" t="s">
        <v>2118</v>
      </c>
      <c r="C22" s="18" t="str">
        <f>IF(ISBLANK('Configure Management Domain'!D410),"Value Missing",'Configure Management Domain'!D410)</f>
        <v>Value Missing</v>
      </c>
      <c r="D22" s="1"/>
      <c r="E22" s="84" t="s">
        <v>2128</v>
      </c>
      <c r="F22" s="18" t="str">
        <f>IF(ISBLANK('Configure Workload Domain'!D405),"Value Missing",'Configure Workload Domain'!D405)</f>
        <v>Value Missing</v>
      </c>
      <c r="G22" s="1"/>
      <c r="H22" s="84" t="s">
        <v>402</v>
      </c>
      <c r="I22" s="18" t="str">
        <f>IF(ISBLANK(input_cluster_az1_vmotion_gateway_ip),"Value Missing",input_cluster_az1_vmotion_gateway_ip)</f>
        <v>Value Missing</v>
      </c>
      <c r="J22" s="1"/>
      <c r="K22" s="173" t="s">
        <v>2129</v>
      </c>
      <c r="L22" s="18" t="str">
        <f>IF(ISBLANK(input_nsxt_gm_admin_password),"Value Missing",input_nsxt_gm_admin_password)</f>
        <v>Value Missing</v>
      </c>
      <c r="M22" s="1"/>
      <c r="N22" s="84" t="s">
        <v>2130</v>
      </c>
      <c r="O22" s="18" t="str">
        <f>IF(ISBLANK('Configure Management Domain'!D481),"Value Missing",'Configure Management Domain'!D481)</f>
        <v>Value Missing</v>
      </c>
      <c r="P22" s="1"/>
      <c r="Q22" s="84"/>
      <c r="R22" s="18"/>
      <c r="S22" s="1"/>
      <c r="T22" s="173" t="s">
        <v>2131</v>
      </c>
      <c r="U22" s="18">
        <v>28.0</v>
      </c>
      <c r="V22" s="10"/>
      <c r="W22" s="337" t="s">
        <v>256</v>
      </c>
      <c r="X22" s="338" t="s">
        <v>274</v>
      </c>
      <c r="Y22" s="1"/>
      <c r="Z22" s="187" t="s">
        <v>2132</v>
      </c>
      <c r="AA22" s="18"/>
      <c r="AB22" s="1"/>
      <c r="AC22" s="1"/>
      <c r="AD22" s="1"/>
      <c r="AE22" s="1"/>
      <c r="AF22" s="1"/>
    </row>
    <row r="23" ht="19.5" customHeight="1">
      <c r="A23" s="1"/>
      <c r="B23" s="84" t="s">
        <v>2123</v>
      </c>
      <c r="C23" s="18" t="str">
        <f>IF(ISBLANK('Configure Management Domain'!D427),"Value Missing",'Configure Management Domain'!D427)</f>
        <v>Value Missing</v>
      </c>
      <c r="D23" s="1"/>
      <c r="E23" s="84" t="s">
        <v>2133</v>
      </c>
      <c r="F23" s="18" t="str">
        <f>IF(ISBLANK('Configure Workload Domain'!D159),"Value Missing",'Configure Workload Domain'!D159)</f>
        <v>Value Missing</v>
      </c>
      <c r="G23" s="1"/>
      <c r="H23" s="173" t="s">
        <v>465</v>
      </c>
      <c r="I23" s="18" t="str">
        <f>IF(ISBLANK(input_cluster_az1_vmotion_pool_start_ip),"Value Missing",input_cluster_az1_vmotion_pool_start_ip)</f>
        <v>Value Missing</v>
      </c>
      <c r="J23" s="1"/>
      <c r="K23" s="173" t="s">
        <v>2134</v>
      </c>
      <c r="L23" s="18" t="str">
        <f>IF(ISBLANK(input_nsxt_gm_audit_password),"Value Missing",input_nsxt_gm_audit_password)</f>
        <v>Value Missing</v>
      </c>
      <c r="M23" s="1"/>
      <c r="N23" s="84" t="s">
        <v>2135</v>
      </c>
      <c r="O23" s="18" t="str">
        <f>IF(ISBLANK('Configure Management Domain'!D498),"Value Missing",'Configure Management Domain'!D498)</f>
        <v>Value Missing</v>
      </c>
      <c r="P23" s="1"/>
      <c r="Q23" s="84"/>
      <c r="R23" s="18"/>
      <c r="S23" s="1"/>
      <c r="T23" s="173" t="s">
        <v>2136</v>
      </c>
      <c r="U23" s="18">
        <v>32.0</v>
      </c>
      <c r="V23" s="10"/>
      <c r="W23" s="84" t="s">
        <v>2046</v>
      </c>
      <c r="X23" s="18"/>
      <c r="Y23" s="1"/>
      <c r="Z23" s="187" t="s">
        <v>2137</v>
      </c>
      <c r="AA23" s="18"/>
      <c r="AB23" s="1"/>
      <c r="AC23" s="335" t="s">
        <v>2138</v>
      </c>
      <c r="AD23" s="336"/>
      <c r="AE23" s="336"/>
      <c r="AF23" s="1"/>
    </row>
    <row r="24" ht="19.5" customHeight="1">
      <c r="A24" s="1"/>
      <c r="B24" s="84" t="s">
        <v>2128</v>
      </c>
      <c r="C24" s="18" t="str">
        <f>IF(ISBLANK('Configure Management Domain'!D444),"Value Missing",'Configure Management Domain'!D444)</f>
        <v>Value Missing</v>
      </c>
      <c r="D24" s="1"/>
      <c r="E24" s="84" t="s">
        <v>2139</v>
      </c>
      <c r="F24" s="18" t="str">
        <f>IF(ISBLANK(input_wld_avilb_mgra_ip),"Value Missing",input_wld_avilb_mgra_ip)</f>
        <v>Value Missing</v>
      </c>
      <c r="G24" s="1"/>
      <c r="H24" s="173" t="s">
        <v>466</v>
      </c>
      <c r="I24" s="18" t="str">
        <f>IF(ISBLANK(input_cluster_az1_vmotion_pool_end_ip),"Value Missing",input_cluster_az1_vmotion_pool_end_ip)</f>
        <v>Value Missing</v>
      </c>
      <c r="J24" s="1"/>
      <c r="K24" s="173" t="s">
        <v>2124</v>
      </c>
      <c r="L24" s="18" t="str">
        <f>IF(ISBLANK(input_wld_nsxt_gm_root_password),"Value Missing",input_wld_nsxt_gm_root_password)</f>
        <v>Value Missing</v>
      </c>
      <c r="M24" s="1"/>
      <c r="N24" s="84" t="s">
        <v>2140</v>
      </c>
      <c r="O24" s="18" t="str">
        <f>IF(ISBLANK('Configure Management Domain'!D512),"Value Missing",'Configure Management Domain'!D512)</f>
        <v>Value Missing</v>
      </c>
      <c r="P24" s="1"/>
      <c r="Q24" s="84"/>
      <c r="R24" s="18" t="str">
        <f>IF(ISBLANK('Private AI Ready Infrastructure'!D72),"Value Missing",'Private AI Ready Infrastructure'!D72)</f>
        <v>Value Missing</v>
      </c>
      <c r="S24" s="1"/>
      <c r="T24" s="84" t="s">
        <v>2141</v>
      </c>
      <c r="U24" s="18" t="str">
        <f>IF(ISBLANK(input_k8s_vcenter_category),"Value Missing",input_k8s_vcenter_category)</f>
        <v>Value Missing</v>
      </c>
      <c r="V24" s="10"/>
      <c r="W24" s="84" t="s">
        <v>2055</v>
      </c>
      <c r="X24" s="18"/>
      <c r="Y24" s="1"/>
      <c r="Z24" s="187" t="s">
        <v>2142</v>
      </c>
      <c r="AA24" s="18"/>
      <c r="AB24" s="1"/>
      <c r="AC24" s="337" t="s">
        <v>256</v>
      </c>
      <c r="AD24" s="338" t="s">
        <v>1707</v>
      </c>
      <c r="AE24" s="338" t="s">
        <v>1998</v>
      </c>
      <c r="AF24" s="1"/>
    </row>
    <row r="25" ht="19.5" customHeight="1">
      <c r="A25" s="1"/>
      <c r="B25" s="84" t="s">
        <v>2133</v>
      </c>
      <c r="C25" s="18" t="str">
        <f>IF(ISBLANK('Configure Management Domain'!D216),"Value Missing",'Configure Management Domain'!D216)</f>
        <v>Value Missing</v>
      </c>
      <c r="D25" s="1"/>
      <c r="E25" s="84" t="s">
        <v>2143</v>
      </c>
      <c r="F25" s="18" t="str">
        <f>IF(ISBLANK(input_wld_avilb_mgrb_ip),"Value Missing",input_wld_avilb_mgrb_ip)</f>
        <v>Value Missing</v>
      </c>
      <c r="G25" s="1"/>
      <c r="H25" s="17" t="s">
        <v>724</v>
      </c>
      <c r="I25" s="14"/>
      <c r="J25" s="1"/>
      <c r="K25" s="173" t="s">
        <v>2129</v>
      </c>
      <c r="L25" s="18" t="str">
        <f>IF(ISBLANK(input_wld_nsxt_gm_admin_password),"Value Missing",input_wld_nsxt_gm_admin_password)</f>
        <v>Value Missing</v>
      </c>
      <c r="M25" s="1"/>
      <c r="N25" s="84" t="s">
        <v>2144</v>
      </c>
      <c r="O25" s="18" t="str">
        <f>IF(ISBLANK('Configure Management Domain'!D510),"Value Missing",'Configure Management Domain'!D510)</f>
        <v>Value Missing</v>
      </c>
      <c r="P25" s="1"/>
      <c r="Q25" s="84"/>
      <c r="R25" s="18" t="str">
        <f>IF(ISBLANK('Private AI Ready Infrastructure'!D71),"Value Missing",'Private AI Ready Infrastructure'!D71)</f>
        <v>Value Missing</v>
      </c>
      <c r="S25" s="1"/>
      <c r="T25" s="84" t="s">
        <v>2145</v>
      </c>
      <c r="U25" s="18" t="str">
        <f>IF(ISBLANK(input_k8s_vcenter_tag),"Value Missing",input_k8s_vcenter_tag)</f>
        <v>Value Missing</v>
      </c>
      <c r="V25" s="10"/>
      <c r="W25" s="1"/>
      <c r="X25" s="1"/>
      <c r="Y25" s="1"/>
      <c r="Z25" s="187" t="s">
        <v>2146</v>
      </c>
      <c r="AA25" s="18"/>
      <c r="AB25" s="1"/>
      <c r="AC25" s="84" t="s">
        <v>2048</v>
      </c>
      <c r="AD25" s="18" t="str">
        <f>'Value Reference Tables - MR'!F70</f>
        <v>Value Missing</v>
      </c>
      <c r="AE25" s="18" t="str">
        <f>'Value Reference Tables - MR'!F349</f>
        <v>Value Missing</v>
      </c>
      <c r="AF25" s="1"/>
    </row>
    <row r="26" ht="19.5" customHeight="1">
      <c r="A26" s="1"/>
      <c r="B26" s="84" t="s">
        <v>687</v>
      </c>
      <c r="C26" s="18" t="str">
        <f>IF(ISBLANK(input_mgmt_avilb_mgra_ip),"Value Missing",input_mgmt_avilb_mgra_ip)</f>
        <v>Value Missing</v>
      </c>
      <c r="D26" s="1"/>
      <c r="E26" s="84" t="s">
        <v>2147</v>
      </c>
      <c r="F26" s="18" t="str">
        <f>IF(ISBLANK(input_wld_avilb_mgrc_ip),"Value Missing",input_wld_avilb_mgrc_ip)</f>
        <v>Value Missing</v>
      </c>
      <c r="G26" s="1"/>
      <c r="H26" s="84" t="s">
        <v>401</v>
      </c>
      <c r="I26" s="18" t="str">
        <f>IF(ISBLANK(input_cluster_az1_principal_storage_vlan),"Value Missing",input_cluster_az1_principal_storage_vlan)</f>
        <v>Value Missing</v>
      </c>
      <c r="J26" s="1"/>
      <c r="K26" s="173" t="s">
        <v>2134</v>
      </c>
      <c r="L26" s="18" t="str">
        <f>IF(ISBLANK(input_wld_nsxt_gm_audit_password),"Value Missing",input_wld_nsxt_gm_audit_password)</f>
        <v>Value Missing</v>
      </c>
      <c r="M26" s="1"/>
      <c r="N26" s="84" t="s">
        <v>2148</v>
      </c>
      <c r="O26" s="18" t="str">
        <f>IF(ISBLANK('Configure Management Domain'!D501),"Value Missing",'Configure Management Domain'!D501)</f>
        <v>Value Missing</v>
      </c>
      <c r="P26" s="1"/>
      <c r="Q26" s="80"/>
      <c r="R26" s="80"/>
      <c r="S26" s="1"/>
      <c r="T26" s="84" t="s">
        <v>2149</v>
      </c>
      <c r="U26" s="18" t="str">
        <f>IF(ISBLANK(input_k8s_vcenter_storage_policy),"Value Missing",input_k8s_vcenter_storage_policy)</f>
        <v>Value Missing</v>
      </c>
      <c r="V26" s="10"/>
      <c r="W26" s="335" t="s">
        <v>2150</v>
      </c>
      <c r="X26" s="336"/>
      <c r="Y26" s="1"/>
      <c r="Z26" s="187" t="s">
        <v>2151</v>
      </c>
      <c r="AA26" s="18"/>
      <c r="AB26" s="1"/>
      <c r="AC26" s="1"/>
      <c r="AD26" s="1"/>
      <c r="AE26" s="1"/>
      <c r="AF26" s="1"/>
    </row>
    <row r="27" ht="19.5" customHeight="1">
      <c r="A27" s="1"/>
      <c r="B27" s="84" t="s">
        <v>689</v>
      </c>
      <c r="C27" s="18" t="str">
        <f>IF(ISBLANK(input_mgmt_avilb_mgrb_ip),"Value Missing",input_mgmt_avilb_mgrb_ip)</f>
        <v>Value Missing</v>
      </c>
      <c r="D27" s="1"/>
      <c r="E27" s="1"/>
      <c r="F27" s="1"/>
      <c r="G27" s="1"/>
      <c r="H27" s="84" t="s">
        <v>404</v>
      </c>
      <c r="I27" s="18" t="str">
        <f>IF(ISBLANK(input_cluster_az1_principal_storage_mtu),"Value Missing",input_cluster_az1_principal_storage_mtu)</f>
        <v>Value Missing</v>
      </c>
      <c r="J27" s="1"/>
      <c r="K27" s="173" t="s">
        <v>2152</v>
      </c>
      <c r="L27" s="18" t="str">
        <f>IF(ISBLANK(input_sddc_mgr_root_password),"Value Missing",input_sddc_mgr_root_password)</f>
        <v>Value Missing</v>
      </c>
      <c r="M27" s="1"/>
      <c r="N27" s="84" t="s">
        <v>2153</v>
      </c>
      <c r="O27" s="18" t="str">
        <f>IF(ISBLANK('Configure Management Domain'!D522),"Value Missing",'Configure Management Domain'!D522)</f>
        <v>Value Missing</v>
      </c>
      <c r="P27" s="1"/>
      <c r="Q27" s="332" t="s">
        <v>2154</v>
      </c>
      <c r="R27" s="38"/>
      <c r="S27" s="1"/>
      <c r="T27" s="84" t="s">
        <v>2155</v>
      </c>
      <c r="U27" s="18" t="str">
        <f>IF(ISBLANK(input_k8s_vcenter_content_library),"Value Missing",input_k8s_vcenter_content_library)</f>
        <v>Value Missing</v>
      </c>
      <c r="V27" s="1"/>
      <c r="W27" s="337" t="s">
        <v>256</v>
      </c>
      <c r="X27" s="338" t="s">
        <v>274</v>
      </c>
      <c r="Y27" s="1"/>
      <c r="Z27" s="187" t="s">
        <v>2156</v>
      </c>
      <c r="AA27" s="18"/>
      <c r="AB27" s="1"/>
      <c r="AC27" s="335" t="s">
        <v>2157</v>
      </c>
      <c r="AD27" s="336"/>
      <c r="AE27" s="336"/>
      <c r="AF27" s="1"/>
    </row>
    <row r="28" ht="19.5" customHeight="1">
      <c r="A28" s="1"/>
      <c r="B28" s="84" t="s">
        <v>691</v>
      </c>
      <c r="C28" s="18" t="str">
        <f>IF(ISBLANK(input_mgmt_avilb_mgrc_ip),"Value Missing",input_mgmt_avilb_mgrc_ip)</f>
        <v>Value Missing</v>
      </c>
      <c r="D28" s="1"/>
      <c r="E28" s="334" t="s">
        <v>2158</v>
      </c>
      <c r="F28" s="38"/>
      <c r="G28" s="1"/>
      <c r="H28" s="84" t="s">
        <v>717</v>
      </c>
      <c r="I28" s="18" t="str">
        <f>IF(ISBLANK(input_cluster_az1_principal_storage_network),"Value Missing",input_cluster_az1_principal_storage_network)</f>
        <v>Value Missing</v>
      </c>
      <c r="J28" s="1"/>
      <c r="K28" s="173" t="s">
        <v>2159</v>
      </c>
      <c r="L28" s="18" t="str">
        <f>IF(ISBLANK(input_sddc_mgr_vcf_password),"Value Missing",input_sddc_mgr_vcf_password)</f>
        <v>Value Missing</v>
      </c>
      <c r="M28" s="1"/>
      <c r="N28" s="84" t="s">
        <v>2160</v>
      </c>
      <c r="O28" s="18"/>
      <c r="P28" s="1"/>
      <c r="Q28" s="85" t="s">
        <v>2161</v>
      </c>
      <c r="R28" s="18"/>
      <c r="S28" s="1"/>
      <c r="T28" s="84" t="s">
        <v>2162</v>
      </c>
      <c r="U28" s="18" t="s">
        <v>352</v>
      </c>
      <c r="V28" s="1"/>
      <c r="W28" s="84" t="s">
        <v>2163</v>
      </c>
      <c r="X28" s="18" t="str">
        <f>IF(ISBLANK('Private AI Ready Infrastructure'!D19),"Value Missing",'Private AI Ready Infrastructure'!D19)</f>
        <v>Value Missing</v>
      </c>
      <c r="Y28" s="1"/>
      <c r="Z28" s="187" t="s">
        <v>2164</v>
      </c>
      <c r="AA28" s="18" t="s">
        <v>728</v>
      </c>
      <c r="AB28" s="1"/>
      <c r="AC28" s="337" t="s">
        <v>256</v>
      </c>
      <c r="AD28" s="338" t="s">
        <v>1707</v>
      </c>
      <c r="AE28" s="338" t="s">
        <v>1998</v>
      </c>
      <c r="AF28" s="1"/>
    </row>
    <row r="29" ht="19.5" customHeight="1">
      <c r="A29" s="1"/>
      <c r="B29" s="84" t="s">
        <v>2165</v>
      </c>
      <c r="C29" s="18" t="str">
        <f>IF(ISBLANK(input_flt_vidb_vip_ip),"Value Missing",input_flt_vidb_vip_ip)</f>
        <v>Value Missing</v>
      </c>
      <c r="D29" s="1"/>
      <c r="E29" s="15" t="s">
        <v>256</v>
      </c>
      <c r="F29" s="15" t="s">
        <v>274</v>
      </c>
      <c r="G29" s="1"/>
      <c r="H29" s="84" t="s">
        <v>743</v>
      </c>
      <c r="I29" s="18" t="str">
        <f>IF(ISBLANK(input_cluster_az1_principal_storage_mask),"Value Missing",input_cluster_az1_principal_storage_mask)</f>
        <v>Value Missing</v>
      </c>
      <c r="J29" s="1"/>
      <c r="K29" s="173" t="s">
        <v>2166</v>
      </c>
      <c r="L29" s="18" t="str">
        <f>IF(ISBLANK(input_sddc_mgr_admin_local_password),"Value Missing",input_sddc_mgr_admin_local_password)</f>
        <v>Value Missing</v>
      </c>
      <c r="M29" s="1"/>
      <c r="N29" s="84" t="s">
        <v>2167</v>
      </c>
      <c r="O29" s="18"/>
      <c r="P29" s="1"/>
      <c r="Q29" s="80"/>
      <c r="R29" s="80"/>
      <c r="S29" s="1"/>
      <c r="T29" s="84" t="s">
        <v>2168</v>
      </c>
      <c r="U29" s="18" t="s">
        <v>2169</v>
      </c>
      <c r="V29" s="10"/>
      <c r="W29" s="1"/>
      <c r="X29" s="1"/>
      <c r="Y29" s="1"/>
      <c r="Z29" s="84" t="s">
        <v>2170</v>
      </c>
      <c r="AA29" s="18"/>
      <c r="AB29" s="1"/>
      <c r="AC29" s="84" t="s">
        <v>2048</v>
      </c>
      <c r="AD29" s="18" t="str">
        <f>'Value Reference Tables - MR'!I9</f>
        <v>Value Missing</v>
      </c>
      <c r="AE29" s="18" t="str">
        <f>'Value Reference Tables - MR'!I279</f>
        <v>Value Missing</v>
      </c>
      <c r="AF29" s="1"/>
    </row>
    <row r="30" ht="19.5" customHeight="1">
      <c r="A30" s="1"/>
      <c r="B30" s="84" t="s">
        <v>2171</v>
      </c>
      <c r="C30" s="18" t="str">
        <f>IF(ISBLANK(input_flt_vidb_nodea_ip),"Value Missing",input_flt_vidb_nodea_ip)</f>
        <v>Value Missing</v>
      </c>
      <c r="D30" s="1"/>
      <c r="E30" s="84" t="s">
        <v>2081</v>
      </c>
      <c r="F30" s="18" t="str">
        <f>IF(wld_vc_fqdn="Value Missing",wld_vc_fqdn,LEFT(wld_vc_fqdn,FIND(".",wld_vc_fqdn)-1))</f>
        <v>Value Missing</v>
      </c>
      <c r="G30" s="1"/>
      <c r="H30" s="84" t="s">
        <v>464</v>
      </c>
      <c r="I30" s="18" t="str">
        <f>IF(OR(cluster_az1_principal_storage_network="Value Missing",cluster_az1_principal_storage_mask="Value Missing"),"Value Missing",(CONCATENATE(cluster_az1_principal_storage_network,"/",VLOOKUP(cluster_az1_principal_storage_mask,table_mask_to_cidr,2,FALSE))))</f>
        <v>Value Missing</v>
      </c>
      <c r="J30" s="1"/>
      <c r="K30" s="173" t="s">
        <v>2172</v>
      </c>
      <c r="L30" s="18" t="str">
        <f>IF(ISBLANK(input_svc_my_vmware_password),"Value Missing",input_svc_my_vmware_password)</f>
        <v>Value Missing</v>
      </c>
      <c r="M30" s="1"/>
      <c r="N30" s="84" t="s">
        <v>2173</v>
      </c>
      <c r="O30" s="18" t="str">
        <f>IF(ISBLANK(input_mgmt_avilb_cluster_name),"Value Missing",input_mgmt_avilb_cluster_name)</f>
        <v>Value Missing</v>
      </c>
      <c r="P30" s="1"/>
      <c r="Q30" s="332" t="s">
        <v>2174</v>
      </c>
      <c r="R30" s="38"/>
      <c r="S30" s="1"/>
      <c r="T30" s="84" t="s">
        <v>2175</v>
      </c>
      <c r="U30" s="18">
        <v>5.0</v>
      </c>
      <c r="V30" s="10"/>
      <c r="W30" s="335" t="s">
        <v>2176</v>
      </c>
      <c r="X30" s="336"/>
      <c r="Y30" s="1"/>
      <c r="Z30" s="84" t="s">
        <v>2177</v>
      </c>
      <c r="AA30" s="18" t="s">
        <v>2178</v>
      </c>
      <c r="AB30" s="1"/>
      <c r="AC30" s="1"/>
      <c r="AD30" s="1"/>
      <c r="AE30" s="1"/>
      <c r="AF30" s="1"/>
    </row>
    <row r="31" ht="19.5" customHeight="1">
      <c r="A31" s="1"/>
      <c r="B31" s="84" t="s">
        <v>2179</v>
      </c>
      <c r="C31" s="18" t="str">
        <f>IF(ISBLANK(input_flt_vidb_nodeb_ip),"Value Missing",input_flt_vidb_nodeb_ip)</f>
        <v>Value Missing</v>
      </c>
      <c r="D31" s="1"/>
      <c r="E31" s="84" t="s">
        <v>2088</v>
      </c>
      <c r="F31" s="18" t="str">
        <f>IF(wld_nsxt_vip_fqdn="Value Missing",wld_nsxt_vip_fqdn,LEFT(wld_nsxt_vip_fqdn,FIND(".",wld_nsxt_vip_fqdn)-1))</f>
        <v>Value Missing</v>
      </c>
      <c r="G31" s="1"/>
      <c r="H31" s="84" t="s">
        <v>402</v>
      </c>
      <c r="I31" s="18" t="str">
        <f>IF(ISBLANK(input_cluster_az1_principal_storage_gateway_ip),"Value Missing",input_cluster_az1_principal_storage_gateway_ip)</f>
        <v>Value Missing</v>
      </c>
      <c r="J31" s="1"/>
      <c r="K31" s="173" t="s">
        <v>2043</v>
      </c>
      <c r="L31" s="18" t="str">
        <f>IF(ISBLANK(input_ca_administrator_password),"Value Missing",input_ca_administrator_password)</f>
        <v>Value Missing</v>
      </c>
      <c r="M31" s="1"/>
      <c r="N31" s="84" t="s">
        <v>2180</v>
      </c>
      <c r="O31" s="18" t="str">
        <f>IF(ISBLANK(input_mgmt_avilb_cluster_version),"Value Missing",input_mgmt_avilb_cluster_version)</f>
        <v>Value Missing</v>
      </c>
      <c r="P31" s="1"/>
      <c r="Q31" s="85" t="s">
        <v>2181</v>
      </c>
      <c r="R31" s="18"/>
      <c r="S31" s="1"/>
      <c r="T31" s="85" t="s">
        <v>2182</v>
      </c>
      <c r="U31" s="18"/>
      <c r="V31" s="10"/>
      <c r="W31" s="337" t="s">
        <v>256</v>
      </c>
      <c r="X31" s="338" t="s">
        <v>274</v>
      </c>
      <c r="Y31" s="1"/>
      <c r="Z31" s="84" t="s">
        <v>2183</v>
      </c>
      <c r="AA31" s="18"/>
      <c r="AB31" s="1"/>
      <c r="AC31" s="335" t="s">
        <v>2184</v>
      </c>
      <c r="AD31" s="336"/>
      <c r="AE31" s="336"/>
      <c r="AF31" s="1"/>
    </row>
    <row r="32" ht="19.5" customHeight="1">
      <c r="A32" s="1"/>
      <c r="B32" s="84" t="s">
        <v>2185</v>
      </c>
      <c r="C32" s="18" t="str">
        <f>IF(ISBLANK(input_flt_vidb_nodec_ip),"Value Missing",input_flt_vidb_nodec_ip)</f>
        <v>Value Missing</v>
      </c>
      <c r="D32" s="1"/>
      <c r="E32" s="84" t="s">
        <v>2094</v>
      </c>
      <c r="F32" s="18" t="str">
        <f>IF(wld_nsxt_mgra_fqdn="Value Missing",wld_nsxt_mgra_fqdn,LEFT(wld_nsxt_mgra_fqdn,FIND(".",wld_nsxt_mgra_fqdn)-1))</f>
        <v>Value Missing</v>
      </c>
      <c r="G32" s="1"/>
      <c r="H32" s="173" t="s">
        <v>465</v>
      </c>
      <c r="I32" s="18" t="str">
        <f>IF(ISBLANK(input_cluster_az1_principal_storage_pool_start_ip),"Value Missing",input_cluster_az1_principal_storage_pool_start_ip)</f>
        <v>Value Missing</v>
      </c>
      <c r="J32" s="1"/>
      <c r="K32" s="173" t="s">
        <v>2186</v>
      </c>
      <c r="L32" s="18" t="str">
        <f>IF(ISBLANK(input_avilb_root_password),"Value Missing",input_avilb_root_password)</f>
        <v>Value Missing</v>
      </c>
      <c r="M32" s="1"/>
      <c r="N32" s="84" t="s">
        <v>665</v>
      </c>
      <c r="O32" s="18" t="str">
        <f>IF(ISBLANK(input_mgmt_vpc_ext_ip_blocks),"Value Missing",input_mgmt_vpc_ext_ip_blocks)</f>
        <v>Value Missing</v>
      </c>
      <c r="P32" s="1"/>
      <c r="Q32" s="80"/>
      <c r="R32" s="80"/>
      <c r="S32" s="1"/>
      <c r="T32" s="85" t="s">
        <v>2187</v>
      </c>
      <c r="U32" s="18"/>
      <c r="V32" s="10"/>
      <c r="W32" s="84" t="s">
        <v>739</v>
      </c>
      <c r="X32" s="18" t="str">
        <f>IF(ISBLANK(input_mgmt_witnessaz_mgmt_vlan),"Value Missing",input_mgmt_witnessaz_mgmt_vlan)</f>
        <v>Value Missing</v>
      </c>
      <c r="Y32" s="1"/>
      <c r="Z32" s="84" t="s">
        <v>2188</v>
      </c>
      <c r="AA32" s="18"/>
      <c r="AB32" s="1"/>
      <c r="AC32" s="337" t="s">
        <v>256</v>
      </c>
      <c r="AD32" s="338" t="s">
        <v>1707</v>
      </c>
      <c r="AE32" s="338" t="s">
        <v>1998</v>
      </c>
      <c r="AF32" s="1"/>
    </row>
    <row r="33" ht="19.5" customHeight="1">
      <c r="A33" s="1"/>
      <c r="B33" s="84" t="s">
        <v>2189</v>
      </c>
      <c r="C33" s="18" t="str">
        <f>IF(ISBLANK(input_flt_vidb_noded_ip),"Value Missing",input_flt_vidb_noded_ip)</f>
        <v>Value Missing</v>
      </c>
      <c r="D33" s="1"/>
      <c r="E33" s="84" t="s">
        <v>2101</v>
      </c>
      <c r="F33" s="18" t="str">
        <f>IF(wld_nsxt_mgrb_fqdn="Value Missing",wld_nsxt_mgrb_fqdn,LEFT(wld_nsxt_mgrb_fqdn,FIND(".",wld_nsxt_mgrb_fqdn)-1))</f>
        <v>Value Missing</v>
      </c>
      <c r="G33" s="1"/>
      <c r="H33" s="173" t="s">
        <v>466</v>
      </c>
      <c r="I33" s="18" t="str">
        <f>IF(ISBLANK(input_cluster_az1_principal_storage_pool_end_ip),"Value Missing",input_cluster_az1_principal_storage_pool_end_ip)</f>
        <v>Value Missing</v>
      </c>
      <c r="J33" s="1"/>
      <c r="K33" s="173" t="s">
        <v>2190</v>
      </c>
      <c r="L33" s="18" t="str">
        <f>IF(ISBLANK(input_svc_vcf_bck_password),"Value Missing",input_svc_vcf_bck_password)</f>
        <v>Value Missing</v>
      </c>
      <c r="M33" s="1"/>
      <c r="N33" s="84" t="s">
        <v>668</v>
      </c>
      <c r="O33" s="18" t="str">
        <f>IF(ISBLANK(input_mgmt_vpc_transit_gateway_ip_blocks),"Value Missing",input_mgmt_vpc_transit_gateway_ip_blocks)</f>
        <v>Value Missing</v>
      </c>
      <c r="P33" s="1"/>
      <c r="Q33" s="332" t="s">
        <v>2191</v>
      </c>
      <c r="R33" s="38"/>
      <c r="S33" s="1"/>
      <c r="T33" s="85" t="s">
        <v>2192</v>
      </c>
      <c r="U33" s="18" t="str">
        <f>IF(mgmt_consolidated_result="Included",CONCATENATE(mgmt_cl01_cluster,".",child_dns_zone),CONCATENATE(wld_cl01_cluster,".",child_dns_zone))</f>
        <v>Value Missing.Value Missing</v>
      </c>
      <c r="V33" s="10"/>
      <c r="W33" s="1"/>
      <c r="X33" s="1"/>
      <c r="Y33" s="1"/>
      <c r="Z33" s="1"/>
      <c r="AA33" s="1"/>
      <c r="AB33" s="1"/>
      <c r="AC33" s="84" t="s">
        <v>2048</v>
      </c>
      <c r="AD33" s="18" t="s">
        <v>2193</v>
      </c>
      <c r="AE33" s="18" t="str">
        <f>wld_cl01_az1_vm_pg</f>
        <v>VM Network</v>
      </c>
      <c r="AF33" s="1"/>
    </row>
    <row r="34" ht="19.5" customHeight="1">
      <c r="A34" s="1"/>
      <c r="B34" s="1"/>
      <c r="C34" s="1"/>
      <c r="D34" s="1"/>
      <c r="E34" s="84" t="s">
        <v>2106</v>
      </c>
      <c r="F34" s="18" t="str">
        <f>IF(wld_nsxt_mgrc_fqdn="Value Missing",wld_nsxt_mgrc_fqdn,LEFT(wld_nsxt_mgrc_fqdn,FIND(".",wld_nsxt_mgrc_fqdn)-1))</f>
        <v>Value Missing</v>
      </c>
      <c r="G34" s="1"/>
      <c r="H34" s="17" t="s">
        <v>2194</v>
      </c>
      <c r="I34" s="14"/>
      <c r="J34" s="1"/>
      <c r="K34" s="173" t="s">
        <v>2195</v>
      </c>
      <c r="L34" s="18" t="str">
        <f t="array" ref="L34">IF(ISBLANK(input_mgmt_witness_root_password),"Value Missing",input_mgmt_witness_root_password)</f>
        <v>Value Missing</v>
      </c>
      <c r="M34" s="1"/>
      <c r="N34" s="84" t="s">
        <v>2196</v>
      </c>
      <c r="O34" s="18" t="str">
        <f>IF(ISBLANK(input_mgmt_sddc_domain),"Value Missing",CONCATENATE(input_mgmt_sddc_domain,"-fd-mgmt"))</f>
        <v>Value Missing</v>
      </c>
      <c r="P34" s="1"/>
      <c r="Q34" s="85" t="s">
        <v>2197</v>
      </c>
      <c r="R34" s="18"/>
      <c r="S34" s="1"/>
      <c r="T34" s="85" t="s">
        <v>2198</v>
      </c>
      <c r="U34" s="18" t="str">
        <f>IF(ISBLANK(input_k8s_kubectl_path),"Value Missing",input_k8s_kubectl_path)</f>
        <v>Value Missing</v>
      </c>
      <c r="V34" s="10"/>
      <c r="W34" s="335" t="s">
        <v>2199</v>
      </c>
      <c r="X34" s="336"/>
      <c r="Y34" s="1"/>
      <c r="Z34" s="332" t="s">
        <v>2200</v>
      </c>
      <c r="AA34" s="38"/>
      <c r="AB34" s="1"/>
      <c r="AC34" s="1"/>
      <c r="AD34" s="1"/>
      <c r="AE34" s="1"/>
      <c r="AF34" s="1"/>
    </row>
    <row r="35" ht="19.5" customHeight="1">
      <c r="A35" s="1"/>
      <c r="B35" s="334" t="s">
        <v>2201</v>
      </c>
      <c r="C35" s="14"/>
      <c r="D35" s="1"/>
      <c r="E35" s="84" t="s">
        <v>2112</v>
      </c>
      <c r="F35" s="18" t="str">
        <f>IF(wld_nsxt_gm_vip_fqdn="Value Missing",wld_nsxt_gm_vip_fqdn,LEFT(wld_nsxt_gm_vip_fqdn,FIND(".",wld_nsxt_gm_vip_fqdn)-1))</f>
        <v>Value Missing</v>
      </c>
      <c r="G35" s="1"/>
      <c r="H35" s="84" t="s">
        <v>401</v>
      </c>
      <c r="I35" s="18" t="str">
        <f>IF(ISBLANK(input_cluster_az1_secondary_storage_vlan),"Value Missing",input_cluster_az1_secondary_storage_vlan)</f>
        <v>Value Missing</v>
      </c>
      <c r="J35" s="1"/>
      <c r="K35" s="173" t="s">
        <v>2202</v>
      </c>
      <c r="L35" s="18" t="str">
        <f>IF(ISBLANK(input_wld_witness_root_password),"Value Missing",input_wld_witness_root_password)</f>
        <v>Value Missing</v>
      </c>
      <c r="M35" s="1"/>
      <c r="N35" s="84" t="s">
        <v>2203</v>
      </c>
      <c r="O35" s="18" t="str">
        <f>IF(ISBLANK(input_mgmt_sddc_domain),"Value Missing",CONCATENATE(input_mgmt_sddc_domain,"-fd-nsx"))</f>
        <v>Value Missing</v>
      </c>
      <c r="P35" s="1"/>
      <c r="Q35" s="80"/>
      <c r="R35" s="80"/>
      <c r="S35" s="1"/>
      <c r="T35" s="85" t="s">
        <v>2204</v>
      </c>
      <c r="U35" s="18"/>
      <c r="V35" s="10"/>
      <c r="W35" s="337" t="s">
        <v>256</v>
      </c>
      <c r="X35" s="338" t="s">
        <v>274</v>
      </c>
      <c r="Y35" s="1"/>
      <c r="Z35" s="337" t="s">
        <v>256</v>
      </c>
      <c r="AA35" s="338" t="s">
        <v>274</v>
      </c>
      <c r="AB35" s="1"/>
      <c r="AC35" s="335" t="s">
        <v>2205</v>
      </c>
      <c r="AD35" s="336"/>
      <c r="AE35" s="336"/>
      <c r="AF35" s="1"/>
    </row>
    <row r="36" ht="19.5" customHeight="1">
      <c r="A36" s="1"/>
      <c r="B36" s="15" t="s">
        <v>256</v>
      </c>
      <c r="C36" s="15" t="s">
        <v>274</v>
      </c>
      <c r="D36" s="1"/>
      <c r="E36" s="84" t="s">
        <v>2118</v>
      </c>
      <c r="F36" s="18" t="str">
        <f>IF(wld_nsxt_global_mgra_fqdn="Value Missing",wld_nsxt_global_mgra_fqdn,LEFT(wld_nsxt_global_mgra_fqdn,FIND(".",wld_nsxt_global_mgra_fqdn)-1))</f>
        <v>Value Missing</v>
      </c>
      <c r="G36" s="1"/>
      <c r="H36" s="84" t="s">
        <v>404</v>
      </c>
      <c r="I36" s="18" t="str">
        <f>IF(ISBLANK(input_cluster_az1_secondary_storage_mtu),"Value Missing",input_cluster_az1_secondary_storage_mtu)</f>
        <v>Value Missing</v>
      </c>
      <c r="J36" s="1"/>
      <c r="K36" s="84" t="s">
        <v>2052</v>
      </c>
      <c r="L36" s="18"/>
      <c r="M36" s="1"/>
      <c r="N36" s="84" t="s">
        <v>2206</v>
      </c>
      <c r="O36" s="18" t="str">
        <f>IF(ISBLANK(input_mgmt_sddc_domain),"Value Missing",CONCATENATE(input_mgmt_sddc_domain,"-fd-edge"))</f>
        <v>Value Missing</v>
      </c>
      <c r="P36" s="1"/>
      <c r="Q36" s="334" t="s">
        <v>2207</v>
      </c>
      <c r="R36" s="14"/>
      <c r="S36" s="1"/>
      <c r="T36" s="85" t="s">
        <v>2208</v>
      </c>
      <c r="U36" s="18"/>
      <c r="V36" s="10"/>
      <c r="W36" s="84" t="s">
        <v>739</v>
      </c>
      <c r="X36" s="18" t="str">
        <f>IF(ISBLANK(input_mgmt_witness_mgmt_pg),"Value Missing",input_mgmt_witness_mgmt_pg)</f>
        <v>Value Missing</v>
      </c>
      <c r="Y36" s="1"/>
      <c r="Z36" s="84" t="s">
        <v>2209</v>
      </c>
      <c r="AA36" s="18" t="str">
        <f>IF(ISBLANK(input_mgmt_az1_mgmt_cidr),"Value Missing",VLOOKUP(INT(RIGHT(input_mgmt_az1_mgmt_cidr,LEN(input_mgmt_az1_mgmt_cidr)-FIND("/",input_mgmt_az1_mgmt_cidr))),table_cidr_to_mask,2,FALSE))</f>
        <v>Value Missing</v>
      </c>
      <c r="AB36" s="1"/>
      <c r="AC36" s="337" t="s">
        <v>256</v>
      </c>
      <c r="AD36" s="338" t="s">
        <v>1707</v>
      </c>
      <c r="AE36" s="338" t="s">
        <v>1998</v>
      </c>
      <c r="AF36" s="1"/>
    </row>
    <row r="37" ht="19.5" customHeight="1">
      <c r="A37" s="1"/>
      <c r="B37" s="84" t="s">
        <v>2080</v>
      </c>
      <c r="C37" s="18" t="str">
        <f>IF(vcf_installer_fqdn="Value Missing",vcf_installer_fqdn,LEFT(vcf_installer_fqdn,FIND(".",vcf_installer_fqdn)-1))</f>
        <v>Value Missing</v>
      </c>
      <c r="D37" s="1"/>
      <c r="E37" s="84" t="s">
        <v>2123</v>
      </c>
      <c r="F37" s="18" t="str">
        <f>IF(wld_nsxt_global_mgrb_fqdn="Value Missing",wld_nsxt_global_mgrb_fqdn,LEFT(wld_nsxt_global_mgrb_fqdn,FIND(".",wld_nsxt_global_mgrb_fqdn)-1))</f>
        <v>Value Missing</v>
      </c>
      <c r="G37" s="1"/>
      <c r="H37" s="84" t="s">
        <v>717</v>
      </c>
      <c r="I37" s="18" t="str">
        <f>IF(ISBLANK(input_cluster_az1_secondary_storage_network),"Value Missing",input_cluster_az1_secondary_storage_network)</f>
        <v>Value Missing</v>
      </c>
      <c r="J37" s="1"/>
      <c r="K37" s="84" t="s">
        <v>2210</v>
      </c>
      <c r="L37" s="18" t="str">
        <f>IF(ISBLANK(input_mgmt_internet_proxy_email),"Value Missing",input_mgmt_internet_proxy_email)</f>
        <v>Value Missing</v>
      </c>
      <c r="M37" s="1"/>
      <c r="N37" s="84" t="s">
        <v>546</v>
      </c>
      <c r="O37" s="18" t="str">
        <f>IF(ISBLANK('Configure Management Domain'!D45),"Value Missing",'Configure Management Domain'!D45)</f>
        <v>Value Missing</v>
      </c>
      <c r="P37" s="1"/>
      <c r="Q37" s="15" t="s">
        <v>256</v>
      </c>
      <c r="R37" s="15" t="s">
        <v>274</v>
      </c>
      <c r="S37" s="1"/>
      <c r="T37" s="85" t="s">
        <v>2211</v>
      </c>
      <c r="U37" s="18"/>
      <c r="V37" s="10"/>
      <c r="W37" s="1"/>
      <c r="X37" s="1"/>
      <c r="Y37" s="1"/>
      <c r="Z37" s="84" t="s">
        <v>2212</v>
      </c>
      <c r="AA37" s="18" t="str">
        <f>IF(ISBLANK(input_wld_witnessaz_mgmt_cidr),"Value Missing",VLOOKUP(INT(RIGHT(input_wld_witnessaz_mgmt_cidr,LEN(input_wld_witnessaz_mgmt_cidr)-FIND("/",input_wld_witnessaz_mgmt_cidr))),table_cidr_to_mask,2,FALSE))</f>
        <v>Value Missing</v>
      </c>
      <c r="AB37" s="1"/>
      <c r="AC37" s="84" t="s">
        <v>2048</v>
      </c>
      <c r="AD37" s="18" t="str">
        <f>'Value Reference Tables - MR'!I24</f>
        <v>Value Missing</v>
      </c>
      <c r="AE37" s="18" t="str">
        <f>'Value Reference Tables - MR'!I294</f>
        <v>Value Missing</v>
      </c>
      <c r="AF37" s="1"/>
    </row>
    <row r="38" ht="19.5" customHeight="1">
      <c r="A38" s="1"/>
      <c r="B38" s="84" t="s">
        <v>146</v>
      </c>
      <c r="C38" s="18" t="str">
        <f>IF(sddc_mgr_fqdn="Value Missing",sddc_mgr_fqdn,LEFT(sddc_mgr_fqdn,FIND(".",sddc_mgr_fqdn)-1))</f>
        <v>Value Missing</v>
      </c>
      <c r="D38" s="1"/>
      <c r="E38" s="84" t="s">
        <v>2128</v>
      </c>
      <c r="F38" s="18" t="str">
        <f>IF(wld_nsxt_global_mgrc_fqdn="Value Missing",wld_nsxt_global_mgrc_fqdn,LEFT(wld_nsxt_global_mgrc_fqdn,FIND(".",wld_nsxt_global_mgrc_fqdn)-1))</f>
        <v>Value Missing</v>
      </c>
      <c r="G38" s="1"/>
      <c r="H38" s="84" t="s">
        <v>743</v>
      </c>
      <c r="I38" s="18" t="str">
        <f>IF(ISBLANK(input_cluster_az1_secondary_storage_mask),"Value Missing",input_cluster_az1_secondary_storage_mask)</f>
        <v>Value Missing</v>
      </c>
      <c r="J38" s="1"/>
      <c r="K38" s="84" t="s">
        <v>2213</v>
      </c>
      <c r="L38" s="18" t="str">
        <f>IF(ISBLANK(input_mgmt_internet_proxy_password),"Value Missing",input_mgmt_internet_proxy_password)</f>
        <v>Value Missing</v>
      </c>
      <c r="M38" s="1"/>
      <c r="N38" s="84" t="s">
        <v>559</v>
      </c>
      <c r="O38" s="18" t="str">
        <f>IF(ISBLANK('Configure Management Domain'!D61),"Value Missing",'Configure Management Domain'!D61)</f>
        <v>Value Missing</v>
      </c>
      <c r="P38" s="1"/>
      <c r="Q38" s="173" t="s">
        <v>2214</v>
      </c>
      <c r="R38" s="18" t="str">
        <f>IF(ISBLANK('Deploy Management Domain'!L315),"Value Missing",'Deploy Management Domain'!L315)</f>
        <v>Value Missing</v>
      </c>
      <c r="S38" s="1"/>
      <c r="T38" s="85" t="s">
        <v>2215</v>
      </c>
      <c r="U38" s="18" t="str">
        <f>IF(ISBLANK(input_k8s_vm_class),"Value Missing",input_k8s_vm_class)</f>
        <v>Value Missing</v>
      </c>
      <c r="V38" s="10"/>
      <c r="W38" s="335" t="s">
        <v>2216</v>
      </c>
      <c r="X38" s="336"/>
      <c r="Y38" s="1"/>
      <c r="Z38" s="84" t="s">
        <v>2217</v>
      </c>
      <c r="AA38" s="18" t="str">
        <f>IF(ISBLANK(input_mgmt_az1_uplink01_cidr),"Value Missing",VLOOKUP(INT(RIGHT(input_mgmt_az1_uplink01_cidr,LEN(input_mgmt_az1_uplink01_cidr)-FIND("/",input_mgmt_az1_uplink01_cidr))),table_cidr_to_mask,2,FALSE))</f>
        <v>Value Missing</v>
      </c>
      <c r="AB38" s="1"/>
      <c r="AC38" s="84" t="s">
        <v>1717</v>
      </c>
      <c r="AD38" s="1"/>
      <c r="AE38" s="1"/>
      <c r="AF38" s="1"/>
    </row>
    <row r="39" ht="19.5" customHeight="1">
      <c r="A39" s="1"/>
      <c r="B39" s="84" t="s">
        <v>2081</v>
      </c>
      <c r="C39" s="18" t="str">
        <f>IF(mgmt_vc_fqdn="Value Missing",mgmt_vc_fqdn,LEFT(mgmt_vc_fqdn,FIND(".",mgmt_vc_fqdn)-1))</f>
        <v>Value Missing</v>
      </c>
      <c r="D39" s="1"/>
      <c r="E39" s="84" t="s">
        <v>2133</v>
      </c>
      <c r="F39" s="18" t="str">
        <f>IF(wld_avilb_cluster_fqdn="Value Missing",wld_avilb_cluster_fqdn,LEFT(wld_avilb_cluster_fqdn,FIND(".",wld_avilb_cluster_fqdn)-1))</f>
        <v>Value Missing</v>
      </c>
      <c r="G39" s="1"/>
      <c r="H39" s="84" t="s">
        <v>464</v>
      </c>
      <c r="I39" s="18" t="str">
        <f>IF(OR(cluster_az1_secondary_storage_network="Value Missing",cluster_az1_secondary_storage_mask="Value Missing"),"Value Missing",(CONCATENATE(cluster_az1_secondary_storage_network,"/",VLOOKUP(cluster_az1_secondary_storage_mask,table_mask_to_cidr,2,FALSE))))</f>
        <v>Value Missing</v>
      </c>
      <c r="J39" s="1"/>
      <c r="K39" s="84" t="s">
        <v>2218</v>
      </c>
      <c r="L39" s="18" t="str">
        <f>IF(ISBLANK(input_xreg_vrops_collector_root_password),"Value Missing",input_xreg_vrops_collector_root_password)</f>
        <v>Value Missing</v>
      </c>
      <c r="M39" s="1"/>
      <c r="N39" s="84" t="s">
        <v>554</v>
      </c>
      <c r="O39" s="18" t="str">
        <f>IF(ISBLANK('Configure Management Domain'!D58),"Value Missing",'Configure Management Domain'!D58)</f>
        <v>Value Missing</v>
      </c>
      <c r="P39" s="1"/>
      <c r="Q39" s="173" t="s">
        <v>2219</v>
      </c>
      <c r="R39" s="18" t="str">
        <f>IF(ISBLANK('Deploy Management Domain'!L80),"Value Missing",'Deploy Management Domain'!L80)</f>
        <v>Value Missing</v>
      </c>
      <c r="S39" s="1"/>
      <c r="T39" s="85" t="s">
        <v>1056</v>
      </c>
      <c r="U39" s="18" t="str">
        <f>CONCATENATE(IF(ISBLANK(input_region_dns1_ip),"Value Missing",region_dns1_ip),",",IF(ISBLANK(input_region_dns2_ip),"Value Missing",region_dns2_ip))</f>
        <v>Value Missing,Value Missing</v>
      </c>
      <c r="V39" s="1"/>
      <c r="W39" s="337" t="s">
        <v>256</v>
      </c>
      <c r="X39" s="338" t="s">
        <v>274</v>
      </c>
      <c r="Y39" s="1"/>
      <c r="Z39" s="84" t="s">
        <v>2220</v>
      </c>
      <c r="AA39" s="18" t="str">
        <f>IF(ISBLANK(input_mgmt_az1_uplink02_cidr),"Value Missing",VLOOKUP(INT(RIGHT(input_mgmt_az1_uplink02_cidr,LEN(input_mgmt_az1_uplink02_cidr)-FIND("/",input_mgmt_az1_uplink02_cidr))),table_cidr_to_mask,2,FALSE))</f>
        <v>Value Missing</v>
      </c>
      <c r="AB39" s="1"/>
      <c r="AC39" s="1"/>
      <c r="AD39" s="1"/>
      <c r="AE39" s="1"/>
      <c r="AF39" s="1"/>
    </row>
    <row r="40" ht="19.5" customHeight="1">
      <c r="A40" s="1"/>
      <c r="B40" s="84" t="s">
        <v>2088</v>
      </c>
      <c r="C40" s="18" t="str">
        <f>IF(mgmt_nsxt_vip_fqdn="Value Missing",mgmt_nsxt_vip_fqdn,LEFT(mgmt_nsxt_vip_fqdn,FIND(".",mgmt_nsxt_vip_fqdn)-1))</f>
        <v>Value Missing</v>
      </c>
      <c r="D40" s="1"/>
      <c r="E40" s="1"/>
      <c r="F40" s="1"/>
      <c r="G40" s="1"/>
      <c r="H40" s="84" t="s">
        <v>402</v>
      </c>
      <c r="I40" s="18" t="str">
        <f>IF(ISBLANK(input_cluster_az1_secondary_storage_gateway_ip),"Value Missing",input_cluster_az1_secondary_storage_gateway_ip)</f>
        <v>Value Missing</v>
      </c>
      <c r="J40" s="1"/>
      <c r="K40" s="84" t="s">
        <v>2221</v>
      </c>
      <c r="L40" s="18" t="str">
        <f>IF(ISBLANK(input_wld_esx_root_username),"Value Missing",input_wld_esx_root_username)</f>
        <v>Value Missing</v>
      </c>
      <c r="M40" s="1"/>
      <c r="N40" s="84" t="s">
        <v>567</v>
      </c>
      <c r="O40" s="18" t="str">
        <f>IF(ISBLANK('Configure Management Domain'!D65),"Value Missing",'Configure Management Domain'!D65)</f>
        <v>Value Missing</v>
      </c>
      <c r="P40" s="1"/>
      <c r="Q40" s="173" t="s">
        <v>2222</v>
      </c>
      <c r="R40" s="18" t="str">
        <f>IF(ISBLANK('Deploy Management Domain'!L81),"Value Missing",'Deploy Management Domain'!L81)</f>
        <v>Value Missing</v>
      </c>
      <c r="S40" s="1"/>
      <c r="T40" s="85" t="s">
        <v>757</v>
      </c>
      <c r="U40" s="18" t="str">
        <f>IF(AND((NOT(ISBLANK(region_ntp2_server))),(region_ntp2_server &lt;&gt; "n/a"),(region_ntp2_server &lt;&gt; "")),CONCATENATE(region_ntp1_server,",",region_ntp2_server),region_ntp1_server)</f>
        <v>Value Missing,Value Missing</v>
      </c>
      <c r="V40" s="1"/>
      <c r="W40" s="84" t="s">
        <v>739</v>
      </c>
      <c r="X40" s="18" t="str">
        <f>IF(ISBLANK(input_mgmt_witnessaz_mgmt_cidr),"Value Missing",input_mgmt_witnessaz_mgmt_cidr)</f>
        <v>Value Missing</v>
      </c>
      <c r="Y40" s="1"/>
      <c r="Z40" s="84" t="s">
        <v>2223</v>
      </c>
      <c r="AA40" s="18"/>
      <c r="AB40" s="1"/>
      <c r="AC40" s="335" t="s">
        <v>2224</v>
      </c>
      <c r="AD40" s="336"/>
      <c r="AE40" s="336"/>
      <c r="AF40" s="1"/>
    </row>
    <row r="41" ht="19.5" customHeight="1">
      <c r="A41" s="1"/>
      <c r="B41" s="84" t="s">
        <v>2094</v>
      </c>
      <c r="C41" s="18" t="str">
        <f>IF(mgmt_nsxt_mgra_fqdn="Value Missing",mgmt_nsxt_mgra_fqdn,LEFT(mgmt_nsxt_mgra_fqdn,FIND(".",mgmt_nsxt_mgra_fqdn)-1))</f>
        <v>Value Missing</v>
      </c>
      <c r="D41" s="1"/>
      <c r="E41" s="334" t="s">
        <v>2225</v>
      </c>
      <c r="F41" s="14"/>
      <c r="G41" s="1"/>
      <c r="H41" s="173" t="s">
        <v>465</v>
      </c>
      <c r="I41" s="18" t="str">
        <f>IF(ISBLANK(input_cluster_az1_secondary_storage_pool_start_ip),"Value Missing",input_cluster_az1_secondary_storage_pool_start_ip)</f>
        <v>Value Missing</v>
      </c>
      <c r="J41" s="1"/>
      <c r="K41" s="1"/>
      <c r="L41" s="1"/>
      <c r="M41" s="1"/>
      <c r="N41" s="84" t="s">
        <v>2170</v>
      </c>
      <c r="O41" s="18" t="str">
        <f>IF(ISBLANK(input_ca_email_address),"Value Missing",input_ca_email_address)</f>
        <v>Value Missing</v>
      </c>
      <c r="P41" s="1"/>
      <c r="Q41" s="173" t="s">
        <v>2226</v>
      </c>
      <c r="R41" s="18" t="str">
        <f>IF(ISBLANK('Deploy Management Domain'!L82),"Value Missing",'Deploy Management Domain'!L82)</f>
        <v>Value Missing</v>
      </c>
      <c r="S41" s="1"/>
      <c r="T41" s="1"/>
      <c r="U41" s="1"/>
      <c r="V41" s="10"/>
      <c r="W41" s="1"/>
      <c r="X41" s="1"/>
      <c r="Y41" s="1"/>
      <c r="Z41" s="84" t="s">
        <v>2227</v>
      </c>
      <c r="AA41" s="18"/>
      <c r="AB41" s="1"/>
      <c r="AC41" s="337" t="s">
        <v>256</v>
      </c>
      <c r="AD41" s="338" t="s">
        <v>1707</v>
      </c>
      <c r="AE41" s="338" t="s">
        <v>1998</v>
      </c>
      <c r="AF41" s="1"/>
    </row>
    <row r="42" ht="19.5" customHeight="1">
      <c r="A42" s="1"/>
      <c r="B42" s="84" t="s">
        <v>2101</v>
      </c>
      <c r="C42" s="18" t="str">
        <f>IF(mgmt_nsxt_mgrb_fqdn="Value Missing",mgmt_nsxt_mgrb_fqdn,LEFT(mgmt_nsxt_mgrb_fqdn,FIND(".",mgmt_nsxt_mgrb_fqdn)-1))</f>
        <v>Value Missing</v>
      </c>
      <c r="D42" s="1"/>
      <c r="E42" s="15" t="s">
        <v>256</v>
      </c>
      <c r="F42" s="15" t="s">
        <v>274</v>
      </c>
      <c r="G42" s="1"/>
      <c r="H42" s="173" t="s">
        <v>466</v>
      </c>
      <c r="I42" s="18" t="str">
        <f>IF(ISBLANK(input_cluster_az1_secondary_storage_pool_end_ip),"Value Missing",input_cluster_az1_secondary_storage_pool_end_ip)</f>
        <v>Value Missing</v>
      </c>
      <c r="J42" s="1"/>
      <c r="K42" s="333" t="s">
        <v>2228</v>
      </c>
      <c r="L42" s="333"/>
      <c r="M42" s="1"/>
      <c r="N42" s="84" t="s">
        <v>563</v>
      </c>
      <c r="O42" s="18" t="str">
        <f>IF(ISBLANK('Configure Management Domain'!D63),"Value Missing",'Configure Management Domain'!D63)</f>
        <v>Value Missing</v>
      </c>
      <c r="P42" s="1"/>
      <c r="Q42" s="173" t="s">
        <v>2229</v>
      </c>
      <c r="R42" s="18" t="str">
        <f>IF(ISBLANK('Deploy Management Domain'!L83),"Value Missing",'Deploy Management Domain'!L83)</f>
        <v>Value Missing</v>
      </c>
      <c r="S42" s="1"/>
      <c r="T42" s="332" t="s">
        <v>2230</v>
      </c>
      <c r="U42" s="14"/>
      <c r="V42" s="10"/>
      <c r="W42" s="335" t="s">
        <v>2231</v>
      </c>
      <c r="X42" s="336"/>
      <c r="Y42" s="1"/>
      <c r="Z42" s="84" t="s">
        <v>2232</v>
      </c>
      <c r="AA42" s="18" t="str">
        <f>IF(ISBLANK(input_wld_az1_mgmt_cidr),"Value Missing",VLOOKUP(INT(RIGHT(input_wld_az1_mgmt_cidr,LEN(input_wld_az1_mgmt_cidr)-FIND("/",input_wld_az1_mgmt_cidr))),table_cidr_to_mask,2,FALSE))</f>
        <v>Value Missing</v>
      </c>
      <c r="AB42" s="1"/>
      <c r="AC42" s="84" t="s">
        <v>2048</v>
      </c>
      <c r="AD42" s="18" t="str">
        <f>'Value Reference Tables - MR'!I86</f>
        <v>Value Missing</v>
      </c>
      <c r="AE42" s="18" t="str">
        <f>'Value Reference Tables - MR'!I339</f>
        <v>Value Missing</v>
      </c>
      <c r="AF42" s="1"/>
    </row>
    <row r="43" ht="19.5" customHeight="1">
      <c r="A43" s="1"/>
      <c r="B43" s="84" t="s">
        <v>2106</v>
      </c>
      <c r="C43" s="18" t="str">
        <f>IF(mgmt_nsxt_mgrc_fqdn="Value Missing",mgmt_nsxt_mgrc_fqdn,LEFT(mgmt_nsxt_mgrc_fqdn,FIND(".",mgmt_nsxt_mgrc_fqdn)-1))</f>
        <v>Value Missing</v>
      </c>
      <c r="D43" s="1"/>
      <c r="E43" s="84" t="s">
        <v>2081</v>
      </c>
      <c r="F43" s="18" t="str">
        <f>IF(ISBLANK(input_wld_vc_fqdn),"Value Missing",input_wld_vc_fqdn)</f>
        <v>Value Missing</v>
      </c>
      <c r="G43" s="1"/>
      <c r="H43" s="17" t="s">
        <v>1244</v>
      </c>
      <c r="I43" s="14"/>
      <c r="J43" s="1"/>
      <c r="K43" s="337" t="s">
        <v>256</v>
      </c>
      <c r="L43" s="338" t="s">
        <v>274</v>
      </c>
      <c r="M43" s="1"/>
      <c r="N43" s="84" t="s">
        <v>556</v>
      </c>
      <c r="O43" s="18" t="str">
        <f>IF(ISBLANK('Configure Management Domain'!D60),"Value Missing",'Configure Management Domain'!D60)</f>
        <v>Value Missing</v>
      </c>
      <c r="P43" s="1"/>
      <c r="Q43" s="173" t="s">
        <v>348</v>
      </c>
      <c r="R43" s="18" t="str">
        <f>xreg_vra_k8s_cluster_cidr_chosen</f>
        <v>198.18.0.0/15</v>
      </c>
      <c r="S43" s="1"/>
      <c r="T43" s="337" t="s">
        <v>256</v>
      </c>
      <c r="U43" s="338" t="s">
        <v>274</v>
      </c>
      <c r="V43" s="10"/>
      <c r="W43" s="337" t="s">
        <v>256</v>
      </c>
      <c r="X43" s="338" t="s">
        <v>274</v>
      </c>
      <c r="Y43" s="1"/>
      <c r="Z43" s="84" t="s">
        <v>2233</v>
      </c>
      <c r="AA43" s="18" t="str">
        <f>IF(ISBLANK(input_wld_witnessaz_mgmt_cidr),"Value Missing",VLOOKUP(INT(RIGHT(input_wld_witnessaz_mgmt_cidr,LEN(input_wld_witnessaz_mgmt_cidr)-FIND("/",input_wld_witnessaz_mgmt_cidr))),table_cidr_to_mask,2,FALSE))</f>
        <v>Value Missing</v>
      </c>
      <c r="AB43" s="1"/>
      <c r="AC43" s="84" t="s">
        <v>1717</v>
      </c>
      <c r="AD43" s="1"/>
      <c r="AE43" s="18" t="str">
        <f>IF(input_wld_az2_host_overlay_gateway_ip="DHCP","",IF(ISBLANK('Configure Workload Domain'!D217),"Value Missing",'Configure Workload Domain'!D217))</f>
        <v>Value Missing</v>
      </c>
      <c r="AF43" s="1"/>
    </row>
    <row r="44" ht="19.5" customHeight="1">
      <c r="A44" s="1"/>
      <c r="B44" s="84" t="s">
        <v>2112</v>
      </c>
      <c r="C44" s="18" t="str">
        <f>IF(mgmt_nsxt_gm_vip_fqdn="Value Missing",mgmt_nsxt_gm_vip_fqdn,LEFT(mgmt_nsxt_gm_vip_fqdn,FIND(".",mgmt_nsxt_gm_vip_fqdn)-1))</f>
        <v>Value Missing</v>
      </c>
      <c r="D44" s="1"/>
      <c r="E44" s="84" t="s">
        <v>2088</v>
      </c>
      <c r="F44" s="18" t="str">
        <f>IF(ISBLANK(input_wld_nsxt_vip_fqdn),"Value Missing",input_wld_nsxt_vip_fqdn)</f>
        <v>Value Missing</v>
      </c>
      <c r="G44" s="1"/>
      <c r="H44" s="84" t="s">
        <v>401</v>
      </c>
      <c r="I44" s="18" t="str">
        <f>IF(ISBLANK(input_cluster_az1_storage_cluster_vlan),"Value Missing",input_cluster_az1_storage_cluster_vlan)</f>
        <v>Value Missing</v>
      </c>
      <c r="J44" s="1"/>
      <c r="K44" s="84" t="s">
        <v>2234</v>
      </c>
      <c r="L44" s="18" t="str">
        <f>IF(ISBLANK(input_region_ntp1_server),"Value Missing",input_region_ntp1_server)</f>
        <v>Value Missing</v>
      </c>
      <c r="M44" s="1"/>
      <c r="N44" s="84" t="s">
        <v>2235</v>
      </c>
      <c r="O44" s="18" t="str">
        <f>IF(ISBLANK('Configure Management Domain'!D59),"Value Missing",'Configure Management Domain'!D59)</f>
        <v>Value Missing</v>
      </c>
      <c r="P44" s="1"/>
      <c r="Q44" s="1"/>
      <c r="R44" s="1"/>
      <c r="S44" s="1"/>
      <c r="T44" s="85" t="s">
        <v>2236</v>
      </c>
      <c r="U44" s="18" t="str">
        <f>IF(ISBLANK(input_air_license),"Value Missing",input_air_license)</f>
        <v>Value Missing</v>
      </c>
      <c r="V44" s="10"/>
      <c r="W44" s="84" t="s">
        <v>739</v>
      </c>
      <c r="X44" s="18" t="str">
        <f>IF(ISBLANK(input_mgmt_witnessaz_mgmt_gateway_ip),"Value Missing",input_mgmt_witnessaz_mgmt_gateway_ip)</f>
        <v>Value Missing</v>
      </c>
      <c r="Y44" s="1"/>
      <c r="Z44" s="84" t="s">
        <v>2237</v>
      </c>
      <c r="AA44" s="18"/>
      <c r="AB44" s="1"/>
      <c r="AC44" s="1"/>
      <c r="AD44" s="1"/>
      <c r="AE44" s="1"/>
      <c r="AF44" s="1"/>
    </row>
    <row r="45" ht="19.5" customHeight="1">
      <c r="A45" s="1"/>
      <c r="B45" s="84" t="s">
        <v>2118</v>
      </c>
      <c r="C45" s="18" t="str">
        <f>IF(mgmt_nsxt_global_mgra_fqdn="Value Missing",mgmt_nsxt_global_mgra_fqdn,LEFT(mgmt_nsxt_global_mgra_fqdn,FIND(".",mgmt_nsxt_global_mgra_fqdn)-1))</f>
        <v>Value Missing</v>
      </c>
      <c r="D45" s="1"/>
      <c r="E45" s="84" t="s">
        <v>2094</v>
      </c>
      <c r="F45" s="18" t="str">
        <f>IF(ISBLANK(input_wld_nsxt_mgra_fqdn),"Value Missing",input_wld_nsxt_mgra_fqdn)</f>
        <v>Value Missing</v>
      </c>
      <c r="G45" s="1"/>
      <c r="H45" s="84" t="s">
        <v>404</v>
      </c>
      <c r="I45" s="18" t="str">
        <f>IF(ISBLANK(input_cluster_az1_storage_cluster_mtu),"Value Missing",input_cluster_az1_storage_cluster_mtu)</f>
        <v>Value Missing</v>
      </c>
      <c r="J45" s="1"/>
      <c r="K45" s="84" t="s">
        <v>2238</v>
      </c>
      <c r="L45" s="18" t="str">
        <f>IF(ISBLANK(input_region_ntp2_server),"Value Missing",input_region_ntp2_server)</f>
        <v>Value Missing</v>
      </c>
      <c r="M45" s="1"/>
      <c r="N45" s="84" t="s">
        <v>561</v>
      </c>
      <c r="O45" s="18" t="str">
        <f>IF(ISBLANK('Configure Management Domain'!D62),"Value Missing",'Configure Management Domain'!D62)</f>
        <v>Value Missing</v>
      </c>
      <c r="P45" s="1"/>
      <c r="Q45" s="1"/>
      <c r="R45" s="1"/>
      <c r="S45" s="1"/>
      <c r="T45" s="84" t="s">
        <v>2239</v>
      </c>
      <c r="U45" s="18" t="str">
        <f>IF(ISBLANK(input_air_GPU_VM_class),"Value Missing",input_air_GPU_VM_class)</f>
        <v>Value Missing</v>
      </c>
      <c r="V45" s="10"/>
      <c r="W45" s="1"/>
      <c r="X45" s="1"/>
      <c r="Y45" s="1"/>
      <c r="Z45" s="84" t="s">
        <v>2240</v>
      </c>
      <c r="AA45" s="18"/>
      <c r="AB45" s="1"/>
      <c r="AC45" s="335" t="s">
        <v>2241</v>
      </c>
      <c r="AD45" s="336"/>
      <c r="AE45" s="336"/>
      <c r="AF45" s="1"/>
    </row>
    <row r="46" ht="19.5" customHeight="1">
      <c r="A46" s="1"/>
      <c r="B46" s="84" t="s">
        <v>2123</v>
      </c>
      <c r="C46" s="18" t="str">
        <f>IF(mgmt_nsxt_global_mgrb_fqdn="Value Missing",mgmt_nsxt_global_mgrb_fqdn,LEFT(mgmt_nsxt_global_mgrb_fqdn,FIND(".",mgmt_nsxt_global_mgrb_fqdn)-1))</f>
        <v>Value Missing</v>
      </c>
      <c r="D46" s="1"/>
      <c r="E46" s="84" t="s">
        <v>2101</v>
      </c>
      <c r="F46" s="18" t="str">
        <f>IF(ISBLANK(input_wld_nsxt_mgrb_fqdn),"Value Missing",input_wld_nsxt_mgrb_fqdn)</f>
        <v>Value Missing</v>
      </c>
      <c r="G46" s="1"/>
      <c r="H46" s="84" t="s">
        <v>717</v>
      </c>
      <c r="I46" s="18" t="str">
        <f>IF(ISBLANK(input_cluster_az1_storage_cluster_network),"Value Missing",input_cluster_az1_storage_cluster_network)</f>
        <v>Value Missing</v>
      </c>
      <c r="J46" s="1"/>
      <c r="K46" s="84" t="s">
        <v>2242</v>
      </c>
      <c r="L46" s="18"/>
      <c r="M46" s="1"/>
      <c r="N46" s="84" t="s">
        <v>526</v>
      </c>
      <c r="O46" s="18" t="str">
        <f>IF(ISBLANK('Configure Management Domain'!D22),"Value Missing",'Configure Management Domain'!D22)</f>
        <v>Value Missing</v>
      </c>
      <c r="P46" s="1"/>
      <c r="Q46" s="334" t="s">
        <v>2243</v>
      </c>
      <c r="R46" s="14"/>
      <c r="S46" s="1"/>
      <c r="T46" s="173" t="s">
        <v>2244</v>
      </c>
      <c r="U46" s="18" t="str">
        <f>IF(ISBLANK(input_air_GPU_operator_namespace),"Value Missing",input_air_GPU_operator_namespace)</f>
        <v>Value Missing</v>
      </c>
      <c r="V46" s="10"/>
      <c r="W46" s="335" t="s">
        <v>2245</v>
      </c>
      <c r="X46" s="336"/>
      <c r="Y46" s="1"/>
      <c r="Z46" s="84" t="s">
        <v>2246</v>
      </c>
      <c r="AA46" s="18" t="str">
        <f>IF(ISBLANK(input_wld_az1_uplink01_cidr),"Value Missing",VLOOKUP(INT(RIGHT(input_wld_az1_uplink01_cidr,LEN(input_wld_az1_uplink01_cidr)-FIND("/",input_wld_az1_uplink01_cidr))),table_cidr_to_mask,2,FALSE))</f>
        <v>Value Missing</v>
      </c>
      <c r="AB46" s="1"/>
      <c r="AC46" s="337" t="s">
        <v>256</v>
      </c>
      <c r="AD46" s="338" t="s">
        <v>1707</v>
      </c>
      <c r="AE46" s="338" t="s">
        <v>1998</v>
      </c>
      <c r="AF46" s="1"/>
    </row>
    <row r="47" ht="19.5" customHeight="1">
      <c r="A47" s="1"/>
      <c r="B47" s="84" t="s">
        <v>2128</v>
      </c>
      <c r="C47" s="18" t="str">
        <f>IF(mgmt_nsxt_global_mgrc_fqdn="Value Missing",mgmt_nsxt_global_mgrc_fqdn,LEFT(mgmt_nsxt_global_mgrc_fqdn,FIND(".",mgmt_nsxt_global_mgrc_fqdn)-1))</f>
        <v>Value Missing</v>
      </c>
      <c r="D47" s="1"/>
      <c r="E47" s="84" t="s">
        <v>2106</v>
      </c>
      <c r="F47" s="18" t="str">
        <f>IF(ISBLANK(input_wld_nsxt_mgrc_fqdn),"Value Missing",input_wld_nsxt_mgrc_fqdn)</f>
        <v>Value Missing</v>
      </c>
      <c r="G47" s="1"/>
      <c r="H47" s="84" t="s">
        <v>743</v>
      </c>
      <c r="I47" s="18" t="str">
        <f>IF(ISBLANK(input_cluster_az1_storage_cluster_mask),"Value Missing",input_cluster_az1_storage_cluster_mask)</f>
        <v>Value Missing</v>
      </c>
      <c r="J47" s="1"/>
      <c r="K47" s="84" t="s">
        <v>2247</v>
      </c>
      <c r="L47" s="18" t="str">
        <f>IF(ISBLANK(input_xregion_ntp1_server),"Value Missing",input_xregion_ntp1_server)</f>
        <v>Value Missing</v>
      </c>
      <c r="M47" s="1"/>
      <c r="N47" s="84" t="s">
        <v>287</v>
      </c>
      <c r="O47" s="18" t="str">
        <f>IF(ISBLANK('Configure Management Domain'!D23),"Value Missing",'Configure Management Domain'!D23)</f>
        <v>Value Missing</v>
      </c>
      <c r="P47" s="1"/>
      <c r="Q47" s="15" t="s">
        <v>256</v>
      </c>
      <c r="R47" s="15" t="s">
        <v>274</v>
      </c>
      <c r="S47" s="1"/>
      <c r="T47" s="84" t="s">
        <v>2248</v>
      </c>
      <c r="U47" s="18" t="str">
        <f>IF(ISBLANK(input_air_GPU_network_operator_namespace),"Value Missing",input_air_GPU_network_operator_namespace)</f>
        <v>Value Missing</v>
      </c>
      <c r="V47" s="10"/>
      <c r="W47" s="337" t="s">
        <v>256</v>
      </c>
      <c r="X47" s="338" t="s">
        <v>274</v>
      </c>
      <c r="Y47" s="1"/>
      <c r="Z47" s="84" t="s">
        <v>2249</v>
      </c>
      <c r="AA47" s="18" t="str">
        <f>IF(ISBLANK(input_wld_az1_uplink02_cidr),"Value Missing",VLOOKUP(INT(RIGHT(input_wld_az1_uplink02_cidr,LEN(input_wld_az1_uplink02_cidr)-FIND("/",input_wld_az1_uplink02_cidr))),table_cidr_to_mask,2,FALSE))</f>
        <v>Value Missing</v>
      </c>
      <c r="AB47" s="1"/>
      <c r="AC47" s="84" t="s">
        <v>2048</v>
      </c>
      <c r="AD47" s="18" t="str">
        <f>'Value Reference Tables - MR'!I70</f>
        <v>Value Missing</v>
      </c>
      <c r="AE47" s="18" t="str">
        <f>'Value Reference Tables - MR'!I354</f>
        <v>Value Missing</v>
      </c>
      <c r="AF47" s="1"/>
    </row>
    <row r="48" ht="19.5" customHeight="1">
      <c r="A48" s="1"/>
      <c r="B48" s="84" t="s">
        <v>2133</v>
      </c>
      <c r="C48" s="18" t="str">
        <f>IF(mgmt_avilb_fqdn="Value Missing",mgmt_avilb_fqdn,LEFT(mgmt_avilb_fqdn,FIND(".",mgmt_avilb_fqdn)-1))</f>
        <v>Value Missing</v>
      </c>
      <c r="D48" s="1"/>
      <c r="E48" s="84" t="s">
        <v>2112</v>
      </c>
      <c r="F48" s="18" t="str">
        <f>IF(ISBLANK(input_wld_nsxt_gm_vip_fqdn),"Value Missing",input_wld_nsxt_gm_vip_fqdn)</f>
        <v>Value Missing</v>
      </c>
      <c r="G48" s="1"/>
      <c r="H48" s="84" t="s">
        <v>464</v>
      </c>
      <c r="I48" s="18" t="str">
        <f>IF(OR(cluster_az1_storage_cluster_network="Value Missing",cluster_az1_storage_cluster_mask="Value Missing"),"Value Missing",(CONCATENATE(cluster_az1_storage_cluster_network,"/",VLOOKUP(cluster_az1_storage_cluster_mask,table_mask_to_cidr,2,FALSE))))</f>
        <v>Value Missing</v>
      </c>
      <c r="J48" s="1"/>
      <c r="K48" s="84" t="s">
        <v>2250</v>
      </c>
      <c r="L48" s="18" t="str">
        <f>IF(AND((OR((spr_chosen="Management Only"),(spr_chosen="Management &amp; VI Workload"))),(ISBLANK(input_xregion_ntp2_server))),"Value Missing",IF(ISBLANK(input_xregion_ntp2_server),"",input_xregion_ntp2_server))</f>
        <v/>
      </c>
      <c r="M48" s="1"/>
      <c r="N48" s="84" t="s">
        <v>2251</v>
      </c>
      <c r="O48" s="18" t="str">
        <f>IF(ISBLANK('Configure Management Domain'!D24),"Value Missing",'Configure Management Domain'!D24)</f>
        <v>Value Missing</v>
      </c>
      <c r="P48" s="1"/>
      <c r="Q48" s="173" t="s">
        <v>2214</v>
      </c>
      <c r="R48" s="18" t="str">
        <f>IF(xreg_vra_virtual_fqdn="Value Missing",xreg_vra_virtual_fqdn,LEFT(xreg_vra_virtual_fqdn,FIND(".",xreg_vra_virtual_fqdn)-1))</f>
        <v>Value Missing</v>
      </c>
      <c r="S48" s="1"/>
      <c r="T48" s="1"/>
      <c r="U48" s="1"/>
      <c r="V48" s="10"/>
      <c r="W48" s="84" t="s">
        <v>739</v>
      </c>
      <c r="X48" s="18" t="str">
        <f>IF(ISBLANK(input_mgmt_witnessaz_mgmt_mtu),"Value Missing",input_mgmt_witnessaz_mgmt_mtu)</f>
        <v>Value Missing</v>
      </c>
      <c r="Y48" s="1"/>
      <c r="Z48" s="84" t="s">
        <v>2163</v>
      </c>
      <c r="AA48" s="18"/>
      <c r="AB48" s="1"/>
      <c r="AC48" s="1"/>
      <c r="AD48" s="1"/>
      <c r="AE48" s="1"/>
      <c r="AF48" s="1"/>
    </row>
    <row r="49" ht="19.5" customHeight="1">
      <c r="A49" s="1"/>
      <c r="B49" s="84" t="s">
        <v>2252</v>
      </c>
      <c r="C49" s="18" t="str">
        <f>IF(flt_vidb_vip_fqdn="Value Missing",flt_vidb_vip_fqdn,LEFT(flt_vidb_vip_fqdn,FIND(".",flt_vidb_vip_fqdn)-1))</f>
        <v>Value Missing</v>
      </c>
      <c r="D49" s="1"/>
      <c r="E49" s="84" t="s">
        <v>2118</v>
      </c>
      <c r="F49" s="18" t="str">
        <f>IF(ISBLANK(input_wld_nsxt_global_mgra_fqdn),"Value Missing",input_wld_nsxt_global_mgra_fqdn)</f>
        <v>Value Missing</v>
      </c>
      <c r="G49" s="1"/>
      <c r="H49" s="84" t="s">
        <v>402</v>
      </c>
      <c r="I49" s="18" t="str">
        <f>IF(ISBLANK(input_cluster_az1_storage_cluster_gateway_ip),"Value Missing",input_cluster_az1_storage_cluster_gateway_ip)</f>
        <v>Value Missing</v>
      </c>
      <c r="J49" s="1"/>
      <c r="K49" s="84" t="s">
        <v>2253</v>
      </c>
      <c r="L49" s="18" t="str">
        <f>IF(ISBLANK('Configure Management Domain'!D326),"Value Missing",'Configure Management Domain'!D326)</f>
        <v>Value Missing</v>
      </c>
      <c r="M49" s="1"/>
      <c r="N49" s="84" t="s">
        <v>530</v>
      </c>
      <c r="O49" s="18" t="str">
        <f>IF(ISBLANK('Configure Management Domain'!D26),"Value Missing",'Configure Management Domain'!D26)</f>
        <v>Value Missing</v>
      </c>
      <c r="P49" s="1"/>
      <c r="Q49" s="1"/>
      <c r="R49" s="1"/>
      <c r="S49" s="1"/>
      <c r="T49" s="1"/>
      <c r="U49" s="1"/>
      <c r="V49" s="10"/>
      <c r="W49" s="1"/>
      <c r="X49" s="1"/>
      <c r="Y49" s="1"/>
      <c r="Z49" s="84" t="s">
        <v>2254</v>
      </c>
      <c r="AA49" s="18"/>
      <c r="AB49" s="1"/>
      <c r="AC49" s="1"/>
      <c r="AD49" s="1"/>
      <c r="AE49" s="1"/>
      <c r="AF49" s="1"/>
    </row>
    <row r="50" ht="19.5" customHeight="1">
      <c r="A50" s="1"/>
      <c r="B50" s="1"/>
      <c r="C50" s="1"/>
      <c r="D50" s="1"/>
      <c r="E50" s="84" t="s">
        <v>2123</v>
      </c>
      <c r="F50" s="18" t="str">
        <f t="array" ref="F50">IF(ISBLANK(input_wld_nsxt_global_mgrb_fqdn),"Value Missing",input_wld_nsxt_global_mgrb_fqdn)</f>
        <v>Value Missing</v>
      </c>
      <c r="G50" s="1"/>
      <c r="H50" s="173" t="s">
        <v>465</v>
      </c>
      <c r="I50" s="18" t="str">
        <f>IF(ISBLANK(input_cluster_az1_storage_cluster_pool_start_ip),"Value Missing",input_cluster_az1_storage_cluster_pool_start_ip)</f>
        <v>Value Missing</v>
      </c>
      <c r="J50" s="1"/>
      <c r="K50" s="84" t="s">
        <v>2253</v>
      </c>
      <c r="L50" s="18" t="str">
        <f>IF(ISBLANK('Configure Management Domain'!D327),"Value Missing",'Configure Management Domain'!D327)</f>
        <v>Value Missing</v>
      </c>
      <c r="M50" s="1"/>
      <c r="N50" s="84" t="s">
        <v>2255</v>
      </c>
      <c r="O50" s="18" t="str">
        <f>IF(ISBLANK('Configure Management Domain'!D27),"Value Missing",'Configure Management Domain'!D27)</f>
        <v>Value Missing</v>
      </c>
      <c r="P50" s="1"/>
      <c r="Q50" s="334" t="s">
        <v>2256</v>
      </c>
      <c r="R50" s="14"/>
      <c r="S50" s="1"/>
      <c r="T50" s="332" t="s">
        <v>2257</v>
      </c>
      <c r="U50" s="14"/>
      <c r="V50" s="10"/>
      <c r="W50" s="335" t="s">
        <v>2258</v>
      </c>
      <c r="X50" s="336"/>
      <c r="Y50" s="1"/>
      <c r="Z50" s="84" t="s">
        <v>2259</v>
      </c>
      <c r="AA50" s="18" t="str">
        <f>IF(ISBLANK(input_wld_az1_vrms_cidr),"Value Missing",VLOOKUP(INT(RIGHT(input_wld_az1_vrms_cidr,LEN(input_wld_az1_vrms_cidr)-FIND("/",input_wld_az1_vrms_cidr))),table_cidr_to_mask,2,FALSE))</f>
        <v>Value Missing</v>
      </c>
      <c r="AB50" s="1"/>
      <c r="AC50" s="1"/>
      <c r="AD50" s="1"/>
      <c r="AE50" s="1"/>
      <c r="AF50" s="1"/>
    </row>
    <row r="51" ht="19.5" customHeight="1">
      <c r="A51" s="1"/>
      <c r="B51" s="339" t="s">
        <v>2260</v>
      </c>
      <c r="C51" s="340"/>
      <c r="D51" s="1"/>
      <c r="E51" s="84" t="s">
        <v>2128</v>
      </c>
      <c r="F51" s="18" t="str">
        <f>IF(ISBLANK(input_wld_nsxt_global_mgrc_fqdn),"Value Missing",input_wld_nsxt_global_mgrc_fqdn)</f>
        <v>Value Missing</v>
      </c>
      <c r="G51" s="1"/>
      <c r="H51" s="173" t="s">
        <v>466</v>
      </c>
      <c r="I51" s="18" t="str">
        <f>IF(ISBLANK(input_cluster_az1_storage_cluster_pool_end_ip),"Value Missing",input_cluster_az1_storage_cluster_pool_end_ip)</f>
        <v>Value Missing</v>
      </c>
      <c r="J51" s="1"/>
      <c r="K51" s="84" t="s">
        <v>2261</v>
      </c>
      <c r="L51" s="18" t="str">
        <f>IF(ISBLANK(input_region_dns1_ip),"Value Missing",input_region_dns1_ip)</f>
        <v>Value Missing</v>
      </c>
      <c r="M51" s="1"/>
      <c r="N51" s="84" t="s">
        <v>534</v>
      </c>
      <c r="O51" s="18" t="str">
        <f>IF(ISBLANK('Configure Management Domain'!D28),"Value Missing",'Configure Management Domain'!D28)</f>
        <v>Value Missing</v>
      </c>
      <c r="P51" s="1"/>
      <c r="Q51" s="15" t="s">
        <v>256</v>
      </c>
      <c r="R51" s="15" t="s">
        <v>274</v>
      </c>
      <c r="S51" s="1"/>
      <c r="T51" s="337" t="s">
        <v>256</v>
      </c>
      <c r="U51" s="338" t="s">
        <v>274</v>
      </c>
      <c r="V51" s="1"/>
      <c r="W51" s="337" t="s">
        <v>256</v>
      </c>
      <c r="X51" s="338" t="s">
        <v>274</v>
      </c>
      <c r="Y51" s="1"/>
      <c r="Z51" s="84" t="s">
        <v>2262</v>
      </c>
      <c r="AA51" s="1"/>
      <c r="AB51" s="1"/>
      <c r="AC51" s="1"/>
      <c r="AD51" s="1"/>
      <c r="AE51" s="1"/>
      <c r="AF51" s="1"/>
    </row>
    <row r="52" ht="19.5" customHeight="1">
      <c r="A52" s="1"/>
      <c r="B52" s="15" t="s">
        <v>256</v>
      </c>
      <c r="C52" s="15" t="s">
        <v>274</v>
      </c>
      <c r="D52" s="1"/>
      <c r="E52" s="84" t="s">
        <v>2263</v>
      </c>
      <c r="F52" s="18" t="str">
        <f>IF(ISBLANK(input_wld_az1_en1_fqdn),"Value Missing",input_wld_az1_en1_fqdn)</f>
        <v>Value Missing</v>
      </c>
      <c r="G52" s="1"/>
      <c r="H52" s="17" t="s">
        <v>2264</v>
      </c>
      <c r="I52" s="14"/>
      <c r="J52" s="1"/>
      <c r="K52" s="84" t="s">
        <v>2265</v>
      </c>
      <c r="L52" s="18" t="str">
        <f>IF(ISBLANK(input_region_dns2_ip),"Value Missing",input_region_dns2_ip)</f>
        <v>Value Missing</v>
      </c>
      <c r="M52" s="1"/>
      <c r="N52" s="173" t="s">
        <v>2266</v>
      </c>
      <c r="O52" s="186" t="s">
        <v>359</v>
      </c>
      <c r="P52" s="1"/>
      <c r="Q52" s="173" t="s">
        <v>2214</v>
      </c>
      <c r="R52" s="18" t="str">
        <f>IF(ISBLANK(input_xreg_vra_virtual_fqdn),"Value Missing",input_xreg_vra_virtual_fqdn)</f>
        <v>Value Missing</v>
      </c>
      <c r="S52" s="1"/>
      <c r="T52" s="84" t="s">
        <v>2267</v>
      </c>
      <c r="U52" s="18" t="str">
        <f>IF(ISBLANK(input_mgmt_srm_recovery_sddc_manager_fqdn),"Value Missing",input_mgmt_srm_recovery_sddc_manager_fqdn)</f>
        <v>Value Missing</v>
      </c>
      <c r="V52" s="1"/>
      <c r="W52" s="84" t="s">
        <v>739</v>
      </c>
      <c r="X52" s="18" t="str">
        <f>IF(ISBLANK(input_wld_witnessaz_mgmt_vlan),"Value Missing",input_wld_witnessaz_mgmt_vlan)</f>
        <v>Value Missing</v>
      </c>
      <c r="Y52" s="1"/>
      <c r="Z52" s="84" t="s">
        <v>2268</v>
      </c>
      <c r="AA52" s="1"/>
      <c r="AB52" s="1"/>
      <c r="AC52" s="1"/>
      <c r="AD52" s="1"/>
      <c r="AE52" s="1"/>
      <c r="AF52" s="1"/>
    </row>
    <row r="53" ht="19.5" customHeight="1">
      <c r="A53" s="1"/>
      <c r="B53" s="84" t="s">
        <v>2080</v>
      </c>
      <c r="C53" s="18" t="str">
        <f>IF(ISBLANK(input_vcf_installer_fqdn),"Value Missing",input_vcf_installer_fqdn)</f>
        <v>Value Missing</v>
      </c>
      <c r="D53" s="1"/>
      <c r="E53" s="84" t="s">
        <v>2269</v>
      </c>
      <c r="F53" s="18" t="str">
        <f>IF(ISBLANK(input_wld_az1_en2_fqdn),"Value Missing",input_wld_az1_en2_fqdn)</f>
        <v>Value Missing</v>
      </c>
      <c r="G53" s="1"/>
      <c r="H53" s="173" t="s">
        <v>697</v>
      </c>
      <c r="I53" s="18" t="str">
        <f>IF(ISBLANK(input_cluster_az1_host1_mgmt_ip),"Value Missing",input_cluster_az1_host1_mgmt_ip)</f>
        <v>Value Missing</v>
      </c>
      <c r="J53" s="1"/>
      <c r="K53" s="84" t="s">
        <v>2270</v>
      </c>
      <c r="L53" s="18" t="str">
        <f>IF(ISBLANK(Arkham!C13),"Value Missing",Arkham!C13)</f>
        <v>Value Missing</v>
      </c>
      <c r="M53" s="1"/>
      <c r="N53" s="173" t="s">
        <v>2271</v>
      </c>
      <c r="O53" s="18" t="str">
        <f>CONCATENATE(mgmt_cl01_cluster,"_primary-az-vmgroup")</f>
        <v>Value Missing_primary-az-vmgroup</v>
      </c>
      <c r="P53" s="1"/>
      <c r="Q53" s="1"/>
      <c r="R53" s="1"/>
      <c r="S53" s="1"/>
      <c r="T53" s="84" t="s">
        <v>2272</v>
      </c>
      <c r="U53" s="18" t="str">
        <f>IF(ISBLANK(input_mgmt_srm_recovery_sddc_manager_username),"Value Missing",input_mgmt_srm_recovery_sddc_manager_username)</f>
        <v>Value Missing</v>
      </c>
      <c r="V53" s="10"/>
      <c r="W53" s="1"/>
      <c r="X53" s="1"/>
      <c r="Y53" s="1"/>
      <c r="Z53" s="84" t="s">
        <v>2273</v>
      </c>
      <c r="AA53" s="1"/>
      <c r="AB53" s="1"/>
      <c r="AC53" s="1"/>
      <c r="AD53" s="1"/>
      <c r="AE53" s="1"/>
      <c r="AF53" s="1"/>
    </row>
    <row r="54" ht="19.5" customHeight="1">
      <c r="A54" s="1"/>
      <c r="B54" s="84" t="s">
        <v>146</v>
      </c>
      <c r="C54" s="18" t="str">
        <f>IF(ISBLANK(input_sddc_mgr_fqdn),"Value Missing",input_sddc_mgr_fqdn)</f>
        <v>Value Missing</v>
      </c>
      <c r="D54" s="1"/>
      <c r="E54" s="84" t="s">
        <v>2133</v>
      </c>
      <c r="F54" s="18" t="str">
        <f>IF(ISBLANK(input_wld_avilb_cluster_fqdn),"Value Missing",input_wld_avilb_cluster_fqdn)</f>
        <v>Value Missing</v>
      </c>
      <c r="G54" s="1"/>
      <c r="H54" s="173" t="s">
        <v>698</v>
      </c>
      <c r="I54" s="18" t="str">
        <f>IF(ISBLANK(input_cluster_az1_host2_mgmt_ip),"Value Missing",input_cluster_az1_host2_mgmt_ip)</f>
        <v>Value Missing</v>
      </c>
      <c r="J54" s="1"/>
      <c r="K54" s="84" t="s">
        <v>2274</v>
      </c>
      <c r="L54" s="18" t="str">
        <f>IF(ISBLANK(Arkham!C14),"Value Missing",Arkham!C14)</f>
        <v>Value Missing</v>
      </c>
      <c r="M54" s="1"/>
      <c r="N54" s="84" t="s">
        <v>2275</v>
      </c>
      <c r="O54" s="18" t="str">
        <f>IF(ISBLANK(mgmt_internet_proxy_type_chosen),"Value Missing",mgmt_internet_proxy_type_chosen)</f>
        <v>HTTP</v>
      </c>
      <c r="P54" s="1"/>
      <c r="Q54" s="333" t="s">
        <v>2276</v>
      </c>
      <c r="R54" s="336"/>
      <c r="S54" s="1"/>
      <c r="T54" s="84" t="s">
        <v>2277</v>
      </c>
      <c r="U54" s="18" t="str">
        <f>IF(ISBLANK(input_mgmt_srm_recovery_sddc_manager_password),"Value Missing",input_mgmt_srm_recovery_sddc_manager_password)</f>
        <v>Value Missing</v>
      </c>
      <c r="V54" s="10"/>
      <c r="W54" s="333" t="s">
        <v>2278</v>
      </c>
      <c r="X54" s="333"/>
      <c r="Y54" s="1"/>
      <c r="Z54" s="84" t="s">
        <v>2279</v>
      </c>
      <c r="AA54" s="1"/>
      <c r="AB54" s="1"/>
      <c r="AC54" s="1"/>
      <c r="AD54" s="1"/>
      <c r="AE54" s="1"/>
      <c r="AF54" s="1"/>
    </row>
    <row r="55" ht="19.5" customHeight="1">
      <c r="A55" s="1"/>
      <c r="B55" s="84" t="s">
        <v>2081</v>
      </c>
      <c r="C55" s="18" t="str">
        <f>IF(ISBLANK(input_mgmt_vc_fqdn),"Value Missing",input_mgmt_vc_fqdn)</f>
        <v>Value Missing</v>
      </c>
      <c r="D55" s="1"/>
      <c r="E55" s="1"/>
      <c r="F55" s="1"/>
      <c r="G55" s="1"/>
      <c r="H55" s="173" t="s">
        <v>699</v>
      </c>
      <c r="I55" s="18" t="str">
        <f>IF(ISBLANK(input_cluster_az1_host3_mgmt_ip),"Value Missing",input_cluster_az1_host3_mgmt_ip)</f>
        <v>Value Missing</v>
      </c>
      <c r="J55" s="1"/>
      <c r="K55" s="84" t="s">
        <v>2280</v>
      </c>
      <c r="L55" s="18" t="str">
        <f>IF(ISBLANK('Configure Management Domain'!D324),"Value Missing",'Configure Management Domain'!D324)</f>
        <v>Value Missing</v>
      </c>
      <c r="M55" s="1"/>
      <c r="N55" s="84" t="s">
        <v>290</v>
      </c>
      <c r="O55" s="18" t="str">
        <f>IF(ISBLANK(input_mgmt_internet_proxy_address),"Value Missing",input_mgmt_internet_proxy_address)</f>
        <v>Value Missing</v>
      </c>
      <c r="P55" s="1"/>
      <c r="Q55" s="337" t="s">
        <v>256</v>
      </c>
      <c r="R55" s="338" t="s">
        <v>274</v>
      </c>
      <c r="S55" s="1"/>
      <c r="T55" s="84" t="s">
        <v>2281</v>
      </c>
      <c r="U55" s="18" t="s">
        <v>264</v>
      </c>
      <c r="V55" s="10"/>
      <c r="W55" s="337" t="s">
        <v>256</v>
      </c>
      <c r="X55" s="338" t="s">
        <v>274</v>
      </c>
      <c r="Y55" s="1"/>
      <c r="Z55" s="1"/>
      <c r="AA55" s="1"/>
      <c r="AB55" s="1"/>
      <c r="AC55" s="1"/>
      <c r="AD55" s="1"/>
      <c r="AE55" s="1"/>
      <c r="AF55" s="1"/>
    </row>
    <row r="56" ht="19.5" customHeight="1">
      <c r="A56" s="1"/>
      <c r="B56" s="84" t="s">
        <v>2088</v>
      </c>
      <c r="C56" s="18" t="str">
        <f>IF(ISBLANK(input_mgmt_nsxt_vip_fqdn),"Value Missing",input_mgmt_nsxt_vip_fqdn)</f>
        <v>Value Missing</v>
      </c>
      <c r="D56" s="1"/>
      <c r="E56" s="339" t="s">
        <v>2282</v>
      </c>
      <c r="F56" s="340"/>
      <c r="G56" s="1"/>
      <c r="H56" s="173" t="s">
        <v>700</v>
      </c>
      <c r="I56" s="18" t="str">
        <f>IF(ISBLANK(input_cluster_az1_host4_mgmt_ip),"Value Missing",input_cluster_az1_host4_mgmt_ip)</f>
        <v>Value Missing</v>
      </c>
      <c r="J56" s="1"/>
      <c r="K56" s="84" t="s">
        <v>2283</v>
      </c>
      <c r="L56" s="18" t="str">
        <f>IF(ISBLANK('Configure Management Domain'!D325),"Value Missing",'Configure Management Domain'!D325)</f>
        <v>Value Missing</v>
      </c>
      <c r="M56" s="1"/>
      <c r="N56" s="84" t="s">
        <v>2284</v>
      </c>
      <c r="O56" s="18" t="str">
        <f>IF(ISBLANK(input_mgmt_internet_proxy_port),"Value Missing",input_mgmt_internet_proxy_port)</f>
        <v>Value Missing</v>
      </c>
      <c r="P56" s="1"/>
      <c r="Q56" s="173" t="s">
        <v>2285</v>
      </c>
      <c r="R56" s="18"/>
      <c r="S56" s="1"/>
      <c r="T56" s="84" t="s">
        <v>2286</v>
      </c>
      <c r="U56" s="18" t="s">
        <v>264</v>
      </c>
      <c r="V56" s="10"/>
      <c r="W56" s="84" t="s">
        <v>739</v>
      </c>
      <c r="X56" s="18" t="str">
        <f>IF(ISBLANK('Configure Workload Domain'!D271),"Value Missing",'Configure Workload Domain'!D271)</f>
        <v>Value Missing</v>
      </c>
      <c r="Y56" s="1"/>
      <c r="Z56" s="332" t="s">
        <v>1706</v>
      </c>
      <c r="AA56" s="14"/>
      <c r="AB56" s="1"/>
      <c r="AC56" s="1"/>
      <c r="AD56" s="1"/>
      <c r="AE56" s="1"/>
      <c r="AF56" s="1"/>
    </row>
    <row r="57" ht="19.5" customHeight="1">
      <c r="A57" s="1"/>
      <c r="B57" s="84" t="s">
        <v>2094</v>
      </c>
      <c r="C57" s="18" t="str">
        <f>IF(ISBLANK(input_mgmt_nsxt_mgra_fqdn),"Value Missing",input_mgmt_nsxt_mgra_fqdn)</f>
        <v>Value Missing</v>
      </c>
      <c r="D57" s="1"/>
      <c r="E57" s="15" t="s">
        <v>256</v>
      </c>
      <c r="F57" s="15" t="s">
        <v>274</v>
      </c>
      <c r="G57" s="1"/>
      <c r="H57" s="173" t="s">
        <v>701</v>
      </c>
      <c r="I57" s="18" t="str">
        <f>IF(ISBLANK(input_cluster_az1_host5_mgmt_ip),"Value Missing",input_cluster_az1_host5_mgmt_ip)</f>
        <v>Value Missing</v>
      </c>
      <c r="J57" s="1"/>
      <c r="K57" s="84" t="s">
        <v>2287</v>
      </c>
      <c r="L57" s="18" t="str">
        <f>IF(ISBLANK(Arkham!C15),"Value Missing",Arkham!C15)</f>
        <v>Value Missing</v>
      </c>
      <c r="M57" s="1"/>
      <c r="N57" s="84" t="s">
        <v>1721</v>
      </c>
      <c r="O57" s="18" t="str">
        <f>mgmt_internet_proxy_auth_chosen</f>
        <v>Selected</v>
      </c>
      <c r="P57" s="1"/>
      <c r="Q57" s="173" t="s">
        <v>2288</v>
      </c>
      <c r="R57" s="18"/>
      <c r="S57" s="1"/>
      <c r="T57" s="84" t="s">
        <v>2289</v>
      </c>
      <c r="U57" s="18" t="str">
        <f>IF(ISBLANK(input_xreg_vrops_vrms_sso_username),"Value Missing",input_xreg_vrops_vrms_sso_username)</f>
        <v>Value Missing</v>
      </c>
      <c r="V57" s="10"/>
      <c r="W57" s="1"/>
      <c r="X57" s="1"/>
      <c r="Y57" s="1"/>
      <c r="Z57" s="337" t="s">
        <v>256</v>
      </c>
      <c r="AA57" s="338" t="s">
        <v>274</v>
      </c>
      <c r="AB57" s="1"/>
      <c r="AC57" s="1"/>
      <c r="AD57" s="1"/>
      <c r="AE57" s="1"/>
      <c r="AF57" s="1"/>
    </row>
    <row r="58" ht="19.5" customHeight="1">
      <c r="A58" s="1"/>
      <c r="B58" s="84" t="s">
        <v>2101</v>
      </c>
      <c r="C58" s="18" t="str">
        <f>IF(ISBLANK(input_mgmt_nsxt_mgrb_fqdn),"Value Missing",input_mgmt_nsxt_mgrb_fqdn)</f>
        <v>Value Missing</v>
      </c>
      <c r="D58" s="1"/>
      <c r="E58" s="85" t="s">
        <v>2081</v>
      </c>
      <c r="F58" s="18" t="str">
        <f>(CONCATENATE('Value Reference Tables'!F106,".",(IF(ISBLANK(Arkham!C$11),"Value Missing",Arkham!C$11))))</f>
        <v>Value Missing.Value Missing</v>
      </c>
      <c r="G58" s="1"/>
      <c r="H58" s="173" t="s">
        <v>702</v>
      </c>
      <c r="I58" s="18" t="str">
        <f>IF(ISBLANK(input_cluster_az1_host6_mgmt_ip),"Value Missing",input_cluster_az1_host6_mgmt_ip)</f>
        <v>Value Missing</v>
      </c>
      <c r="J58" s="1"/>
      <c r="K58" s="84" t="s">
        <v>2290</v>
      </c>
      <c r="L58" s="18" t="str">
        <f>IF(ISBLANK('Configure Management Domain'!D33),"Value Missing",'Configure Management Domain'!D33)</f>
        <v>Value Missing</v>
      </c>
      <c r="M58" s="1"/>
      <c r="N58" s="84" t="s">
        <v>2291</v>
      </c>
      <c r="O58" s="18" t="str">
        <f>IF(ISBLANK(input_mgmt_offline_depot_fqdn),"Value Missing",input_mgmt_offline_depot_fqdn)</f>
        <v>Value Missing</v>
      </c>
      <c r="P58" s="1"/>
      <c r="Q58" s="173" t="s">
        <v>2292</v>
      </c>
      <c r="R58" s="18"/>
      <c r="S58" s="1"/>
      <c r="T58" s="84" t="s">
        <v>2293</v>
      </c>
      <c r="U58" s="18" t="str">
        <f>IF(ISBLANK(input_xreg_vrops_vrms_sso_password),"Value Missing",input_xreg_vrops_vrms_sso_password)</f>
        <v>Value Missing</v>
      </c>
      <c r="V58" s="10"/>
      <c r="W58" s="333" t="s">
        <v>2294</v>
      </c>
      <c r="X58" s="333"/>
      <c r="Y58" s="1"/>
      <c r="Z58" s="84"/>
      <c r="AA58" s="1"/>
      <c r="AB58" s="1"/>
      <c r="AC58" s="1"/>
      <c r="AD58" s="1"/>
      <c r="AE58" s="1"/>
      <c r="AF58" s="1"/>
    </row>
    <row r="59" ht="19.5" customHeight="1">
      <c r="A59" s="1"/>
      <c r="B59" s="84" t="s">
        <v>2106</v>
      </c>
      <c r="C59" s="18" t="str">
        <f>IF(ISBLANK(input_mgmt_nsxt_mgrc_fqdn),"Value Missing",input_mgmt_nsxt_mgrc_fqdn)</f>
        <v>Value Missing</v>
      </c>
      <c r="D59" s="1"/>
      <c r="E59" s="85" t="s">
        <v>737</v>
      </c>
      <c r="F59" s="18" t="str">
        <f>IF(ISBLANK(input_wld_witness_fqdn),"Value Missing",input_wld_witness_fqdn)</f>
        <v>Value Missing</v>
      </c>
      <c r="G59" s="1"/>
      <c r="H59" s="173" t="s">
        <v>703</v>
      </c>
      <c r="I59" s="18" t="str">
        <f>IF(ISBLANK(input_cluster_az1_host7_mgmt_ip),"Value Missing",input_cluster_az1_host7_mgmt_ip)</f>
        <v>Value Missing</v>
      </c>
      <c r="J59" s="1"/>
      <c r="K59" s="84" t="s">
        <v>2295</v>
      </c>
      <c r="L59" s="18" t="str">
        <f>IF(ISBLANK('Configure Management Domain'!D67),"Value Missing",'Configure Management Domain'!D67)</f>
        <v>Value Missing</v>
      </c>
      <c r="M59" s="1"/>
      <c r="N59" s="84" t="s">
        <v>2296</v>
      </c>
      <c r="O59" s="18" t="str">
        <f t="array" ref="O59">IF(ISBLANK(input_mgmt_offline_depot_port),"Value Missing",input_mgmt_offline_depot_port)</f>
        <v>Value Missing</v>
      </c>
      <c r="P59" s="1"/>
      <c r="Q59" s="173" t="s">
        <v>2297</v>
      </c>
      <c r="R59" s="18"/>
      <c r="S59" s="1"/>
      <c r="T59" s="84" t="s">
        <v>2298</v>
      </c>
      <c r="U59" s="18" t="str">
        <f>IF(ISBLANK(input_xreg_vrops_srm_sso_username),"Value Missing",input_xreg_vrops_srm_sso_username)</f>
        <v>Value Missing</v>
      </c>
      <c r="V59" s="10"/>
      <c r="W59" s="337" t="s">
        <v>256</v>
      </c>
      <c r="X59" s="338" t="s">
        <v>274</v>
      </c>
      <c r="Y59" s="1"/>
      <c r="Z59" s="84" t="s">
        <v>2299</v>
      </c>
      <c r="AA59" s="18" t="str">
        <f>IF(mgmt_domain_chosen="First Instance","sfo","lax")</f>
        <v>lax</v>
      </c>
      <c r="AB59" s="1"/>
      <c r="AC59" s="1"/>
      <c r="AD59" s="1"/>
      <c r="AE59" s="1"/>
      <c r="AF59" s="1"/>
    </row>
    <row r="60" ht="19.5" customHeight="1">
      <c r="A60" s="1"/>
      <c r="B60" s="84" t="s">
        <v>2112</v>
      </c>
      <c r="C60" s="18" t="str">
        <f>IF(ISBLANK(input_mgmt_nsxt_gm_vip_fqdn),"Value Missing",input_mgmt_nsxt_gm_vip_fqdn)</f>
        <v>Value Missing</v>
      </c>
      <c r="D60" s="1"/>
      <c r="E60" s="1"/>
      <c r="F60" s="1"/>
      <c r="G60" s="1"/>
      <c r="H60" s="173" t="s">
        <v>704</v>
      </c>
      <c r="I60" s="18" t="str">
        <f>IF(ISBLANK(input_cluster_az1_host8_mgmt_ip),"Value Missing",input_cluster_az1_host8_mgmt_ip)</f>
        <v>Value Missing</v>
      </c>
      <c r="J60" s="1"/>
      <c r="K60" s="84" t="s">
        <v>112</v>
      </c>
      <c r="L60" s="18" t="str">
        <f>IF(ISBLANK('Configure Management Domain'!D21),"Value Missing",'Configure Management Domain'!D21)</f>
        <v>Value Missing</v>
      </c>
      <c r="M60" s="1"/>
      <c r="N60" s="1"/>
      <c r="O60" s="1"/>
      <c r="P60" s="1"/>
      <c r="Q60" s="1"/>
      <c r="R60" s="10"/>
      <c r="S60" s="1"/>
      <c r="T60" s="84" t="s">
        <v>2300</v>
      </c>
      <c r="U60" s="18" t="str">
        <f>IF(ISBLANK(input_xreg_vrops_srm_sso_password),"Value Missing",input_xreg_vrops_srm_sso_password)</f>
        <v>Value Missing</v>
      </c>
      <c r="V60" s="10"/>
      <c r="W60" s="84" t="s">
        <v>739</v>
      </c>
      <c r="X60" s="18" t="str">
        <f>IF(ISBLANK(input_wld_witnessaz_mgmt_cidr),"Value Missing",input_wld_witnessaz_mgmt_cidr)</f>
        <v>Value Missing</v>
      </c>
      <c r="Y60" s="1"/>
      <c r="Z60" s="84" t="s">
        <v>2301</v>
      </c>
      <c r="AA60" s="18" t="str">
        <f>IF(this_instance="sfo","lax","sfo")</f>
        <v>sfo</v>
      </c>
      <c r="AB60" s="1"/>
      <c r="AC60" s="1"/>
      <c r="AD60" s="1"/>
      <c r="AE60" s="1"/>
      <c r="AF60" s="1"/>
    </row>
    <row r="61" ht="19.5" customHeight="1">
      <c r="A61" s="1"/>
      <c r="B61" s="84" t="s">
        <v>2118</v>
      </c>
      <c r="C61" s="18" t="str">
        <f>IF(ISBLANK(input_mgmt_nsxt_global_mgra_fqdn),"Value Missing",input_mgmt_nsxt_global_mgra_fqdn)</f>
        <v>Value Missing</v>
      </c>
      <c r="D61" s="1"/>
      <c r="E61" s="339" t="s">
        <v>2302</v>
      </c>
      <c r="F61" s="340"/>
      <c r="G61" s="1"/>
      <c r="H61" s="173" t="s">
        <v>705</v>
      </c>
      <c r="I61" s="18" t="str">
        <f>IF(ISBLANK(input_cluster_az1_host9_mgmt_ip),"Value Missing",input_cluster_az1_host9_mgmt_ip)</f>
        <v>Value Missing</v>
      </c>
      <c r="J61" s="1"/>
      <c r="K61" s="84" t="s">
        <v>1395</v>
      </c>
      <c r="L61" s="18" t="str">
        <f>IF(ISBLANK(Arkham!C16),"Value Missing",Arkham!C16)</f>
        <v>Value Missing</v>
      </c>
      <c r="M61" s="1"/>
      <c r="N61" s="333" t="s">
        <v>2303</v>
      </c>
      <c r="O61" s="333"/>
      <c r="P61" s="1"/>
      <c r="Q61" s="333" t="s">
        <v>2304</v>
      </c>
      <c r="R61" s="333"/>
      <c r="S61" s="1"/>
      <c r="T61" s="1"/>
      <c r="U61" s="1"/>
      <c r="V61" s="10"/>
      <c r="W61" s="1"/>
      <c r="X61" s="1"/>
      <c r="Y61" s="1"/>
      <c r="Z61" s="84" t="s">
        <v>2305</v>
      </c>
      <c r="AA61" s="18" t="str">
        <f>IF(mgmt_consolidated_result="Included","m01",CONCATENATE("w0",wld_domain_number_chosen))</f>
        <v>w01</v>
      </c>
      <c r="AB61" s="1"/>
      <c r="AC61" s="1"/>
      <c r="AD61" s="1"/>
      <c r="AE61" s="1"/>
      <c r="AF61" s="1"/>
    </row>
    <row r="62" ht="19.5" customHeight="1">
      <c r="A62" s="1"/>
      <c r="B62" s="84" t="s">
        <v>2123</v>
      </c>
      <c r="C62" s="18" t="str">
        <f>IF(ISBLANK(input_mgmt_nsxt_global_mgrb_fqdn),"Value Missing",input_mgmt_nsxt_global_mgrb_fqdn)</f>
        <v>Value Missing</v>
      </c>
      <c r="D62" s="1"/>
      <c r="E62" s="15" t="s">
        <v>256</v>
      </c>
      <c r="F62" s="15" t="s">
        <v>274</v>
      </c>
      <c r="G62" s="1"/>
      <c r="H62" s="173" t="s">
        <v>706</v>
      </c>
      <c r="I62" s="18" t="str">
        <f>IF(ISBLANK(input_cluster_az1_host10_mgmt_ip),"Value Missing",input_cluster_az1_host10_mgmt_ip)</f>
        <v>Value Missing</v>
      </c>
      <c r="J62" s="1"/>
      <c r="K62" s="84" t="s">
        <v>1398</v>
      </c>
      <c r="L62" s="18" t="str">
        <f>IF(ISBLANK(Arkham!C17),"Value Missing",Arkham!C17)</f>
        <v>Value Missing</v>
      </c>
      <c r="M62" s="1"/>
      <c r="N62" s="337" t="s">
        <v>256</v>
      </c>
      <c r="O62" s="338" t="s">
        <v>274</v>
      </c>
      <c r="P62" s="1"/>
      <c r="Q62" s="337" t="s">
        <v>256</v>
      </c>
      <c r="R62" s="338" t="s">
        <v>274</v>
      </c>
      <c r="S62" s="1"/>
      <c r="T62" s="333" t="s">
        <v>2306</v>
      </c>
      <c r="U62" s="333"/>
      <c r="V62" s="10"/>
      <c r="W62" s="333" t="s">
        <v>2307</v>
      </c>
      <c r="X62" s="333"/>
      <c r="Y62" s="1"/>
      <c r="Z62" s="84" t="s">
        <v>2308</v>
      </c>
      <c r="AA62" s="18" t="str">
        <f>IF(this_instance="sfo","11","21")</f>
        <v>21</v>
      </c>
      <c r="AB62" s="1"/>
      <c r="AC62" s="1"/>
      <c r="AD62" s="1"/>
      <c r="AE62" s="1"/>
      <c r="AF62" s="1"/>
    </row>
    <row r="63" ht="19.5" customHeight="1">
      <c r="A63" s="1"/>
      <c r="B63" s="84" t="s">
        <v>2128</v>
      </c>
      <c r="C63" s="18" t="str">
        <f>IF(ISBLANK(input_mgmt_nsxt_global_mgrc_fqdn),"Value Missing",input_mgmt_nsxt_global_mgrc_fqdn)</f>
        <v>Value Missing</v>
      </c>
      <c r="D63" s="1"/>
      <c r="E63" s="84" t="s">
        <v>2309</v>
      </c>
      <c r="F63" s="18" t="str">
        <f>IF(ISBLANK('Deploy Workload Domain'!D163),"Value Missing",'Deploy Workload Domain'!D163)</f>
        <v>Value Missing</v>
      </c>
      <c r="G63" s="1"/>
      <c r="H63" s="173" t="s">
        <v>707</v>
      </c>
      <c r="I63" s="18" t="str">
        <f>IF(ISBLANK(input_cluster_az1_host11_mgmt_ip),"Value Missing",input_cluster_az1_host11_mgmt_ip)</f>
        <v>Value Missing</v>
      </c>
      <c r="J63" s="1"/>
      <c r="K63" s="1"/>
      <c r="L63" s="1"/>
      <c r="M63" s="1"/>
      <c r="N63" s="84" t="s">
        <v>2310</v>
      </c>
      <c r="O63" s="18" t="str">
        <f>IF(ISBLANK('Deploy Workload Domain'!D148),"Value Missing",'Deploy Workload Domain'!D148)</f>
        <v>Value Missing</v>
      </c>
      <c r="P63" s="1"/>
      <c r="Q63" s="173" t="s">
        <v>2285</v>
      </c>
      <c r="R63" s="18"/>
      <c r="S63" s="1"/>
      <c r="T63" s="337" t="s">
        <v>256</v>
      </c>
      <c r="U63" s="338" t="s">
        <v>274</v>
      </c>
      <c r="V63" s="1"/>
      <c r="W63" s="337" t="s">
        <v>256</v>
      </c>
      <c r="X63" s="338" t="s">
        <v>274</v>
      </c>
      <c r="Y63" s="1"/>
      <c r="Z63" s="84" t="s">
        <v>2311</v>
      </c>
      <c r="AA63" s="18" t="str">
        <f>IF(this_instance="sfo","10.11.","10.21.")</f>
        <v>10.21.</v>
      </c>
      <c r="AB63" s="1"/>
      <c r="AC63" s="1"/>
      <c r="AD63" s="1"/>
      <c r="AE63" s="1"/>
      <c r="AF63" s="1"/>
    </row>
    <row r="64" ht="19.5" customHeight="1">
      <c r="A64" s="1"/>
      <c r="B64" s="84" t="s">
        <v>2263</v>
      </c>
      <c r="C64" s="18" t="str">
        <f>IF(ISBLANK(input_mgmt_az1_en1_fqdn),"Value Missing",input_mgmt_az1_en1_fqdn)</f>
        <v>Value Missing</v>
      </c>
      <c r="D64" s="1"/>
      <c r="E64" s="84" t="s">
        <v>2312</v>
      </c>
      <c r="F64" s="18" t="str">
        <f>IF(ISBLANK(input_wld_cl01_evc_mode),"Value Missing",input_wld_cl01_evc_mode)</f>
        <v>Value Missing</v>
      </c>
      <c r="G64" s="1"/>
      <c r="H64" s="173" t="s">
        <v>708</v>
      </c>
      <c r="I64" s="18" t="str">
        <f>IF(ISBLANK(input_cluster_az1_host12_mgmt_ip),"Value Missing",input_cluster_az1_host12_mgmt_ip)</f>
        <v>Value Missing</v>
      </c>
      <c r="J64" s="1"/>
      <c r="K64" s="332" t="s">
        <v>2313</v>
      </c>
      <c r="L64" s="38"/>
      <c r="M64" s="1"/>
      <c r="N64" s="84" t="s">
        <v>572</v>
      </c>
      <c r="O64" s="18"/>
      <c r="P64" s="1"/>
      <c r="Q64" s="173" t="s">
        <v>2288</v>
      </c>
      <c r="R64" s="18"/>
      <c r="S64" s="1"/>
      <c r="T64" s="84" t="s">
        <v>2314</v>
      </c>
      <c r="U64" s="18" t="str">
        <f>IF(ISBLANK(input_mgmt_recovery_lb_creation_method),"Value Missing",input_mgmt_recovery_lb_creation_method)</f>
        <v>Value Missing</v>
      </c>
      <c r="V64" s="1"/>
      <c r="W64" s="84" t="s">
        <v>739</v>
      </c>
      <c r="X64" s="18" t="str">
        <f>IF(ISBLANK(input_wld_witnessaz_mgmt_gateway_ip),"Value Missing",input_wld_witnessaz_mgmt_gateway_ip)</f>
        <v>Value Missing</v>
      </c>
      <c r="Y64" s="1"/>
      <c r="Z64" s="84" t="s">
        <v>2315</v>
      </c>
      <c r="AA64" s="18" t="str">
        <f>IF(this_instance="sfo","12","22")</f>
        <v>22</v>
      </c>
      <c r="AB64" s="1"/>
      <c r="AC64" s="1"/>
      <c r="AD64" s="1"/>
      <c r="AE64" s="1"/>
      <c r="AF64" s="1"/>
    </row>
    <row r="65" ht="19.5" customHeight="1">
      <c r="A65" s="1"/>
      <c r="B65" s="84" t="s">
        <v>2269</v>
      </c>
      <c r="C65" s="18" t="str">
        <f>IF(ISBLANK(input_mgmt_az1_en2_fqdn),"Value Missing",input_mgmt_az1_en2_fqdn)</f>
        <v>Value Missing</v>
      </c>
      <c r="D65" s="1"/>
      <c r="E65" s="1"/>
      <c r="F65" s="1"/>
      <c r="G65" s="1"/>
      <c r="H65" s="173" t="s">
        <v>709</v>
      </c>
      <c r="I65" s="18" t="str">
        <f>IF(ISBLANK(input_cluster_az1_host13_mgmt_ip),"Value Missing",input_cluster_az1_host13_mgmt_ip)</f>
        <v>Value Missing</v>
      </c>
      <c r="J65" s="1"/>
      <c r="K65" s="337" t="s">
        <v>256</v>
      </c>
      <c r="L65" s="338" t="s">
        <v>274</v>
      </c>
      <c r="M65" s="1"/>
      <c r="N65" s="84" t="s">
        <v>2316</v>
      </c>
      <c r="O65" s="18" t="str">
        <f>IF(ISBLANK('Configure Workload Domain'!D332),"Value Missing",'Configure Workload Domain'!D332)</f>
        <v>Value Missing</v>
      </c>
      <c r="P65" s="1"/>
      <c r="Q65" s="173" t="s">
        <v>2292</v>
      </c>
      <c r="R65" s="18"/>
      <c r="S65" s="1"/>
      <c r="T65" s="84" t="s">
        <v>2317</v>
      </c>
      <c r="U65" s="18" t="str">
        <f>IF(ISBLANK(input_mgmt_vrms_vm_folder),"Value Missing",input_mgmt_vrms_vm_folder)</f>
        <v>Value Missing</v>
      </c>
      <c r="V65" s="10"/>
      <c r="W65" s="1"/>
      <c r="X65" s="1"/>
      <c r="Y65" s="1"/>
      <c r="Z65" s="84" t="s">
        <v>2318</v>
      </c>
      <c r="AA65" s="18" t="str">
        <f>IF(this_instance="sfo","10.12.","10.22.")</f>
        <v>10.22.</v>
      </c>
      <c r="AB65" s="1"/>
      <c r="AC65" s="1"/>
      <c r="AD65" s="1"/>
      <c r="AE65" s="1"/>
      <c r="AF65" s="1"/>
    </row>
    <row r="66" ht="19.5" customHeight="1">
      <c r="A66" s="1"/>
      <c r="B66" s="84" t="s">
        <v>2133</v>
      </c>
      <c r="C66" s="18" t="str">
        <f>IF(ISBLANK(input_mgmt_avilb_fqdn),"Value Missing",input_mgmt_avilb_fqdn)</f>
        <v>Value Missing</v>
      </c>
      <c r="D66" s="1"/>
      <c r="E66" s="334" t="s">
        <v>2319</v>
      </c>
      <c r="F66" s="38"/>
      <c r="G66" s="1"/>
      <c r="H66" s="173" t="s">
        <v>710</v>
      </c>
      <c r="I66" s="18" t="str">
        <f>IF(ISBLANK(input_cluster_az1_host14_mgmt_ip),"Value Missing",input_cluster_az1_host14_mgmt_ip)</f>
        <v>Value Missing</v>
      </c>
      <c r="J66" s="1"/>
      <c r="K66" s="84" t="s">
        <v>2320</v>
      </c>
      <c r="L66" s="18" t="str">
        <f>IF(ISBLANK(input_parent_dns_zone),"Value Missing",input_parent_dns_zone)</f>
        <v>Value Missing</v>
      </c>
      <c r="M66" s="1"/>
      <c r="N66" s="84" t="s">
        <v>2321</v>
      </c>
      <c r="O66" s="18" t="str">
        <f>IF(ISBLANK('Deploy Workload Domain'!D239),"Value Missing",'Deploy Workload Domain'!D239)</f>
        <v>Value Missing</v>
      </c>
      <c r="P66" s="1"/>
      <c r="Q66" s="173" t="s">
        <v>2297</v>
      </c>
      <c r="R66" s="18"/>
      <c r="S66" s="1"/>
      <c r="T66" s="84" t="s">
        <v>2322</v>
      </c>
      <c r="U66" s="18" t="str">
        <f>IF(ISBLANK(input_mgmt_vrms_root_password),"Value Missing",input_mgmt_vrms_root_password)</f>
        <v>Value Missing</v>
      </c>
      <c r="V66" s="10"/>
      <c r="W66" s="333" t="s">
        <v>2323</v>
      </c>
      <c r="X66" s="333"/>
      <c r="Y66" s="1"/>
      <c r="Z66" s="84" t="s">
        <v>2324</v>
      </c>
      <c r="AA66" s="18"/>
      <c r="AB66" s="1"/>
      <c r="AC66" s="1"/>
      <c r="AD66" s="1"/>
      <c r="AE66" s="1"/>
      <c r="AF66" s="1"/>
    </row>
    <row r="67" ht="19.5" customHeight="1">
      <c r="A67" s="1"/>
      <c r="B67" s="84" t="s">
        <v>2252</v>
      </c>
      <c r="C67" s="18" t="str">
        <f>IF(ISBLANK(input_flt_vidb_vip_fqdn),"Value Missing",input_flt_vidb_vip_fqdn)</f>
        <v>Value Missing</v>
      </c>
      <c r="D67" s="1"/>
      <c r="E67" s="15" t="s">
        <v>256</v>
      </c>
      <c r="F67" s="15" t="s">
        <v>2325</v>
      </c>
      <c r="G67" s="1"/>
      <c r="H67" s="173" t="s">
        <v>711</v>
      </c>
      <c r="I67" s="18" t="str">
        <f>IF(ISBLANK(input_cluster_az1_host15_mgmt_ip),"Value Missing",input_cluster_az1_host15_mgmt_ip)</f>
        <v>Value Missing</v>
      </c>
      <c r="J67" s="1"/>
      <c r="K67" s="84" t="s">
        <v>2326</v>
      </c>
      <c r="L67" s="18" t="str">
        <f>IF(ISBLANK(input_child_dns_zone),"Value Missing",input_child_dns_zone)</f>
        <v>Value Missing</v>
      </c>
      <c r="M67" s="1"/>
      <c r="N67" s="84" t="s">
        <v>2090</v>
      </c>
      <c r="O67" s="18" t="str">
        <f>IF(ISBLANK('Configure Workload Domain'!D38),"Value Missing",'Configure Workload Domain'!D38)</f>
        <v>Value Missing</v>
      </c>
      <c r="P67" s="1"/>
      <c r="Q67" s="1"/>
      <c r="R67" s="10"/>
      <c r="S67" s="1"/>
      <c r="T67" s="84" t="s">
        <v>2327</v>
      </c>
      <c r="U67" s="18" t="str">
        <f>IF(ISBLANK(input_mgmt_vrms_admin_password),"Value Missing",input_mgmt_vrms_admin_password)</f>
        <v>Value Missing</v>
      </c>
      <c r="V67" s="10"/>
      <c r="W67" s="337" t="s">
        <v>256</v>
      </c>
      <c r="X67" s="338" t="s">
        <v>274</v>
      </c>
      <c r="Y67" s="1"/>
      <c r="Z67" s="84" t="s">
        <v>2328</v>
      </c>
      <c r="AA67" s="18"/>
      <c r="AB67" s="1"/>
      <c r="AC67" s="1"/>
      <c r="AD67" s="1"/>
      <c r="AE67" s="1"/>
      <c r="AF67" s="1"/>
    </row>
    <row r="68" ht="19.5" customHeight="1">
      <c r="A68" s="1"/>
      <c r="B68" s="1"/>
      <c r="C68" s="1"/>
      <c r="D68" s="1"/>
      <c r="E68" s="84" t="s">
        <v>2329</v>
      </c>
      <c r="F68" s="18" t="str">
        <f>IF(ISBLANK(wld_cl01_vds_profile_chosen),"Value Missing",wld_cl01_vds_profile_chosen)</f>
        <v>Default</v>
      </c>
      <c r="G68" s="1"/>
      <c r="H68" s="173" t="s">
        <v>712</v>
      </c>
      <c r="I68" s="18" t="str">
        <f>IF(ISBLANK(input_cluster_az1_host16_mgmt_ip),"Value Missing",input_cluster_az1_host16_mgmt_ip)</f>
        <v>Value Missing</v>
      </c>
      <c r="J68" s="1"/>
      <c r="K68" s="84" t="s">
        <v>2330</v>
      </c>
      <c r="L68" s="18" t="str">
        <f>IF(ISBLANK(input_witness_dns_zone),"Value Missing",input_witness_dns_zone)</f>
        <v>Value Missing</v>
      </c>
      <c r="M68" s="1"/>
      <c r="N68" s="84" t="s">
        <v>2331</v>
      </c>
      <c r="O68" s="18" t="str">
        <f>IF(ISBLANK('Configure Workload Domain'!D40),"Value Missing",'Configure Workload Domain'!D40)</f>
        <v>Large</v>
      </c>
      <c r="P68" s="1"/>
      <c r="Q68" s="333" t="s">
        <v>2332</v>
      </c>
      <c r="R68" s="333"/>
      <c r="S68" s="1"/>
      <c r="T68" s="84" t="s">
        <v>2333</v>
      </c>
      <c r="U68" s="18" t="str">
        <f>IF(ISBLANK(input_mgmt_vrms_site_name),"Value Missing",input_mgmt_vrms_site_name)</f>
        <v>Value Missing</v>
      </c>
      <c r="V68" s="1"/>
      <c r="W68" s="84" t="s">
        <v>739</v>
      </c>
      <c r="X68" s="18" t="str">
        <f>IF(ISBLANK(input_wld_witnessaz_mgmt_mtu),"Value Missing",input_wld_witnessaz_mgmt_mtu)</f>
        <v>Value Missing</v>
      </c>
      <c r="Y68" s="1"/>
      <c r="Z68" s="84" t="s">
        <v>2334</v>
      </c>
      <c r="AA68" s="18" t="str">
        <f>IF(this_instance="sfo","192.168.31","192.168.32")</f>
        <v>192.168.32</v>
      </c>
      <c r="AB68" s="1"/>
      <c r="AC68" s="1"/>
      <c r="AD68" s="1"/>
      <c r="AE68" s="1"/>
      <c r="AF68" s="1"/>
    </row>
    <row r="69" ht="19.5" customHeight="1">
      <c r="A69" s="1"/>
      <c r="B69" s="339" t="s">
        <v>2335</v>
      </c>
      <c r="C69" s="340"/>
      <c r="D69" s="1"/>
      <c r="E69" s="15" t="s">
        <v>1302</v>
      </c>
      <c r="F69" s="15" t="s">
        <v>274</v>
      </c>
      <c r="G69" s="1"/>
      <c r="H69" s="173" t="s">
        <v>716</v>
      </c>
      <c r="I69" s="18" t="str">
        <f>IF(ISBLANK(input_cluster_az1_pool_name),"Value Missing",input_cluster_az1_pool_name)</f>
        <v>Value Missing</v>
      </c>
      <c r="J69" s="1"/>
      <c r="K69" s="1"/>
      <c r="L69" s="1"/>
      <c r="M69" s="1"/>
      <c r="N69" s="84" t="s">
        <v>2336</v>
      </c>
      <c r="O69" s="18" t="str">
        <f>IF(ISBLANK('Configure Workload Domain'!D96),"Value Missing",'Configure Workload Domain'!D96)</f>
        <v>Value Missing</v>
      </c>
      <c r="P69" s="1"/>
      <c r="Q69" s="337" t="s">
        <v>256</v>
      </c>
      <c r="R69" s="338" t="s">
        <v>274</v>
      </c>
      <c r="S69" s="1"/>
      <c r="T69" s="84" t="s">
        <v>2337</v>
      </c>
      <c r="U69" s="18" t="str">
        <f>IF(ISBLANK(input_mgmt_vrms_admin_email),"Value Missing",input_mgmt_vrms_admin_email)</f>
        <v>Value Missing</v>
      </c>
      <c r="V69" s="1"/>
      <c r="W69" s="1"/>
      <c r="X69" s="1"/>
      <c r="Y69" s="1"/>
      <c r="Z69" s="84" t="s">
        <v>2338</v>
      </c>
      <c r="AA69" s="18" t="str">
        <f>IF(this_instance="sfo","192.168.11","192.168.12")</f>
        <v>192.168.12</v>
      </c>
      <c r="AB69" s="1"/>
      <c r="AC69" s="1"/>
      <c r="AD69" s="1"/>
      <c r="AE69" s="1"/>
      <c r="AF69" s="1"/>
    </row>
    <row r="70" ht="19.5" customHeight="1">
      <c r="A70" s="1"/>
      <c r="B70" s="15" t="s">
        <v>256</v>
      </c>
      <c r="C70" s="15" t="s">
        <v>274</v>
      </c>
      <c r="D70" s="1"/>
      <c r="E70" s="84" t="s">
        <v>2339</v>
      </c>
      <c r="F70" s="18" t="str">
        <f>IF(ISBLANK(input_wld_cl01_vds01_name),"Value Missing",input_wld_cl01_vds01_name)</f>
        <v>Value Missing</v>
      </c>
      <c r="G70" s="1"/>
      <c r="H70" s="15" t="s">
        <v>2340</v>
      </c>
      <c r="I70" s="15"/>
      <c r="J70" s="1"/>
      <c r="K70" s="333" t="s">
        <v>2341</v>
      </c>
      <c r="L70" s="333"/>
      <c r="M70" s="1"/>
      <c r="N70" s="84" t="s">
        <v>2342</v>
      </c>
      <c r="O70" s="18"/>
      <c r="P70" s="1"/>
      <c r="Q70" s="173" t="s">
        <v>2285</v>
      </c>
      <c r="R70" s="18" t="str">
        <f>(CONCATENATE('Value Reference Tables'!R63,".",(IF(ISBLANK(Arkham!C$11),"Value Missing",Arkham!C$11))))</f>
        <v>.Value Missing</v>
      </c>
      <c r="S70" s="1"/>
      <c r="T70" s="84" t="s">
        <v>2343</v>
      </c>
      <c r="U70" s="18" t="str">
        <f>IF(ISBLANK(input_mgmt_vrms_pg),"Value Missing",input_mgmt_vrms_pg)</f>
        <v>Value Missing</v>
      </c>
      <c r="V70" s="10"/>
      <c r="W70" s="1"/>
      <c r="X70" s="1"/>
      <c r="Y70" s="1"/>
      <c r="Z70" s="84" t="s">
        <v>2344</v>
      </c>
      <c r="AA70" s="18" t="str">
        <f>IF(this_instance="sfo","21","11")</f>
        <v>11</v>
      </c>
      <c r="AB70" s="1"/>
      <c r="AC70" s="1"/>
      <c r="AD70" s="1"/>
      <c r="AE70" s="1"/>
      <c r="AF70" s="1"/>
    </row>
    <row r="71" ht="19.5" customHeight="1">
      <c r="A71" s="1"/>
      <c r="B71" s="85" t="s">
        <v>2081</v>
      </c>
      <c r="C71" s="18" t="str">
        <f>(CONCATENATE('Value Reference Tables'!C192,".",(IF(ISBLANK(Arkham!C$11),"Value Missing",Arkham!C$11))))</f>
        <v>Value Missing.Value Missing</v>
      </c>
      <c r="D71" s="1"/>
      <c r="E71" s="341" t="s">
        <v>2345</v>
      </c>
      <c r="F71" s="18" t="str">
        <f>IF(ISBLANK(input_wld_cl01_vds01_pnics),"Value Missing",input_wld_cl01_vds01_pnics)</f>
        <v>Value Missing</v>
      </c>
      <c r="G71" s="1"/>
      <c r="H71" s="173" t="s">
        <v>697</v>
      </c>
      <c r="I71" s="18" t="str">
        <f>IF(ISBLANK(input_cluster_az1_host1_fqdn),"Value Missing",input_cluster_az1_host1_fqdn)</f>
        <v>Value Missing</v>
      </c>
      <c r="J71" s="1"/>
      <c r="K71" s="337" t="s">
        <v>256</v>
      </c>
      <c r="L71" s="338" t="s">
        <v>274</v>
      </c>
      <c r="M71" s="1"/>
      <c r="N71" s="84" t="s">
        <v>665</v>
      </c>
      <c r="O71" s="18" t="str">
        <f>IF(ISBLANK(input_wld_vpc_ext_ip_blocks),"Value Missing",input_wld_vpc_ext_ip_blocks)</f>
        <v>Value Missing</v>
      </c>
      <c r="P71" s="1"/>
      <c r="Q71" s="173" t="s">
        <v>2288</v>
      </c>
      <c r="R71" s="18" t="str">
        <f>(CONCATENATE('Value Reference Tables'!R64,".",(IF(ISBLANK(Arkham!C$11),"Value Missing",Arkham!C$11))))</f>
        <v>.Value Missing</v>
      </c>
      <c r="S71" s="1"/>
      <c r="T71" s="84" t="s">
        <v>2346</v>
      </c>
      <c r="U71" s="18" t="str">
        <f>IF(ISBLANK(input_mgmt_vrms_p12_password),"Value Missing",input_mgmt_vrms_p12_password)</f>
        <v>Value Missing</v>
      </c>
      <c r="V71" s="10"/>
      <c r="W71" s="1"/>
      <c r="X71" s="1"/>
      <c r="Y71" s="1"/>
      <c r="Z71" s="84" t="s">
        <v>2347</v>
      </c>
      <c r="AA71" s="18" t="str">
        <f>IF(this_instance="sfo","10.21.","10.11.")</f>
        <v>10.11.</v>
      </c>
      <c r="AB71" s="1"/>
      <c r="AC71" s="1"/>
      <c r="AD71" s="1"/>
      <c r="AE71" s="1"/>
      <c r="AF71" s="1"/>
    </row>
    <row r="72" ht="19.5" customHeight="1">
      <c r="A72" s="1"/>
      <c r="B72" s="85" t="s">
        <v>737</v>
      </c>
      <c r="C72" s="18" t="str">
        <f>IF(ISBLANK(input_mgmt_witness_fqdn),"Value Missing",input_mgmt_witness_fqdn)</f>
        <v>Value Missing</v>
      </c>
      <c r="D72" s="1"/>
      <c r="E72" s="84" t="s">
        <v>2348</v>
      </c>
      <c r="F72" s="18" t="str">
        <f>IF(ISBLANK(input_wld_cl01_vds01_uplink_count),"Value Missing",input_wld_cl01_vds01_uplink_count)</f>
        <v>Value Missing</v>
      </c>
      <c r="G72" s="1"/>
      <c r="H72" s="173" t="s">
        <v>698</v>
      </c>
      <c r="I72" s="18" t="str">
        <f>IF(ISBLANK(input_cluster_az1_host2_fqdn),"Value Missing",input_cluster_az1_host2_fqdn)</f>
        <v>Value Missing</v>
      </c>
      <c r="J72" s="1"/>
      <c r="K72" s="84" t="s">
        <v>2349</v>
      </c>
      <c r="L72" s="18" t="str">
        <f>IF(ISBLANK('Active Directory Inputs'!E8),"Value Missing",'Active Directory Inputs'!E8)</f>
        <v>Value Missing</v>
      </c>
      <c r="M72" s="1"/>
      <c r="N72" s="84" t="s">
        <v>668</v>
      </c>
      <c r="O72" s="18" t="str">
        <f>IF(ISBLANK(input_wld_vpc_transit_gateway_ip_blocks),"Value Missing",input_wld_vpc_transit_gateway_ip_blocks)</f>
        <v>Value Missing</v>
      </c>
      <c r="P72" s="1"/>
      <c r="Q72" s="173" t="s">
        <v>2292</v>
      </c>
      <c r="R72" s="18" t="str">
        <f>(CONCATENATE('Value Reference Tables'!R65,".",(IF(ISBLANK(Arkham!C$11),"Value Missing",Arkham!C$11))))</f>
        <v>.Value Missing</v>
      </c>
      <c r="S72" s="1"/>
      <c r="T72" s="84" t="s">
        <v>2350</v>
      </c>
      <c r="U72" s="18"/>
      <c r="V72" s="10"/>
      <c r="W72" s="1"/>
      <c r="X72" s="1"/>
      <c r="Y72" s="1"/>
      <c r="Z72" s="84" t="s">
        <v>2351</v>
      </c>
      <c r="AA72" s="18" t="str">
        <f>IF(mgmt_domain_chosen="First Domain","6500","6502")</f>
        <v>6502</v>
      </c>
      <c r="AB72" s="1"/>
      <c r="AC72" s="1"/>
      <c r="AD72" s="1"/>
      <c r="AE72" s="1"/>
      <c r="AF72" s="1"/>
    </row>
    <row r="73" ht="19.5" customHeight="1">
      <c r="A73" s="1"/>
      <c r="B73" s="1"/>
      <c r="C73" s="1"/>
      <c r="D73" s="1"/>
      <c r="E73" s="84" t="s">
        <v>2352</v>
      </c>
      <c r="F73" s="18" t="str">
        <f t="array" ref="F73">IF(ISBLANK(input_wld_cl01_vds01_mtu),"Value Missing",input_wld_cl01_vds01_mtu)</f>
        <v>Value Missing</v>
      </c>
      <c r="G73" s="1"/>
      <c r="H73" s="173" t="s">
        <v>699</v>
      </c>
      <c r="I73" s="18" t="str">
        <f>IF(ISBLANK(input_cluster_az1_host3_fqdn),"Value Missing",input_cluster_az1_host3_fqdn)</f>
        <v>Value Missing</v>
      </c>
      <c r="J73" s="1"/>
      <c r="K73" s="84" t="s">
        <v>2353</v>
      </c>
      <c r="L73" s="18" t="str">
        <f>IF(ISBLANK('Active Directory Inputs'!E9),"Value Missing",'Active Directory Inputs'!E9)</f>
        <v>Value Missing</v>
      </c>
      <c r="M73" s="1"/>
      <c r="N73" s="84" t="s">
        <v>2173</v>
      </c>
      <c r="O73" s="18" t="str">
        <f t="array" ref="O73">IF(ISBLANK(input_wld_avilb_cluster_name),"Value Missing",input_wld_avilb_cluster_name)</f>
        <v>Value Missing</v>
      </c>
      <c r="P73" s="1"/>
      <c r="Q73" s="173" t="s">
        <v>2297</v>
      </c>
      <c r="R73" s="18" t="str">
        <f>(CONCATENATE('Value Reference Tables'!R66,".",(IF(ISBLANK(Arkham!C$11),"Value Missing",Arkham!C$11))))</f>
        <v>.Value Missing</v>
      </c>
      <c r="S73" s="1"/>
      <c r="T73" s="84" t="s">
        <v>2354</v>
      </c>
      <c r="U73" s="18" t="str">
        <f>IF(ISBLANK(input_mgmt_srm_vm_folder),"Value Missing",input_mgmt_srm_vm_folder)</f>
        <v>Value Missing</v>
      </c>
      <c r="V73" s="10"/>
      <c r="W73" s="1"/>
      <c r="X73" s="1"/>
      <c r="Y73" s="1"/>
      <c r="Z73" s="84" t="s">
        <v>2355</v>
      </c>
      <c r="AA73" s="1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23</v>
      </c>
      <c r="AB73" s="1"/>
      <c r="AC73" s="1"/>
      <c r="AD73" s="1"/>
      <c r="AE73" s="1"/>
      <c r="AF73" s="1"/>
    </row>
    <row r="74" ht="19.5" customHeight="1">
      <c r="A74" s="1"/>
      <c r="B74" s="334" t="s">
        <v>2356</v>
      </c>
      <c r="C74" s="14"/>
      <c r="D74" s="1"/>
      <c r="E74" s="84" t="s">
        <v>2357</v>
      </c>
      <c r="F74" s="18" t="str">
        <f>IF(wld_cl01_vds_profile_chosen&lt;&gt;"Custom","Route Based on Physicial Nic Load","Value Missing")</f>
        <v>Route Based on Physicial Nic Load</v>
      </c>
      <c r="G74" s="1"/>
      <c r="H74" s="173" t="s">
        <v>700</v>
      </c>
      <c r="I74" s="18" t="str">
        <f>IF(ISBLANK(input_cluster_az1_host4_fqdn),"Value Missing",input_cluster_az1_host4_fqdn)</f>
        <v>Value Missing</v>
      </c>
      <c r="J74" s="1"/>
      <c r="K74" s="1"/>
      <c r="L74" s="1"/>
      <c r="M74" s="1"/>
      <c r="N74" s="84" t="s">
        <v>2358</v>
      </c>
      <c r="O74" s="18" t="str">
        <f>IF(ISBLANK(input_wld_avilb_cluster_version),"Value Missing",input_wld_avilb_cluster_version)</f>
        <v>Value Missing</v>
      </c>
      <c r="P74" s="1"/>
      <c r="Q74" s="41"/>
      <c r="R74" s="41"/>
      <c r="S74" s="1"/>
      <c r="T74" s="84" t="s">
        <v>2359</v>
      </c>
      <c r="U74" s="18" t="str">
        <f>IF(ISBLANK(input_mgmt_srm_root_password),"Value Missing",input_mgmt_srm_root_password)</f>
        <v>Value Missing</v>
      </c>
      <c r="V74" s="1"/>
      <c r="W74" s="1"/>
      <c r="X74" s="1"/>
      <c r="Y74" s="1"/>
      <c r="Z74" s="84" t="s">
        <v>2360</v>
      </c>
      <c r="AA74" s="18"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10.23.</v>
      </c>
      <c r="AB74" s="1"/>
      <c r="AC74" s="1"/>
      <c r="AD74" s="1"/>
      <c r="AE74" s="1"/>
      <c r="AF74" s="1"/>
    </row>
    <row r="75" ht="19.5" customHeight="1">
      <c r="A75" s="1"/>
      <c r="B75" s="15" t="s">
        <v>256</v>
      </c>
      <c r="C75" s="15" t="s">
        <v>274</v>
      </c>
      <c r="D75" s="1"/>
      <c r="E75" s="84" t="s">
        <v>2361</v>
      </c>
      <c r="F75" s="18" t="str">
        <f>IF(wld_cl01_vds_profile_chosen="Default",CONCATENATE("Management ","vMotion ",IF(wld_principal_storage_chosen="NFSv3","NFS ",IF(wld_principal_storage_chosen="VMFS on Fibre Channel (FC)","","vSAN ")),"NSX-Overlay"),
IF(wld_cl01_vds_profile_chosen="Storage Traffic Separation","Management, vMotion, NSX-Overlay",
IF(wld_cl01_vds_profile_chosen="NSX Traffic Separation",CONCATENATE("Management ","vMotion ",IF(wld_principal_storage_chosen="NFSv3","NFS",IF(wld_principal_storage_chosen="VMFS on Fibre Channel (FC)","","vSAN"))),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vSAN NSX-Overlay</v>
      </c>
      <c r="G75" s="1"/>
      <c r="H75" s="173" t="s">
        <v>701</v>
      </c>
      <c r="I75" s="18" t="str">
        <f>IF(ISBLANK(input_cluster_az1_host5_fqdn),"Value Missing",input_cluster_az1_host5_fqdn)</f>
        <v>Value Missing</v>
      </c>
      <c r="J75" s="1"/>
      <c r="K75" s="333" t="s">
        <v>2362</v>
      </c>
      <c r="L75" s="333"/>
      <c r="M75" s="1"/>
      <c r="N75" s="84" t="s">
        <v>2114</v>
      </c>
      <c r="O75" s="18" t="str">
        <f>IF(ISBLANK(input_wld_nsxt_global_mgr_vmca_signed_thumbprint),"Value Missing",input_wld_nsxt_global_mgr_vmca_signed_thumbprint)</f>
        <v>Value Missing</v>
      </c>
      <c r="P75" s="1"/>
      <c r="Q75" s="334" t="s">
        <v>2363</v>
      </c>
      <c r="R75" s="14"/>
      <c r="S75" s="1"/>
      <c r="T75" s="84" t="s">
        <v>2364</v>
      </c>
      <c r="U75" s="18" t="str">
        <f>IF(ISBLANK(input_mgmt_srm_admin_password),"Value Missing",input_mgmt_srm_admin_password)</f>
        <v>Value Missing</v>
      </c>
      <c r="V75" s="1"/>
      <c r="W75" s="1"/>
      <c r="X75" s="1"/>
      <c r="Y75" s="1"/>
      <c r="Z75" s="84" t="s">
        <v>2365</v>
      </c>
      <c r="AA75" s="1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10.13.</v>
      </c>
      <c r="AB75" s="1"/>
      <c r="AC75" s="1"/>
      <c r="AD75" s="1"/>
      <c r="AE75" s="1"/>
      <c r="AF75" s="1"/>
    </row>
    <row r="76" ht="19.5" customHeight="1">
      <c r="A76" s="1"/>
      <c r="B76" s="84" t="s">
        <v>354</v>
      </c>
      <c r="C76" s="18" t="str">
        <f>IF(ISBLANK(input_mgmt_datacenter),"Value Missing",input_mgmt_datacenter)</f>
        <v>Value Missing</v>
      </c>
      <c r="D76" s="1"/>
      <c r="E76" s="84" t="s">
        <v>2366</v>
      </c>
      <c r="F76" s="18" t="str">
        <f>IF(ISBLANK(input_wld_cl01_vds01_lag_name),"Value Missing",input_wld_cl01_vds01_lag_name)</f>
        <v>Value Missing</v>
      </c>
      <c r="G76" s="1"/>
      <c r="H76" s="173" t="s">
        <v>702</v>
      </c>
      <c r="I76" s="18" t="str">
        <f>IF(ISBLANK(input_cluster_az1_host6_fqdn),"Value Missing",input_cluster_az1_host6_fqdn)</f>
        <v>Value Missing</v>
      </c>
      <c r="J76" s="1"/>
      <c r="K76" s="337" t="s">
        <v>256</v>
      </c>
      <c r="L76" s="338" t="s">
        <v>274</v>
      </c>
      <c r="M76" s="1"/>
      <c r="N76" s="84" t="s">
        <v>2120</v>
      </c>
      <c r="O76" s="18" t="str">
        <f>IF(ISBLANK(input_wld_nsxt_global_mgr_cluster_id),"Value Missing",input_wld_nsxt_global_mgr_cluster_id)</f>
        <v>Value Missing</v>
      </c>
      <c r="P76" s="1"/>
      <c r="Q76" s="15" t="s">
        <v>256</v>
      </c>
      <c r="R76" s="15" t="s">
        <v>274</v>
      </c>
      <c r="S76" s="1"/>
      <c r="T76" s="84" t="s">
        <v>2367</v>
      </c>
      <c r="U76" s="18" t="str">
        <f>IF(ISBLANK(input_mgmt_srm_database_password),"Value Missing",input_mgmt_srm_database_password)</f>
        <v>Value Missing</v>
      </c>
      <c r="V76" s="10"/>
      <c r="W76" s="1"/>
      <c r="X76" s="1"/>
      <c r="Y76" s="1"/>
      <c r="Z76" s="84" t="s">
        <v>2368</v>
      </c>
      <c r="AA76" s="1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24</v>
      </c>
      <c r="AB76" s="1"/>
      <c r="AC76" s="1"/>
      <c r="AD76" s="1"/>
      <c r="AE76" s="1"/>
      <c r="AF76" s="1"/>
    </row>
    <row r="77" ht="19.5" customHeight="1">
      <c r="A77" s="1"/>
      <c r="B77" s="84" t="s">
        <v>2369</v>
      </c>
      <c r="C77" s="18" t="str">
        <f>IF(ISBLANK(input_mgmt_cl01_cluster),"Value Missing",input_mgmt_cl01_cluster)</f>
        <v>Value Missing</v>
      </c>
      <c r="D77" s="1"/>
      <c r="E77" s="15" t="s">
        <v>1307</v>
      </c>
      <c r="F77" s="15" t="s">
        <v>274</v>
      </c>
      <c r="G77" s="1"/>
      <c r="H77" s="173" t="s">
        <v>703</v>
      </c>
      <c r="I77" s="18" t="str">
        <f>IF(ISBLANK(input_cluster_az1_host7_fqdn),"Value Missing",input_cluster_az1_host7_fqdn)</f>
        <v>Value Missing</v>
      </c>
      <c r="J77" s="1"/>
      <c r="K77" s="84" t="s">
        <v>2349</v>
      </c>
      <c r="L77" s="18" t="str">
        <f>IF(ISBLANK('Active Directory Inputs'!G8),"Value Missing",'Active Directory Inputs'!G8)</f>
        <v>Value Missing</v>
      </c>
      <c r="M77" s="1"/>
      <c r="N77" s="84" t="s">
        <v>2125</v>
      </c>
      <c r="O77" s="18" t="str">
        <f>IF(ISBLANK('Configure Workload Domain'!D434),"Value Missing",'Configure Workload Domain'!D434)</f>
        <v>Value Missing</v>
      </c>
      <c r="P77" s="1"/>
      <c r="Q77" s="173" t="s">
        <v>2370</v>
      </c>
      <c r="R77" s="18" t="str">
        <f>IF(ISBLANK(input_xreg_vrops_virtual_ip),"Value Missing",input_xreg_vrops_virtual_ip)</f>
        <v>Value Missing</v>
      </c>
      <c r="S77" s="1"/>
      <c r="T77" s="84" t="s">
        <v>2371</v>
      </c>
      <c r="U77" s="18" t="str">
        <f>IF(ISBLANK(input_mgmt_srm_site_name),"Value Missing",input_mgmt_srm_site_name)</f>
        <v>Value Missing</v>
      </c>
      <c r="V77" s="10"/>
      <c r="W77" s="1"/>
      <c r="X77" s="1"/>
      <c r="Y77" s="1"/>
      <c r="Z77" s="84" t="s">
        <v>2372</v>
      </c>
      <c r="AA77" s="18"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10.24.</v>
      </c>
      <c r="AB77" s="1"/>
      <c r="AC77" s="1"/>
      <c r="AD77" s="1"/>
      <c r="AE77" s="1"/>
      <c r="AF77" s="1"/>
    </row>
    <row r="78" ht="19.5" customHeight="1">
      <c r="A78" s="1"/>
      <c r="B78" s="84" t="s">
        <v>501</v>
      </c>
      <c r="C78" s="18" t="str">
        <f>IF(ISBLANK('Deploy Management Domain'!M349),"Value Missing",'Deploy Management Domain'!M349)</f>
        <v>N/A</v>
      </c>
      <c r="D78" s="1"/>
      <c r="E78" s="84" t="s">
        <v>2373</v>
      </c>
      <c r="F78" s="18" t="str">
        <f>IF(ISBLANK(input_wld_cl01_vds02_name),"Value Missing",input_wld_cl01_vds02_name)</f>
        <v>Value Missing</v>
      </c>
      <c r="G78" s="1"/>
      <c r="H78" s="173" t="s">
        <v>704</v>
      </c>
      <c r="I78" s="18" t="str">
        <f>IF(ISBLANK(input_cluster_az1_host8_fqdn),"Value Missing",input_cluster_az1_host8_fqdn)</f>
        <v>Value Missing</v>
      </c>
      <c r="J78" s="1"/>
      <c r="K78" s="84" t="s">
        <v>2353</v>
      </c>
      <c r="L78" s="18" t="str">
        <f>IF(ISBLANK('Active Directory Inputs'!G9),"Value Missing",'Active Directory Inputs'!G9)</f>
        <v>Value Missing</v>
      </c>
      <c r="M78" s="1"/>
      <c r="N78" s="84" t="s">
        <v>2130</v>
      </c>
      <c r="O78" s="18" t="str">
        <f>IF(ISBLANK('Configure Workload Domain'!D452),"Value Missing",'Configure Workload Domain'!D452)</f>
        <v>Value Missing</v>
      </c>
      <c r="P78" s="1"/>
      <c r="Q78" s="173" t="s">
        <v>2374</v>
      </c>
      <c r="R78" s="18" t="str">
        <f>IF(ISBLANK(input_xreg_vrops_nodea_ip),"Value Missing",input_xreg_vrops_nodea_ip)</f>
        <v>Value Missing</v>
      </c>
      <c r="S78" s="1"/>
      <c r="T78" s="84" t="s">
        <v>2375</v>
      </c>
      <c r="U78" s="18" t="str">
        <f>IF(ISBLANK(input_mgmt_srm_admin_email),"Value Missing",input_mgmt_srm_admin_email)</f>
        <v>Value Missing</v>
      </c>
      <c r="V78" s="10"/>
      <c r="W78" s="1"/>
      <c r="X78" s="1"/>
      <c r="Y78" s="1"/>
      <c r="Z78" s="84" t="s">
        <v>2376</v>
      </c>
      <c r="AA78" s="18"/>
      <c r="AB78" s="1"/>
      <c r="AC78" s="1"/>
      <c r="AD78" s="1"/>
      <c r="AE78" s="1"/>
      <c r="AF78" s="1"/>
    </row>
    <row r="79" ht="19.5" customHeight="1">
      <c r="A79" s="1"/>
      <c r="B79" s="84" t="s">
        <v>503</v>
      </c>
      <c r="C79" s="18" t="str">
        <f>IF(ISBLANK('Deploy Management Domain'!M350),"Value Missing",'Deploy Management Domain'!M350)</f>
        <v>Value Missing</v>
      </c>
      <c r="D79" s="1"/>
      <c r="E79" s="341" t="s">
        <v>2377</v>
      </c>
      <c r="F79" s="18" t="str">
        <f>IF(input_wld_cl01_vds02_pnics="","Value Missing",input_wld_cl01_vds02_pnics)</f>
        <v>Value Missing</v>
      </c>
      <c r="G79" s="1"/>
      <c r="H79" s="173" t="s">
        <v>705</v>
      </c>
      <c r="I79" s="18" t="str">
        <f>IF(ISBLANK(input_cluster_az1_host9_fqdn),"Value Missing",input_cluster_az1_host9_fqdn)</f>
        <v>Value Missing</v>
      </c>
      <c r="J79" s="1"/>
      <c r="K79" s="1"/>
      <c r="L79" s="1"/>
      <c r="M79" s="1"/>
      <c r="N79" s="84" t="s">
        <v>2378</v>
      </c>
      <c r="O79" s="18" t="str">
        <f>IF(ISBLANK(input_wld_az1_rtep_ip_pool_name),"Value Missing",input_wld_az1_rtep_ip_pool_name)</f>
        <v>Value Missing</v>
      </c>
      <c r="P79" s="1"/>
      <c r="Q79" s="173" t="s">
        <v>2379</v>
      </c>
      <c r="R79" s="18" t="str">
        <f>IF(ISBLANK(input_xreg_vrops_nodeb_ip),"Value Missing",input_xreg_vrops_nodeb_ip)</f>
        <v>Value Missing</v>
      </c>
      <c r="S79" s="1"/>
      <c r="T79" s="84" t="s">
        <v>2380</v>
      </c>
      <c r="U79" s="18" t="str">
        <f>IF(ISBLANK(input_mgmt_srm_p12_password),"Value Missing",input_mgmt_srm_p12_password)</f>
        <v>Value Missing</v>
      </c>
      <c r="V79" s="10"/>
      <c r="W79" s="1"/>
      <c r="X79" s="1"/>
      <c r="Y79" s="1"/>
      <c r="Z79" s="84" t="s">
        <v>2381</v>
      </c>
      <c r="AA79" s="18"/>
      <c r="AB79" s="1"/>
      <c r="AC79" s="1"/>
      <c r="AD79" s="1"/>
      <c r="AE79" s="1"/>
      <c r="AF79" s="1"/>
    </row>
    <row r="80" ht="19.5" customHeight="1">
      <c r="A80" s="1"/>
      <c r="B80" s="84" t="s">
        <v>504</v>
      </c>
      <c r="C80" s="18" t="str">
        <f>IF(ISBLANK('Deploy Management Domain'!M351),"Value Missing",'Deploy Management Domain'!M351)</f>
        <v>Value Missing</v>
      </c>
      <c r="D80" s="1"/>
      <c r="E80" s="84" t="s">
        <v>2382</v>
      </c>
      <c r="F80" s="18" t="str">
        <f t="array" ref="F80">IF(ISBLANK(input_wld_cl01_vds02_uplink_count),"Value Missing",input_wld_cl01_vds02_uplink_count)</f>
        <v>Value Missing</v>
      </c>
      <c r="G80" s="1"/>
      <c r="H80" s="173" t="s">
        <v>706</v>
      </c>
      <c r="I80" s="18" t="str">
        <f>IF(ISBLANK(input_cluster_az1_host10_fqdn),"Value Missing",input_cluster_az1_host10_fqdn)</f>
        <v>Value Missing</v>
      </c>
      <c r="J80" s="1"/>
      <c r="K80" s="333" t="s">
        <v>2383</v>
      </c>
      <c r="L80" s="333"/>
      <c r="M80" s="1"/>
      <c r="N80" s="84" t="s">
        <v>2135</v>
      </c>
      <c r="O80" s="18" t="str">
        <f>IF(ISBLANK(input_wld_nsxt_federation_global_manager_name),"Value Missing",input_wld_nsxt_federation_global_manager_name)</f>
        <v>Value Missing</v>
      </c>
      <c r="P80" s="1"/>
      <c r="Q80" s="173" t="s">
        <v>2384</v>
      </c>
      <c r="R80" s="18" t="str">
        <f>IF(ISBLANK(input_xreg_vrops_nodec_ip),"Value Missing",input_xreg_vrops_nodec_ip)</f>
        <v>Value Missing</v>
      </c>
      <c r="S80" s="1"/>
      <c r="T80" s="84" t="s">
        <v>2385</v>
      </c>
      <c r="U80" s="18" t="str">
        <f>input_mgmt_srm_vm_size</f>
        <v/>
      </c>
      <c r="V80" s="10"/>
      <c r="W80" s="1"/>
      <c r="X80" s="1"/>
      <c r="Y80" s="1"/>
      <c r="Z80" s="84" t="s">
        <v>2386</v>
      </c>
      <c r="AA80" s="18" t="str">
        <f>IF(this_instance="sfo","21","11")</f>
        <v>11</v>
      </c>
      <c r="AB80" s="1"/>
      <c r="AC80" s="1"/>
      <c r="AD80" s="1"/>
      <c r="AE80" s="1"/>
      <c r="AF80" s="1"/>
    </row>
    <row r="81" ht="19.5" customHeight="1">
      <c r="A81" s="1"/>
      <c r="B81" s="84" t="s">
        <v>505</v>
      </c>
      <c r="C81" s="18" t="str">
        <f>IF(ISBLANK('Deploy Management Domain'!M352),"Value Missing",'Deploy Management Domain'!M352)</f>
        <v>Value Missing</v>
      </c>
      <c r="D81" s="1"/>
      <c r="E81" s="84" t="s">
        <v>2387</v>
      </c>
      <c r="F81" s="18" t="str">
        <f>IF(input_wld_cl01_vds02_mtu="","Value Missing",input_wld_cl01_vds02_mtu)</f>
        <v>Value Missing</v>
      </c>
      <c r="G81" s="1"/>
      <c r="H81" s="173" t="s">
        <v>707</v>
      </c>
      <c r="I81" s="18" t="str">
        <f>IF(ISBLANK(input_cluster_az1_host11_fqdn),"Value Missing",input_cluster_az1_host11_fqdn)</f>
        <v>Value Missing</v>
      </c>
      <c r="J81" s="1"/>
      <c r="K81" s="337" t="s">
        <v>256</v>
      </c>
      <c r="L81" s="338" t="s">
        <v>274</v>
      </c>
      <c r="M81" s="1"/>
      <c r="N81" s="84" t="s">
        <v>2140</v>
      </c>
      <c r="O81" s="18" t="str">
        <f>IF(ISBLANK('Configure Workload Domain'!D493),"Value Missing",'Configure Workload Domain'!D493)</f>
        <v>Value Missing</v>
      </c>
      <c r="P81" s="1"/>
      <c r="Q81" s="173" t="s">
        <v>339</v>
      </c>
      <c r="R81" s="18" t="str">
        <f>IF(ISBLANK(input_xreg_vrops_collector_ip),"Value Missing",input_xreg_vrops_collector_ip)</f>
        <v>Value Missing</v>
      </c>
      <c r="S81" s="1"/>
      <c r="T81" s="84" t="s">
        <v>2388</v>
      </c>
      <c r="U81" s="18" t="str">
        <f>IF(ISBLANK(input_mgmt_srm_rpo),"Value Missing",input_mgmt_srm_rpo)</f>
        <v>Value Missing</v>
      </c>
      <c r="V81" s="10"/>
      <c r="W81" s="1"/>
      <c r="X81" s="1"/>
      <c r="Y81" s="1"/>
      <c r="Z81" s="84" t="s">
        <v>2389</v>
      </c>
      <c r="AA81" s="18" t="str">
        <f>IF(this_instance="sfo","10.21.","10.11.")</f>
        <v>10.11.</v>
      </c>
      <c r="AB81" s="1"/>
      <c r="AC81" s="1"/>
      <c r="AD81" s="1"/>
      <c r="AE81" s="1"/>
      <c r="AF81" s="1"/>
    </row>
    <row r="82" ht="19.5" customHeight="1">
      <c r="A82" s="1"/>
      <c r="B82" s="84" t="s">
        <v>506</v>
      </c>
      <c r="C82" s="18" t="str">
        <f>IF(ISBLANK('Deploy Management Domain'!M353),"Value Missing",'Deploy Management Domain'!M353)</f>
        <v>Value Missing</v>
      </c>
      <c r="D82" s="1"/>
      <c r="E82" s="84" t="s">
        <v>2390</v>
      </c>
      <c r="F82" s="18" t="str">
        <f>IF(wld_cl01_vds_profile_chosen="Default","Value Missing",IF(wld_cl01_vds_profile_chosen&lt;&gt;"Custom","Route Based on Physical Nic Load","Value Missing"))</f>
        <v>Value Missing</v>
      </c>
      <c r="G82" s="1"/>
      <c r="H82" s="173" t="s">
        <v>708</v>
      </c>
      <c r="I82" s="18" t="str">
        <f>IF(ISBLANK(input_cluster_az1_host12_fqdn),"Value Missing",input_cluster_az1_host12_fqdn)</f>
        <v>Value Missing</v>
      </c>
      <c r="J82" s="1"/>
      <c r="K82" s="84" t="s">
        <v>2349</v>
      </c>
      <c r="L82" s="18" t="str">
        <f>IF(ISBLANK('Active Directory Inputs'!E10),"Value Missing",'Active Directory Inputs'!E10)</f>
        <v>Value Missing</v>
      </c>
      <c r="M82" s="1"/>
      <c r="N82" s="84" t="s">
        <v>2391</v>
      </c>
      <c r="O82" s="18" t="str">
        <f>IF(ISBLANK('Configure Workload Domain'!D491),"Value Missing",'Configure Workload Domain'!D491)</f>
        <v>Value Missing</v>
      </c>
      <c r="P82" s="1"/>
      <c r="Q82" s="80"/>
      <c r="R82" s="1"/>
      <c r="S82" s="1"/>
      <c r="T82" s="84" t="s">
        <v>2392</v>
      </c>
      <c r="U82" s="18" t="str">
        <f>IF(ISBLANK(input_mgmt_srm_instances_per_day),"Value Missing",input_mgmt_srm_instances_per_day)</f>
        <v>Value Missing</v>
      </c>
      <c r="V82" s="10"/>
      <c r="W82" s="1"/>
      <c r="X82" s="1"/>
      <c r="Y82" s="1"/>
      <c r="Z82" s="84" t="s">
        <v>2393</v>
      </c>
      <c r="AA82" s="18" t="str">
        <f>IF(mgmt_domain_chosen="First Domain","6501","6503")</f>
        <v>6503</v>
      </c>
      <c r="AB82" s="1"/>
      <c r="AC82" s="1"/>
      <c r="AD82" s="1"/>
      <c r="AE82" s="1"/>
      <c r="AF82" s="1"/>
    </row>
    <row r="83" ht="19.5" customHeight="1">
      <c r="A83" s="1"/>
      <c r="B83" s="84" t="s">
        <v>2394</v>
      </c>
      <c r="C83" s="18"/>
      <c r="D83" s="1"/>
      <c r="E83" s="84" t="s">
        <v>2395</v>
      </c>
      <c r="F83" s="18" t="str">
        <f>IF(wld_cl01_vds_profile_chosen="Default","Value Missing",
IF(wld_cl01_vds_profile_chosen="Storage Traffic Separation",IF(wld_principal_storage_chosen="NFSv3","NFS","vSAN"),
IF(wld_cl01_vds_profile_chosen="NSX Traffic Separation","NSX-Overlay",
IF(wld_cl01_vds_profile_chosen="Storage Traffic and NSX Traffic Separation",IF(wld_principal_storage_chosen="NFSv3","NFS","vSAN"),
IF(wld_cl01_vds_profile_chosen="Storage Traffic and NSX Traffic Separation","Management, vMotion",
IF(wld_cl01_vds_profile_chosen="vSAN Max Storage Traffic Separation","vSAN",
IF(wld_cl01_vds_profile_chosen="vSAN Max Storage Traffic and NSX Traffic Separation","vSAN","Value Missing")))))))</f>
        <v>Value Missing</v>
      </c>
      <c r="G83" s="1"/>
      <c r="H83" s="173" t="s">
        <v>709</v>
      </c>
      <c r="I83" s="18" t="str">
        <f>IF(ISBLANK(input_cluster_az1_host13_fqdn),"Value Missing",input_cluster_az1_host13_fqdn)</f>
        <v>Value Missing</v>
      </c>
      <c r="J83" s="1"/>
      <c r="K83" s="84" t="s">
        <v>2353</v>
      </c>
      <c r="L83" s="18" t="str">
        <f>IF(ISBLANK('Active Directory Inputs'!E11),"Value Missing",'Active Directory Inputs'!E11)</f>
        <v>Value Missing</v>
      </c>
      <c r="M83" s="1"/>
      <c r="N83" s="84" t="s">
        <v>2396</v>
      </c>
      <c r="O83" s="18" t="str">
        <f>IF(ISBLANK('Configure Workload Domain'!D480),"Value Missing",'Configure Workload Domain'!D480)</f>
        <v>Value Missing</v>
      </c>
      <c r="P83" s="1"/>
      <c r="Q83" s="334" t="s">
        <v>2397</v>
      </c>
      <c r="R83" s="14"/>
      <c r="S83" s="1"/>
      <c r="T83" s="84" t="s">
        <v>2398</v>
      </c>
      <c r="U83" s="18" t="str">
        <f>IF(ISBLANK(input_mgmt_srm_days),"Value Missing",input_mgmt_srm_days)</f>
        <v>Value Missing</v>
      </c>
      <c r="V83" s="10"/>
      <c r="W83" s="1"/>
      <c r="X83" s="1"/>
      <c r="Y83" s="1"/>
      <c r="Z83" s="84" t="s">
        <v>2399</v>
      </c>
      <c r="AA83" s="18" t="str">
        <f>IF(this_instance="sfo","192.168.2","192.168.4")</f>
        <v>192.168.4</v>
      </c>
      <c r="AB83" s="1"/>
      <c r="AC83" s="1"/>
      <c r="AD83" s="1"/>
      <c r="AE83" s="1"/>
      <c r="AF83" s="1"/>
    </row>
    <row r="84" ht="19.5" customHeight="1">
      <c r="A84" s="1"/>
      <c r="B84" s="18" t="s">
        <v>2400</v>
      </c>
      <c r="C84" s="18" t="str">
        <f>IF(ISBLANK(input_mgmt_sso_domain),"Value Missing",input_mgmt_sso_domain)</f>
        <v>Value Missing</v>
      </c>
      <c r="D84" s="1"/>
      <c r="E84" s="84" t="s">
        <v>2366</v>
      </c>
      <c r="F84" s="18" t="str">
        <f t="array" ref="F84">IF(ISBLANK(input_wld_cl01_vds02_lag_name),"Value Missing",input_wld_cl01_vds02_lag_name)</f>
        <v>Value Missing</v>
      </c>
      <c r="G84" s="1"/>
      <c r="H84" s="173" t="s">
        <v>710</v>
      </c>
      <c r="I84" s="18" t="str">
        <f>IF(ISBLANK(input_cluster_az1_host14_fqdn),"Value Missing",input_cluster_az1_host14_fqdn)</f>
        <v>Value Missing</v>
      </c>
      <c r="J84" s="1"/>
      <c r="K84" s="1"/>
      <c r="L84" s="1"/>
      <c r="M84" s="1"/>
      <c r="N84" s="84" t="s">
        <v>2153</v>
      </c>
      <c r="O84" s="18" t="str">
        <f>IF(ISBLANK('Configure Workload Domain'!D505),"Value Missing",'Configure Workload Domain'!D505)</f>
        <v>Value Missing</v>
      </c>
      <c r="P84" s="1"/>
      <c r="Q84" s="15" t="s">
        <v>256</v>
      </c>
      <c r="R84" s="15" t="s">
        <v>274</v>
      </c>
      <c r="S84" s="1"/>
      <c r="T84" s="84" t="s">
        <v>2401</v>
      </c>
      <c r="U84" s="18" t="str">
        <f>IF(ISBLANK(input_mgmt_srm_vrslcm_wsa_pg),"Value Missing",input_mgmt_srm_vrslcm_wsa_pg)</f>
        <v>Value Missing</v>
      </c>
      <c r="V84" s="10"/>
      <c r="W84" s="1"/>
      <c r="X84" s="1"/>
      <c r="Y84" s="1"/>
      <c r="Z84" s="84" t="s">
        <v>2402</v>
      </c>
      <c r="AA84" s="18" t="str">
        <f>IF(this_instance="sfo","10.21.","10.11.")</f>
        <v>10.11.</v>
      </c>
      <c r="AB84" s="1"/>
      <c r="AC84" s="1"/>
      <c r="AD84" s="1"/>
      <c r="AE84" s="1"/>
      <c r="AF84" s="1"/>
    </row>
    <row r="85" ht="19.5" customHeight="1">
      <c r="A85" s="1"/>
      <c r="B85" s="18" t="s">
        <v>2403</v>
      </c>
      <c r="C85" s="18" t="str">
        <f>IF(ISBLANK(input_mgmt_sso_domain_username),"Value Missing",input_mgmt_sso_domain_username)</f>
        <v>Value Missing</v>
      </c>
      <c r="D85" s="1"/>
      <c r="E85" s="15" t="s">
        <v>1309</v>
      </c>
      <c r="F85" s="15" t="s">
        <v>274</v>
      </c>
      <c r="G85" s="1"/>
      <c r="H85" s="173" t="s">
        <v>711</v>
      </c>
      <c r="I85" s="18" t="str">
        <f>IF(ISBLANK(input_cluster_az1_host15_fqdn),"Value Missing",input_cluster_az1_host15_fqdn)</f>
        <v>Value Missing</v>
      </c>
      <c r="J85" s="1"/>
      <c r="K85" s="333" t="s">
        <v>2404</v>
      </c>
      <c r="L85" s="333"/>
      <c r="M85" s="1"/>
      <c r="N85" s="84" t="s">
        <v>2160</v>
      </c>
      <c r="O85" s="18" t="str">
        <f>IF(ISBLANK('Configure Workload Domain'!D512),"Value Missing",'Configure Workload Domain'!D512)</f>
        <v>Value Missing</v>
      </c>
      <c r="P85" s="1"/>
      <c r="Q85" s="173" t="s">
        <v>2370</v>
      </c>
      <c r="R85" s="18" t="str">
        <f>IF(xreg_vrops_virtual_fqdn="Value Missing",xreg_vrops_virtual_fqdn,LEFT(xreg_vrops_virtual_fqdn,FIND(".",xreg_vrops_virtual_fqdn)-1))</f>
        <v>Value Missing</v>
      </c>
      <c r="S85" s="1"/>
      <c r="T85" s="84" t="s">
        <v>2405</v>
      </c>
      <c r="U85" s="18" t="str">
        <f>IF(ISBLANK(input_mgmt_srm_vrslcm_wsa_rp),"Value Missing",input_mgmt_srm_vrslcm_wsa_rp)</f>
        <v>Value Missing</v>
      </c>
      <c r="V85" s="10"/>
      <c r="W85" s="1"/>
      <c r="X85" s="1"/>
      <c r="Y85" s="1"/>
      <c r="Z85" s="84" t="s">
        <v>2406</v>
      </c>
      <c r="AA85" s="18" t="s">
        <v>2407</v>
      </c>
      <c r="AB85" s="1"/>
      <c r="AC85" s="1"/>
      <c r="AD85" s="1"/>
      <c r="AE85" s="1"/>
      <c r="AF85" s="1"/>
    </row>
    <row r="86" ht="19.5" customHeight="1">
      <c r="A86" s="1"/>
      <c r="B86" s="84" t="s">
        <v>312</v>
      </c>
      <c r="C86" s="18" t="str">
        <f>IF(ISBLANK(input_vcf_instance_name),"Value Missing",input_vcf_instance_name)</f>
        <v>Value Missing</v>
      </c>
      <c r="D86" s="1"/>
      <c r="E86" s="84" t="s">
        <v>2408</v>
      </c>
      <c r="F86" s="18" t="str">
        <f>IF(ISBLANK(input_wld_cl01_vds03_name),"Value Missing",input_wld_cl01_vds03_name)</f>
        <v>Value Missing</v>
      </c>
      <c r="G86" s="1"/>
      <c r="H86" s="173" t="s">
        <v>712</v>
      </c>
      <c r="I86" s="18" t="str">
        <f>IF(ISBLANK(input_cluster_az1_host16_fqdn),"Value Missing",input_cluster_az1_host16_fqdn)</f>
        <v>Value Missing</v>
      </c>
      <c r="J86" s="1"/>
      <c r="K86" s="337" t="s">
        <v>256</v>
      </c>
      <c r="L86" s="338" t="s">
        <v>274</v>
      </c>
      <c r="M86" s="1"/>
      <c r="N86" s="84" t="s">
        <v>2167</v>
      </c>
      <c r="O86" s="18" t="str">
        <f>IF(ISBLANK(input_wld_existing_cross_instance_t0_name),"Value Missing",input_wld_existing_cross_instance_t0_name)</f>
        <v>Value Missing</v>
      </c>
      <c r="P86" s="1"/>
      <c r="Q86" s="173" t="s">
        <v>2374</v>
      </c>
      <c r="R86" s="18" t="str">
        <f>IF(xreg_vrops_nodea_fqdn="Value Missing",xreg_vrops_nodea_fqdn,LEFT(xreg_vrops_nodea_fqdn,FIND(".",xreg_vrops_nodea_fqdn)-1))</f>
        <v>Value Missing</v>
      </c>
      <c r="S86" s="1"/>
      <c r="T86" s="84" t="s">
        <v>2409</v>
      </c>
      <c r="U86" s="18" t="str">
        <f>IF(ISBLANK(input_mgmt_srm_vrops_pg),"Value Missing",input_mgmt_srm_vrops_pg)</f>
        <v>Value Missing</v>
      </c>
      <c r="V86" s="10"/>
      <c r="W86" s="1"/>
      <c r="X86" s="1"/>
      <c r="Y86" s="1"/>
      <c r="Z86" s="84" t="s">
        <v>2410</v>
      </c>
      <c r="AA86" s="18"/>
      <c r="AB86" s="1"/>
      <c r="AC86" s="1"/>
      <c r="AD86" s="1"/>
      <c r="AE86" s="1"/>
      <c r="AF86" s="1"/>
    </row>
    <row r="87" ht="19.5" customHeight="1">
      <c r="A87" s="1"/>
      <c r="B87" s="1"/>
      <c r="C87" s="1"/>
      <c r="D87" s="1"/>
      <c r="E87" s="84" t="s">
        <v>2411</v>
      </c>
      <c r="F87" s="18" t="str">
        <f>IF(input_wld_cl01_vds03_mtu="","Value Missing",input_wld_cl01_vds03_mtu)</f>
        <v>Value Missing</v>
      </c>
      <c r="G87" s="1"/>
      <c r="H87" s="173" t="s">
        <v>723</v>
      </c>
      <c r="I87" s="18" t="str">
        <f>cluster_principal_storage_chosen</f>
        <v>vSAN-ESA</v>
      </c>
      <c r="J87" s="1"/>
      <c r="K87" s="84" t="s">
        <v>2349</v>
      </c>
      <c r="L87" s="18" t="str">
        <f>IF(ISBLANK('Active Directory Inputs'!G10),"Value Missing",'Active Directory Inputs'!G10)</f>
        <v>Value Missing</v>
      </c>
      <c r="M87" s="1"/>
      <c r="N87" s="84" t="s">
        <v>1866</v>
      </c>
      <c r="O87" s="18"/>
      <c r="P87" s="1"/>
      <c r="Q87" s="173" t="s">
        <v>2412</v>
      </c>
      <c r="R87" s="18" t="str">
        <f>IF(xreg_vrops_nodeb_fqdn="Value Missing",xreg_vrops_nodeb_fqdn,LEFT(xreg_vrops_nodeb_fqdn,FIND(".",xreg_vrops_nodeb_fqdn)-1))</f>
        <v>Value Missing</v>
      </c>
      <c r="S87" s="1"/>
      <c r="T87" s="84" t="s">
        <v>2413</v>
      </c>
      <c r="U87" s="18" t="str">
        <f>IF(ISBLANK(input_mgmt_srm_vrops_rp),"Value Missing",input_mgmt_srm_vrops_rp)</f>
        <v>Value Missing</v>
      </c>
      <c r="V87" s="10"/>
      <c r="W87" s="1"/>
      <c r="X87" s="1"/>
      <c r="Y87" s="1"/>
      <c r="Z87" s="84" t="s">
        <v>2414</v>
      </c>
      <c r="AA87" s="18"/>
      <c r="AB87" s="1"/>
      <c r="AC87" s="1"/>
      <c r="AD87" s="1"/>
      <c r="AE87" s="1"/>
      <c r="AF87" s="1"/>
    </row>
    <row r="88" ht="19.5" customHeight="1">
      <c r="A88" s="1"/>
      <c r="B88" s="334" t="s">
        <v>2415</v>
      </c>
      <c r="C88" s="14"/>
      <c r="D88" s="1"/>
      <c r="E88" s="84" t="s">
        <v>2416</v>
      </c>
      <c r="F88" s="18" t="str">
        <f>IF(input_wld_cl01_vds03_pnics="","Value Missing",input_wld_cl01_vds03_pnics)</f>
        <v>Value Missing</v>
      </c>
      <c r="G88" s="1"/>
      <c r="H88" s="173" t="s">
        <v>725</v>
      </c>
      <c r="I88" s="18"/>
      <c r="J88" s="1"/>
      <c r="K88" s="84" t="s">
        <v>2353</v>
      </c>
      <c r="L88" s="18" t="str">
        <f>IF(ISBLANK('Active Directory Inputs'!G11),"Value Missing",'Active Directory Inputs'!G11)</f>
        <v>Value Missing</v>
      </c>
      <c r="M88" s="1"/>
      <c r="N88" s="84" t="s">
        <v>354</v>
      </c>
      <c r="O88" s="18" t="str">
        <f>IF(ISBLANK(input_wld_datacenter),"Value Missing",input_wld_datacenter)</f>
        <v>Value Missing</v>
      </c>
      <c r="P88" s="1"/>
      <c r="Q88" s="173" t="s">
        <v>2417</v>
      </c>
      <c r="R88" s="18" t="str">
        <f>IF(xreg_vrops_nodec_fqdn="Value Missing",xreg_vrops_nodec_fqdn,LEFT(xreg_vrops_nodec_fqdn,FIND(".",xreg_vrops_nodec_fqdn)-1))</f>
        <v>Value Missing</v>
      </c>
      <c r="S88" s="1"/>
      <c r="T88" s="84" t="s">
        <v>2418</v>
      </c>
      <c r="U88" s="18" t="str">
        <f>IF(ISBLANK(input_mgmt_srm_vra_pg),"Value Missing",input_mgmt_srm_vra_pg)</f>
        <v>Value Missing</v>
      </c>
      <c r="V88" s="10"/>
      <c r="W88" s="1"/>
      <c r="X88" s="1"/>
      <c r="Y88" s="1"/>
      <c r="Z88" s="84" t="s">
        <v>2419</v>
      </c>
      <c r="AA88" s="18" t="str">
        <f>IF(this_instance="sfo","10.11.99","10.21.99")</f>
        <v>10.21.99</v>
      </c>
      <c r="AB88" s="1"/>
      <c r="AC88" s="1"/>
      <c r="AD88" s="1"/>
      <c r="AE88" s="1"/>
      <c r="AF88" s="1"/>
    </row>
    <row r="89" ht="19.5" customHeight="1">
      <c r="A89" s="1"/>
      <c r="B89" s="15" t="s">
        <v>256</v>
      </c>
      <c r="C89" s="15" t="s">
        <v>2325</v>
      </c>
      <c r="D89" s="1"/>
      <c r="E89" s="84" t="s">
        <v>2420</v>
      </c>
      <c r="F89" s="18" t="str">
        <f t="array" ref="F89">IF(ISBLANK(input_wld_cl01_vds03_uplink_count),"Value Missing",input_wld_cl01_vds03_uplink_count)</f>
        <v>Value Missing</v>
      </c>
      <c r="G89" s="1"/>
      <c r="H89" s="173" t="s">
        <v>727</v>
      </c>
      <c r="I89" s="18"/>
      <c r="J89" s="1"/>
      <c r="K89" s="1"/>
      <c r="L89" s="1"/>
      <c r="M89" s="1"/>
      <c r="N89" s="84" t="s">
        <v>2421</v>
      </c>
      <c r="O89" s="18" t="str">
        <f>IF(ISBLANK('Private AI Ready Infrastructure'!D15),"Value Missing",'Private AI Ready Infrastructure'!D15)</f>
        <v>Value Missing</v>
      </c>
      <c r="P89" s="1"/>
      <c r="Q89" s="173" t="s">
        <v>339</v>
      </c>
      <c r="R89" s="18" t="str">
        <f>IF(xreg_vrops_collector_fqdn="Value Missing",xreg_vrops_collector_fqdn,LEFT(xreg_vrops_collector_fqdn,FIND(".",xreg_vrops_collector_fqdn)-1))</f>
        <v>Value Missing</v>
      </c>
      <c r="S89" s="1"/>
      <c r="T89" s="84" t="s">
        <v>2422</v>
      </c>
      <c r="U89" s="18" t="str">
        <f>IF(ISBLANK(input_mgmt_srm_vra_rp),"Value Missing",input_mgmt_srm_vra_rp)</f>
        <v>Value Missing</v>
      </c>
      <c r="V89" s="10"/>
      <c r="W89" s="1"/>
      <c r="X89" s="1"/>
      <c r="Y89" s="1"/>
      <c r="Z89" s="84"/>
      <c r="AA89" s="18"/>
      <c r="AB89" s="1"/>
      <c r="AC89" s="1"/>
      <c r="AD89" s="1"/>
      <c r="AE89" s="1"/>
      <c r="AF89" s="1"/>
    </row>
    <row r="90" ht="19.5" customHeight="1">
      <c r="A90" s="1"/>
      <c r="B90" s="84" t="s">
        <v>2423</v>
      </c>
      <c r="C90" s="18" t="str">
        <f>IF(ISBLANK(mgmt_cl01_vds_profile_chosen),"Value Missing",mgmt_cl01_vds_profile_chosen)</f>
        <v>Storage Traffic Separation</v>
      </c>
      <c r="D90" s="1"/>
      <c r="E90" s="84" t="s">
        <v>2424</v>
      </c>
      <c r="F90" s="18" t="str">
        <f>IF(wld_cl01_vds_profile_chosen&lt;&gt;"Storage Traffic and NSX Traffic Separation","Value Missing","Route Based on Physical Nic Load")</f>
        <v>Value Missing</v>
      </c>
      <c r="G90" s="1"/>
      <c r="H90" s="173" t="s">
        <v>2425</v>
      </c>
      <c r="I90" s="18"/>
      <c r="J90" s="1"/>
      <c r="K90" s="333" t="s">
        <v>2426</v>
      </c>
      <c r="L90" s="333"/>
      <c r="M90" s="1"/>
      <c r="N90" s="84" t="s">
        <v>2427</v>
      </c>
      <c r="O90" s="18" t="str">
        <f>CONCATENATE(wld_sddc_domain,"-",wld_vc_hostname,"-",wld_cl01_cluster,"-vds01-management")</f>
        <v>Value Missing-Value Missing-Value Missing-vds01-management</v>
      </c>
      <c r="P90" s="1"/>
      <c r="Q90" s="41"/>
      <c r="R90" s="41"/>
      <c r="S90" s="1"/>
      <c r="T90" s="84" t="s">
        <v>2428</v>
      </c>
      <c r="U90" s="18" t="str">
        <f>IF(ISBLANK(input_mgmt_srm_recovery_vcenter_fqdn),"Value Missing",input_mgmt_srm_recovery_vcenter_fqdn)</f>
        <v>Value Missing</v>
      </c>
      <c r="V90" s="10"/>
      <c r="W90" s="1"/>
      <c r="X90" s="1"/>
      <c r="Y90" s="1"/>
      <c r="Z90" s="80"/>
      <c r="AA90" s="1"/>
      <c r="AB90" s="1"/>
      <c r="AC90" s="1"/>
      <c r="AD90" s="1"/>
      <c r="AE90" s="1"/>
      <c r="AF90" s="1"/>
    </row>
    <row r="91" ht="19.5" customHeight="1">
      <c r="A91" s="1"/>
      <c r="B91" s="15" t="s">
        <v>1302</v>
      </c>
      <c r="C91" s="15" t="s">
        <v>274</v>
      </c>
      <c r="D91" s="1"/>
      <c r="E91" s="84" t="s">
        <v>2429</v>
      </c>
      <c r="F91" s="18"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G91" s="1"/>
      <c r="H91" s="173" t="s">
        <v>545</v>
      </c>
      <c r="I91" s="18" t="str">
        <f>IF(ISBLANK(input_cluster_esx_root_username),"Value Missing",input_cluster_esx_root_username)</f>
        <v>Value Missing</v>
      </c>
      <c r="J91" s="1"/>
      <c r="K91" s="337" t="s">
        <v>256</v>
      </c>
      <c r="L91" s="338" t="s">
        <v>274</v>
      </c>
      <c r="M91" s="1"/>
      <c r="N91" s="1"/>
      <c r="O91" s="1"/>
      <c r="P91" s="1"/>
      <c r="Q91" s="334" t="s">
        <v>2430</v>
      </c>
      <c r="R91" s="14"/>
      <c r="S91" s="1"/>
      <c r="T91" s="84" t="s">
        <v>2431</v>
      </c>
      <c r="U91" s="18" t="str">
        <f>IF(ISBLANK(input_mgmt_srm_recovery_vcenter_username),"Value Missing",input_mgmt_srm_recovery_vcenter_username)</f>
        <v>Value Missing</v>
      </c>
      <c r="V91" s="10"/>
      <c r="W91" s="1"/>
      <c r="X91" s="1"/>
      <c r="Y91" s="1"/>
      <c r="Z91" s="1"/>
      <c r="AA91" s="1"/>
      <c r="AB91" s="1"/>
      <c r="AC91" s="1"/>
      <c r="AD91" s="1"/>
      <c r="AE91" s="1"/>
      <c r="AF91" s="1"/>
    </row>
    <row r="92" ht="19.5" customHeight="1">
      <c r="A92" s="1"/>
      <c r="B92" s="84" t="s">
        <v>2339</v>
      </c>
      <c r="C92" s="18" t="str">
        <f>IF(ISBLANK('Deploy Management Domain'!L188),"Value Missing",'Deploy Management Domain'!L188)</f>
        <v>Value Missing</v>
      </c>
      <c r="D92" s="1"/>
      <c r="E92" s="84" t="s">
        <v>2366</v>
      </c>
      <c r="F92" s="1" t="str">
        <f t="array" ref="F92">IF(ISBLANK(input_wld_cl01_vds03_lag_name),"Value Missing",input_wld_cl01_vds03_lag_name)</f>
        <v>Value Missing</v>
      </c>
      <c r="G92" s="1"/>
      <c r="H92" s="173" t="s">
        <v>296</v>
      </c>
      <c r="I92" s="18" t="str">
        <f>IF(ISBLANK(input_cluster_esx_root_password),"Value Missing",input_cluster_esx_root_password)</f>
        <v>Value Missing</v>
      </c>
      <c r="J92" s="1"/>
      <c r="K92" s="84" t="s">
        <v>2349</v>
      </c>
      <c r="L92" s="18"/>
      <c r="M92" s="1"/>
      <c r="N92" s="342" t="s">
        <v>2432</v>
      </c>
      <c r="O92" s="59"/>
      <c r="P92" s="1"/>
      <c r="Q92" s="15" t="s">
        <v>256</v>
      </c>
      <c r="R92" s="15" t="s">
        <v>274</v>
      </c>
      <c r="S92" s="1"/>
      <c r="T92" s="84" t="s">
        <v>2433</v>
      </c>
      <c r="U92" s="18" t="str">
        <f>IF(ISBLANK(input_mgmt_srm_recovery_vcenter_password),"Value Missing",input_mgmt_srm_recovery_vcenter_password)</f>
        <v>Value Missing</v>
      </c>
      <c r="V92" s="10"/>
      <c r="W92" s="1"/>
      <c r="X92" s="1"/>
      <c r="Y92" s="1"/>
      <c r="Z92" s="335" t="s">
        <v>2434</v>
      </c>
      <c r="AA92" s="336"/>
      <c r="AB92" s="1"/>
      <c r="AC92" s="1"/>
      <c r="AD92" s="1"/>
      <c r="AE92" s="1"/>
      <c r="AF92" s="1"/>
    </row>
    <row r="93" ht="19.5" customHeight="1">
      <c r="A93" s="1"/>
      <c r="B93" s="84" t="s">
        <v>2435</v>
      </c>
      <c r="C93" s="18" t="str">
        <f>IF(ISBLANK(input_mgmt_cl01_vds01_uplink1),"Value Missing",input_mgmt_cl01_vds01_uplink1)</f>
        <v>Value Missing</v>
      </c>
      <c r="D93" s="1"/>
      <c r="E93" s="41"/>
      <c r="F93" s="41"/>
      <c r="G93" s="1"/>
      <c r="H93" s="173" t="s">
        <v>2436</v>
      </c>
      <c r="I93" s="18" t="str">
        <f>IF(ISBLANK(input_cluster_name),"Value Missing",input_cluster_name)</f>
        <v>Value Missing</v>
      </c>
      <c r="J93" s="1"/>
      <c r="K93" s="84" t="s">
        <v>2353</v>
      </c>
      <c r="L93" s="18"/>
      <c r="M93" s="1"/>
      <c r="N93" s="84" t="s">
        <v>100</v>
      </c>
      <c r="O93" s="18" t="str">
        <f>IF(ISBLANK(input_vvs_dr_ntp1_server),"Value Missing",input_vvs_dr_ntp1_server)</f>
        <v>Value Missing</v>
      </c>
      <c r="P93" s="1"/>
      <c r="Q93" s="173" t="s">
        <v>2370</v>
      </c>
      <c r="R93" s="18" t="str">
        <f>IF(ISBLANK(input_xreg_vrops_virtual_fqdn),"Value Missing",input_xreg_vrops_virtual_fqdn)</f>
        <v>Value Missing</v>
      </c>
      <c r="S93" s="1"/>
      <c r="T93" s="84" t="s">
        <v>2437</v>
      </c>
      <c r="U93" s="18" t="str">
        <f>IF(ISBLANK(input_mgmt_srm_recovery_sddc_manager_domain),"Value Missing",input_mgmt_srm_recovery_sddc_manager_domain)</f>
        <v>Value Missing</v>
      </c>
      <c r="V93" s="10"/>
      <c r="W93" s="1"/>
      <c r="X93" s="1"/>
      <c r="Y93" s="1"/>
      <c r="Z93" s="337" t="s">
        <v>256</v>
      </c>
      <c r="AA93" s="338" t="s">
        <v>2325</v>
      </c>
      <c r="AB93" s="1"/>
      <c r="AC93" s="1"/>
      <c r="AD93" s="1"/>
      <c r="AE93" s="1"/>
      <c r="AF93" s="1"/>
    </row>
    <row r="94" ht="19.5" customHeight="1">
      <c r="A94" s="1"/>
      <c r="B94" s="84" t="s">
        <v>2438</v>
      </c>
      <c r="C94" s="18" t="str">
        <f>IF(ISBLANK(input_mgmt_cl01_vds01_uplink2),"Value Missing",input_mgmt_cl01_vds01_uplink2)</f>
        <v>Value Missing</v>
      </c>
      <c r="D94" s="1"/>
      <c r="E94" s="335" t="s">
        <v>2439</v>
      </c>
      <c r="F94" s="336"/>
      <c r="G94" s="1"/>
      <c r="H94" s="173" t="s">
        <v>2440</v>
      </c>
      <c r="I94" s="18" t="str">
        <f>IF(ISBLANK(input_cluster_image_name),"Value Missing",input_cluster_image_name)</f>
        <v>Value Missing</v>
      </c>
      <c r="J94" s="1"/>
      <c r="K94" s="1"/>
      <c r="L94" s="1"/>
      <c r="M94" s="1"/>
      <c r="N94" s="84" t="s">
        <v>2441</v>
      </c>
      <c r="O94" s="18" t="str">
        <f>IF(ISBLANK(input_vvs_dr_dns1_ip),"Value Missing",input_vvs_dr_dns1_ip)</f>
        <v>Value Missing</v>
      </c>
      <c r="P94" s="1"/>
      <c r="Q94" s="173" t="s">
        <v>2374</v>
      </c>
      <c r="R94" s="18" t="str">
        <f>IF(ISBLANK(input_xreg_vrops_nodea_fqdn),"Value Missing",input_xreg_vrops_nodea_fqdn)</f>
        <v>Value Missing</v>
      </c>
      <c r="S94" s="1"/>
      <c r="T94" s="84" t="s">
        <v>2442</v>
      </c>
      <c r="U94" s="18" t="str">
        <f>IF(ISBLANK(input_mgmt_srm_recovery_nsx_location),"Value Missing",input_mgmt_srm_recovery_nsx_location)</f>
        <v>Value Missing</v>
      </c>
      <c r="V94" s="10"/>
      <c r="W94" s="1"/>
      <c r="X94" s="1"/>
      <c r="Y94" s="1"/>
      <c r="Z94" s="84" t="s">
        <v>2443</v>
      </c>
      <c r="AA94" s="18" t="str">
        <f>IF(AND((spr_chosen="Management Only"),(spr_result="Included")),"True","False")</f>
        <v>False</v>
      </c>
      <c r="AB94" s="1"/>
      <c r="AC94" s="1"/>
      <c r="AD94" s="1"/>
      <c r="AE94" s="1"/>
      <c r="AF94" s="1"/>
    </row>
    <row r="95" ht="19.5" customHeight="1">
      <c r="A95" s="1"/>
      <c r="B95" s="84" t="s">
        <v>2348</v>
      </c>
      <c r="C95" s="18" t="str">
        <f>IF(ISBLANK(input_mgmt_cl01_vds01_uplink_count),"Value Missing",input_mgmt_cl01_vds01_uplink_count)</f>
        <v>Value Missing</v>
      </c>
      <c r="D95" s="1"/>
      <c r="E95" s="337" t="s">
        <v>256</v>
      </c>
      <c r="F95" s="338" t="s">
        <v>2325</v>
      </c>
      <c r="G95" s="1"/>
      <c r="H95" s="173" t="s">
        <v>1273</v>
      </c>
      <c r="I95" s="18"/>
      <c r="J95" s="1"/>
      <c r="K95" s="333" t="s">
        <v>2444</v>
      </c>
      <c r="L95" s="333"/>
      <c r="M95" s="1"/>
      <c r="N95" s="84" t="s">
        <v>2445</v>
      </c>
      <c r="O95" s="18" t="str">
        <f>IF(ISBLANK(input_vvs_dr_dns2_ip),"Value Missing",input_vvs_dr_dns2_ip)</f>
        <v>Value Missing</v>
      </c>
      <c r="P95" s="1"/>
      <c r="Q95" s="173" t="s">
        <v>2379</v>
      </c>
      <c r="R95" s="18" t="str">
        <f>IF(ISBLANK(input_xreg_vrops_nodeb_fqdn),"Value Missing",input_xreg_vrops_nodeb_fqdn)</f>
        <v>Value Missing</v>
      </c>
      <c r="S95" s="1"/>
      <c r="T95" s="84" t="s">
        <v>2446</v>
      </c>
      <c r="U95" s="18" t="str">
        <f>IF(ISBLANK(input_mgmt_srm_recovery_nsx_ec_name),"Value Missing",input_mgmt_srm_recovery_nsx_ec_name)</f>
        <v>Value Missing</v>
      </c>
      <c r="V95" s="10"/>
      <c r="W95" s="1"/>
      <c r="X95" s="1"/>
      <c r="Y95" s="1"/>
      <c r="Z95" s="84" t="s">
        <v>2447</v>
      </c>
      <c r="AA95" s="18" t="str">
        <f>IF(AND((spr_chosen="VI Workload Only"),(spr_result="Included")),"True","False")</f>
        <v>False</v>
      </c>
      <c r="AB95" s="1"/>
      <c r="AC95" s="1"/>
      <c r="AD95" s="1"/>
      <c r="AE95" s="1"/>
      <c r="AF95" s="1"/>
    </row>
    <row r="96" ht="19.5" customHeight="1">
      <c r="A96" s="1"/>
      <c r="B96" s="84" t="s">
        <v>2352</v>
      </c>
      <c r="C96" s="18" t="str">
        <f>IF(ISBLANK(input_mgmt_cl01_vds01_mtu),"Value Missing",input_mgmt_cl01_vds01_mtu)</f>
        <v>Value Missing</v>
      </c>
      <c r="D96" s="1"/>
      <c r="E96" s="84" t="s">
        <v>2448</v>
      </c>
      <c r="F96" s="18" t="str">
        <f>IF(ISBLANK(input_wld_cl01_vsan_datastore),"Value Missing",input_wld_cl01_vsan_datastore)</f>
        <v>Value Missing</v>
      </c>
      <c r="G96" s="1"/>
      <c r="H96" s="187" t="s">
        <v>1610</v>
      </c>
      <c r="I96" s="18" t="str">
        <f>IF(ISBLANK(input_cluster_storage_cluster_name),"Value Missing",input_cluster_storage_cluster_name)</f>
        <v>Value Missing</v>
      </c>
      <c r="J96" s="1"/>
      <c r="K96" s="337" t="s">
        <v>256</v>
      </c>
      <c r="L96" s="338" t="s">
        <v>274</v>
      </c>
      <c r="M96" s="1"/>
      <c r="N96" s="84" t="s">
        <v>2449</v>
      </c>
      <c r="O96" s="18" t="str">
        <f>IF(ISBLANK(input_vvs_dr_parent_dns_zone),"Value Missing",input_vvs_dr_parent_dns_zone)</f>
        <v>Value Missing</v>
      </c>
      <c r="P96" s="1"/>
      <c r="Q96" s="173" t="s">
        <v>2384</v>
      </c>
      <c r="R96" s="18" t="str">
        <f>IF(ISBLANK(input_xreg_vrops_nodec_fqdn),"Value Missing",input_xreg_vrops_nodec_fqdn)</f>
        <v>Value Missing</v>
      </c>
      <c r="S96" s="1"/>
      <c r="T96" s="84" t="s">
        <v>2450</v>
      </c>
      <c r="U96" s="18" t="str">
        <f>IF(ISBLANK(input_mgmt_srm_recovery_cluster),"Value Missing",input_mgmt_srm_recovery_cluster)</f>
        <v>Value Missing</v>
      </c>
      <c r="V96" s="10"/>
      <c r="W96" s="1"/>
      <c r="X96" s="1"/>
      <c r="Y96" s="1"/>
      <c r="Z96" s="84" t="s">
        <v>2451</v>
      </c>
      <c r="AA96" s="18" t="str">
        <f>IF(spr_chosen="Management &amp; VI Workload","True","False")</f>
        <v>False</v>
      </c>
      <c r="AB96" s="1"/>
      <c r="AC96" s="1"/>
      <c r="AD96" s="1"/>
      <c r="AE96" s="1"/>
      <c r="AF96" s="1"/>
    </row>
    <row r="97" ht="19.5" customHeight="1">
      <c r="A97" s="1"/>
      <c r="B97" s="84" t="s">
        <v>2366</v>
      </c>
      <c r="C97" s="18" t="str">
        <f>IF(ISBLANK(input_mgmt_cl01_vds01_lag_name),"Value Missing",input_mgmt_cl01_vds01_lag_name)</f>
        <v>Value Missing</v>
      </c>
      <c r="D97" s="1"/>
      <c r="E97" s="84" t="s">
        <v>2452</v>
      </c>
      <c r="F97" s="18" t="str">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G97" s="1"/>
      <c r="H97" s="187" t="s">
        <v>738</v>
      </c>
      <c r="I97" s="18" t="str">
        <f>IF(ISBLANK(input_cluster_vsan_datastore),"Value Missing",input_cluster_vsan_datastore)</f>
        <v>Value Missing</v>
      </c>
      <c r="J97" s="1"/>
      <c r="K97" s="84" t="s">
        <v>2453</v>
      </c>
      <c r="L97" s="186" t="s">
        <v>359</v>
      </c>
      <c r="M97" s="1"/>
      <c r="N97" s="84" t="s">
        <v>2454</v>
      </c>
      <c r="O97" s="18" t="str">
        <f>IF(ISBLANK(input_vvs_dr_flt_fleet_manager_fqdn),"Value Missing",input_vvs_dr_flt_fleet_manager_fqdn)</f>
        <v>Value Missing</v>
      </c>
      <c r="P97" s="1"/>
      <c r="Q97" s="173" t="s">
        <v>339</v>
      </c>
      <c r="R97" s="18" t="str">
        <f>IF(ISBLANK(input_xreg_vrops_collector_fqdn),"Value Missing",input_xreg_vrops_collector_fqdn)</f>
        <v>Value Missing</v>
      </c>
      <c r="S97" s="1"/>
      <c r="T97" s="84" t="s">
        <v>2455</v>
      </c>
      <c r="U97" s="18" t="str">
        <f>IF(ISBLANK(input_mgmt_srm_recovery_datastore),"Value Missing",input_mgmt_srm_recovery_datastore)</f>
        <v>Value Missing</v>
      </c>
      <c r="V97" s="10"/>
      <c r="W97" s="1"/>
      <c r="X97" s="1"/>
      <c r="Y97" s="1"/>
      <c r="Z97" s="84" t="s">
        <v>2456</v>
      </c>
      <c r="AA97" s="18" t="str">
        <f>IF(AND((mgmt_domain_chosen="Deploy a new VCF fleet"),(OR((spr_mo_result="True"),(spr_mw_result="True")))),"True","False")</f>
        <v>False</v>
      </c>
      <c r="AB97" s="1"/>
      <c r="AC97" s="1"/>
      <c r="AD97" s="1"/>
      <c r="AE97" s="1"/>
      <c r="AF97" s="1"/>
    </row>
    <row r="98" ht="19.5" customHeight="1">
      <c r="A98" s="1"/>
      <c r="B98" s="15" t="s">
        <v>1307</v>
      </c>
      <c r="C98" s="15" t="s">
        <v>274</v>
      </c>
      <c r="D98" s="1"/>
      <c r="E98" s="84" t="s">
        <v>1277</v>
      </c>
      <c r="F98" s="18" t="str">
        <f>IF(ISBLANK('Deploy Workload Domain'!D204),"Value Missing",'Deploy Workload Domain'!D204)</f>
        <v>Unselected</v>
      </c>
      <c r="G98" s="1"/>
      <c r="H98" s="187" t="s">
        <v>1276</v>
      </c>
      <c r="I98" s="18"/>
      <c r="J98" s="1"/>
      <c r="K98" s="84" t="s">
        <v>2457</v>
      </c>
      <c r="L98" s="186" t="s">
        <v>359</v>
      </c>
      <c r="M98" s="1"/>
      <c r="N98" s="84" t="s">
        <v>2458</v>
      </c>
      <c r="O98" s="18" t="str">
        <f>IF(ISBLANK(input_vvs_dr_flt_ops_nodea_fqdn),"Value Missing",input_vvs_dr_flt_ops_nodea_fqdn)</f>
        <v>Value Missing</v>
      </c>
      <c r="P98" s="1"/>
      <c r="Q98" s="41"/>
      <c r="R98" s="41"/>
      <c r="S98" s="1"/>
      <c r="T98" s="84" t="s">
        <v>2459</v>
      </c>
      <c r="U98" s="18" t="str">
        <f>IF(ISBLANK(input_mgmt_vrms_recovery_replication_cidr),"Value Missing",input_mgmt_vrms_recovery_replication_cidr)</f>
        <v>Value Missing</v>
      </c>
      <c r="V98" s="10"/>
      <c r="W98" s="1"/>
      <c r="X98" s="1"/>
      <c r="Y98" s="1"/>
      <c r="Z98" s="84" t="s">
        <v>2460</v>
      </c>
      <c r="AA98" s="18" t="str">
        <f>IF(AND((mgmt_domain_chosen&lt;&gt;"First Domain"),(OR((spr_mo_result="True"),(spr_mw_result="True")))),"True","False")</f>
        <v>False</v>
      </c>
      <c r="AB98" s="1"/>
      <c r="AC98" s="1"/>
      <c r="AD98" s="1"/>
      <c r="AE98" s="1"/>
      <c r="AF98" s="1"/>
    </row>
    <row r="99" ht="19.5" customHeight="1">
      <c r="A99" s="1"/>
      <c r="B99" s="84" t="s">
        <v>2373</v>
      </c>
      <c r="C99" s="18" t="str">
        <f>IF(ISBLANK(input_mgmt_cl01_vds02_name),"Value Missing",input_mgmt_cl01_vds02_name)</f>
        <v>Value Missing</v>
      </c>
      <c r="D99" s="1"/>
      <c r="E99" s="84" t="s">
        <v>1278</v>
      </c>
      <c r="F99" s="18" t="str">
        <f>IF(ISBLANK(input_wld_cl01_vmfs_datastore_name),"Value Missing",input_wld_cl01_vmfs_datastore_name)</f>
        <v>Value Missing</v>
      </c>
      <c r="G99" s="1"/>
      <c r="H99" s="187" t="s">
        <v>2461</v>
      </c>
      <c r="I99" s="18" t="str">
        <f>IF(ISBLANK(cluster_vsan_ftt_chosen),"Value Missing",cluster_vsan_ftt_chosen)</f>
        <v>1</v>
      </c>
      <c r="J99" s="1"/>
      <c r="K99" s="84" t="s">
        <v>2462</v>
      </c>
      <c r="L99" s="18" t="s">
        <v>889</v>
      </c>
      <c r="M99" s="1"/>
      <c r="N99" s="84" t="s">
        <v>2463</v>
      </c>
      <c r="O99" s="18" t="str">
        <f t="array" ref="O99">IF(ISBLANK(input_vvs_dr_flt_ops_nodeb_fqdn),"Value Missing",input_vvs_dr_flt_ops_nodeb_fqdn)</f>
        <v>Value Missing</v>
      </c>
      <c r="P99" s="1"/>
      <c r="Q99" s="333" t="s">
        <v>2464</v>
      </c>
      <c r="R99" s="333"/>
      <c r="S99" s="1"/>
      <c r="T99" s="84" t="s">
        <v>2465</v>
      </c>
      <c r="U99" s="18" t="str">
        <f>IF(ISBLANK(input_mgmt_srm_sso_domain_membership),"Value Missing",input_mgmt_srm_sso_domain_membership)</f>
        <v>Value Missing</v>
      </c>
      <c r="V99" s="10"/>
      <c r="W99" s="1"/>
      <c r="X99" s="1"/>
      <c r="Y99" s="1"/>
      <c r="Z99" s="84" t="s">
        <v>2466</v>
      </c>
      <c r="AA99" s="18" t="str">
        <f>IF(AND((mgmt_domain_chosen="First Domain"),(OR((spr_wo_result="True"),(spr_mw_result="True")))),"True","False")</f>
        <v>False</v>
      </c>
      <c r="AB99" s="1"/>
      <c r="AC99" s="1"/>
      <c r="AD99" s="1"/>
      <c r="AE99" s="1"/>
      <c r="AF99" s="1"/>
    </row>
    <row r="100" ht="19.5" customHeight="1">
      <c r="A100" s="1"/>
      <c r="B100" s="84" t="s">
        <v>2467</v>
      </c>
      <c r="C100" s="18" t="str">
        <f>IF(ISBLANK(input_mgmt_cl01_vds02_uplink1),"Value Missing",input_mgmt_cl01_vds02_uplink1)</f>
        <v>Value Missing</v>
      </c>
      <c r="D100" s="1"/>
      <c r="E100" s="187" t="s">
        <v>1279</v>
      </c>
      <c r="F100" s="18" t="str">
        <f>IF(ISBLANK('Deploy Workload Domain'!D206),"Value Missing",'Deploy Workload Domain'!D206)</f>
        <v>Value Missing</v>
      </c>
      <c r="G100" s="1"/>
      <c r="H100" s="187" t="s">
        <v>1277</v>
      </c>
      <c r="I100" s="18" t="str">
        <f>IF(ISBLANK(cluster_vsan_dedupe_compression_chosen),"Value Missing",cluster_vsan_dedupe_compression_chosen)</f>
        <v>Unselected</v>
      </c>
      <c r="J100" s="1"/>
      <c r="K100" s="84" t="s">
        <v>2468</v>
      </c>
      <c r="L100" s="18" t="str">
        <f>IF(ISBLANK(input_svc_vrops_vra_user),"Value Missing",input_svc_vrops_vra_user)</f>
        <v>Value Missing</v>
      </c>
      <c r="M100" s="1"/>
      <c r="N100" s="84" t="s">
        <v>2469</v>
      </c>
      <c r="O100" s="18" t="str">
        <f t="array" ref="O100">IF(ISBLANK(input_vvs_dr_flt_ops_nodec_fqdn),"Value Missing",input_vvs_dr_flt_ops_nodec_fqdn)</f>
        <v>Value Missing</v>
      </c>
      <c r="P100" s="1"/>
      <c r="Q100" s="337" t="s">
        <v>256</v>
      </c>
      <c r="R100" s="338" t="s">
        <v>274</v>
      </c>
      <c r="S100" s="1"/>
      <c r="T100" s="41"/>
      <c r="U100" s="41"/>
      <c r="V100" s="10"/>
      <c r="W100" s="1"/>
      <c r="X100" s="1"/>
      <c r="Y100" s="1"/>
      <c r="Z100" s="84" t="s">
        <v>2470</v>
      </c>
      <c r="AA100" s="18" t="str">
        <f>IF((mgmt_nsxt_federation_result="Included"),"True","False")</f>
        <v>True</v>
      </c>
      <c r="AB100" s="1"/>
      <c r="AC100" s="1"/>
      <c r="AD100" s="1"/>
      <c r="AE100" s="1"/>
      <c r="AF100" s="1"/>
    </row>
    <row r="101" ht="19.5" customHeight="1">
      <c r="A101" s="1"/>
      <c r="B101" s="84" t="s">
        <v>2471</v>
      </c>
      <c r="C101" s="18" t="str">
        <f>IF(ISBLANK(input_mgmt_cl01_vds02_uplink2),"Value Missing",input_mgmt_cl01_vds02_uplink2)</f>
        <v>Value Missing</v>
      </c>
      <c r="D101" s="1"/>
      <c r="E101" s="187" t="s">
        <v>1280</v>
      </c>
      <c r="F101" s="18" t="str">
        <f>IF(ISBLANK('Deploy Workload Domain'!D207),"Value Missing",'Deploy Workload Domain'!D207)</f>
        <v>Value Missing</v>
      </c>
      <c r="G101" s="1"/>
      <c r="H101" s="187" t="s">
        <v>1278</v>
      </c>
      <c r="I101" s="18" t="str">
        <f>IF(ISBLANK(input_cluster_vmfs_datastore_name),"Value Missing",input_cluster_vmfs_datastore_name)</f>
        <v>Value Missing</v>
      </c>
      <c r="J101" s="1"/>
      <c r="K101" s="84" t="s">
        <v>2472</v>
      </c>
      <c r="L101" s="18" t="s">
        <v>889</v>
      </c>
      <c r="M101" s="1"/>
      <c r="N101" s="84" t="s">
        <v>2473</v>
      </c>
      <c r="O101" s="18" t="str">
        <f>IF(ISBLANK(input_vvs_dr_flt_logs_nodea_fqdn),"Value Missing",input_vvs_dr_flt_logs_nodea_fqdn)</f>
        <v>Value Missing</v>
      </c>
      <c r="P101" s="1"/>
      <c r="Q101" s="85" t="s">
        <v>2474</v>
      </c>
      <c r="R101" s="18" t="str">
        <f>IF(ISBLANK(input_mgmt_vrms_mgmt_ip),"Value Missing",input_mgmt_vrms_mgmt_ip)</f>
        <v>Value Missing</v>
      </c>
      <c r="S101" s="1"/>
      <c r="T101" s="333" t="s">
        <v>2475</v>
      </c>
      <c r="U101" s="333"/>
      <c r="V101" s="10"/>
      <c r="W101" s="1"/>
      <c r="X101" s="1"/>
      <c r="Y101" s="1"/>
      <c r="Z101" s="84" t="s">
        <v>2476</v>
      </c>
      <c r="AA101" s="18" t="str">
        <f>IF(AND((mgmt_nsxt_federation_result="Included"),(wld_domain_result="Included")),"True","False")</f>
        <v>False</v>
      </c>
      <c r="AB101" s="1"/>
      <c r="AC101" s="1"/>
      <c r="AD101" s="1"/>
      <c r="AE101" s="1"/>
      <c r="AF101" s="1"/>
    </row>
    <row r="102" ht="19.5" customHeight="1">
      <c r="A102" s="1"/>
      <c r="B102" s="18" t="s">
        <v>2382</v>
      </c>
      <c r="C102" s="18" t="str">
        <f>IF(ISBLANK(input_mgmt_cl01_vds02_uplink_count),"Value Missing",input_mgmt_cl01_vds02_uplink_count)</f>
        <v>Value Missing</v>
      </c>
      <c r="D102" s="1"/>
      <c r="E102" s="187" t="s">
        <v>1281</v>
      </c>
      <c r="F102" s="18" t="str">
        <f>IF(ISBLANK('Deploy Workload Domain'!D208),"Value Missing",'Deploy Workload Domain'!D208)</f>
        <v>Value Missing</v>
      </c>
      <c r="G102" s="1"/>
      <c r="H102" s="187" t="s">
        <v>1279</v>
      </c>
      <c r="I102" s="18" t="str">
        <f>IF(ISBLANK(input_cluster_nfs_datastore_name),"Value Missing",input_cluster_nfs_datastore_name)</f>
        <v>Value Missing</v>
      </c>
      <c r="J102" s="1"/>
      <c r="K102" s="84" t="s">
        <v>2477</v>
      </c>
      <c r="L102" s="18"/>
      <c r="M102" s="1"/>
      <c r="N102" s="84" t="s">
        <v>2478</v>
      </c>
      <c r="O102" s="18" t="str">
        <f>IF(ISBLANK(input_vvs_dr_flt_logs_nodeb_fqdn),"Value Missing",input_vvs_dr_flt_logs_nodeb_fqdn)</f>
        <v>Value Missing</v>
      </c>
      <c r="P102" s="1"/>
      <c r="Q102" s="85" t="s">
        <v>2479</v>
      </c>
      <c r="R102" s="18" t="str">
        <f>IF(ISBLANK(input_mgmt_vrms_vrms_ip),"Value Missing",input_mgmt_vrms_vrms_ip)</f>
        <v>Value Missing</v>
      </c>
      <c r="S102" s="1"/>
      <c r="T102" s="337" t="s">
        <v>256</v>
      </c>
      <c r="U102" s="338" t="s">
        <v>274</v>
      </c>
      <c r="V102" s="10"/>
      <c r="W102" s="1"/>
      <c r="X102" s="1"/>
      <c r="Y102" s="1"/>
      <c r="Z102" s="84" t="s">
        <v>2480</v>
      </c>
      <c r="AA102" s="18" t="str">
        <f>IF(AND((mgmt_nsxt_federation_result="Included")),"True","False")</f>
        <v>True</v>
      </c>
      <c r="AB102" s="1"/>
      <c r="AC102" s="1"/>
      <c r="AD102" s="1"/>
      <c r="AE102" s="1"/>
      <c r="AF102" s="1"/>
    </row>
    <row r="103" ht="19.5" customHeight="1">
      <c r="A103" s="1"/>
      <c r="B103" s="84" t="s">
        <v>2387</v>
      </c>
      <c r="C103" s="18" t="str">
        <f>IF(ISBLANK(input_mgmt_cl01_vds02_mtu),"Value Missing",input_mgmt_cl01_vds02_mtu)</f>
        <v>Value Missing</v>
      </c>
      <c r="D103" s="1"/>
      <c r="E103" s="1"/>
      <c r="F103" s="1"/>
      <c r="G103" s="1"/>
      <c r="H103" s="187" t="s">
        <v>1280</v>
      </c>
      <c r="I103" s="18" t="str">
        <f>IF(ISBLANK(input_cluster_nfs_share_path),"Value Missing",input_cluster_nfs_share_path)</f>
        <v>Value Missing</v>
      </c>
      <c r="J103" s="1"/>
      <c r="K103" s="84" t="s">
        <v>2481</v>
      </c>
      <c r="L103" s="18" t="str">
        <f>IF(ISBLANK('Active Directory Inputs'!E37),"Value Missing",'Active Directory Inputs'!E37)</f>
        <v>Value Missing</v>
      </c>
      <c r="M103" s="1"/>
      <c r="N103" s="84" t="s">
        <v>2482</v>
      </c>
      <c r="O103" s="18" t="str">
        <f>IF(ISBLANK(input_vvs_dr_flt_logs_nodec_fqdn),"Value Missing",input_vvs_dr_flt_logs_nodec_fqdn)</f>
        <v>Value Missing</v>
      </c>
      <c r="P103" s="1"/>
      <c r="Q103" s="85" t="s">
        <v>2483</v>
      </c>
      <c r="R103" s="18" t="str">
        <f>IF(ISBLANK(input_mgmt_srm_ip),"Value Missing",input_mgmt_srm_ip)</f>
        <v>Value Missing</v>
      </c>
      <c r="S103" s="1"/>
      <c r="T103" s="84" t="s">
        <v>2317</v>
      </c>
      <c r="U103" s="18" t="str">
        <f>IF(ISBLANK(input_wld_vrms_vm_folder),"Value Missing",input_wld_vrms_vm_folder)</f>
        <v>Value Missing</v>
      </c>
      <c r="V103" s="10"/>
      <c r="W103" s="1"/>
      <c r="X103" s="1"/>
      <c r="Y103" s="1"/>
      <c r="Z103" s="84" t="s">
        <v>2484</v>
      </c>
      <c r="AA103" s="18" t="str">
        <f>IF(AND((mgmt_domain_chosen&lt;&gt;"First Domain"),(mgmt_nsxt_federation_result="Included"),(wld_domain_result="Included")),"True","False")</f>
        <v>False</v>
      </c>
      <c r="AB103" s="1"/>
      <c r="AC103" s="1"/>
      <c r="AD103" s="1"/>
      <c r="AE103" s="1"/>
      <c r="AF103" s="1"/>
    </row>
    <row r="104" ht="19.5" customHeight="1">
      <c r="A104" s="1"/>
      <c r="B104" s="84" t="s">
        <v>2366</v>
      </c>
      <c r="C104" s="18" t="str">
        <f>IF(ISBLANK(input_mgmt_cl01_vds02_lag_name),"Value Missing",input_mgmt_cl01_vds02_lag_name)</f>
        <v>Value Missing</v>
      </c>
      <c r="D104" s="1"/>
      <c r="E104" s="333" t="s">
        <v>2485</v>
      </c>
      <c r="F104" s="333"/>
      <c r="G104" s="1"/>
      <c r="H104" s="187" t="s">
        <v>1281</v>
      </c>
      <c r="I104" s="18" t="str">
        <f>IF(ISBLANK(input_cluster_nfs_server_address),"Value Missing",input_cluster_nfs_server_address)</f>
        <v>Value Missing</v>
      </c>
      <c r="J104" s="1"/>
      <c r="K104" s="84" t="s">
        <v>2486</v>
      </c>
      <c r="L104" s="18" t="str">
        <f>IF(ISBLANK('Active Directory Inputs'!E38),"Value Missing",'Active Directory Inputs'!E38)</f>
        <v>Value Missing</v>
      </c>
      <c r="M104" s="1"/>
      <c r="N104" s="84" t="s">
        <v>2487</v>
      </c>
      <c r="O104" s="18" t="str">
        <f>IF(ISBLANK(input_vvs_dr_flt_net_nodea_fqdn),"Value Missing",input_vvs_dr_flt_net_nodea_fqdn)</f>
        <v>Value Missing</v>
      </c>
      <c r="P104" s="1"/>
      <c r="Q104" s="85" t="s">
        <v>2488</v>
      </c>
      <c r="R104" s="18" t="str">
        <f>IF(ISBLANK(input_mgmt_srm_recovery_t1_si_ip),"Value Missing",input_mgmt_srm_recovery_t1_si_ip)</f>
        <v>Value Missing</v>
      </c>
      <c r="S104" s="1"/>
      <c r="T104" s="84" t="s">
        <v>2322</v>
      </c>
      <c r="U104" s="18" t="str">
        <f>IF(ISBLANK(input_wld_vrms_root_password),"Value Missing",input_wld_vrms_root_password)</f>
        <v>Value Missing</v>
      </c>
      <c r="V104" s="10"/>
      <c r="W104" s="1"/>
      <c r="X104" s="1"/>
      <c r="Y104" s="1"/>
      <c r="Z104" s="84" t="s">
        <v>2489</v>
      </c>
      <c r="AA104" s="18" t="str">
        <f>IF(wld_domain_result="Included",IF(wld_domain_chosen="Create New SSO Domain","False","True"),"False")</f>
        <v>False</v>
      </c>
      <c r="AB104" s="1"/>
      <c r="AC104" s="1"/>
      <c r="AD104" s="1"/>
      <c r="AE104" s="1"/>
      <c r="AF104" s="1"/>
    </row>
    <row r="105" ht="19.5" customHeight="1">
      <c r="A105" s="1"/>
      <c r="B105" s="15" t="s">
        <v>1309</v>
      </c>
      <c r="C105" s="15" t="s">
        <v>274</v>
      </c>
      <c r="D105" s="1"/>
      <c r="E105" s="84" t="s">
        <v>256</v>
      </c>
      <c r="F105" s="84" t="s">
        <v>274</v>
      </c>
      <c r="G105" s="1"/>
      <c r="H105" s="173" t="s">
        <v>2490</v>
      </c>
      <c r="I105" s="18" t="str">
        <f>IF(ISBLANK(cluster_vds_profile_chosen),"Value Missing",cluster_vds_profile_chosen)</f>
        <v>Default</v>
      </c>
      <c r="J105" s="1"/>
      <c r="K105" s="84" t="s">
        <v>2491</v>
      </c>
      <c r="L105" s="18" t="str">
        <f>IF(ISBLANK('Active Directory Inputs'!E39),"Value Missing",'Active Directory Inputs'!E39)</f>
        <v>Value Missing</v>
      </c>
      <c r="M105" s="1"/>
      <c r="N105" s="84" t="s">
        <v>2492</v>
      </c>
      <c r="O105" s="18" t="str">
        <f>IF(ISBLANK(input_vvs_dr_flt_net_nodeb_fqdn),"Value Missing",input_vvs_dr_flt_net_nodeb_fqdn)</f>
        <v>Value Missing</v>
      </c>
      <c r="P105" s="1"/>
      <c r="Q105" s="41"/>
      <c r="R105" s="41"/>
      <c r="S105" s="1"/>
      <c r="T105" s="84" t="s">
        <v>2327</v>
      </c>
      <c r="U105" s="18" t="str">
        <f>IF(ISBLANK(input_wld_vrms_admin_password),"Value Missing",input_wld_vrms_admin_password)</f>
        <v>Value Missing</v>
      </c>
      <c r="V105" s="10"/>
      <c r="W105" s="1"/>
      <c r="X105" s="1"/>
      <c r="Y105" s="1"/>
      <c r="Z105" s="84" t="s">
        <v>2493</v>
      </c>
      <c r="AA105" s="18">
        <f t="array" ref="AA105">SUM(IF('Management Domain Sizing'!C36:C59="VI Workload Domain",1,0))</f>
        <v>0</v>
      </c>
      <c r="AB105" s="1"/>
      <c r="AC105" s="1"/>
      <c r="AD105" s="1"/>
      <c r="AE105" s="1"/>
      <c r="AF105" s="1"/>
    </row>
    <row r="106" ht="19.5" customHeight="1">
      <c r="A106" s="1"/>
      <c r="B106" s="84" t="s">
        <v>2408</v>
      </c>
      <c r="C106" s="18" t="str">
        <f>IF(ISBLANK(input_mgmt_cl01_vds03_name),"Value Missing",input_mgmt_cl01_vds03_name)</f>
        <v>Value Missing</v>
      </c>
      <c r="D106" s="1"/>
      <c r="E106" s="85" t="s">
        <v>2081</v>
      </c>
      <c r="F106" s="18" t="str">
        <f>IF(ISBLANK('Configure Workload Domain'!D265),"Value Missing",'Configure Workload Domain'!D265)</f>
        <v>Value Missing</v>
      </c>
      <c r="G106" s="1"/>
      <c r="H106" s="173" t="s">
        <v>1299</v>
      </c>
      <c r="I106" s="18"/>
      <c r="J106" s="1"/>
      <c r="K106" s="84" t="s">
        <v>2494</v>
      </c>
      <c r="L106" s="18" t="str">
        <f>IF(ISBLANK('Active Directory Inputs'!E40),"Value Missing",'Active Directory Inputs'!E40)</f>
        <v>Value Missing</v>
      </c>
      <c r="M106" s="1"/>
      <c r="N106" s="84" t="s">
        <v>2495</v>
      </c>
      <c r="O106" s="18" t="str">
        <f>IF(ISBLANK(input_vvs_dr_flt_net_nodec_fqdn),"Value Missing",input_vvs_dr_flt_net_nodec_fqdn)</f>
        <v>Value Missing</v>
      </c>
      <c r="P106" s="1"/>
      <c r="Q106" s="333" t="s">
        <v>2496</v>
      </c>
      <c r="R106" s="333"/>
      <c r="S106" s="1"/>
      <c r="T106" s="84" t="s">
        <v>2333</v>
      </c>
      <c r="U106" s="18" t="str">
        <f>IF(ISBLANK(input_wld_vrms_site_name),"Value Missing",input_wld_vrms_site_name)</f>
        <v>Value Missing</v>
      </c>
      <c r="V106" s="10"/>
      <c r="W106" s="1"/>
      <c r="X106" s="1"/>
      <c r="Y106" s="1"/>
      <c r="Z106" s="145" t="s">
        <v>2497</v>
      </c>
      <c r="AA106" s="29">
        <f t="array" ref="AA106">SUM(IF('Management Domain Sizing'!C36:C59="Isolated VI Workload Domain",1,0))</f>
        <v>0</v>
      </c>
      <c r="AB106" s="1"/>
      <c r="AC106" s="1"/>
      <c r="AD106" s="1"/>
      <c r="AE106" s="1"/>
      <c r="AF106" s="1"/>
    </row>
    <row r="107" ht="19.5" customHeight="1">
      <c r="A107" s="1"/>
      <c r="B107" s="84" t="s">
        <v>2498</v>
      </c>
      <c r="C107" s="18" t="str">
        <f>IF(ISBLANK(input_mgmt_cl01_vds03_uplink1),"Value Missing",input_mgmt_cl01_vds03_uplink1)</f>
        <v>Value Missing</v>
      </c>
      <c r="D107" s="1"/>
      <c r="E107" s="85" t="s">
        <v>737</v>
      </c>
      <c r="F107" s="18" t="str">
        <f>IF(ISBLANK(input_wld_witness_hostname),"Value Missing",input_wld_witness_hostname)</f>
        <v>Value Missing</v>
      </c>
      <c r="G107" s="1"/>
      <c r="H107" s="173" t="s">
        <v>1302</v>
      </c>
      <c r="I107" s="18" t="str">
        <f>IF(ISBLANK(input_cluster_vds01_name),"Value Missing",input_cluster_vds01_name)</f>
        <v>Value Missing</v>
      </c>
      <c r="J107" s="1"/>
      <c r="K107" s="84" t="s">
        <v>2499</v>
      </c>
      <c r="L107" s="18" t="str">
        <f>IF(ISBLANK('Active Directory Inputs'!E41),"Value Missing",'Active Directory Inputs'!E41)</f>
        <v>Value Missing</v>
      </c>
      <c r="M107" s="1"/>
      <c r="N107" s="84" t="s">
        <v>2500</v>
      </c>
      <c r="O107" s="18" t="str">
        <f>IF(ISBLANK(input_vvs_dr_flt_auto_fqdn),"Value Missing",input_vvs_dr_flt_auto_fqdn)</f>
        <v>Value Missing</v>
      </c>
      <c r="P107" s="1"/>
      <c r="Q107" s="337" t="s">
        <v>256</v>
      </c>
      <c r="R107" s="338" t="s">
        <v>274</v>
      </c>
      <c r="S107" s="1"/>
      <c r="T107" s="84" t="s">
        <v>2337</v>
      </c>
      <c r="U107" s="18" t="str">
        <f>IF(ISBLANK(input_wld_vrms_admin_email),"Value Missing",input_wld_vrms_admin_email)</f>
        <v>Value Missing</v>
      </c>
      <c r="V107" s="10"/>
      <c r="W107" s="1"/>
      <c r="X107" s="1"/>
      <c r="Y107" s="1"/>
      <c r="Z107" s="343" t="s">
        <v>2501</v>
      </c>
      <c r="AA107" s="343" t="str">
        <f>IF(AND(OR(vcf_granular_option_chosen="Full Instance",vcf_granular_option_chosen="Additional VCF Instance"),(wld_domain_result="Excluded")),"Included","Excluded")</f>
        <v>Excluded</v>
      </c>
      <c r="AB107" s="1"/>
      <c r="AC107" s="1"/>
      <c r="AD107" s="1"/>
      <c r="AE107" s="1"/>
      <c r="AF107" s="1"/>
    </row>
    <row r="108" ht="19.5" customHeight="1">
      <c r="A108" s="1"/>
      <c r="B108" s="84" t="s">
        <v>2502</v>
      </c>
      <c r="C108" s="18" t="str">
        <f>IF(ISBLANK(input_mgmt_cl01_vds03_uplink2),"Value Missing",input_mgmt_cl01_vds03_uplink2)</f>
        <v>Value Missing</v>
      </c>
      <c r="D108" s="1"/>
      <c r="E108" s="1"/>
      <c r="F108" s="1"/>
      <c r="G108" s="1"/>
      <c r="H108" s="173" t="s">
        <v>404</v>
      </c>
      <c r="I108" s="18" t="str">
        <f>IF(ISBLANK(input_cluster_vds01_mtu),"Value Missing",input_cluster_vds01_mtu)</f>
        <v>Value Missing</v>
      </c>
      <c r="J108" s="1"/>
      <c r="K108" s="1"/>
      <c r="L108" s="1"/>
      <c r="M108" s="1"/>
      <c r="N108" s="84" t="s">
        <v>299</v>
      </c>
      <c r="O108" s="18" t="str">
        <f>IF(ISBLANK(input_vvs_dr_mgmt_vc_fqdn),"Value Missing",input_vvs_dr_mgmt_vc_fqdn)</f>
        <v>Value Missing</v>
      </c>
      <c r="P108" s="1"/>
      <c r="Q108" s="85" t="s">
        <v>2474</v>
      </c>
      <c r="R108" s="18" t="str">
        <f>IF(ISBLANK(input_wld_vrms_mgmt_ip),"Value Missing",input_wld_vrms_mgmt_ip)</f>
        <v>Value Missing</v>
      </c>
      <c r="S108" s="1"/>
      <c r="T108" s="84" t="s">
        <v>2343</v>
      </c>
      <c r="U108" s="18" t="str">
        <f>IF(ISBLANK(input_wld_vrms_pg),"Value Missing",input_wld_vrms_pg)</f>
        <v>Value Missing</v>
      </c>
      <c r="V108" s="10"/>
      <c r="W108" s="1"/>
      <c r="X108" s="1"/>
      <c r="Y108" s="1"/>
      <c r="Z108" s="1"/>
      <c r="AA108" s="1"/>
      <c r="AB108" s="1"/>
      <c r="AC108" s="1"/>
      <c r="AD108" s="1"/>
      <c r="AE108" s="1"/>
      <c r="AF108" s="1"/>
    </row>
    <row r="109" ht="19.5" customHeight="1">
      <c r="A109" s="1"/>
      <c r="B109" s="84" t="s">
        <v>2420</v>
      </c>
      <c r="C109" s="18" t="str">
        <f>IF(ISBLANK(input_mgmt_cl01_vds03_uplink_count),"Value Missing",input_mgmt_cl01_vds03_uplink_count)</f>
        <v>Value Missing</v>
      </c>
      <c r="D109" s="1"/>
      <c r="E109" s="331" t="s">
        <v>2503</v>
      </c>
      <c r="F109" s="344"/>
      <c r="G109" s="1"/>
      <c r="H109" s="84" t="s">
        <v>795</v>
      </c>
      <c r="I109" s="18" t="str">
        <f>IF(ISBLANK(input_cluster_az1_host_overlay_network_profile_name),"Value Missing",input_cluster_az1_host_overlay_network_profile_name)</f>
        <v>Value Missing</v>
      </c>
      <c r="J109" s="1"/>
      <c r="K109" s="332" t="s">
        <v>2504</v>
      </c>
      <c r="L109" s="14"/>
      <c r="M109" s="1"/>
      <c r="N109" s="84" t="s">
        <v>2505</v>
      </c>
      <c r="O109" s="18" t="str">
        <f>IF(ISBLANK(input_vvs_dr_mgmt_cl01_cluster),"Value Missing",input_vvs_dr_mgmt_cl01_cluster)</f>
        <v>Value Missing</v>
      </c>
      <c r="P109" s="1"/>
      <c r="Q109" s="85" t="s">
        <v>2479</v>
      </c>
      <c r="R109" s="18" t="str">
        <f>IF(ISBLANK(input_wld_vrms_vrms_ip),"Value Missing",input_wld_vrms_vrms_ip)</f>
        <v>Value Missing</v>
      </c>
      <c r="S109" s="1"/>
      <c r="T109" s="84" t="s">
        <v>2346</v>
      </c>
      <c r="U109" s="18" t="str">
        <f>IF(ISBLANK(input_wld_vrms_p12_password),"Value Missing",input_wld_vrms_p12_password)</f>
        <v>Value Missing</v>
      </c>
      <c r="V109" s="10"/>
      <c r="W109" s="1"/>
      <c r="X109" s="1"/>
      <c r="Y109" s="1"/>
      <c r="Z109" s="1"/>
      <c r="AA109" s="1"/>
      <c r="AB109" s="1"/>
      <c r="AC109" s="1"/>
      <c r="AD109" s="1"/>
      <c r="AE109" s="1"/>
      <c r="AF109" s="1"/>
    </row>
    <row r="110" ht="19.5" customHeight="1">
      <c r="A110" s="1"/>
      <c r="B110" s="84" t="s">
        <v>2411</v>
      </c>
      <c r="C110" s="18" t="str">
        <f>IF(ISBLANK(input_mgmt_cl01_vds03_mtu),"Value Missing",input_mgmt_cl01_vds03_mtu)</f>
        <v>Value Missing</v>
      </c>
      <c r="D110" s="1"/>
      <c r="E110" s="15" t="s">
        <v>256</v>
      </c>
      <c r="F110" s="15" t="s">
        <v>274</v>
      </c>
      <c r="G110" s="1"/>
      <c r="H110" s="187" t="s">
        <v>431</v>
      </c>
      <c r="I110" s="18" t="str">
        <f>IF(ISBLANK(input_cluster_vds01_uplink_count),"Value Missing",input_cluster_vds01_uplink_count)</f>
        <v>Value Missing</v>
      </c>
      <c r="J110" s="1"/>
      <c r="K110" s="337" t="s">
        <v>256</v>
      </c>
      <c r="L110" s="338" t="s">
        <v>274</v>
      </c>
      <c r="M110" s="1"/>
      <c r="N110" s="84" t="s">
        <v>2506</v>
      </c>
      <c r="O110" s="18" t="str">
        <f>IF(ISBLANK(input_vvs_mgmt_dr_vlr_fqdn),"Value Missing",input_vvs_mgmt_dr_vlr_fqdn)</f>
        <v>Value Missing</v>
      </c>
      <c r="P110" s="1"/>
      <c r="Q110" s="85" t="s">
        <v>2507</v>
      </c>
      <c r="R110" s="18" t="str">
        <f>IF(ISBLANK(input_wld_srm_ip),"Value Missing",input_wld_srm_ip)</f>
        <v>Value Missing</v>
      </c>
      <c r="S110" s="1"/>
      <c r="T110" s="84" t="s">
        <v>2354</v>
      </c>
      <c r="U110" s="18" t="str">
        <f>IF(ISBLANK(input_wld_srm_vm_folder),"Value Missing",input_wld_srm_vm_folder)</f>
        <v>Value Missing</v>
      </c>
      <c r="V110" s="10"/>
      <c r="W110" s="1"/>
      <c r="X110" s="1"/>
      <c r="Y110" s="1"/>
      <c r="Z110" s="1"/>
      <c r="AA110" s="1"/>
      <c r="AB110" s="1"/>
      <c r="AC110" s="1"/>
      <c r="AD110" s="1"/>
      <c r="AE110" s="1"/>
      <c r="AF110" s="1"/>
    </row>
    <row r="111" ht="19.5" customHeight="1">
      <c r="A111" s="1"/>
      <c r="B111" s="84" t="s">
        <v>2366</v>
      </c>
      <c r="C111" s="18" t="str">
        <f t="array" ref="C111">IF(ISBLANK(input_mgmt_cl01_vds03_lag_name),"Value Missing",input_mgmt_cl01_vds03_lag_name)</f>
        <v>Value Missing</v>
      </c>
      <c r="D111" s="1"/>
      <c r="E111" s="84" t="s">
        <v>2508</v>
      </c>
      <c r="F111" s="18" t="str">
        <f>IF(ISBLANK('Configure Workload Domain'!D303),"Value Missing",'Configure Workload Domain'!D303)</f>
        <v>Value Missing</v>
      </c>
      <c r="G111" s="1"/>
      <c r="H111" s="173" t="s">
        <v>1303</v>
      </c>
      <c r="I111" s="18" t="str">
        <f>IF(ISBLANK(input_cluster_vds01_pnics),"Value Missing",input_cluster_vds01_pnics)</f>
        <v>Value Missing</v>
      </c>
      <c r="J111" s="1"/>
      <c r="K111" s="84" t="s">
        <v>2509</v>
      </c>
      <c r="L111" s="18" t="str">
        <f>IF(ISBLANK(input_child_svc_vsphere_ad_password),"Value Missing",input_child_svc_vsphere_ad_password)</f>
        <v>Value Missing</v>
      </c>
      <c r="M111" s="1"/>
      <c r="N111" s="84" t="s">
        <v>2510</v>
      </c>
      <c r="O111" s="18" t="str">
        <f>IF(ISBLANK(input_vvs_dr_sso_domain),"Value Missing",input_vvs_dr_sso_domain)</f>
        <v>Value Missing</v>
      </c>
      <c r="P111" s="1"/>
      <c r="Q111" s="1"/>
      <c r="R111" s="1"/>
      <c r="S111" s="1"/>
      <c r="T111" s="84" t="s">
        <v>2359</v>
      </c>
      <c r="U111" s="18" t="str">
        <f>IF(ISBLANK(input_wld_srm_root_password),"Value Missing",input_wld_srm_root_password)</f>
        <v>Value Missing</v>
      </c>
      <c r="V111" s="10"/>
      <c r="W111" s="1"/>
      <c r="X111" s="1"/>
      <c r="Y111" s="1"/>
      <c r="Z111" s="1"/>
      <c r="AA111" s="1"/>
      <c r="AB111" s="1"/>
      <c r="AC111" s="1"/>
      <c r="AD111" s="1"/>
      <c r="AE111" s="1"/>
      <c r="AF111" s="1"/>
    </row>
    <row r="112" ht="19.5" customHeight="1">
      <c r="A112" s="1"/>
      <c r="B112" s="80"/>
      <c r="C112" s="1"/>
      <c r="D112" s="1"/>
      <c r="E112" s="84" t="s">
        <v>2511</v>
      </c>
      <c r="F112" s="18" t="str">
        <f>IF(ISBLANK('Configure Workload Domain'!D304),"Value Missing",'Configure Workload Domain'!D304)</f>
        <v>Value Missing</v>
      </c>
      <c r="G112" s="1"/>
      <c r="H112" s="173" t="s">
        <v>1305</v>
      </c>
      <c r="I112" s="18" t="str">
        <f>IF(cluster_vds_profile_chosen="Default",CONCATENATE("Management ", "vMotion ",IF(cluster_principal_storage_chosen="NFSv3","NFS ",IF(cluster_principal_storage_chosen="VMFS on Fibre Channel (FC)","","vSAN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 vSAN NSX-Overlay</v>
      </c>
      <c r="J112" s="1"/>
      <c r="K112" s="84" t="s">
        <v>2512</v>
      </c>
      <c r="L112" s="18" t="str">
        <f>IF(ISBLANK(input_child_svc_nsx_ad_password),"Value Missing",input_child_svc_nsx_ad_password)</f>
        <v>Value Missing</v>
      </c>
      <c r="M112" s="1"/>
      <c r="N112" s="84" t="s">
        <v>2513</v>
      </c>
      <c r="O112" s="18" t="str">
        <f>IF(vvs_dr_flt_fleet_manager_fqdn="Value Missing",vvs_dr_flt_fleet_manager_fqdn,LEFT(vvs_dr_flt_fleet_manager_fqdn,FIND(".",vvs_dr_flt_fleet_manager_fqdn)-1))</f>
        <v>Value Missing</v>
      </c>
      <c r="P112" s="1"/>
      <c r="Q112" s="333" t="s">
        <v>2514</v>
      </c>
      <c r="R112" s="333"/>
      <c r="S112" s="1"/>
      <c r="T112" s="84" t="s">
        <v>2364</v>
      </c>
      <c r="U112" s="18" t="str">
        <f>IF(ISBLANK(input_wld_srm_admin_password),"Value Missing",input_wld_srm_admin_password)</f>
        <v>Value Missing</v>
      </c>
      <c r="V112" s="10"/>
      <c r="W112" s="1"/>
      <c r="X112" s="1"/>
      <c r="Y112" s="1"/>
      <c r="Z112" s="41"/>
      <c r="AA112" s="41"/>
      <c r="AB112" s="1"/>
      <c r="AC112" s="1"/>
      <c r="AD112" s="1"/>
      <c r="AE112" s="1"/>
      <c r="AF112" s="1"/>
    </row>
    <row r="113" ht="19.5" customHeight="1">
      <c r="A113" s="1"/>
      <c r="B113" s="15" t="s">
        <v>2515</v>
      </c>
      <c r="C113" s="15" t="s">
        <v>274</v>
      </c>
      <c r="D113" s="1"/>
      <c r="E113" s="84" t="s">
        <v>2516</v>
      </c>
      <c r="F113" s="18" t="str">
        <f>IF(ISBLANK('Configure Workload Domain'!D305),"Value Missing",'Configure Workload Domain'!D305)</f>
        <v>Value Missing</v>
      </c>
      <c r="G113" s="1"/>
      <c r="H113" s="173" t="s">
        <v>2366</v>
      </c>
      <c r="I113" s="18" t="str">
        <f>IF(ISBLANK(input_cluster_vds01_lag_name),"Value Missing",input_cluster_vds01_lag_name)</f>
        <v>Value Missing</v>
      </c>
      <c r="J113" s="1"/>
      <c r="K113" s="84" t="s">
        <v>2453</v>
      </c>
      <c r="L113" s="18" t="str">
        <f>IF(ISBLANK(input_administrator_vsphere_local_password),"Value Missing",input_administrator_vsphere_local_password)</f>
        <v>Value Missing</v>
      </c>
      <c r="M113" s="1"/>
      <c r="N113" s="84" t="s">
        <v>2517</v>
      </c>
      <c r="O113" s="18" t="str">
        <f>IF(vvs_dr_flt_ops_nodea_fqdn="Value Missing",vvs_dr_flt_ops_nodea_fqdn,LEFT(vvs_dr_flt_ops_nodea_fqdn,FIND(".",vvs_dr_flt_ops_nodea_fqdn)-1))</f>
        <v>Value Missing</v>
      </c>
      <c r="P113" s="1"/>
      <c r="Q113" s="337" t="s">
        <v>256</v>
      </c>
      <c r="R113" s="338" t="s">
        <v>274</v>
      </c>
      <c r="S113" s="1"/>
      <c r="T113" s="84" t="s">
        <v>2367</v>
      </c>
      <c r="U113" s="18" t="str">
        <f>IF(ISBLANK(input_wld_srm_database_password),"Value Missing",input_wld_srm_database_password)</f>
        <v>Value Missing</v>
      </c>
      <c r="V113" s="10"/>
      <c r="W113" s="1"/>
      <c r="X113" s="1"/>
      <c r="Y113" s="1"/>
      <c r="Z113" s="1"/>
      <c r="AA113" s="1"/>
      <c r="AB113" s="1"/>
      <c r="AC113" s="1"/>
      <c r="AD113" s="1"/>
      <c r="AE113" s="1"/>
      <c r="AF113" s="1"/>
    </row>
    <row r="114" ht="19.5" customHeight="1">
      <c r="A114" s="1"/>
      <c r="B114" s="173" t="s">
        <v>2518</v>
      </c>
      <c r="C114" s="18" t="str">
        <f>IF(ISBLANK(mgmt_nsx_operation_mode_chosen),"Value Missing",mgmt_nsx_operation_mode_chosen)</f>
        <v>Enhanced Datapath Standard</v>
      </c>
      <c r="D114" s="1"/>
      <c r="E114" s="84" t="s">
        <v>2519</v>
      </c>
      <c r="F114" s="18" t="str">
        <f>IF(ISBLANK('Configure Workload Domain'!D306),"Value Missing",'Configure Workload Domain'!D306)</f>
        <v>Value Missing</v>
      </c>
      <c r="G114" s="1"/>
      <c r="H114" s="173" t="s">
        <v>1307</v>
      </c>
      <c r="I114" s="18" t="str">
        <f>IF(ISBLANK(input_cluster_vds02_name),"Value Missing",input_cluster_vds02_name)</f>
        <v>Value Missing</v>
      </c>
      <c r="J114" s="1"/>
      <c r="K114" s="84" t="s">
        <v>2457</v>
      </c>
      <c r="L114" s="18" t="str">
        <f>IF(ISBLANK(input_administrator_vsphere_local_password),"Value Missing",input_administrator_vsphere_local_password)</f>
        <v>Value Missing</v>
      </c>
      <c r="M114" s="1"/>
      <c r="N114" s="84" t="s">
        <v>2520</v>
      </c>
      <c r="O114" s="18" t="str">
        <f>IF(vvs_dr_flt_ops_nodeb_fqdn="Value Missing",vvs_dr_flt_ops_nodeb_fqdn,LEFT(vvs_dr_flt_ops_nodeb_fqdn,FIND(".",vvs_dr_flt_ops_nodeb_fqdn)-1))</f>
        <v>Value Missing</v>
      </c>
      <c r="P114" s="1"/>
      <c r="Q114" s="85" t="s">
        <v>1726</v>
      </c>
      <c r="R114" s="18" t="str">
        <f>IF(ISBLANK(input_mgmt_vrms_hostname),"Value Missing",input_mgmt_vrms_hostname)</f>
        <v>Value Missing</v>
      </c>
      <c r="S114" s="1"/>
      <c r="T114" s="84" t="s">
        <v>2371</v>
      </c>
      <c r="U114" s="18" t="str">
        <f>IF(ISBLANK(input_wld_srm_site_name),"Value Missing",input_wld_srm_site_name)</f>
        <v>Value Missing</v>
      </c>
      <c r="V114" s="10"/>
      <c r="W114" s="1"/>
      <c r="X114" s="1"/>
      <c r="Y114" s="1"/>
      <c r="Z114" s="1"/>
      <c r="AA114" s="1"/>
      <c r="AB114" s="1"/>
      <c r="AC114" s="1"/>
      <c r="AD114" s="1"/>
      <c r="AE114" s="1"/>
      <c r="AF114" s="1"/>
    </row>
    <row r="115" ht="19.5" customHeight="1">
      <c r="A115" s="1"/>
      <c r="B115" s="80"/>
      <c r="C115" s="1"/>
      <c r="D115" s="1"/>
      <c r="E115" s="84" t="s">
        <v>2521</v>
      </c>
      <c r="F115" s="18" t="str">
        <f>IF(ISBLANK(input_wld_cl01_cluster_sddc_id),"Value Missing",input_wld_cl01_cluster_sddc_id)</f>
        <v>Value Missing</v>
      </c>
      <c r="G115" s="1"/>
      <c r="H115" s="173" t="s">
        <v>404</v>
      </c>
      <c r="I115" s="18" t="str">
        <f>IF(ISBLANK(input_cluster_vds02_mtu),"Value Missing",input_cluster_vds02_mtu)</f>
        <v>Value Missing</v>
      </c>
      <c r="J115" s="1"/>
      <c r="K115" s="84" t="s">
        <v>2462</v>
      </c>
      <c r="L115" s="18" t="str">
        <f>IF(ISBLANK(input_nsxt_lm_admin_password),"Value Missing",input_nsxt_lm_admin_password)</f>
        <v>Value Missing</v>
      </c>
      <c r="M115" s="1"/>
      <c r="N115" s="84" t="s">
        <v>2522</v>
      </c>
      <c r="O115" s="18" t="str">
        <f>IF(vvs_dr_flt_ops_nodec_fqdn="Value Missing",vvs_dr_flt_ops_nodec_fqdn,LEFT(vvs_dr_flt_ops_nodec_fqdn,FIND(".",vvs_dr_flt_ops_nodec_fqdn)-1))</f>
        <v>Value Missing</v>
      </c>
      <c r="P115" s="1"/>
      <c r="Q115" s="85" t="s">
        <v>2523</v>
      </c>
      <c r="R115" s="18" t="str">
        <f>IF(ISBLANK(input_vvs_mgmt_dr_vlr_hostname),"Value Missing",input_vvs_mgmt_dr_vlr_hostname)</f>
        <v>Value Missing</v>
      </c>
      <c r="S115" s="1"/>
      <c r="T115" s="84" t="s">
        <v>2375</v>
      </c>
      <c r="U115" s="18" t="str">
        <f>IF(ISBLANK(input_wld_srm_admin_email),"Value Missing",input_wld_srm_admin_email)</f>
        <v>Value Missing</v>
      </c>
      <c r="V115" s="10"/>
      <c r="W115" s="1"/>
      <c r="X115" s="1"/>
      <c r="Y115" s="1"/>
      <c r="Z115" s="1"/>
      <c r="AA115" s="1"/>
      <c r="AB115" s="1"/>
      <c r="AC115" s="1"/>
      <c r="AD115" s="1"/>
      <c r="AE115" s="1"/>
      <c r="AF115" s="1"/>
    </row>
    <row r="116" ht="19.5" customHeight="1">
      <c r="A116" s="1"/>
      <c r="B116" s="334" t="s">
        <v>2524</v>
      </c>
      <c r="C116" s="14"/>
      <c r="D116" s="1"/>
      <c r="E116" s="84"/>
      <c r="F116" s="18" t="str">
        <f>IF(ISBLANK('Configure Workload Domain'!D319),"Value Missing",'Configure Workload Domain'!D319)</f>
        <v>Value Missing</v>
      </c>
      <c r="G116" s="1"/>
      <c r="H116" s="187" t="s">
        <v>431</v>
      </c>
      <c r="I116" s="18" t="str">
        <f>IF(ISBLANK(input_cluster_vds02_uplink_count),"Value Missing",input_cluster_vds02_uplink_count)</f>
        <v>Value Missing</v>
      </c>
      <c r="J116" s="1"/>
      <c r="K116" s="84" t="s">
        <v>2468</v>
      </c>
      <c r="L116" s="18" t="str">
        <f>IF(ISBLANK(input_svc_vrops_vra_password),"Value Missing",input_svc_vrops_vra_password)</f>
        <v>Value Missing</v>
      </c>
      <c r="M116" s="1"/>
      <c r="N116" s="84" t="s">
        <v>2525</v>
      </c>
      <c r="O116" s="18" t="str">
        <f>IF(vvs_dr_flt_logs_nodea_fqdn="Value Missing",vvs_dr_flt_logs_nodea_fqdn,LEFT(vvs_dr_flt_logs_nodea_fqdn,FIND(".",vvs_dr_flt_logs_nodea_fqdn)-1))</f>
        <v>Value Missing</v>
      </c>
      <c r="P116" s="1"/>
      <c r="Q116" s="1"/>
      <c r="R116" s="1"/>
      <c r="S116" s="1"/>
      <c r="T116" s="84" t="s">
        <v>2380</v>
      </c>
      <c r="U116" s="18" t="str">
        <f>IF(ISBLANK(input_wld_srm_p12_password),"Value Missing",input_wld_srm_p12_password)</f>
        <v>Value Missing</v>
      </c>
      <c r="V116" s="10"/>
      <c r="W116" s="1"/>
      <c r="X116" s="1"/>
      <c r="Y116" s="1"/>
      <c r="Z116" s="1"/>
      <c r="AA116" s="1"/>
      <c r="AB116" s="1"/>
      <c r="AC116" s="1"/>
      <c r="AD116" s="1"/>
      <c r="AE116" s="1"/>
      <c r="AF116" s="1"/>
    </row>
    <row r="117" ht="19.5" customHeight="1">
      <c r="A117" s="1"/>
      <c r="B117" s="15" t="s">
        <v>256</v>
      </c>
      <c r="C117" s="15" t="s">
        <v>2325</v>
      </c>
      <c r="D117" s="1"/>
      <c r="E117" s="41"/>
      <c r="F117" s="41"/>
      <c r="G117" s="1"/>
      <c r="H117" s="173" t="s">
        <v>1303</v>
      </c>
      <c r="I117" s="18" t="str">
        <f>IF(ISBLANK(input_cluster_vds02_pnics),"Value Missing",input_cluster_vds02_pnics)</f>
        <v>Value Missing</v>
      </c>
      <c r="J117" s="1"/>
      <c r="K117" s="84" t="s">
        <v>2477</v>
      </c>
      <c r="L117" s="18"/>
      <c r="M117" s="1"/>
      <c r="N117" s="84" t="s">
        <v>2526</v>
      </c>
      <c r="O117" s="18" t="str">
        <f>IF(vvs_dr_flt_logs_nodeb_fqdn="Value Missing",vvs_dr_flt_logs_nodeb_fqdn,LEFT(vvs_dr_flt_logs_nodeb_fqdn,FIND(".",vvs_dr_flt_logs_nodeb_fqdn)-1))</f>
        <v>Value Missing</v>
      </c>
      <c r="P117" s="1"/>
      <c r="Q117" s="333" t="s">
        <v>2527</v>
      </c>
      <c r="R117" s="333"/>
      <c r="S117" s="1"/>
      <c r="T117" s="84" t="s">
        <v>2385</v>
      </c>
      <c r="U117" s="18" t="str">
        <f>input_wld_srm_vm_size</f>
        <v/>
      </c>
      <c r="V117" s="10"/>
      <c r="W117" s="1"/>
      <c r="X117" s="1"/>
      <c r="Y117" s="1"/>
      <c r="Z117" s="1"/>
      <c r="AA117" s="1"/>
      <c r="AB117" s="1"/>
      <c r="AC117" s="1"/>
      <c r="AD117" s="1"/>
      <c r="AE117" s="1"/>
      <c r="AF117" s="1"/>
    </row>
    <row r="118" ht="19.5" customHeight="1">
      <c r="A118" s="1"/>
      <c r="B118" s="84" t="s">
        <v>2528</v>
      </c>
      <c r="C118" s="18" t="str">
        <f>IF(ISBLANK(mgmt_principal_storage_chosen),"Value Missing",mgmt_principal_storage_chosen)</f>
        <v>NFSv3</v>
      </c>
      <c r="D118" s="1"/>
      <c r="E118" s="333" t="s">
        <v>2529</v>
      </c>
      <c r="F118" s="336"/>
      <c r="G118" s="1"/>
      <c r="H118" s="173" t="s">
        <v>1305</v>
      </c>
      <c r="I118" s="18" t="str">
        <f>IF(cluster_vds_profile_chosen="Default","",
IF(cluster_vds_profile_chosen="Storage Traffic Separation",IF(cluster_principal_storage_chosen="NFSv3","NFS","vSAN"),
IF(cluster_vds_profile_chosen="NSX Traffic Separation","NSX-Overlay",
IF(cluster_vds_profile_chosen="Storage Traffic and NSX Traffic Separation",IF(cluster_principal_storage_chosen="NFSv3","NFS","vSAN"),
IF(cluster_vds_profile_chosen="Storage Traffic and NSX Traffic Separation","Management, vMotion",
IF(cluster_vds_profile_chosen="vSAN Max Storage Traffic Separation","vSAN",
IF(cluster_vds_profile_chosen="vSAN Max Storage Traffic and NSX Traffic Separation","vSAN","")))))))</f>
        <v/>
      </c>
      <c r="J118" s="1"/>
      <c r="K118" s="84" t="s">
        <v>2481</v>
      </c>
      <c r="L118" s="18" t="str">
        <f>IF(ISBLANK(input_svc_vra_vsphere_password),"Value Missing",input_svc_vra_vsphere_password)</f>
        <v>Value Missing</v>
      </c>
      <c r="M118" s="1"/>
      <c r="N118" s="84" t="s">
        <v>2530</v>
      </c>
      <c r="O118" s="18" t="str">
        <f>IF(vvs_dr_flt_logs_nodec_fqdn="Value Missing",vvs_dr_flt_logs_nodec_fqdn,LEFT(vvs_dr_flt_logs_nodec_fqdn,FIND(".",vvs_dr_flt_logs_nodec_fqdn)-1))</f>
        <v>Value Missing</v>
      </c>
      <c r="P118" s="1"/>
      <c r="Q118" s="337" t="s">
        <v>256</v>
      </c>
      <c r="R118" s="338" t="s">
        <v>274</v>
      </c>
      <c r="S118" s="1"/>
      <c r="T118" s="84" t="s">
        <v>2428</v>
      </c>
      <c r="U118" s="18" t="str">
        <f>IF(ISBLANK(input_wld_srm_recovery_vcenter_fqdn),"Value Missing",input_wld_srm_recovery_vcenter_fqdn)</f>
        <v>Value Missing</v>
      </c>
      <c r="V118" s="10"/>
      <c r="W118" s="1"/>
      <c r="X118" s="1"/>
      <c r="Y118" s="1"/>
      <c r="Z118" s="1"/>
      <c r="AA118" s="1"/>
      <c r="AB118" s="1"/>
      <c r="AC118" s="1"/>
      <c r="AD118" s="1"/>
      <c r="AE118" s="1"/>
      <c r="AF118" s="1"/>
    </row>
    <row r="119" ht="19.5" customHeight="1">
      <c r="A119" s="1"/>
      <c r="B119" s="84" t="s">
        <v>738</v>
      </c>
      <c r="C119" s="18" t="str">
        <f>IF(ISBLANK(input_mgmt_cl01_vsan_datastore),"Value Missing",input_mgmt_cl01_vsan_datastore)</f>
        <v>Value Missing</v>
      </c>
      <c r="D119" s="1"/>
      <c r="E119" s="337" t="s">
        <v>256</v>
      </c>
      <c r="F119" s="338" t="s">
        <v>274</v>
      </c>
      <c r="G119" s="1"/>
      <c r="H119" s="173" t="s">
        <v>2366</v>
      </c>
      <c r="I119" s="18" t="str">
        <f t="array" ref="I119">IF(ISBLANK(input_cluster_vds02_lag_name),"Value Missing",input_cluster_vds02_lag_name)</f>
        <v>Value Missing</v>
      </c>
      <c r="J119" s="1"/>
      <c r="K119" s="84" t="s">
        <v>2486</v>
      </c>
      <c r="L119" s="18" t="str">
        <f>IF(ISBLANK(input_svc_vra_nsx_password),"Value Missing",input_svc_vra_nsx_password)</f>
        <v>Value Missing</v>
      </c>
      <c r="M119" s="1"/>
      <c r="N119" s="84" t="s">
        <v>2531</v>
      </c>
      <c r="O119" s="18" t="str">
        <f>IF(vvs_dr_flt_net_nodea_fqdn="Value Missing",vvs_dr_flt_net_nodea_fqdn,LEFT(vvs_dr_flt_net_nodea_fqdn,FIND(".",vvs_dr_flt_net_nodea_fqdn)-1))</f>
        <v>Value Missing</v>
      </c>
      <c r="P119" s="1"/>
      <c r="Q119" s="85" t="s">
        <v>1726</v>
      </c>
      <c r="R119" s="18" t="str">
        <f>IF(ISBLANK(input_wld_vrms_hostname),"Value Missing",input_wld_vrms_hostname)</f>
        <v>Value Missing</v>
      </c>
      <c r="S119" s="1"/>
      <c r="T119" s="84" t="s">
        <v>2431</v>
      </c>
      <c r="U119" s="18" t="str">
        <f>IF(ISBLANK(input_wld_srm_recovery_vcenter_username),"Value Missing",input_wld_srm_recovery_vcenter_username)</f>
        <v>Value Missing</v>
      </c>
      <c r="V119" s="10"/>
      <c r="W119" s="1"/>
      <c r="X119" s="1"/>
      <c r="Y119" s="1"/>
      <c r="Z119" s="1"/>
      <c r="AA119" s="1"/>
      <c r="AB119" s="1"/>
      <c r="AC119" s="1"/>
      <c r="AD119" s="1"/>
      <c r="AE119" s="1"/>
      <c r="AF119" s="1"/>
    </row>
    <row r="120" ht="19.5" customHeight="1">
      <c r="A120" s="1"/>
      <c r="B120" s="84" t="s">
        <v>2532</v>
      </c>
      <c r="C120" s="18" t="str">
        <f>IF(ISBLANK(mgmt_cl01_vsan_ftt_chosen),"Value Missing",mgmt_cl01_vsan_ftt_chosen)</f>
        <v>1</v>
      </c>
      <c r="D120" s="1"/>
      <c r="E120" s="84" t="s">
        <v>738</v>
      </c>
      <c r="F120" s="18" t="str">
        <f>IF(ISBLANK('Configure Workload Domain'!D270),"Value Missing",'Configure Workload Domain'!D270)</f>
        <v>Value Missing</v>
      </c>
      <c r="G120" s="1"/>
      <c r="H120" s="173" t="s">
        <v>1309</v>
      </c>
      <c r="I120" s="18" t="str">
        <f>IF(ISBLANK(input_cluster_vds03_name),"Value Missing",input_cluster_vds03_name)</f>
        <v>Value Missing</v>
      </c>
      <c r="J120" s="1"/>
      <c r="K120" s="84" t="s">
        <v>2491</v>
      </c>
      <c r="L120" s="18" t="str">
        <f>IF(ISBLANK(input_svc_vra_vcf_password),"Value Missing",input_svc_vra_vcf_password)</f>
        <v>Value Missing</v>
      </c>
      <c r="M120" s="1"/>
      <c r="N120" s="84" t="s">
        <v>2533</v>
      </c>
      <c r="O120" s="18" t="str">
        <f>IF(vvs_dr_flt_net_nodeb_fqdn="Value Missing",vvs_dr_flt_net_nodeb_fqdn,LEFT(vvs_dr_flt_net_nodeb_fqdn,FIND(".",vvs_dr_flt_net_nodeb_fqdn)-1))</f>
        <v>Value Missing</v>
      </c>
      <c r="P120" s="1"/>
      <c r="Q120" s="85" t="s">
        <v>2523</v>
      </c>
      <c r="R120" s="18" t="str">
        <f>IF(ISBLANK(input_wld_srm_hostname),"Value Missing",input_wld_srm_hostname)</f>
        <v>Value Missing</v>
      </c>
      <c r="S120" s="1"/>
      <c r="T120" s="84" t="s">
        <v>2433</v>
      </c>
      <c r="U120" s="18" t="str">
        <f>IF(ISBLANK(input_wld_srm_recovery_vcenter_password),"Value Missing",input_wld_srm_recovery_vcenter_password)</f>
        <v>Value Missing</v>
      </c>
      <c r="V120" s="10"/>
      <c r="W120" s="1"/>
      <c r="X120" s="1"/>
      <c r="Y120" s="1"/>
      <c r="Z120" s="1"/>
      <c r="AA120" s="1"/>
      <c r="AB120" s="1"/>
      <c r="AC120" s="1"/>
      <c r="AD120" s="1"/>
      <c r="AE120" s="1"/>
      <c r="AF120" s="1"/>
    </row>
    <row r="121" ht="19.5" customHeight="1">
      <c r="A121" s="1"/>
      <c r="B121" s="84" t="s">
        <v>1277</v>
      </c>
      <c r="C121" s="18" t="str">
        <f>IF(ISBLANK(mgmt_cl01_vsan_dedupe_compression_chosen),"Value Missing",mgmt_cl01_vsan_dedupe_compression_chosen)</f>
        <v>Unselected</v>
      </c>
      <c r="D121" s="1"/>
      <c r="E121" s="84" t="s">
        <v>355</v>
      </c>
      <c r="F121" s="18" t="str">
        <f>IF(ISBLANK('Configure Workload Domain'!D268),"Value Missing",'Configure Workload Domain'!D268)</f>
        <v>Value Missing</v>
      </c>
      <c r="G121" s="1"/>
      <c r="H121" s="173" t="s">
        <v>404</v>
      </c>
      <c r="I121" s="18" t="str">
        <f>IF(ISBLANK(input_cluster_vds03_mtu),"Value Missing",input_cluster_vds03_mtu)</f>
        <v>Value Missing</v>
      </c>
      <c r="J121" s="1"/>
      <c r="K121" s="84" t="s">
        <v>2499</v>
      </c>
      <c r="L121" s="18" t="str">
        <f>IF(ISBLANK(input_svc_vra_vrops_password),"Value Missing",input_svc_vra_vrops_password)</f>
        <v>Value Missing</v>
      </c>
      <c r="M121" s="1"/>
      <c r="N121" s="84" t="s">
        <v>2534</v>
      </c>
      <c r="O121" s="18" t="str">
        <f>IF(vvs_dr_flt_net_nodec_fqdn="Value Missing",vvs_dr_flt_net_nodec_fqdn,LEFT(vvs_dr_flt_net_nodec_fqdn,FIND(".",vvs_dr_flt_net_nodec_fqdn)-1))</f>
        <v>Value Missing</v>
      </c>
      <c r="P121" s="1"/>
      <c r="Q121" s="1"/>
      <c r="R121" s="1"/>
      <c r="S121" s="1"/>
      <c r="T121" s="84" t="s">
        <v>2459</v>
      </c>
      <c r="U121" s="18" t="str">
        <f>IF(ISBLANK(input_wld_vrms_recovery_replication_cidr),"Value Missing",input_wld_vrms_recovery_replication_cidr)</f>
        <v>Value Missing</v>
      </c>
      <c r="V121" s="10"/>
      <c r="W121" s="1"/>
      <c r="X121" s="1"/>
      <c r="Y121" s="1"/>
      <c r="Z121" s="1"/>
      <c r="AA121" s="1"/>
      <c r="AB121" s="1"/>
      <c r="AC121" s="1"/>
      <c r="AD121" s="1"/>
      <c r="AE121" s="1"/>
      <c r="AF121" s="1"/>
    </row>
    <row r="122" ht="19.5" customHeight="1">
      <c r="A122" s="1"/>
      <c r="B122" s="187" t="s">
        <v>1280</v>
      </c>
      <c r="C122" s="18" t="str">
        <f>IF(ISBLANK(input_mgmt_cl01_nfs_share),"Value Missing",input_mgmt_cl01_nfs_share)</f>
        <v>Value Missing</v>
      </c>
      <c r="D122" s="1"/>
      <c r="E122" s="84" t="s">
        <v>737</v>
      </c>
      <c r="F122" s="18" t="str">
        <f>IF(ISBLANK(input_wld_witness_vm_folder),"Value Missing",input_wld_witness_vm_folder)</f>
        <v>Value Missing</v>
      </c>
      <c r="G122" s="1"/>
      <c r="H122" s="187" t="s">
        <v>431</v>
      </c>
      <c r="I122" s="18" t="str">
        <f>IF(ISBLANK(input_cluster_vds03_uplink_count),"Value Missing",input_cluster_vds03_uplink_count)</f>
        <v>Value Missing</v>
      </c>
      <c r="J122" s="1"/>
      <c r="K122" s="84" t="s">
        <v>2494</v>
      </c>
      <c r="L122" s="18" t="str">
        <f>IF(ISBLANK(input_svc_vro_vsphere_password),"Value Missing",input_svc_vro_vsphere_password)</f>
        <v>Value Missing</v>
      </c>
      <c r="M122" s="1"/>
      <c r="N122" s="84" t="s">
        <v>2535</v>
      </c>
      <c r="O122" s="18" t="str">
        <f>IF(ISBLANK(input_vvs_dr_mgmt_cl01_datastore),"Value Missing",input_vvs_dr_mgmt_cl01_datastore)</f>
        <v>Value Missing</v>
      </c>
      <c r="P122" s="1"/>
      <c r="Q122" s="333" t="s">
        <v>2536</v>
      </c>
      <c r="R122" s="333"/>
      <c r="S122" s="1"/>
      <c r="T122" s="84" t="s">
        <v>2465</v>
      </c>
      <c r="U122" s="18" t="str">
        <f>IF(ISBLANK(input_wld_srm_sso_domain_membership),"Value Missing",input_wld_srm_sso_domain_membership)</f>
        <v>Value Missing</v>
      </c>
      <c r="V122" s="10"/>
      <c r="W122" s="1"/>
      <c r="X122" s="1"/>
      <c r="Y122" s="1"/>
      <c r="Z122" s="1"/>
      <c r="AA122" s="1"/>
      <c r="AB122" s="1"/>
      <c r="AC122" s="1"/>
      <c r="AD122" s="1"/>
      <c r="AE122" s="1"/>
      <c r="AF122" s="1"/>
    </row>
    <row r="123" ht="19.5" customHeight="1">
      <c r="A123" s="1"/>
      <c r="B123" s="187" t="s">
        <v>1281</v>
      </c>
      <c r="C123" s="18" t="str">
        <f>IF(ISBLANK(input_mgmt_cl01_nfs_server_ip),"Value Missing",input_mgmt_cl01_nfs_server_ip)</f>
        <v>Value Missing</v>
      </c>
      <c r="D123" s="1"/>
      <c r="E123" s="84" t="s">
        <v>2537</v>
      </c>
      <c r="F123" s="18" t="str">
        <f>IF(ISBLANK(input_wld_witness_dns1_ip),"Value Missing",input_wld_witness_dns1_ip)</f>
        <v>Value Missing</v>
      </c>
      <c r="G123" s="1"/>
      <c r="H123" s="173" t="s">
        <v>1303</v>
      </c>
      <c r="I123" s="18" t="str">
        <f>IF(ISBLANK(input_cluster_vds03_pnics),"Value Missing",input_cluster_vds03_pnics)</f>
        <v>Value Missing</v>
      </c>
      <c r="J123" s="1"/>
      <c r="K123" s="1"/>
      <c r="L123" s="1"/>
      <c r="M123" s="1"/>
      <c r="N123" s="84" t="s">
        <v>2538</v>
      </c>
      <c r="O123" s="18" t="str">
        <f>IF(ISBLANK(input_mgmt_srm_net_rp),"Value Missing",input_mgmt_srm_net_rp)</f>
        <v>Value Missing</v>
      </c>
      <c r="P123" s="1"/>
      <c r="Q123" s="337" t="s">
        <v>256</v>
      </c>
      <c r="R123" s="338" t="s">
        <v>274</v>
      </c>
      <c r="S123" s="1"/>
      <c r="T123" s="41"/>
      <c r="U123" s="41"/>
      <c r="V123" s="10"/>
      <c r="W123" s="1"/>
      <c r="X123" s="1"/>
      <c r="Y123" s="1"/>
      <c r="Z123" s="1"/>
      <c r="AA123" s="1"/>
      <c r="AB123" s="1"/>
      <c r="AC123" s="1"/>
      <c r="AD123" s="1"/>
      <c r="AE123" s="1"/>
      <c r="AF123" s="1"/>
    </row>
    <row r="124" ht="19.5" customHeight="1">
      <c r="A124" s="1"/>
      <c r="B124" s="187" t="s">
        <v>2539</v>
      </c>
      <c r="C124" s="18" t="str">
        <f>IF(ISBLANK(mgmt_cl01_nfs_server_bound_to_vmknic_chosen),"Value Missing",mgmt_cl01_nfs_server_bound_to_vmknic_chosen)</f>
        <v>Selected</v>
      </c>
      <c r="D124" s="1"/>
      <c r="E124" s="84" t="s">
        <v>2537</v>
      </c>
      <c r="F124" s="18" t="str">
        <f>IF(ISBLANK(input_wld_witness_dns2_ip),"Value Missing",input_wld_witness_dns2_ip)</f>
        <v>Value Missing</v>
      </c>
      <c r="G124" s="1"/>
      <c r="H124" s="173" t="s">
        <v>1305</v>
      </c>
      <c r="I124" s="18" t="str">
        <f>IF(cluster_vds_profile_chosen="Default","",
IF(cluster_vds_profile_chosen="Storage Traffic Separation","",
IF(cluster_vds_profile_chosen="NSX Traffic Separation","",
IF(cluster_vds_profile_chosen="Storage Traffic and NSX Traffic Separation","Overlay",
IF(cluster_vds_profile_chosen="vSan Max Storage Traffic and NSX Traffic Separation","Overlay","")))))</f>
        <v/>
      </c>
      <c r="J124" s="1"/>
      <c r="K124" s="333" t="s">
        <v>2540</v>
      </c>
      <c r="L124" s="333"/>
      <c r="M124" s="1"/>
      <c r="N124" s="84" t="s">
        <v>2541</v>
      </c>
      <c r="O124" s="18" t="str">
        <f>IF(ISBLANK(input_mgmt_srm_logs_rp),"Value Missing",input_mgmt_srm_logs_rp)</f>
        <v>Value Missing</v>
      </c>
      <c r="P124" s="1"/>
      <c r="Q124" s="85" t="s">
        <v>1726</v>
      </c>
      <c r="R124" s="1"/>
      <c r="S124" s="1"/>
      <c r="T124" s="41"/>
      <c r="U124" s="41"/>
      <c r="V124" s="10"/>
      <c r="W124" s="1"/>
      <c r="X124" s="1"/>
      <c r="Y124" s="1"/>
      <c r="Z124" s="1"/>
      <c r="AA124" s="1"/>
      <c r="AB124" s="1"/>
      <c r="AC124" s="1"/>
      <c r="AD124" s="1"/>
      <c r="AE124" s="1"/>
      <c r="AF124" s="1"/>
    </row>
    <row r="125" ht="19.5" customHeight="1">
      <c r="A125" s="1"/>
      <c r="B125" s="1"/>
      <c r="C125" s="1"/>
      <c r="D125" s="1"/>
      <c r="E125" s="84" t="s">
        <v>2542</v>
      </c>
      <c r="F125" s="186" t="str">
        <f>IF(ISBLANK(sample_wld_witness_ntp1_server),"Value Missing",sample_wld_witness_ntp1_server)</f>
        <v>ntp0.sfo.rainpole.io</v>
      </c>
      <c r="G125" s="1"/>
      <c r="H125" s="173" t="s">
        <v>2366</v>
      </c>
      <c r="I125" s="18" t="str">
        <f t="array" ref="I125">IF(ISBLANK(input_cluster_vds03_lag_name),"Value Missing",input_cluster_vds03_lag_name)</f>
        <v>Value Missing</v>
      </c>
      <c r="J125" s="1"/>
      <c r="K125" s="337" t="s">
        <v>256</v>
      </c>
      <c r="L125" s="338" t="s">
        <v>274</v>
      </c>
      <c r="M125" s="1"/>
      <c r="N125" s="84" t="s">
        <v>2543</v>
      </c>
      <c r="O125" s="18" t="str">
        <f>IF(ISBLANK(input_mgmt_srm_recovery_pg),"Value Missing",input_mgmt_srm_recovery_pg)</f>
        <v>Value Missing</v>
      </c>
      <c r="P125" s="1"/>
      <c r="Q125" s="85" t="s">
        <v>2523</v>
      </c>
      <c r="R125" s="18" t="str">
        <f>(CONCATENATE(vvs_mgmt_dr_vlr_hostname,".",child_dns_zone))</f>
        <v>Value Missing.Value Missing</v>
      </c>
      <c r="S125" s="1"/>
      <c r="T125" s="332" t="s">
        <v>2544</v>
      </c>
      <c r="U125" s="14"/>
      <c r="V125" s="10"/>
      <c r="W125" s="1"/>
      <c r="X125" s="1"/>
      <c r="Y125" s="1"/>
      <c r="Z125" s="41"/>
      <c r="AA125" s="41"/>
      <c r="AB125" s="1"/>
      <c r="AC125" s="1"/>
      <c r="AD125" s="1"/>
      <c r="AE125" s="1"/>
      <c r="AF125" s="1"/>
    </row>
    <row r="126" ht="19.5" customHeight="1">
      <c r="A126" s="1"/>
      <c r="B126" s="339" t="s">
        <v>518</v>
      </c>
      <c r="C126" s="340"/>
      <c r="D126" s="1"/>
      <c r="E126" s="84" t="s">
        <v>2542</v>
      </c>
      <c r="F126" s="186" t="str">
        <f>IF(ISBLANK(sample_wld_witness_ntp2_server),"Value Missing",sample_wld_witness_ntp2_server)</f>
        <v>ntp1.sfo.rainpole.io</v>
      </c>
      <c r="G126" s="1"/>
      <c r="H126" s="15" t="s">
        <v>2545</v>
      </c>
      <c r="I126" s="15"/>
      <c r="J126" s="1"/>
      <c r="K126" s="84" t="s">
        <v>2509</v>
      </c>
      <c r="L126" s="18" t="str">
        <f>IF(ISBLANK('Active Directory Inputs'!E18),"Value Missing",'Active Directory Inputs'!E18)</f>
        <v>Value Missing</v>
      </c>
      <c r="M126" s="1"/>
      <c r="N126" s="84" t="s">
        <v>2546</v>
      </c>
      <c r="O126" s="18" t="str">
        <f>IF(ISBLANK(input_mgmt_srm_recovery_gateway),"Value Missing",input_mgmt_srm_recovery_gateway)</f>
        <v>Value Missing</v>
      </c>
      <c r="P126" s="1"/>
      <c r="Q126" s="41"/>
      <c r="R126" s="41"/>
      <c r="S126" s="1"/>
      <c r="T126" s="337" t="s">
        <v>256</v>
      </c>
      <c r="U126" s="338" t="s">
        <v>274</v>
      </c>
      <c r="V126" s="10"/>
      <c r="W126" s="1"/>
      <c r="X126" s="1"/>
      <c r="Y126" s="1"/>
      <c r="Z126" s="1"/>
      <c r="AA126" s="1"/>
      <c r="AB126" s="1"/>
      <c r="AC126" s="1"/>
      <c r="AD126" s="1"/>
      <c r="AE126" s="1"/>
      <c r="AF126" s="1"/>
    </row>
    <row r="127" ht="19.5" customHeight="1">
      <c r="A127" s="1"/>
      <c r="B127" s="15" t="s">
        <v>256</v>
      </c>
      <c r="C127" s="15" t="s">
        <v>2325</v>
      </c>
      <c r="D127" s="1"/>
      <c r="E127" s="41"/>
      <c r="F127" s="41"/>
      <c r="G127" s="1"/>
      <c r="H127" s="187" t="s">
        <v>441</v>
      </c>
      <c r="I127" s="18" t="str">
        <f>IF(ISBLANK(input_cluster_az1_mgmt_pg),"Value Missing",input_cluster_az1_mgmt_pg)</f>
        <v>Value Missing</v>
      </c>
      <c r="J127" s="1"/>
      <c r="K127" s="84" t="s">
        <v>2547</v>
      </c>
      <c r="L127" s="18" t="str">
        <f>IF(ISBLANK('Active Directory Inputs'!E19),"Value Missing",'Active Directory Inputs'!E19)</f>
        <v>Value Missing</v>
      </c>
      <c r="M127" s="1"/>
      <c r="N127" s="84" t="s">
        <v>2548</v>
      </c>
      <c r="O127" s="18" t="str">
        <f>IF(ISBLANK(input_mgmt_srm_recovery_mask),"Value Missing",input_mgmt_srm_recovery_mask)</f>
        <v>Value Missing</v>
      </c>
      <c r="P127" s="1"/>
      <c r="Q127" s="333" t="s">
        <v>2549</v>
      </c>
      <c r="R127" s="333"/>
      <c r="S127" s="1"/>
      <c r="T127" s="84" t="s">
        <v>2550</v>
      </c>
      <c r="U127" s="18" t="str">
        <f>IF(ISBLANK(input_cbr_vcdr_vsphere_role),"Value Missing",input_cbr_vcdr_vsphere_role)</f>
        <v>Value Missing</v>
      </c>
      <c r="V127" s="10"/>
      <c r="W127" s="1"/>
      <c r="X127" s="1"/>
      <c r="Y127" s="1"/>
      <c r="Z127" s="1"/>
      <c r="AA127" s="1"/>
      <c r="AB127" s="1"/>
      <c r="AC127" s="1"/>
      <c r="AD127" s="1"/>
      <c r="AE127" s="1"/>
      <c r="AF127" s="1"/>
    </row>
    <row r="128" ht="19.5" customHeight="1">
      <c r="A128" s="1"/>
      <c r="B128" s="84" t="s">
        <v>2551</v>
      </c>
      <c r="C128" s="18"/>
      <c r="D128" s="1"/>
      <c r="E128" s="333" t="s">
        <v>2552</v>
      </c>
      <c r="F128" s="336"/>
      <c r="G128" s="1"/>
      <c r="H128" s="187" t="s">
        <v>442</v>
      </c>
      <c r="I128" s="18" t="str">
        <f>IF(ISBLANK(cluster_az1_mgmt_lbt_chosen),"Value Missing",cluster_az1_mgmt_lbt_chosen)</f>
        <v>Route Based on Physical NIC Load</v>
      </c>
      <c r="J128" s="1"/>
      <c r="K128" s="1"/>
      <c r="L128" s="1"/>
      <c r="M128" s="1"/>
      <c r="N128" s="84" t="s">
        <v>2553</v>
      </c>
      <c r="O128" s="18"/>
      <c r="P128" s="1"/>
      <c r="Q128" s="337" t="s">
        <v>256</v>
      </c>
      <c r="R128" s="338" t="s">
        <v>274</v>
      </c>
      <c r="S128" s="1"/>
      <c r="T128" s="84" t="s">
        <v>2554</v>
      </c>
      <c r="U128" s="18" t="str">
        <f>IF(ISBLANK(input_svc_cbr_vcdr_vsphere_user),"Value Missing",input_svc_cbr_vcdr_vsphere_user)</f>
        <v>Value Missing</v>
      </c>
      <c r="V128" s="10"/>
      <c r="W128" s="1"/>
      <c r="X128" s="1"/>
      <c r="Y128" s="1"/>
      <c r="Z128" s="1"/>
      <c r="AA128" s="1"/>
      <c r="AB128" s="1"/>
      <c r="AC128" s="1"/>
      <c r="AD128" s="1"/>
      <c r="AE128" s="1"/>
      <c r="AF128" s="1"/>
    </row>
    <row r="129" ht="19.5" customHeight="1">
      <c r="A129" s="1"/>
      <c r="B129" s="84" t="s">
        <v>2555</v>
      </c>
      <c r="C129" s="18" t="str">
        <f>IF(ISBLANK(sizing_mgmt_ec_formfactor_chosen),"Value Missing",sizing_mgmt_ec_formfactor_chosen)</f>
        <v>Medium</v>
      </c>
      <c r="D129" s="1"/>
      <c r="E129" s="337" t="s">
        <v>256</v>
      </c>
      <c r="F129" s="338" t="s">
        <v>274</v>
      </c>
      <c r="G129" s="1"/>
      <c r="H129" s="187" t="s">
        <v>445</v>
      </c>
      <c r="I129" s="18" t="str">
        <f>IF(ISBLANK(cluster_az1_mgmt_uplink1_chosen),"Value Missing",cluster_az1_mgmt_uplink1_chosen)</f>
        <v>Active</v>
      </c>
      <c r="J129" s="1"/>
      <c r="K129" s="333" t="s">
        <v>2556</v>
      </c>
      <c r="L129" s="333"/>
      <c r="M129" s="1"/>
      <c r="N129" s="84" t="s">
        <v>2557</v>
      </c>
      <c r="O129" s="18" t="str">
        <f>IF(ISBLANK(input_vvs_dr_vr_username),"Value Missing",input_vvs_dr_vr_username)</f>
        <v>Value Missing</v>
      </c>
      <c r="P129" s="1"/>
      <c r="Q129" s="85" t="s">
        <v>1726</v>
      </c>
      <c r="R129" s="18" t="str">
        <f>(CONCATENATE(wld_srm_hostname,".",child_dns_zone))</f>
        <v>Value Missing.Value Missing</v>
      </c>
      <c r="S129" s="1"/>
      <c r="T129" s="84" t="s">
        <v>2558</v>
      </c>
      <c r="U129" s="18" t="str">
        <f>IF(ISBLANK(input_svc_cbr_vcdr_vsphere_password),"Value Missing",input_svc_cbr_vcdr_vsphere_password)</f>
        <v>Value Missing</v>
      </c>
      <c r="V129" s="10"/>
      <c r="W129" s="1"/>
      <c r="X129" s="1"/>
      <c r="Y129" s="1"/>
      <c r="Z129" s="1"/>
      <c r="AA129" s="1"/>
      <c r="AB129" s="1"/>
      <c r="AC129" s="1"/>
      <c r="AD129" s="1"/>
      <c r="AE129" s="1"/>
      <c r="AF129" s="1"/>
    </row>
    <row r="130" ht="19.5" customHeight="1">
      <c r="A130" s="1"/>
      <c r="B130" s="84" t="s">
        <v>2559</v>
      </c>
      <c r="C130" s="18" t="str">
        <f>IF(ISBLANK(input_mgmt_ec_mtu),"Value Missing",input_mgmt_ec_mtu)</f>
        <v>Value Missing</v>
      </c>
      <c r="D130" s="1"/>
      <c r="E130" s="85" t="s">
        <v>2081</v>
      </c>
      <c r="F130" s="18" t="str">
        <f>IF(ISBLANK('Configure Workload Domain'!D266),"Value Missing",'Configure Workload Domain'!D266)</f>
        <v>Value Missing</v>
      </c>
      <c r="G130" s="1"/>
      <c r="H130" s="187" t="s">
        <v>446</v>
      </c>
      <c r="I130" s="18" t="str">
        <f>IF(ISBLANK(cluster_az1_mgmt_uplink2_chosen),"Value Missing",cluster_az1_mgmt_uplink2_chosen)</f>
        <v>Active</v>
      </c>
      <c r="J130" s="1"/>
      <c r="K130" s="337" t="s">
        <v>256</v>
      </c>
      <c r="L130" s="338" t="s">
        <v>274</v>
      </c>
      <c r="M130" s="1"/>
      <c r="N130" s="84" t="s">
        <v>2560</v>
      </c>
      <c r="O130" s="18" t="str">
        <f>IF(ISBLANK(input_vvs_dr_vr_password),"Value Missing",input_vvs_dr_vr_password)</f>
        <v>Value Missing</v>
      </c>
      <c r="P130" s="1"/>
      <c r="Q130" s="85" t="s">
        <v>2523</v>
      </c>
      <c r="R130" s="18" t="str">
        <f>(CONCATENATE(wld_srm_hostname,".",child_dns_zone))</f>
        <v>Value Missing.Value Missing</v>
      </c>
      <c r="S130" s="1"/>
      <c r="T130" s="84" t="s">
        <v>2561</v>
      </c>
      <c r="U130" s="18" t="str">
        <f>IF(ISBLANK(input_cbr_vm_folder),"Value Missing",input_cbr_vm_folder)</f>
        <v>Value Missing</v>
      </c>
      <c r="V130" s="10"/>
      <c r="W130" s="1"/>
      <c r="X130" s="1"/>
      <c r="Y130" s="1"/>
      <c r="Z130" s="41"/>
      <c r="AA130" s="41"/>
      <c r="AB130" s="1"/>
      <c r="AC130" s="1"/>
      <c r="AD130" s="1"/>
      <c r="AE130" s="1"/>
      <c r="AF130" s="1"/>
    </row>
    <row r="131" ht="19.5" customHeight="1">
      <c r="A131" s="1"/>
      <c r="B131" s="84" t="s">
        <v>2562</v>
      </c>
      <c r="C131" s="18" t="str">
        <f>IF(ISBLANK(input_mgmt_ec_rp_name),"Value Missing",input_mgmt_ec_rp_name)</f>
        <v>Value Missing</v>
      </c>
      <c r="D131" s="1"/>
      <c r="E131" s="85" t="s">
        <v>737</v>
      </c>
      <c r="F131" s="18" t="str">
        <f>IF(ISBLANK('Configure Workload Domain'!D274),"Value Missing",'Configure Workload Domain'!D274)</f>
        <v>Value Missing</v>
      </c>
      <c r="G131" s="1"/>
      <c r="H131" s="15" t="s">
        <v>2563</v>
      </c>
      <c r="I131" s="15"/>
      <c r="J131" s="1"/>
      <c r="K131" s="84" t="str">
        <f>IF(ISBLANK('Active Directory Inputs'!D75),"Value Missing",'Active Directory Inputs'!D75)</f>
        <v>gg-kub-admins</v>
      </c>
      <c r="L131" s="18" t="str">
        <f>IF(ISBLANK('Active Directory Inputs'!E75),"Value Missing",'Active Directory Inputs'!E75)</f>
        <v>Value Missing</v>
      </c>
      <c r="M131" s="1"/>
      <c r="N131" s="1"/>
      <c r="O131" s="1"/>
      <c r="P131" s="1"/>
      <c r="Q131" s="41"/>
      <c r="R131" s="41"/>
      <c r="S131" s="1"/>
      <c r="T131" s="84" t="s">
        <v>2564</v>
      </c>
      <c r="U131" s="18" t="str">
        <f>IF(ISBLANK(input_cbr_recovery_sddc_name),"Value Missing",input_cbr_recovery_sddc_name)</f>
        <v>Value Missing</v>
      </c>
      <c r="V131" s="10"/>
      <c r="W131" s="1"/>
      <c r="X131" s="1"/>
      <c r="Y131" s="1"/>
      <c r="Z131" s="1"/>
      <c r="AA131" s="1"/>
      <c r="AB131" s="1"/>
      <c r="AC131" s="1"/>
      <c r="AD131" s="1"/>
      <c r="AE131" s="1"/>
      <c r="AF131" s="1"/>
    </row>
    <row r="132" ht="19.5" customHeight="1">
      <c r="A132" s="1"/>
      <c r="B132" s="84" t="s">
        <v>2565</v>
      </c>
      <c r="C132" s="18" t="str">
        <f>IF(ISBLANK(mgmt_ec01_host_group_affinity_rule_chosen),"Value Missing",mgmt_ec01_host_group_affinity_rule_chosen)</f>
        <v>No</v>
      </c>
      <c r="D132" s="1"/>
      <c r="E132" s="85" t="s">
        <v>2566</v>
      </c>
      <c r="F132" s="18" t="str">
        <f>IF(ISBLANK(input_wld_witness_ip),"Value Missing",input_wld_witness_ip)</f>
        <v>Value Missing</v>
      </c>
      <c r="G132" s="1"/>
      <c r="H132" s="187" t="s">
        <v>441</v>
      </c>
      <c r="I132" s="18" t="str">
        <f>IF(ISBLANK(input_cluster_az1_mgmt_vm_pg),"Value Missing",input_cluster_az1_mgmt_vm_pg)</f>
        <v>Value Missing</v>
      </c>
      <c r="J132" s="1"/>
      <c r="K132" s="84" t="str">
        <f>IF(ISBLANK('Active Directory Inputs'!D76),"Value Missing",'Active Directory Inputs'!D76)</f>
        <v>gg-kub-readonly</v>
      </c>
      <c r="L132" s="18" t="str">
        <f>IF(ISBLANK('Active Directory Inputs'!E76),"Value Missing",'Active Directory Inputs'!E76)</f>
        <v>Value Missing</v>
      </c>
      <c r="M132" s="1"/>
      <c r="N132" s="1"/>
      <c r="O132" s="1"/>
      <c r="P132" s="1"/>
      <c r="Q132" s="333" t="s">
        <v>2567</v>
      </c>
      <c r="R132" s="336"/>
      <c r="S132" s="1"/>
      <c r="T132" s="84" t="s">
        <v>2568</v>
      </c>
      <c r="U132" s="18" t="str">
        <f>IF(ISBLANK(input_cbr_recovery_region),"Value Missing",input_cbr_recovery_region)</f>
        <v>Value Missing</v>
      </c>
      <c r="V132" s="10"/>
      <c r="W132" s="1"/>
      <c r="X132" s="1"/>
      <c r="Y132" s="1"/>
      <c r="Z132" s="1"/>
      <c r="AA132" s="1"/>
      <c r="AB132" s="1"/>
      <c r="AC132" s="1"/>
      <c r="AD132" s="1"/>
      <c r="AE132" s="1"/>
      <c r="AF132" s="1"/>
    </row>
    <row r="133" ht="19.5" customHeight="1">
      <c r="A133" s="1"/>
      <c r="B133" s="84" t="s">
        <v>2569</v>
      </c>
      <c r="C133" s="18" t="str">
        <f t="array" ref="C133">IF(ISBLANK(input_mgmt_ec01_en01_host_group_affinity_rule_name),"Value Missing",input_mgmt_ec01_en01_host_group_affinity_rule_name)</f>
        <v>Value Missing</v>
      </c>
      <c r="D133" s="1"/>
      <c r="E133" s="85" t="s">
        <v>2081</v>
      </c>
      <c r="F133" s="18" t="str">
        <f>IF(ISBLANK(input_wld_witness_zone_vc_fqdn),"Value Missing",input_wld_witness_zone_vc_fqdn)</f>
        <v>Value Missing</v>
      </c>
      <c r="G133" s="1"/>
      <c r="H133" s="187" t="s">
        <v>442</v>
      </c>
      <c r="I133" s="18" t="str">
        <f>IF(ISBLANK(cluster_az1_mgmt_vm_lbt_chosen),"Value Missing",cluster_az1_mgmt_vm_lbt_chosen)</f>
        <v>Route Based on Physical NIC Load</v>
      </c>
      <c r="J133" s="1"/>
      <c r="K133" s="84" t="s">
        <v>2570</v>
      </c>
      <c r="L133" s="18" t="str">
        <f>IF(ISBLANK(input_parent_gg_wsa_admins_group),"Value Missing",input_parent_gg_wsa_admins_group)</f>
        <v>Value Missing</v>
      </c>
      <c r="M133" s="1"/>
      <c r="N133" s="1"/>
      <c r="O133" s="1"/>
      <c r="P133" s="1"/>
      <c r="Q133" s="337" t="s">
        <v>256</v>
      </c>
      <c r="R133" s="338" t="s">
        <v>274</v>
      </c>
      <c r="S133" s="1"/>
      <c r="T133" s="84" t="s">
        <v>2571</v>
      </c>
      <c r="U133" s="18" t="str">
        <f>IF(ISBLANK(input_cbr_recovery_host_type),"Value Missing",input_cbr_recovery_host_type)</f>
        <v>Value Missing</v>
      </c>
      <c r="V133" s="10"/>
      <c r="W133" s="1"/>
      <c r="X133" s="1"/>
      <c r="Y133" s="1"/>
      <c r="Z133" s="1"/>
      <c r="AA133" s="1"/>
      <c r="AB133" s="1"/>
      <c r="AC133" s="1"/>
      <c r="AD133" s="1"/>
      <c r="AE133" s="1"/>
      <c r="AF133" s="1"/>
    </row>
    <row r="134" ht="19.5" customHeight="1">
      <c r="A134" s="1"/>
      <c r="B134" s="84" t="s">
        <v>2569</v>
      </c>
      <c r="C134" s="18" t="str">
        <f t="array" ref="C134">IF(ISBLANK(input_mgmt_ec01_en02_host_group_affinity_rule_name),"Value Missing",input_mgmt_ec01_en02_host_group_affinity_rule_name)</f>
        <v>Value Missing</v>
      </c>
      <c r="D134" s="1"/>
      <c r="E134" s="85" t="s">
        <v>2572</v>
      </c>
      <c r="F134" s="18" t="str">
        <f>IF(ISBLANK(input_wld_witnessaz_mgmt_cidr),"Value Missing",input_wld_witnessaz_mgmt_cidr)</f>
        <v>Value Missing</v>
      </c>
      <c r="G134" s="1"/>
      <c r="H134" s="187" t="s">
        <v>445</v>
      </c>
      <c r="I134" s="18" t="str">
        <f>IF(ISBLANK(cluster_az1_mgmt_vm_uplink1_chosen),"Value Missing",cluster_az1_mgmt_vm_uplink1_chosen)</f>
        <v>Active</v>
      </c>
      <c r="J134" s="1"/>
      <c r="K134" s="84" t="s">
        <v>2573</v>
      </c>
      <c r="L134" s="18" t="str">
        <f>IF(ISBLANK(input_parent_gg_wsa_directory_admins_group),"Value Missing",input_parent_gg_wsa_directory_admins_group)</f>
        <v>Value Missing</v>
      </c>
      <c r="M134" s="1"/>
      <c r="N134" s="1"/>
      <c r="O134" s="1"/>
      <c r="P134" s="1"/>
      <c r="Q134" s="173" t="s">
        <v>2574</v>
      </c>
      <c r="R134" s="18"/>
      <c r="S134" s="1"/>
      <c r="T134" s="84" t="s">
        <v>143</v>
      </c>
      <c r="U134" s="18" t="str">
        <f>IF(ISBLANK(input_cbr_recovery_host_count),"Value Missing",input_cbr_recovery_host_count)</f>
        <v>Value Missing</v>
      </c>
      <c r="V134" s="10"/>
      <c r="W134" s="1"/>
      <c r="X134" s="1"/>
      <c r="Y134" s="1"/>
      <c r="Z134" s="1"/>
      <c r="AA134" s="1"/>
      <c r="AB134" s="1"/>
      <c r="AC134" s="1"/>
      <c r="AD134" s="1"/>
      <c r="AE134" s="1"/>
      <c r="AF134" s="1"/>
    </row>
    <row r="135" ht="19.5" customHeight="1">
      <c r="A135" s="1"/>
      <c r="B135" s="84" t="s">
        <v>2575</v>
      </c>
      <c r="C135" s="18" t="str">
        <f>IF(ISBLANK(mgmt_ec01_use_host_overlay_chosen),"Value Missing",mgmt_ec01_use_host_overlay_chosen)</f>
        <v>Unselected </v>
      </c>
      <c r="D135" s="1"/>
      <c r="E135" s="85" t="s">
        <v>2576</v>
      </c>
      <c r="F135" s="18" t="str">
        <f>IF(ISBLANK(input_wld_witnessaz_mgmt_gateway_ip),"Value Missing",input_wld_witnessaz_mgmt_gateway_ip)</f>
        <v>Value Missing</v>
      </c>
      <c r="G135" s="1"/>
      <c r="H135" s="187" t="s">
        <v>446</v>
      </c>
      <c r="I135" s="18" t="str">
        <f>IF(ISBLANK(cluster_az1_mgmt_vm_uplink2_chosen),"Value Missing",cluster_az1_mgmt_vm_uplink2_chosen)</f>
        <v>Active</v>
      </c>
      <c r="J135" s="1"/>
      <c r="K135" s="84" t="s">
        <v>2577</v>
      </c>
      <c r="L135" s="18" t="str">
        <f>IF(ISBLANK(input_parent_gg_wsa_read_only_group),"Value Missing",input_parent_gg_wsa_read_only_group)</f>
        <v>Value Missing</v>
      </c>
      <c r="M135" s="1"/>
      <c r="N135" s="1"/>
      <c r="O135" s="1"/>
      <c r="P135" s="1"/>
      <c r="Q135" s="173" t="s">
        <v>2578</v>
      </c>
      <c r="R135" s="18"/>
      <c r="S135" s="1"/>
      <c r="T135" s="84" t="s">
        <v>2579</v>
      </c>
      <c r="U135" s="18" t="str">
        <f>IF(ISBLANK(input_cbr_recovery_vpc),"Value Missing",input_cbr_recovery_vpc)</f>
        <v>Value Missing</v>
      </c>
      <c r="V135" s="10"/>
      <c r="W135" s="1"/>
      <c r="X135" s="1"/>
      <c r="Y135" s="1"/>
      <c r="Z135" s="1"/>
      <c r="AA135" s="1"/>
      <c r="AB135" s="1"/>
      <c r="AC135" s="1"/>
      <c r="AD135" s="1"/>
      <c r="AE135" s="1"/>
      <c r="AF135" s="1"/>
    </row>
    <row r="136" ht="19.5" customHeight="1">
      <c r="A136" s="1"/>
      <c r="B136" s="84" t="s">
        <v>2580</v>
      </c>
      <c r="C136" s="18" t="str">
        <f>IF(mgmt_dpg_reuse_chosen="Selected","Excluded","Included")</f>
        <v>Included</v>
      </c>
      <c r="D136" s="1"/>
      <c r="E136" s="85" t="s">
        <v>2581</v>
      </c>
      <c r="F136" s="18" t="str">
        <f>IF(wld_witnessaz_mgmt_cidr="Value Missing",wld_witnessaz_mgmt_cidr,VLOOKUP(INT(RIGHT(wld_witnessaz_mgmt_cidr,LEN(wld_witnessaz_mgmt_cidr)-FIND("/",wld_witnessaz_mgmt_cidr))),table_cidr_to_mask,2,FALSE))</f>
        <v>Value Missing</v>
      </c>
      <c r="G136" s="1"/>
      <c r="H136" s="15" t="s">
        <v>2095</v>
      </c>
      <c r="I136" s="15"/>
      <c r="J136" s="1"/>
      <c r="K136" s="84" t="s">
        <v>2582</v>
      </c>
      <c r="L136" s="18" t="str">
        <f>IF(ISBLANK('Active Directory Inputs'!E54),"Value Missing",'Active Directory Inputs'!E54)</f>
        <v>Value Missing</v>
      </c>
      <c r="M136" s="1"/>
      <c r="N136" s="1"/>
      <c r="O136" s="1"/>
      <c r="P136" s="1"/>
      <c r="Q136" s="41"/>
      <c r="R136" s="41"/>
      <c r="S136" s="1"/>
      <c r="T136" s="84" t="s">
        <v>2583</v>
      </c>
      <c r="U136" s="18" t="str">
        <f>IF(ISBLANK(input_cbr_recovery_subnet),"Value Missing",input_cbr_recovery_subnet)</f>
        <v>Value Missing</v>
      </c>
      <c r="V136" s="10"/>
      <c r="W136" s="1"/>
      <c r="X136" s="1"/>
      <c r="Y136" s="1"/>
      <c r="Z136" s="1"/>
      <c r="AA136" s="1"/>
      <c r="AB136" s="1"/>
      <c r="AC136" s="1"/>
      <c r="AD136" s="1"/>
      <c r="AE136" s="1"/>
      <c r="AF136" s="1"/>
    </row>
    <row r="137" ht="19.5" customHeight="1">
      <c r="A137" s="1"/>
      <c r="B137" s="84" t="s">
        <v>2584</v>
      </c>
      <c r="C137" s="18" t="str">
        <f>mgmt_gateway_routing_type_chosen</f>
        <v>BGP</v>
      </c>
      <c r="D137" s="1"/>
      <c r="E137" s="85" t="s">
        <v>2585</v>
      </c>
      <c r="F137" s="18" t="str">
        <f>IF(wld_witnessaz_mgmt_cidr="Value Missing",wld_witnessaz_mgmt_cidr,(LEFT(wld_witnessaz_mgmt_cidr,(FIND("/",wld_witnessaz_mgmt_cidr)-1))))</f>
        <v>Value Missing</v>
      </c>
      <c r="G137" s="1"/>
      <c r="H137" s="187" t="s">
        <v>441</v>
      </c>
      <c r="I137" s="18" t="str">
        <f>IF(ISBLANK(input_cluster_az1_vmotion_pg),"Value Missing",input_cluster_az1_vmotion_pg)</f>
        <v>Value Missing</v>
      </c>
      <c r="J137" s="1"/>
      <c r="K137" s="84" t="s">
        <v>2586</v>
      </c>
      <c r="L137" s="18" t="str">
        <f>IF(ISBLANK('Active Directory Inputs'!E55),"Value Missing",'Active Directory Inputs'!E55)</f>
        <v>Value Missing</v>
      </c>
      <c r="M137" s="1"/>
      <c r="N137" s="1"/>
      <c r="O137" s="1"/>
      <c r="P137" s="1"/>
      <c r="Q137" s="333" t="s">
        <v>2587</v>
      </c>
      <c r="R137" s="333"/>
      <c r="S137" s="1"/>
      <c r="T137" s="84" t="s">
        <v>2588</v>
      </c>
      <c r="U137" s="18" t="str">
        <f>IF(ISBLANK(input_cbr_recovery_management_subnet),"Value Missing",input_cbr_recovery_management_subnet)</f>
        <v>Value Missing</v>
      </c>
      <c r="V137" s="10"/>
      <c r="W137" s="1"/>
      <c r="X137" s="1"/>
      <c r="Y137" s="1"/>
      <c r="Z137" s="1"/>
      <c r="AA137" s="1"/>
      <c r="AB137" s="1"/>
      <c r="AC137" s="1"/>
      <c r="AD137" s="1"/>
      <c r="AE137" s="1"/>
      <c r="AF137" s="1"/>
    </row>
    <row r="138" ht="19.5" customHeight="1">
      <c r="A138" s="1"/>
      <c r="B138" s="84" t="s">
        <v>2589</v>
      </c>
      <c r="C138" s="18" t="str">
        <f>mgmt_az1_en1_ip_allocation_chosen</f>
        <v>Static</v>
      </c>
      <c r="D138" s="1"/>
      <c r="E138" s="85" t="s">
        <v>2590</v>
      </c>
      <c r="F138" s="18" t="str">
        <f>IF(ISBLANK(input_xreg_vra_prefix),"Value Missing",input_xreg_vra_prefix)</f>
        <v>Value Missing</v>
      </c>
      <c r="G138" s="1"/>
      <c r="H138" s="187" t="s">
        <v>442</v>
      </c>
      <c r="I138" s="18" t="str">
        <f>IF(ISBLANK(cluster_az1_vmotion_lbt_chosen),"Value Missing",cluster_az1_vmotion_lbt_chosen)</f>
        <v>Route Based on Physical NIC Load</v>
      </c>
      <c r="J138" s="1"/>
      <c r="K138" s="84" t="s">
        <v>2591</v>
      </c>
      <c r="L138" s="18" t="str">
        <f>IF(ISBLANK('Active Directory Inputs'!E56),"Value Missing",'Active Directory Inputs'!E56)</f>
        <v>Value Missing</v>
      </c>
      <c r="M138" s="1"/>
      <c r="N138" s="1"/>
      <c r="O138" s="1"/>
      <c r="P138" s="1"/>
      <c r="Q138" s="337" t="s">
        <v>256</v>
      </c>
      <c r="R138" s="338" t="s">
        <v>274</v>
      </c>
      <c r="S138" s="1"/>
      <c r="T138" s="84" t="s">
        <v>2592</v>
      </c>
      <c r="U138" s="18" t="str">
        <f>IF(ISBLANK(input_cbr_firewall_rule_vcenter),"Value Missing",input_cbr_firewall_rule_vcenter)</f>
        <v>Value Missing</v>
      </c>
      <c r="V138" s="10"/>
      <c r="W138" s="1"/>
      <c r="X138" s="1"/>
      <c r="Y138" s="1"/>
      <c r="Z138" s="1"/>
      <c r="AA138" s="1"/>
      <c r="AB138" s="1"/>
      <c r="AC138" s="1"/>
      <c r="AD138" s="1"/>
      <c r="AE138" s="1"/>
      <c r="AF138" s="1"/>
    </row>
    <row r="139" ht="19.5" customHeight="1">
      <c r="A139" s="1"/>
      <c r="B139" s="84" t="s">
        <v>2593</v>
      </c>
      <c r="C139" s="18" t="str">
        <f>IF(ISBLANK(mgmt_az1_en1_edge_overlay_network_ip_allocation_chosen),"Value Missing",mgmt_az1_en1_edge_overlay_network_ip_allocation_chosen)</f>
        <v>Static IP List</v>
      </c>
      <c r="D139" s="1"/>
      <c r="E139" s="85" t="s">
        <v>2594</v>
      </c>
      <c r="F139" s="18" t="str">
        <f>IF(ISBLANK(input_xreg_vrops_collector_ip),"Value Missing",input_xreg_vrops_collector_ip)</f>
        <v>Value Missing</v>
      </c>
      <c r="G139" s="1"/>
      <c r="H139" s="187" t="s">
        <v>445</v>
      </c>
      <c r="I139" s="18" t="str">
        <f>IF(ISBLANK(cluster_az1_vmotion_uplink1_chosen),"Value Missing",cluster_az1_vmotion_uplink1_chosen)</f>
        <v>Active</v>
      </c>
      <c r="J139" s="1"/>
      <c r="K139" s="84" t="s">
        <v>2595</v>
      </c>
      <c r="L139" s="18" t="str">
        <f>IF(ISBLANK('Active Directory Inputs'!E84),"Value Missing",'Active Directory Inputs'!E84)</f>
        <v>Value Missing</v>
      </c>
      <c r="M139" s="1"/>
      <c r="N139" s="1"/>
      <c r="O139" s="1"/>
      <c r="P139" s="1"/>
      <c r="Q139" s="173" t="s">
        <v>2574</v>
      </c>
      <c r="R139" s="18"/>
      <c r="S139" s="1"/>
      <c r="T139" s="84" t="s">
        <v>2596</v>
      </c>
      <c r="U139" s="18" t="str">
        <f>IF(ISBLANK(input_cbr_vcdr_site_name),"Value Missing",input_cbr_vcdr_site_name)</f>
        <v>Value Missing</v>
      </c>
      <c r="V139" s="10"/>
      <c r="W139" s="1"/>
      <c r="X139" s="1"/>
      <c r="Y139" s="1"/>
      <c r="Z139" s="1"/>
      <c r="AA139" s="1"/>
      <c r="AB139" s="1"/>
      <c r="AC139" s="1"/>
      <c r="AD139" s="1"/>
      <c r="AE139" s="1"/>
      <c r="AF139" s="1"/>
    </row>
    <row r="140" ht="19.5" customHeight="1">
      <c r="A140" s="1"/>
      <c r="B140" s="84" t="s">
        <v>2597</v>
      </c>
      <c r="C140" s="18" t="str">
        <f>IF(ISBLANK(mgmt_az1_en1_edge_overlay_network_ip_allocation_chosen),"Value Missing",mgmt_az1_en1_edge_overlay_network_ip_allocation_chosen)</f>
        <v>Static IP List</v>
      </c>
      <c r="D140" s="1"/>
      <c r="E140" s="85" t="s">
        <v>2598</v>
      </c>
      <c r="F140" s="18" t="str">
        <f>IF(ISBLANK(mgmt_vcfops_appliance_size_chosen),"Value Missing",mgmt_vcfops_appliance_size_chosen)</f>
        <v>Medium</v>
      </c>
      <c r="G140" s="1"/>
      <c r="H140" s="187" t="s">
        <v>446</v>
      </c>
      <c r="I140" s="18" t="str">
        <f>IF(ISBLANK(cluster_az1_vmotion_uplink2_chosen),"Value Missing",cluster_az1_vmotion_uplink2_chosen)</f>
        <v>Active</v>
      </c>
      <c r="J140" s="1"/>
      <c r="K140" s="84" t="s">
        <v>2599</v>
      </c>
      <c r="L140" s="18" t="str">
        <f>IF(ISBLANK('Active Directory Inputs'!E85),"Value Missing",'Active Directory Inputs'!E85)</f>
        <v>Value Missing</v>
      </c>
      <c r="M140" s="1"/>
      <c r="N140" s="1"/>
      <c r="O140" s="1"/>
      <c r="P140" s="1"/>
      <c r="Q140" s="173" t="s">
        <v>2578</v>
      </c>
      <c r="R140" s="18"/>
      <c r="S140" s="1"/>
      <c r="T140" s="84" t="s">
        <v>2600</v>
      </c>
      <c r="U140" s="18" t="str">
        <f>IF(ISBLANK(input_cbr_vcdr_timezone),"Value Missing",input_cbr_vcdr_timezone)</f>
        <v>Value Missing</v>
      </c>
      <c r="V140" s="10"/>
      <c r="W140" s="1"/>
      <c r="X140" s="1"/>
      <c r="Y140" s="1"/>
      <c r="Z140" s="1"/>
      <c r="AA140" s="1"/>
      <c r="AB140" s="1"/>
      <c r="AC140" s="1"/>
      <c r="AD140" s="1"/>
      <c r="AE140" s="1"/>
      <c r="AF140" s="1"/>
    </row>
    <row r="141" ht="19.5" customHeight="1">
      <c r="A141" s="1"/>
      <c r="B141" s="84" t="s">
        <v>2601</v>
      </c>
      <c r="C141" s="18" t="str">
        <f>mgmt_az1_ec01_password_creation_chosen</f>
        <v>Unselected </v>
      </c>
      <c r="D141" s="1"/>
      <c r="E141" s="41"/>
      <c r="F141" s="41"/>
      <c r="G141" s="1"/>
      <c r="H141" s="15" t="s">
        <v>724</v>
      </c>
      <c r="I141" s="15"/>
      <c r="J141" s="1"/>
      <c r="K141" s="84" t="s">
        <v>2602</v>
      </c>
      <c r="L141" s="18" t="str">
        <f>IF(ISBLANK('Active Directory Inputs'!E86),"Value Missing",'Active Directory Inputs'!E86)</f>
        <v>Value Missing</v>
      </c>
      <c r="M141" s="1"/>
      <c r="N141" s="1"/>
      <c r="O141" s="1"/>
      <c r="P141" s="1"/>
      <c r="Q141" s="262"/>
      <c r="R141" s="1"/>
      <c r="S141" s="1"/>
      <c r="T141" s="84" t="s">
        <v>2603</v>
      </c>
      <c r="U141" s="18" t="str">
        <f t="array" ref="U141">IF(ISBLANK(input_cbr_vcdr_cdp1_hostname),"Value Missing",input_cbr_vcdr_cdp1_hostname)</f>
        <v>Value Missing</v>
      </c>
      <c r="V141" s="10"/>
      <c r="W141" s="1"/>
      <c r="X141" s="1"/>
      <c r="Y141" s="1"/>
      <c r="Z141" s="1"/>
      <c r="AA141" s="1"/>
      <c r="AB141" s="1"/>
      <c r="AC141" s="1"/>
      <c r="AD141" s="1"/>
      <c r="AE141" s="1"/>
      <c r="AF141" s="1"/>
    </row>
    <row r="142" ht="19.5" customHeight="1">
      <c r="A142" s="1"/>
      <c r="B142" s="84" t="s">
        <v>2604</v>
      </c>
      <c r="C142" s="18" t="str">
        <f>IF(ISBLANK(mgmt_tier0_skip_chosen),"Value Missing",mgmt_tier0_skip_chosen)</f>
        <v>Unselected</v>
      </c>
      <c r="D142" s="1"/>
      <c r="E142" s="331" t="s">
        <v>2605</v>
      </c>
      <c r="F142" s="331"/>
      <c r="G142" s="1"/>
      <c r="H142" s="187" t="s">
        <v>441</v>
      </c>
      <c r="I142" s="18" t="str">
        <f>IF(ISBLANK(input_cluster_az1_principal_storage_pg),"Value Missing",input_cluster_az1_principal_storage_pg)</f>
        <v>Value Missing</v>
      </c>
      <c r="J142" s="1"/>
      <c r="K142" s="84" t="s">
        <v>2606</v>
      </c>
      <c r="L142" s="18" t="str">
        <f>IF(ISBLANK('Active Directory Inputs'!E79),"Value Missing",'Active Directory Inputs'!E79)</f>
        <v>Value Missing</v>
      </c>
      <c r="M142" s="1"/>
      <c r="N142" s="1"/>
      <c r="O142" s="1"/>
      <c r="P142" s="1"/>
      <c r="Q142" s="41"/>
      <c r="R142" s="41"/>
      <c r="S142" s="1"/>
      <c r="T142" s="84" t="s">
        <v>2607</v>
      </c>
      <c r="U142" s="18" t="str">
        <f>IF(ISBLANK(input_cbr_vcdr_cdp1_ip),"Value Missing",input_cbr_vcdr_cdp1_ip)</f>
        <v>Value Missing</v>
      </c>
      <c r="V142" s="10"/>
      <c r="W142" s="1"/>
      <c r="X142" s="1"/>
      <c r="Y142" s="1"/>
      <c r="Z142" s="1"/>
      <c r="AA142" s="1"/>
      <c r="AB142" s="1"/>
      <c r="AC142" s="1"/>
      <c r="AD142" s="1"/>
      <c r="AE142" s="1"/>
      <c r="AF142" s="1"/>
    </row>
    <row r="143" ht="19.5" customHeight="1">
      <c r="A143" s="1"/>
      <c r="B143" s="84" t="s">
        <v>2608</v>
      </c>
      <c r="C143" s="18" t="str">
        <f>IF(ISBLANK(wld_az1_ec01_password_creation_chosen),"Value Missing",wld_az1_ec01_password_creation_chosen)</f>
        <v>Unselected </v>
      </c>
      <c r="D143" s="1"/>
      <c r="E143" s="15" t="s">
        <v>256</v>
      </c>
      <c r="F143" s="15" t="s">
        <v>1707</v>
      </c>
      <c r="G143" s="1"/>
      <c r="H143" s="187" t="s">
        <v>442</v>
      </c>
      <c r="I143" s="18" t="str">
        <f>IF(ISBLANK(cluster_az1_principal_storage_lbt_chosen),"Value Missing",cluster_az1_principal_storage_lbt_chosen)</f>
        <v>Route Based on Physical NIC Load</v>
      </c>
      <c r="J143" s="1"/>
      <c r="K143" s="84" t="s">
        <v>2609</v>
      </c>
      <c r="L143" s="18" t="str">
        <f>IF(ISBLANK('Active Directory Inputs'!E80),"Value Missing",'Active Directory Inputs'!E80)</f>
        <v>Value Missing</v>
      </c>
      <c r="M143" s="1"/>
      <c r="N143" s="1"/>
      <c r="O143" s="1"/>
      <c r="P143" s="1"/>
      <c r="Q143" s="41"/>
      <c r="R143" s="41"/>
      <c r="S143" s="1"/>
      <c r="T143" s="84" t="s">
        <v>2610</v>
      </c>
      <c r="U143" s="18" t="str">
        <f>IF(ISBLANK(input_cbr_vcdr_cdp2_hostname),"Value Missing",input_cbr_vcdr_cdp2_hostname)</f>
        <v>Value Missing</v>
      </c>
      <c r="V143" s="10"/>
      <c r="W143" s="1"/>
      <c r="X143" s="1"/>
      <c r="Y143" s="1"/>
      <c r="Z143" s="1"/>
      <c r="AA143" s="1"/>
      <c r="AB143" s="1"/>
      <c r="AC143" s="1"/>
      <c r="AD143" s="1"/>
      <c r="AE143" s="1"/>
      <c r="AF143" s="1"/>
    </row>
    <row r="144" ht="19.5" customHeight="1">
      <c r="A144" s="1"/>
      <c r="B144" s="1"/>
      <c r="C144" s="1"/>
      <c r="D144" s="1"/>
      <c r="E144" s="84" t="s">
        <v>2611</v>
      </c>
      <c r="F144" s="18" t="str">
        <f>IF(ISBLANK(input_wld_sso_domain_name),"Value Missing",input_wld_sso_domain_name)</f>
        <v>Value Missing</v>
      </c>
      <c r="G144" s="1"/>
      <c r="H144" s="187" t="s">
        <v>445</v>
      </c>
      <c r="I144" s="18" t="str">
        <f>IF(ISBLANK(cluster_az1_principal_storage_uplink1_chosen),"Value Missing",cluster_az1_principal_storage_uplink1_chosen)</f>
        <v>Active</v>
      </c>
      <c r="J144" s="1"/>
      <c r="K144" s="84" t="s">
        <v>2612</v>
      </c>
      <c r="L144" s="18" t="str">
        <f>IF(ISBLANK('Active Directory Inputs'!E81),"Value Missing",'Active Directory Inputs'!E81)</f>
        <v>Value Missing</v>
      </c>
      <c r="M144" s="1"/>
      <c r="N144" s="1"/>
      <c r="O144" s="1"/>
      <c r="P144" s="1"/>
      <c r="Q144" s="41"/>
      <c r="R144" s="41"/>
      <c r="S144" s="1"/>
      <c r="T144" s="84" t="s">
        <v>2613</v>
      </c>
      <c r="U144" s="18" t="str">
        <f>IF(ISBLANK(input_cbr_vcdr_cdp2_ip),"Value Missing",input_cbr_vcdr_cdp2_ip)</f>
        <v>Value Missing</v>
      </c>
      <c r="V144" s="10"/>
      <c r="W144" s="1"/>
      <c r="X144" s="1"/>
      <c r="Y144" s="1"/>
      <c r="Z144" s="1"/>
      <c r="AA144" s="1"/>
      <c r="AB144" s="1"/>
      <c r="AC144" s="1"/>
      <c r="AD144" s="1"/>
      <c r="AE144" s="1"/>
      <c r="AF144" s="1"/>
    </row>
    <row r="145" ht="19.5" customHeight="1">
      <c r="A145" s="1"/>
      <c r="B145" s="339" t="s">
        <v>2614</v>
      </c>
      <c r="C145" s="340"/>
      <c r="D145" s="1"/>
      <c r="E145" s="84" t="s">
        <v>2615</v>
      </c>
      <c r="F145" s="18" t="str">
        <f>IF(ISBLANK(input_wld_administrator_vsphere_local_password),"Value Missing",input_wld_administrator_vsphere_local_password)</f>
        <v>Value Missing</v>
      </c>
      <c r="G145" s="1"/>
      <c r="H145" s="187" t="s">
        <v>446</v>
      </c>
      <c r="I145" s="18" t="str">
        <f>IF(ISBLANK(cluster_az1_principal_storage_uplink2_chosen),"Value Missing",cluster_az1_principal_storage_uplink2_chosen)</f>
        <v>Active</v>
      </c>
      <c r="J145" s="1"/>
      <c r="K145" s="84" t="s">
        <v>2616</v>
      </c>
      <c r="L145" s="18" t="str">
        <f>IF(ISBLANK('Active Directory Inputs'!E94),"Value Missing",'Active Directory Inputs'!E94)</f>
        <v>Value Missing</v>
      </c>
      <c r="M145" s="1"/>
      <c r="N145" s="1"/>
      <c r="O145" s="1"/>
      <c r="P145" s="1"/>
      <c r="Q145" s="41"/>
      <c r="R145" s="41"/>
      <c r="S145" s="1"/>
      <c r="T145" s="84" t="s">
        <v>2617</v>
      </c>
      <c r="U145" s="18" t="str">
        <f>IF(ISBLANK(input_cbr_vcdr_ova),"Value Missing",input_cbr_vcdr_ova)</f>
        <v>Value Missing</v>
      </c>
      <c r="V145" s="10"/>
      <c r="W145" s="1"/>
      <c r="X145" s="1"/>
      <c r="Y145" s="1"/>
      <c r="Z145" s="1"/>
      <c r="AA145" s="1"/>
      <c r="AB145" s="1"/>
      <c r="AC145" s="1"/>
      <c r="AD145" s="1"/>
      <c r="AE145" s="1"/>
      <c r="AF145" s="1"/>
    </row>
    <row r="146" ht="19.5" customHeight="1">
      <c r="A146" s="1"/>
      <c r="B146" s="15" t="s">
        <v>256</v>
      </c>
      <c r="C146" s="15" t="s">
        <v>274</v>
      </c>
      <c r="D146" s="1"/>
      <c r="E146" s="84" t="s">
        <v>2618</v>
      </c>
      <c r="F146" s="18" t="str">
        <f>(CONCATENATE("administrator@",input_wld_sso_domain_name))</f>
        <v>administrator@</v>
      </c>
      <c r="G146" s="1"/>
      <c r="H146" s="15" t="s">
        <v>2619</v>
      </c>
      <c r="I146" s="15"/>
      <c r="J146" s="1"/>
      <c r="K146" s="84" t="s">
        <v>2620</v>
      </c>
      <c r="L146" s="18" t="str">
        <f>IF(ISBLANK('Active Directory Inputs'!E95),"Value Missing",'Active Directory Inputs'!E95)</f>
        <v>Value Missing</v>
      </c>
      <c r="M146" s="1"/>
      <c r="N146" s="1"/>
      <c r="O146" s="1"/>
      <c r="P146" s="1"/>
      <c r="Q146" s="41"/>
      <c r="R146" s="41"/>
      <c r="S146" s="1"/>
      <c r="T146" s="84" t="s">
        <v>2621</v>
      </c>
      <c r="U146" s="18" t="str">
        <f>IF(ISBLANK(input_cbr_vcdr_orchestrator_fqdn),"Value Missing",input_cbr_vcdr_orchestrator_fqdn)</f>
        <v>Value Missing</v>
      </c>
      <c r="V146" s="10"/>
      <c r="W146" s="1"/>
      <c r="X146" s="1"/>
      <c r="Y146" s="1"/>
      <c r="Z146" s="1"/>
      <c r="AA146" s="1"/>
      <c r="AB146" s="1"/>
      <c r="AC146" s="1"/>
      <c r="AD146" s="1"/>
      <c r="AE146" s="1"/>
      <c r="AF146" s="1"/>
    </row>
    <row r="147" ht="19.5" customHeight="1">
      <c r="A147" s="1"/>
      <c r="B147" s="84" t="s">
        <v>2622</v>
      </c>
      <c r="C147" s="18" t="str">
        <f>IF(ISBLANK(input_flt_vidb_version),"Value Missing",input_flt_vidb_version)</f>
        <v>Value Missing</v>
      </c>
      <c r="D147" s="1"/>
      <c r="E147" s="85" t="s">
        <v>2623</v>
      </c>
      <c r="F147" s="18" t="str">
        <f>IF(ISBLANK(input_wld_cl01_image_name),"Value Missing",input_wld_cl01_image_name)</f>
        <v>Value Missing</v>
      </c>
      <c r="G147" s="1"/>
      <c r="H147" s="187" t="s">
        <v>441</v>
      </c>
      <c r="I147" s="18" t="str">
        <f>IF(ISBLANK(input_cluster_az1_vsan_storage_client_pg),"Value Missing",input_cluster_az1_vsan_storage_client_pg)</f>
        <v>Value Missing</v>
      </c>
      <c r="J147" s="1"/>
      <c r="K147" s="84" t="s">
        <v>2624</v>
      </c>
      <c r="L147" s="18" t="str">
        <f>IF(ISBLANK('Active Directory Inputs'!E96),"Value Missing",'Active Directory Inputs'!E96)</f>
        <v>Value Missing</v>
      </c>
      <c r="M147" s="1"/>
      <c r="N147" s="1"/>
      <c r="O147" s="1"/>
      <c r="P147" s="1"/>
      <c r="Q147" s="41"/>
      <c r="R147" s="41"/>
      <c r="S147" s="1"/>
      <c r="T147" s="84" t="s">
        <v>2625</v>
      </c>
      <c r="U147" s="18" t="str">
        <f>IF(ISBLANK(input_cbr_vcdr_passcode),"Value Missing",input_cbr_vcdr_passcode)</f>
        <v>Value Missing</v>
      </c>
      <c r="V147" s="10"/>
      <c r="W147" s="1"/>
      <c r="X147" s="1"/>
      <c r="Y147" s="1"/>
      <c r="Z147" s="1"/>
      <c r="AA147" s="1"/>
      <c r="AB147" s="1"/>
      <c r="AC147" s="1"/>
      <c r="AD147" s="1"/>
      <c r="AE147" s="1"/>
      <c r="AF147" s="1"/>
    </row>
    <row r="148" ht="19.5" customHeight="1">
      <c r="A148" s="1"/>
      <c r="B148" s="84" t="s">
        <v>2626</v>
      </c>
      <c r="C148" s="18" t="str">
        <f>IF(ISBLANK(flt_vidb_size_chosen),"Value Missing",flt_vidb_size_chosen)</f>
        <v>Small</v>
      </c>
      <c r="D148" s="1"/>
      <c r="E148" s="84" t="s">
        <v>2627</v>
      </c>
      <c r="F148" s="18" t="str">
        <f>wld_centralized_connectivity_chosen</f>
        <v>Centralized Connectivity</v>
      </c>
      <c r="G148" s="1"/>
      <c r="H148" s="187" t="s">
        <v>442</v>
      </c>
      <c r="I148" s="18" t="str">
        <f>IF(ISBLANK(cluster_az1_vsan_storage_client_lbt_chosen),"Value Missing",cluster_az1_vsan_storage_client_lbt_chosen)</f>
        <v>Route Based on Physical NIC Load</v>
      </c>
      <c r="J148" s="1"/>
      <c r="K148" s="84" t="s">
        <v>2628</v>
      </c>
      <c r="L148" s="18" t="str">
        <f>IF(ISBLANK('Active Directory Inputs'!E97),"Value Missing",'Active Directory Inputs'!E97)</f>
        <v>Value Missing</v>
      </c>
      <c r="M148" s="1"/>
      <c r="N148" s="1"/>
      <c r="O148" s="1"/>
      <c r="P148" s="1"/>
      <c r="Q148" s="41"/>
      <c r="R148" s="41"/>
      <c r="S148" s="1"/>
      <c r="T148" s="84" t="s">
        <v>2629</v>
      </c>
      <c r="U148" s="18" t="str">
        <f>IF(ISBLANK(input_cbr_vcdr_label),"Value Missing",input_cbr_vcdr_label)</f>
        <v>Value Missing</v>
      </c>
      <c r="V148" s="10"/>
      <c r="W148" s="1"/>
      <c r="X148" s="1"/>
      <c r="Y148" s="1"/>
      <c r="Z148" s="1"/>
      <c r="AA148" s="1"/>
      <c r="AB148" s="1"/>
      <c r="AC148" s="1"/>
      <c r="AD148" s="1"/>
      <c r="AE148" s="1"/>
      <c r="AF148" s="1"/>
    </row>
    <row r="149" ht="19.5" customHeight="1">
      <c r="A149" s="1"/>
      <c r="B149" s="84" t="s">
        <v>2630</v>
      </c>
      <c r="C149" s="18" t="str">
        <f>IF(ISBLANK(input_flt_vidb_cert_alias),"Value Missing",input_flt_vidb_cert_alias)</f>
        <v>Value Missing</v>
      </c>
      <c r="D149" s="1"/>
      <c r="E149" s="84" t="s">
        <v>1239</v>
      </c>
      <c r="F149" s="18" t="str">
        <f>IF(ISBLANK(input_wld_nsxt_lm_audit_password),"Value Missing",input_wld_nsxt_lm_audit_password)</f>
        <v>Value Missing</v>
      </c>
      <c r="G149" s="1"/>
      <c r="H149" s="187" t="s">
        <v>445</v>
      </c>
      <c r="I149" s="18" t="str">
        <f>IF(ISBLANK(cluster_az1_vsan_storage_client_uplink1),"Value Missing",cluster_az1_vsan_storage_client_uplink1)</f>
        <v>Active</v>
      </c>
      <c r="J149" s="1"/>
      <c r="K149" s="84" t="s">
        <v>2631</v>
      </c>
      <c r="L149" s="18" t="str">
        <f>IF(ISBLANK('Active Directory Inputs'!E103),"Value Missing",'Active Directory Inputs'!E103)</f>
        <v>Value Missing</v>
      </c>
      <c r="M149" s="1"/>
      <c r="N149" s="1"/>
      <c r="O149" s="1"/>
      <c r="P149" s="1"/>
      <c r="Q149" s="41"/>
      <c r="R149" s="41"/>
      <c r="S149" s="1"/>
      <c r="T149" s="84" t="s">
        <v>2632</v>
      </c>
      <c r="U149" s="18" t="str">
        <f>IF(ISBLANK(input_cbr_vcdr_anti_affinity),"Value Missing",input_cbr_vcdr_anti_affinity)</f>
        <v>Value Missing</v>
      </c>
      <c r="V149" s="10"/>
      <c r="W149" s="1"/>
      <c r="X149" s="1"/>
      <c r="Y149" s="1"/>
      <c r="Z149" s="1"/>
      <c r="AA149" s="1"/>
      <c r="AB149" s="1"/>
      <c r="AC149" s="1"/>
      <c r="AD149" s="1"/>
      <c r="AE149" s="1"/>
      <c r="AF149" s="1"/>
    </row>
    <row r="150" ht="19.5" customHeight="1">
      <c r="A150" s="1"/>
      <c r="B150" s="84" t="s">
        <v>2633</v>
      </c>
      <c r="C150" s="18" t="str">
        <f>IF(ISBLANK(input_flt_vidb_cert_common_name),"Value Missing",input_flt_vidb_cert_common_name)</f>
        <v>Value Missing</v>
      </c>
      <c r="D150" s="1"/>
      <c r="E150" s="84" t="s">
        <v>2634</v>
      </c>
      <c r="F150" s="18" t="str">
        <f>IF(ISBLANK(input_wld_nsxt_lm_admin_password),"Value Missing",input_wld_nsxt_lm_admin_password)</f>
        <v>Value Missing</v>
      </c>
      <c r="G150" s="1"/>
      <c r="H150" s="187" t="s">
        <v>446</v>
      </c>
      <c r="I150" s="18" t="str">
        <f>IF(ISBLANK(cluster_az1_vsan_storage_client_uplink2),"Value Missing",cluster_az1_vsan_storage_client_uplink2)</f>
        <v>Active</v>
      </c>
      <c r="J150" s="1"/>
      <c r="K150" s="84" t="s">
        <v>2635</v>
      </c>
      <c r="L150" s="18" t="str">
        <f>IF(ISBLANK('Active Directory Inputs'!E104),"Value Missing",'Active Directory Inputs'!E104)</f>
        <v>Value Missing</v>
      </c>
      <c r="M150" s="1"/>
      <c r="N150" s="1"/>
      <c r="O150" s="1"/>
      <c r="P150" s="1"/>
      <c r="Q150" s="41"/>
      <c r="R150" s="41"/>
      <c r="S150" s="1"/>
      <c r="T150" s="84" t="s">
        <v>2636</v>
      </c>
      <c r="U150" s="18" t="str">
        <f>IF(ISBLANK(input_cbr_vcdr_email_recipient),"Value Missing",input_cbr_vcdr_email_recipient)</f>
        <v>Value Missing</v>
      </c>
      <c r="V150" s="10"/>
      <c r="W150" s="1"/>
      <c r="X150" s="1"/>
      <c r="Y150" s="1"/>
      <c r="Z150" s="1"/>
      <c r="AA150" s="1"/>
      <c r="AB150" s="1"/>
      <c r="AC150" s="1"/>
      <c r="AD150" s="1"/>
      <c r="AE150" s="1"/>
      <c r="AF150" s="1"/>
    </row>
    <row r="151" ht="19.5" customHeight="1">
      <c r="A151" s="1"/>
      <c r="B151" s="84" t="s">
        <v>2637</v>
      </c>
      <c r="C151" s="18" t="str">
        <f>IF(ISBLANK(input_flt_vidb_cert_organisation),"Value Missing",input_flt_vidb_cert_organisation)</f>
        <v>Value Missing</v>
      </c>
      <c r="D151" s="1"/>
      <c r="E151" s="84" t="s">
        <v>2638</v>
      </c>
      <c r="F151" s="18" t="str">
        <f>wld_nsx_ha_mode_chosen</f>
        <v>High-Availability</v>
      </c>
      <c r="G151" s="1"/>
      <c r="H151" s="15" t="s">
        <v>480</v>
      </c>
      <c r="I151" s="15"/>
      <c r="J151" s="1"/>
      <c r="K151" s="84" t="s">
        <v>2639</v>
      </c>
      <c r="L151" s="18" t="str">
        <f>IF(ISBLANK('Active Directory Inputs'!E105),"Value Missing",'Active Directory Inputs'!E105)</f>
        <v>Value Missing</v>
      </c>
      <c r="M151" s="1"/>
      <c r="N151" s="1"/>
      <c r="O151" s="1"/>
      <c r="P151" s="1"/>
      <c r="Q151" s="41"/>
      <c r="R151" s="41"/>
      <c r="S151" s="1"/>
      <c r="T151" s="84" t="s">
        <v>2640</v>
      </c>
      <c r="U151" s="18" t="str">
        <f>IF(ISBLANK(input_cbr_vcdr_email_sender),"Value Missing",input_cbr_vcdr_email_sender)</f>
        <v>Value Missing</v>
      </c>
      <c r="V151" s="10"/>
      <c r="W151" s="1"/>
      <c r="X151" s="1"/>
      <c r="Y151" s="1"/>
      <c r="Z151" s="1"/>
      <c r="AA151" s="1"/>
      <c r="AB151" s="1"/>
      <c r="AC151" s="1"/>
      <c r="AD151" s="1"/>
      <c r="AE151" s="1"/>
      <c r="AF151" s="1"/>
    </row>
    <row r="152" ht="19.5" customHeight="1">
      <c r="A152" s="1"/>
      <c r="B152" s="84" t="s">
        <v>2641</v>
      </c>
      <c r="C152" s="18" t="str">
        <f>IF(ISBLANK(input_flt_vidb_ou_cert),"Value Missing",input_flt_vidb_ou_cert)</f>
        <v>Value Missing</v>
      </c>
      <c r="D152" s="1"/>
      <c r="E152" s="84" t="s">
        <v>2642</v>
      </c>
      <c r="F152" s="18"/>
      <c r="G152" s="1"/>
      <c r="H152" s="84" t="s">
        <v>452</v>
      </c>
      <c r="I152" s="18" t="str">
        <f>cluster_nsx_default_operation_mode_chosen</f>
        <v>Selected</v>
      </c>
      <c r="J152" s="1"/>
      <c r="K152" s="84" t="s">
        <v>2643</v>
      </c>
      <c r="L152" s="18" t="str">
        <f>IF(ISBLANK(input_gg_vcf_admins_group),"Value Missing",input_gg_vcf_admins_group)</f>
        <v>Value Missing</v>
      </c>
      <c r="M152" s="1"/>
      <c r="N152" s="1"/>
      <c r="O152" s="1"/>
      <c r="P152" s="1"/>
      <c r="Q152" s="41"/>
      <c r="R152" s="41"/>
      <c r="S152" s="1"/>
      <c r="T152" s="84" t="s">
        <v>2644</v>
      </c>
      <c r="U152" s="18" t="str">
        <f>IF(ISBLANK(input_cbr_aria_logs_url),"Value Missing",input_cbr_aria_logs_url)</f>
        <v>Value Missing</v>
      </c>
      <c r="V152" s="10"/>
      <c r="W152" s="1"/>
      <c r="X152" s="1"/>
      <c r="Y152" s="1"/>
      <c r="Z152" s="1"/>
      <c r="AA152" s="1"/>
      <c r="AB152" s="1"/>
      <c r="AC152" s="1"/>
      <c r="AD152" s="1"/>
      <c r="AE152" s="1"/>
      <c r="AF152" s="1"/>
    </row>
    <row r="153" ht="19.5" customHeight="1">
      <c r="A153" s="1"/>
      <c r="B153" s="84" t="s">
        <v>2645</v>
      </c>
      <c r="C153" s="18" t="str">
        <f>IF(ISBLANK(input_flt_vidb_cert_country_code),"Value Missing",input_flt_vidb_cert_country_code)</f>
        <v>Value Missing</v>
      </c>
      <c r="D153" s="1"/>
      <c r="E153" s="84" t="s">
        <v>2646</v>
      </c>
      <c r="F153" s="18" t="str">
        <f>IF(ISBLANK(input_wld_ec_rp_name),"Value Missing",input_wld_ec_rp_name)</f>
        <v>Value Missing</v>
      </c>
      <c r="G153" s="1"/>
      <c r="H153" s="84" t="s">
        <v>264</v>
      </c>
      <c r="I153" s="18" t="str">
        <f>cluster_nsx_operation_mode_chosen</f>
        <v>Standard</v>
      </c>
      <c r="J153" s="1"/>
      <c r="K153" s="84" t="s">
        <v>2647</v>
      </c>
      <c r="L153" s="18" t="str">
        <f>IF(ISBLANK(input_gg_vcf_operators_group),"Value Missing",input_gg_vcf_operators_group)</f>
        <v>Value Missing</v>
      </c>
      <c r="M153" s="1"/>
      <c r="N153" s="1"/>
      <c r="O153" s="1"/>
      <c r="P153" s="1"/>
      <c r="Q153" s="41"/>
      <c r="R153" s="41"/>
      <c r="S153" s="1"/>
      <c r="T153" s="84" t="s">
        <v>2648</v>
      </c>
      <c r="U153" s="18" t="str">
        <f>IF(ISBLANK(input_cbr_aria_logs_key),"Value Missing",input_cbr_aria_logs_key)</f>
        <v>Value Missing</v>
      </c>
      <c r="V153" s="10"/>
      <c r="W153" s="1"/>
      <c r="X153" s="1"/>
      <c r="Y153" s="1"/>
      <c r="Z153" s="1"/>
      <c r="AA153" s="1"/>
      <c r="AB153" s="1"/>
      <c r="AC153" s="1"/>
      <c r="AD153" s="1"/>
      <c r="AE153" s="1"/>
      <c r="AF153" s="1"/>
    </row>
    <row r="154" ht="19.5" customHeight="1">
      <c r="A154" s="1"/>
      <c r="B154" s="84" t="s">
        <v>2649</v>
      </c>
      <c r="C154" s="18" t="str">
        <f>IF(ISBLANK(input_flt_vidb_cert_locality),"Value Missing",input_flt_vidb_cert_locality)</f>
        <v>Value Missing</v>
      </c>
      <c r="D154" s="1"/>
      <c r="E154" s="84" t="s">
        <v>2650</v>
      </c>
      <c r="F154" s="18" t="str">
        <f>IF(ISBLANK(wld_ec01_host_group_affinity_rule_chosen),"Value Missing",wld_ec01_host_group_affinity_rule_chosen)</f>
        <v>No</v>
      </c>
      <c r="G154" s="1"/>
      <c r="H154" s="84" t="s">
        <v>1614</v>
      </c>
      <c r="I154" s="18"/>
      <c r="J154" s="1"/>
      <c r="K154" s="84" t="s">
        <v>2651</v>
      </c>
      <c r="L154" s="18" t="str">
        <f>IF(ISBLANK(input_gg_vcf_viewers_group),"Value Missing",input_gg_vcf_viewers_group)</f>
        <v>Value Missing</v>
      </c>
      <c r="M154" s="1"/>
      <c r="N154" s="1"/>
      <c r="O154" s="1"/>
      <c r="P154" s="1"/>
      <c r="Q154" s="41"/>
      <c r="R154" s="41"/>
      <c r="S154" s="1"/>
      <c r="T154" s="41"/>
      <c r="U154" s="41"/>
      <c r="V154" s="10"/>
      <c r="W154" s="1"/>
      <c r="X154" s="1"/>
      <c r="Y154" s="1"/>
      <c r="Z154" s="1"/>
      <c r="AA154" s="1"/>
      <c r="AB154" s="1"/>
      <c r="AC154" s="1"/>
      <c r="AD154" s="1"/>
      <c r="AE154" s="1"/>
      <c r="AF154" s="1"/>
    </row>
    <row r="155" ht="19.5" customHeight="1">
      <c r="A155" s="1"/>
      <c r="B155" s="84" t="s">
        <v>2652</v>
      </c>
      <c r="C155" s="18" t="str">
        <f>IF(ISBLANK(input_flt_vidb_cert_state),"Value Missing",input_flt_vidb_cert_state)</f>
        <v>Value Missing</v>
      </c>
      <c r="D155" s="1"/>
      <c r="E155" s="84" t="s">
        <v>2653</v>
      </c>
      <c r="F155" s="18" t="str">
        <f>IF(ISBLANK(input_wld_ec01_en01_host_group_affinity_rule_name),"Value Missing",input_wld_ec01_en01_host_group_affinity_rule_name)</f>
        <v>Value Missing</v>
      </c>
      <c r="G155" s="1"/>
      <c r="H155" s="84" t="s">
        <v>1318</v>
      </c>
      <c r="I155" s="18"/>
      <c r="J155" s="1"/>
      <c r="K155" s="84" t="s">
        <v>2654</v>
      </c>
      <c r="L155" s="18" t="str">
        <f>IF(ISBLANK(input_gg_vc_admins_group),"Value Missing",input_gg_vc_admins_group)</f>
        <v>Value Missing</v>
      </c>
      <c r="M155" s="1"/>
      <c r="N155" s="1"/>
      <c r="O155" s="1"/>
      <c r="P155" s="1"/>
      <c r="Q155" s="41"/>
      <c r="R155" s="41"/>
      <c r="S155" s="1"/>
      <c r="T155" s="332" t="s">
        <v>2655</v>
      </c>
      <c r="U155" s="14"/>
      <c r="V155" s="10"/>
      <c r="W155" s="1"/>
      <c r="X155" s="1"/>
      <c r="Y155" s="1"/>
      <c r="Z155" s="1"/>
      <c r="AA155" s="1"/>
      <c r="AB155" s="1"/>
      <c r="AC155" s="1"/>
      <c r="AD155" s="1"/>
      <c r="AE155" s="1"/>
      <c r="AF155" s="1"/>
    </row>
    <row r="156" ht="19.5" customHeight="1">
      <c r="A156" s="1"/>
      <c r="B156" s="84" t="s">
        <v>2656</v>
      </c>
      <c r="C156" s="18" t="str">
        <f>IF(ISBLANK(flt_vidb_cert_key_length_chosen),"Value Missing",flt_vidb_cert_key_length_chosen)</f>
        <v>4096</v>
      </c>
      <c r="D156" s="1"/>
      <c r="E156" s="173" t="s">
        <v>2657</v>
      </c>
      <c r="F156" s="18" t="str">
        <f>IF(ISBLANK(input_wld_ec01_en02_host_group_affinity_rule_name),"Value Missing",input_wld_ec01_en02_host_group_affinity_rule_name)</f>
        <v>Value Missing</v>
      </c>
      <c r="G156" s="1"/>
      <c r="H156" s="15" t="s">
        <v>457</v>
      </c>
      <c r="I156" s="15"/>
      <c r="J156" s="1"/>
      <c r="K156" s="84" t="s">
        <v>2658</v>
      </c>
      <c r="L156" s="18" t="str">
        <f>IF(ISBLANK(input_gg_vc_read_only_group),"Value Missing",input_gg_vc_read_only_group)</f>
        <v>Value Missing</v>
      </c>
      <c r="M156" s="1"/>
      <c r="N156" s="1"/>
      <c r="O156" s="1"/>
      <c r="P156" s="1"/>
      <c r="Q156" s="41"/>
      <c r="R156" s="41"/>
      <c r="S156" s="1"/>
      <c r="T156" s="337" t="s">
        <v>256</v>
      </c>
      <c r="U156" s="338" t="s">
        <v>274</v>
      </c>
      <c r="V156" s="10"/>
      <c r="W156" s="1"/>
      <c r="X156" s="1"/>
      <c r="Y156" s="1"/>
      <c r="Z156" s="41"/>
      <c r="AA156" s="41"/>
      <c r="AB156" s="1"/>
      <c r="AC156" s="1"/>
      <c r="AD156" s="1"/>
      <c r="AE156" s="1"/>
      <c r="AF156" s="1"/>
    </row>
    <row r="157" ht="19.5" customHeight="1">
      <c r="A157" s="1"/>
      <c r="B157" s="84" t="s">
        <v>2659</v>
      </c>
      <c r="C157" s="18" t="str">
        <f>IF(ISBLANK(input_flt_vidb_folder),"Value Missing",input_flt_vidb_folder)</f>
        <v>Value Missing</v>
      </c>
      <c r="D157" s="1"/>
      <c r="E157" s="84" t="s">
        <v>2660</v>
      </c>
      <c r="F157" s="18" t="str">
        <f>IF(ISBLANK(wld_ec01_use_host_overlay_chosen),"Value Missing",wld_ec01_use_host_overlay_chosen)</f>
        <v>Unselected </v>
      </c>
      <c r="G157" s="1"/>
      <c r="H157" s="84" t="s">
        <v>458</v>
      </c>
      <c r="I157" s="18" t="str">
        <f>IF(ISBLANK(input_cluster_host_overlay_transportzone),"Value Missing",input_cluster_host_overlay_transportzone)</f>
        <v>Value Missing</v>
      </c>
      <c r="J157" s="1"/>
      <c r="K157" s="84" t="s">
        <v>2661</v>
      </c>
      <c r="L157" s="18" t="str">
        <f>IF(ISBLANK(input_gg_sso_admins_group),"Value Missing",input_gg_sso_admins_group)</f>
        <v>Value Missing</v>
      </c>
      <c r="M157" s="1"/>
      <c r="N157" s="1"/>
      <c r="O157" s="1"/>
      <c r="P157" s="1"/>
      <c r="Q157" s="41"/>
      <c r="R157" s="41"/>
      <c r="S157" s="1"/>
      <c r="T157" s="84" t="s">
        <v>2662</v>
      </c>
      <c r="U157" s="18" t="str">
        <f>IF(ISBLANK(input_ccm_hcx_vsphere_role),"Value Missing",input_ccm_hcx_vsphere_role)</f>
        <v>Value Missing</v>
      </c>
      <c r="V157" s="10"/>
      <c r="W157" s="1"/>
      <c r="X157" s="1"/>
      <c r="Y157" s="1"/>
      <c r="Z157" s="1"/>
      <c r="AA157" s="1"/>
      <c r="AB157" s="1"/>
      <c r="AC157" s="1"/>
      <c r="AD157" s="1"/>
      <c r="AE157" s="1"/>
      <c r="AF157" s="1"/>
    </row>
    <row r="158" ht="19.5" customHeight="1">
      <c r="A158" s="1"/>
      <c r="B158" s="84" t="s">
        <v>1059</v>
      </c>
      <c r="C158" s="18" t="str">
        <f>IF(ISBLANK(input_flt_vidb_gateway_ip),"Value Missing",input_flt_vidb_gateway_ip)</f>
        <v>Value Missing</v>
      </c>
      <c r="D158" s="1"/>
      <c r="E158" s="84" t="s">
        <v>2663</v>
      </c>
      <c r="F158" s="18" t="str">
        <f>wld_gateway_routing_type_chosen</f>
        <v>BGP</v>
      </c>
      <c r="G158" s="1"/>
      <c r="H158" s="84" t="s">
        <v>401</v>
      </c>
      <c r="I158" s="18" t="str">
        <f>IF(ISBLANK(input_cluster_az1_host_overlay_vlan),"Value Missing",input_cluster_az1_host_overlay_vlan)</f>
        <v>Value Missing</v>
      </c>
      <c r="J158" s="1"/>
      <c r="K158" s="84" t="s">
        <v>2664</v>
      </c>
      <c r="L158" s="18" t="str">
        <f>IF(ISBLANK(input_gg_nsx_enterprise_admins_group),"Value Missing",input_gg_nsx_enterprise_admins_group)</f>
        <v>Value Missing</v>
      </c>
      <c r="M158" s="1"/>
      <c r="N158" s="1"/>
      <c r="O158" s="1"/>
      <c r="P158" s="1"/>
      <c r="Q158" s="41"/>
      <c r="R158" s="41"/>
      <c r="S158" s="1"/>
      <c r="T158" s="84" t="s">
        <v>2665</v>
      </c>
      <c r="U158" s="18" t="str">
        <f>IF(ISBLANK(input_svc_ccm_hcx_vsphere_user),"Value Missing",input_svc_ccm_hcx_vsphere_user)</f>
        <v>Value Missing</v>
      </c>
      <c r="V158" s="10"/>
      <c r="W158" s="1"/>
      <c r="X158" s="1"/>
      <c r="Y158" s="1"/>
      <c r="Z158" s="1"/>
      <c r="AA158" s="1"/>
      <c r="AB158" s="1"/>
      <c r="AC158" s="1"/>
      <c r="AD158" s="1"/>
      <c r="AE158" s="1"/>
      <c r="AF158" s="1"/>
    </row>
    <row r="159" ht="19.5" customHeight="1">
      <c r="A159" s="1"/>
      <c r="B159" s="84" t="s">
        <v>1060</v>
      </c>
      <c r="C159" s="18" t="str">
        <f>IF(ISBLANK(input_flt_vidb_mask),"Value Missing",input_flt_vidb_mask)</f>
        <v>Value Missing</v>
      </c>
      <c r="D159" s="1"/>
      <c r="E159" s="15" t="s">
        <v>2666</v>
      </c>
      <c r="F159" s="15" t="s">
        <v>274</v>
      </c>
      <c r="G159" s="1"/>
      <c r="H159" s="84" t="s">
        <v>459</v>
      </c>
      <c r="I159" s="18" t="str">
        <f>IF(ISBLANK(cluster_host_overlay_addressing_chosen),"Value Missing",cluster_host_overlay_addressing_chosen)</f>
        <v>Static IP Pool</v>
      </c>
      <c r="J159" s="1"/>
      <c r="K159" s="84" t="s">
        <v>2667</v>
      </c>
      <c r="L159" s="18" t="str">
        <f>IF(ISBLANK(input_gg_nsx_network_admins_group),"Value Missing",input_gg_nsx_network_admins_group)</f>
        <v>Value Missing</v>
      </c>
      <c r="M159" s="1"/>
      <c r="N159" s="1"/>
      <c r="O159" s="1"/>
      <c r="P159" s="1"/>
      <c r="Q159" s="41"/>
      <c r="R159" s="41"/>
      <c r="S159" s="1"/>
      <c r="T159" s="84" t="s">
        <v>2668</v>
      </c>
      <c r="U159" s="18" t="str">
        <f>IF(ISBLANK(input_svc_ccm_hcx_vsphere_password),"Value Missing",input_svc_ccm_hcx_vsphere_password)</f>
        <v>Value Missing</v>
      </c>
      <c r="V159" s="10"/>
      <c r="W159" s="1"/>
      <c r="X159" s="1"/>
      <c r="Y159" s="1"/>
      <c r="Z159" s="1"/>
      <c r="AA159" s="1"/>
      <c r="AB159" s="1"/>
      <c r="AC159" s="1"/>
      <c r="AD159" s="1"/>
      <c r="AE159" s="1"/>
      <c r="AF159" s="1"/>
    </row>
    <row r="160" ht="19.5" customHeight="1">
      <c r="A160" s="1"/>
      <c r="B160" s="84" t="s">
        <v>2669</v>
      </c>
      <c r="C160" s="18" t="str">
        <f>IF(ISBLANK(input_flt_vidb_resource_pool),"Value Missing",input_flt_vidb_resource_pool)</f>
        <v>Value Missing</v>
      </c>
      <c r="D160" s="1"/>
      <c r="E160" s="173" t="s">
        <v>452</v>
      </c>
      <c r="F160" s="18" t="str">
        <f>wld_nsx_default_operation_mode_chosen</f>
        <v>Selected</v>
      </c>
      <c r="G160" s="1"/>
      <c r="H160" s="84" t="s">
        <v>1319</v>
      </c>
      <c r="I160" s="18" t="str">
        <f>IF(ISBLANK(cluster_az1_host_overlay_new_pool_chosen),"Value Missing",cluster_az1_host_overlay_new_pool_chosen)</f>
        <v>Re-use an existing Pool</v>
      </c>
      <c r="J160" s="1"/>
      <c r="K160" s="84" t="s">
        <v>2670</v>
      </c>
      <c r="L160" s="18" t="str">
        <f>IF(ISBLANK(input_gg_nsx_auditors_group),"Value Missing",input_gg_nsx_auditors_group)</f>
        <v>Value Missing</v>
      </c>
      <c r="M160" s="1"/>
      <c r="N160" s="1"/>
      <c r="O160" s="1"/>
      <c r="P160" s="1"/>
      <c r="Q160" s="41"/>
      <c r="R160" s="41"/>
      <c r="S160" s="1"/>
      <c r="T160" s="84" t="s">
        <v>2671</v>
      </c>
      <c r="U160" s="18" t="str">
        <f>IF(ISBLANK(input_ccm_vm_folder),"Value Missing",input_ccm_vm_folder)</f>
        <v>Value Missing</v>
      </c>
      <c r="V160" s="10"/>
      <c r="W160" s="1"/>
      <c r="X160" s="1"/>
      <c r="Y160" s="1"/>
      <c r="Z160" s="1"/>
      <c r="AA160" s="1"/>
      <c r="AB160" s="1"/>
      <c r="AC160" s="1"/>
      <c r="AD160" s="1"/>
      <c r="AE160" s="1"/>
      <c r="AF160" s="1"/>
    </row>
    <row r="161" ht="19.5" customHeight="1">
      <c r="A161" s="1"/>
      <c r="B161" s="84" t="s">
        <v>600</v>
      </c>
      <c r="C161" s="18" t="str">
        <f>IF(ISBLANK(input_flt_vidb_pg),"Value Missing",input_flt_vidb_pg)</f>
        <v>Value Missing</v>
      </c>
      <c r="D161" s="1"/>
      <c r="E161" s="173" t="s">
        <v>2672</v>
      </c>
      <c r="F161" s="18" t="str">
        <f>IF(ISBLANK(mgmt_nsx_operation_mode_chosen),"Value Missing",mgmt_nsx_operation_mode_chosen)</f>
        <v>Enhanced Datapath Standard</v>
      </c>
      <c r="G161" s="1"/>
      <c r="H161" s="84" t="s">
        <v>461</v>
      </c>
      <c r="I161" s="18" t="str">
        <f>IF(ISBLANK(input_cluster_az1_host_overlay_network_pool_name),"Value Missing",input_cluster_az1_host_overlay_network_pool_name)</f>
        <v>Value Missing</v>
      </c>
      <c r="J161" s="1"/>
      <c r="K161" s="1"/>
      <c r="L161" s="1"/>
      <c r="M161" s="41"/>
      <c r="N161" s="1"/>
      <c r="O161" s="1"/>
      <c r="P161" s="41"/>
      <c r="Q161" s="1"/>
      <c r="R161" s="1"/>
      <c r="S161" s="1"/>
      <c r="T161" s="84" t="s">
        <v>2673</v>
      </c>
      <c r="U161" s="18" t="str">
        <f>IF(ISBLANK(input_ccm_hcx_vm_folder),"Value Missing",input_ccm_hcx_vm_folder)</f>
        <v>Value Missing</v>
      </c>
      <c r="V161" s="10"/>
      <c r="W161" s="1"/>
      <c r="X161" s="1"/>
      <c r="Y161" s="1"/>
      <c r="Z161" s="1"/>
      <c r="AA161" s="1"/>
      <c r="AB161" s="1"/>
      <c r="AC161" s="1"/>
      <c r="AD161" s="1"/>
      <c r="AE161" s="1"/>
      <c r="AF161" s="1"/>
    </row>
    <row r="162" ht="19.5" customHeight="1">
      <c r="A162" s="1"/>
      <c r="B162" s="84" t="s">
        <v>299</v>
      </c>
      <c r="C162" s="18" t="str">
        <f>IF(ISBLANK(input_flt_vidb_vcenter_fqdn),"Value Missing",input_flt_vidb_vcenter_fqdn)</f>
        <v>Value Missing</v>
      </c>
      <c r="D162" s="1"/>
      <c r="E162" s="173" t="s">
        <v>2674</v>
      </c>
      <c r="F162" s="18" t="str">
        <f>wld_domain_password_creation_chosen</f>
        <v>Unselected</v>
      </c>
      <c r="G162" s="1"/>
      <c r="H162" s="84" t="s">
        <v>1616</v>
      </c>
      <c r="I162" s="18" t="str">
        <f>IF(ISBLANK(input_cluster_az1_host_overlay_network_pool_description),"Value Missing",input_cluster_az1_host_overlay_network_pool_description)</f>
        <v>Value Missing</v>
      </c>
      <c r="J162" s="1"/>
      <c r="K162" s="332" t="s">
        <v>2675</v>
      </c>
      <c r="L162" s="14"/>
      <c r="M162" s="41"/>
      <c r="N162" s="1"/>
      <c r="O162" s="1"/>
      <c r="P162" s="41"/>
      <c r="Q162" s="1"/>
      <c r="R162" s="1"/>
      <c r="S162" s="1"/>
      <c r="T162" s="84" t="s">
        <v>2676</v>
      </c>
      <c r="U162" s="18" t="str">
        <f>IF(ISBLANK(input_ccm_hcx_resource_pool),"Value Missing",input_ccm_hcx_resource_pool)</f>
        <v>Value Missing</v>
      </c>
      <c r="V162" s="10"/>
      <c r="W162" s="1"/>
      <c r="X162" s="41"/>
      <c r="Y162" s="41"/>
      <c r="Z162" s="1"/>
      <c r="AA162" s="1"/>
      <c r="AB162" s="1"/>
      <c r="AC162" s="1"/>
      <c r="AD162" s="1"/>
      <c r="AE162" s="1"/>
      <c r="AF162" s="1"/>
    </row>
    <row r="163" ht="19.5" customHeight="1">
      <c r="A163" s="1"/>
      <c r="B163" s="84" t="s">
        <v>1178</v>
      </c>
      <c r="C163" s="18" t="str">
        <f>IF(ISBLANK(input_flt_vidb_cluster),"Value Missing",input_flt_vidb_cluster)</f>
        <v>Value Missing</v>
      </c>
      <c r="D163" s="1"/>
      <c r="E163" s="173" t="s">
        <v>2677</v>
      </c>
      <c r="F163" s="18" t="str">
        <f>wld_az1_en1_edge_overlay_network_ip_allocation_chosen</f>
        <v>Static IP List</v>
      </c>
      <c r="G163" s="1"/>
      <c r="H163" s="84" t="s">
        <v>464</v>
      </c>
      <c r="I163" s="18" t="str">
        <f>IF(ISBLANK(input_cluster_az1_host_overlay_cidr),"Value Missing",input_cluster_az1_host_overlay_cidr)</f>
        <v>Value Missing</v>
      </c>
      <c r="J163" s="1"/>
      <c r="K163" s="337" t="s">
        <v>256</v>
      </c>
      <c r="L163" s="338" t="s">
        <v>274</v>
      </c>
      <c r="M163" s="41"/>
      <c r="N163" s="1"/>
      <c r="O163" s="1"/>
      <c r="P163" s="41"/>
      <c r="Q163" s="1"/>
      <c r="R163" s="1"/>
      <c r="S163" s="1"/>
      <c r="T163" s="84" t="s">
        <v>2678</v>
      </c>
      <c r="U163" s="18" t="str">
        <f>IF(ISBLANK(input_svc_ccm_hcx_nsx_user),"Value Missing",input_svc_ccm_hcx_nsx_user)</f>
        <v>Value Missing</v>
      </c>
      <c r="V163" s="10"/>
      <c r="W163" s="1"/>
      <c r="X163" s="1"/>
      <c r="Y163" s="1"/>
      <c r="Z163" s="1"/>
      <c r="AA163" s="1"/>
      <c r="AB163" s="1"/>
      <c r="AC163" s="1"/>
      <c r="AD163" s="1"/>
      <c r="AE163" s="80"/>
      <c r="AF163" s="1"/>
    </row>
    <row r="164" ht="19.5" customHeight="1">
      <c r="A164" s="1"/>
      <c r="B164" s="84" t="s">
        <v>596</v>
      </c>
      <c r="C164" s="18" t="str">
        <f>IF(ISBLANK(input_flt_vidb_datastore),"Value Missing",input_flt_vidb_datastore)</f>
        <v>Value Missing</v>
      </c>
      <c r="D164" s="1"/>
      <c r="E164" s="173" t="s">
        <v>2679</v>
      </c>
      <c r="F164" s="18" t="str">
        <f>wld_az1_en1_ip_allocation_chosen</f>
        <v>Static</v>
      </c>
      <c r="G164" s="1"/>
      <c r="H164" s="84" t="s">
        <v>465</v>
      </c>
      <c r="I164" s="18" t="str">
        <f>IF(ISBLANK(input_cluster_az1_host_overlay_pool_start_ip),"Value Missing",input_cluster_az1_host_overlay_pool_start_ip)</f>
        <v>Value Missing</v>
      </c>
      <c r="J164" s="1"/>
      <c r="K164" s="84" t="s">
        <v>2680</v>
      </c>
      <c r="L164" s="18"/>
      <c r="M164" s="41"/>
      <c r="N164" s="1"/>
      <c r="O164" s="1"/>
      <c r="P164" s="41"/>
      <c r="Q164" s="1"/>
      <c r="R164" s="1"/>
      <c r="S164" s="1"/>
      <c r="T164" s="84" t="s">
        <v>2681</v>
      </c>
      <c r="U164" s="18" t="str">
        <f t="array" ref="U164">IF(ISBLANK(input_svc_ccm_hcx_nsx_password),"Value Missing",input_svc_ccm_hcx_nsx_password)</f>
        <v>Value Missing</v>
      </c>
      <c r="V164" s="10"/>
      <c r="W164" s="1"/>
      <c r="X164" s="1"/>
      <c r="Y164" s="1"/>
      <c r="Z164" s="1"/>
      <c r="AA164" s="1"/>
      <c r="AB164" s="1"/>
      <c r="AC164" s="1"/>
      <c r="AD164" s="1"/>
      <c r="AE164" s="1"/>
      <c r="AF164" s="1"/>
    </row>
    <row r="165" ht="19.5" customHeight="1">
      <c r="A165" s="1"/>
      <c r="B165" s="84" t="s">
        <v>2682</v>
      </c>
      <c r="C165" s="18"/>
      <c r="D165" s="1"/>
      <c r="E165" s="173" t="s">
        <v>2683</v>
      </c>
      <c r="F165" s="18"/>
      <c r="G165" s="1"/>
      <c r="H165" s="84" t="s">
        <v>466</v>
      </c>
      <c r="I165" s="18" t="str">
        <f>IF(ISBLANK(input_cluster_az1_host_overlay_pool_end_ip),"Value Missing",input_cluster_az1_host_overlay_pool_end_ip)</f>
        <v>Value Missing</v>
      </c>
      <c r="J165" s="1"/>
      <c r="K165" s="1"/>
      <c r="L165" s="1"/>
      <c r="M165" s="41"/>
      <c r="N165" s="41"/>
      <c r="O165" s="41"/>
      <c r="P165" s="41"/>
      <c r="Q165" s="1"/>
      <c r="R165" s="1"/>
      <c r="S165" s="1"/>
      <c r="T165" s="84" t="s">
        <v>2684</v>
      </c>
      <c r="U165" s="18" t="str">
        <f>IF(ISBLANK(input_ccm_aws_sddc_name),"Value Missing",input_ccm_aws_sddc_name)</f>
        <v>Value Missing</v>
      </c>
      <c r="V165" s="10"/>
      <c r="W165" s="1"/>
      <c r="X165" s="1"/>
      <c r="Y165" s="1"/>
      <c r="Z165" s="1"/>
      <c r="AA165" s="1"/>
      <c r="AB165" s="1"/>
      <c r="AC165" s="1"/>
      <c r="AD165" s="1"/>
      <c r="AE165" s="1"/>
      <c r="AF165" s="1"/>
    </row>
    <row r="166" ht="19.5" customHeight="1">
      <c r="A166" s="1"/>
      <c r="B166" s="84" t="s">
        <v>2685</v>
      </c>
      <c r="C166" s="18" t="str">
        <f>flt_vidb_identity_provider_chosen</f>
        <v>AD/LDAP</v>
      </c>
      <c r="D166" s="1"/>
      <c r="E166" s="173" t="s">
        <v>2686</v>
      </c>
      <c r="F166" s="18" t="str">
        <f>wld_az1_en2_ip_allocation_chosen</f>
        <v>Static</v>
      </c>
      <c r="G166" s="1"/>
      <c r="H166" s="84" t="s">
        <v>918</v>
      </c>
      <c r="I166" s="18" t="str">
        <f>IF(ISBLANK(input_cluster_az1_host_overlay_gateway_ip),"Value Missing",input_cluster_az1_host_overlay_gateway_ip)</f>
        <v>Value Missing</v>
      </c>
      <c r="J166" s="1"/>
      <c r="K166" s="334" t="s">
        <v>2687</v>
      </c>
      <c r="L166" s="14"/>
      <c r="M166" s="41"/>
      <c r="N166" s="41"/>
      <c r="O166" s="41"/>
      <c r="P166" s="41"/>
      <c r="Q166" s="1"/>
      <c r="R166" s="1"/>
      <c r="S166" s="1"/>
      <c r="T166" s="84" t="s">
        <v>2568</v>
      </c>
      <c r="U166" s="18" t="str">
        <f>IF(ISBLANK(input_ccm_aws_region),"Value Missing",input_ccm_aws_region)</f>
        <v>Value Missing</v>
      </c>
      <c r="V166" s="10"/>
      <c r="W166" s="1"/>
      <c r="X166" s="1"/>
      <c r="Y166" s="1"/>
      <c r="Z166" s="1"/>
      <c r="AA166" s="1"/>
      <c r="AB166" s="1"/>
      <c r="AC166" s="1"/>
      <c r="AD166" s="1"/>
      <c r="AE166" s="1"/>
      <c r="AF166" s="1"/>
    </row>
    <row r="167" ht="19.5" customHeight="1">
      <c r="A167" s="1"/>
      <c r="B167" s="84" t="s">
        <v>2688</v>
      </c>
      <c r="C167" s="18" t="str">
        <f>IF(ISBLANK(input_flt_vidb_directory_name),"Value Missing",input_flt_vidb_directory_name)</f>
        <v>Value Missing</v>
      </c>
      <c r="D167" s="1"/>
      <c r="E167" s="173" t="s">
        <v>2689</v>
      </c>
      <c r="F167" s="18" t="s">
        <v>2689</v>
      </c>
      <c r="G167" s="1"/>
      <c r="H167" s="84" t="s">
        <v>458</v>
      </c>
      <c r="I167" s="18" t="str">
        <f>IF(ISBLANK(input_cluster_nsx_vlan_transport_zone_name),"Value Missing",input_cluster_nsx_vlan_transport_zone_name)</f>
        <v>Value Missing</v>
      </c>
      <c r="J167" s="1"/>
      <c r="K167" s="84" t="s">
        <v>2690</v>
      </c>
      <c r="L167" s="18" t="str">
        <f>IF(ISBLANK(input_mgmt_witness_zone_vc_fqdn),"Value Missing",input_mgmt_witness_zone_vc_fqdn)</f>
        <v>Value Missing</v>
      </c>
      <c r="M167" s="41"/>
      <c r="N167" s="41"/>
      <c r="O167" s="41"/>
      <c r="P167" s="41"/>
      <c r="Q167" s="1"/>
      <c r="R167" s="1"/>
      <c r="S167" s="1"/>
      <c r="T167" s="84" t="s">
        <v>2571</v>
      </c>
      <c r="U167" s="18" t="str">
        <f>IF(ISBLANK(input_ccm_aws_host_type),"Value Missing",input_ccm_aws_host_type)</f>
        <v>Value Missing</v>
      </c>
      <c r="V167" s="10"/>
      <c r="W167" s="1"/>
      <c r="X167" s="1"/>
      <c r="Y167" s="1"/>
      <c r="Z167" s="1"/>
      <c r="AA167" s="1"/>
      <c r="AB167" s="1"/>
      <c r="AC167" s="1"/>
      <c r="AD167" s="1"/>
      <c r="AE167" s="1"/>
      <c r="AF167" s="1"/>
    </row>
    <row r="168" ht="19.5" customHeight="1">
      <c r="A168" s="1"/>
      <c r="B168" s="84" t="s">
        <v>2691</v>
      </c>
      <c r="C168" s="18" t="str">
        <f>flt_vidb_server_location_chosen</f>
        <v>Selected</v>
      </c>
      <c r="D168" s="1"/>
      <c r="E168" s="173" t="s">
        <v>2692</v>
      </c>
      <c r="F168" s="18" t="str">
        <f>IF(ISBLANK(wld_az1_host_overlay_new_pool_chosen),"Value Missing",wld_az1_host_overlay_new_pool_chosen)</f>
        <v>Create New Static IP Pool</v>
      </c>
      <c r="G168" s="1"/>
      <c r="H168" s="84" t="s">
        <v>1323</v>
      </c>
      <c r="I168" s="18" t="str">
        <f>IF(ISBLANK(input_cluster_az1_nsx_uplink_count),"Value Missing",input_cluster_az1_nsx_uplink_count)</f>
        <v>Value Missing</v>
      </c>
      <c r="J168" s="1"/>
      <c r="K168" s="84" t="s">
        <v>2693</v>
      </c>
      <c r="L168" s="18" t="str">
        <f>IF(ISBLANK(input_mgmt_witness_zone_vc_fqdn),"Value Missing",input_mgmt_witness_zone_vc_fqdn)</f>
        <v>Value Missing</v>
      </c>
      <c r="M168" s="41"/>
      <c r="N168" s="41"/>
      <c r="O168" s="41"/>
      <c r="P168" s="41"/>
      <c r="Q168" s="41"/>
      <c r="R168" s="1"/>
      <c r="S168" s="1"/>
      <c r="T168" s="84" t="s">
        <v>143</v>
      </c>
      <c r="U168" s="18" t="str">
        <f>IF(ISBLANK(input_ccm_aws_host_count),"Value Missing",input_ccm_aws_host_count)</f>
        <v>Value Missing</v>
      </c>
      <c r="V168" s="10"/>
      <c r="W168" s="1"/>
      <c r="X168" s="1"/>
      <c r="Y168" s="1"/>
      <c r="Z168" s="1"/>
      <c r="AA168" s="1"/>
      <c r="AB168" s="1"/>
      <c r="AC168" s="1"/>
      <c r="AD168" s="1"/>
      <c r="AE168" s="1"/>
      <c r="AF168" s="1"/>
    </row>
    <row r="169" ht="19.5" customHeight="1">
      <c r="A169" s="1"/>
      <c r="B169" s="84" t="s">
        <v>2694</v>
      </c>
      <c r="C169" s="18" t="str">
        <f>flt_vidb_global_catalog_chosen</f>
        <v>Unselected</v>
      </c>
      <c r="D169" s="1"/>
      <c r="E169" s="173" t="s">
        <v>2695</v>
      </c>
      <c r="F169" s="18" t="str">
        <f>wld_nsx_default_operation_mode_chosen</f>
        <v>Selected</v>
      </c>
      <c r="G169" s="1"/>
      <c r="H169" s="84" t="s">
        <v>1324</v>
      </c>
      <c r="I169" s="18" t="str">
        <f>IF(ISBLANK(input_cluster_az1_nsx_uplink1),"Value Missing",input_cluster_az1_nsx_uplink1)</f>
        <v>Value Missing</v>
      </c>
      <c r="J169" s="1"/>
      <c r="K169" s="84" t="s">
        <v>2696</v>
      </c>
      <c r="L169" s="18" t="str">
        <f>IF(ISBLANK(input_mgmt_witness_zone_vc_fqdn),"Value Missing",input_mgmt_witness_zone_vc_fqdn)</f>
        <v>Value Missing</v>
      </c>
      <c r="M169" s="41"/>
      <c r="N169" s="1"/>
      <c r="O169" s="41"/>
      <c r="P169" s="41"/>
      <c r="Q169" s="41"/>
      <c r="R169" s="1"/>
      <c r="S169" s="1"/>
      <c r="T169" s="84" t="s">
        <v>2579</v>
      </c>
      <c r="U169" s="18" t="str">
        <f>IF(ISBLANK(input_ccm_aws_vpc),"Value Missing",input_ccm_aws_vpc)</f>
        <v>Value Missing</v>
      </c>
      <c r="V169" s="10"/>
      <c r="W169" s="1"/>
      <c r="X169" s="1"/>
      <c r="Y169" s="1"/>
      <c r="Z169" s="1"/>
      <c r="AA169" s="1"/>
      <c r="AB169" s="1"/>
      <c r="AC169" s="1"/>
      <c r="AD169" s="1"/>
      <c r="AE169" s="1"/>
      <c r="AF169" s="1"/>
    </row>
    <row r="170" ht="19.5" customHeight="1">
      <c r="A170" s="1"/>
      <c r="B170" s="84" t="s">
        <v>2697</v>
      </c>
      <c r="C170" s="18" t="str">
        <f>flt_vidb_encrypted_connection_chosen</f>
        <v>Unselected</v>
      </c>
      <c r="D170" s="1"/>
      <c r="E170" s="173" t="s">
        <v>2698</v>
      </c>
      <c r="F170" s="18"/>
      <c r="G170" s="1"/>
      <c r="H170" s="84" t="s">
        <v>1325</v>
      </c>
      <c r="I170" s="18" t="str">
        <f>IF(ISBLANK(input_cluster_az1_nsx_uplink2),"Value Missing",input_cluster_az1_nsx_uplink2)</f>
        <v>Value Missing</v>
      </c>
      <c r="J170" s="1"/>
      <c r="K170" s="84" t="s">
        <v>2699</v>
      </c>
      <c r="L170" s="18" t="str">
        <f>IF(ISBLANK(input_mgmt_witnessaz_mgmt_mtu),"Value Missing",input_mgmt_witnessaz_mgmt_mtu)</f>
        <v>Value Missing</v>
      </c>
      <c r="M170" s="41"/>
      <c r="N170" s="1"/>
      <c r="O170" s="41"/>
      <c r="P170" s="41"/>
      <c r="Q170" s="41"/>
      <c r="R170" s="1"/>
      <c r="S170" s="1"/>
      <c r="T170" s="84" t="s">
        <v>2583</v>
      </c>
      <c r="U170" s="18" t="str">
        <f>IF(ISBLANK(input_ccm_aws_subnet),"Value Missing",input_ccm_aws_subnet)</f>
        <v>Value Missing</v>
      </c>
      <c r="V170" s="10"/>
      <c r="W170" s="1"/>
      <c r="X170" s="41"/>
      <c r="Y170" s="41"/>
      <c r="Z170" s="1"/>
      <c r="AA170" s="1"/>
      <c r="AB170" s="1"/>
      <c r="AC170" s="1"/>
      <c r="AD170" s="1"/>
      <c r="AE170" s="1"/>
      <c r="AF170" s="1"/>
    </row>
    <row r="171" ht="19.5" customHeight="1">
      <c r="A171" s="1"/>
      <c r="B171" s="84" t="s">
        <v>2700</v>
      </c>
      <c r="C171" s="18" t="str">
        <f>IF(ISBLANK(input_flt_vidb_encrypted_cert),"Value Missing",input_flt_vidb_encrypted_cert)</f>
        <v>Value Missing</v>
      </c>
      <c r="D171" s="1"/>
      <c r="E171" s="173" t="s">
        <v>2701</v>
      </c>
      <c r="F171" s="18" t="str">
        <f>wld_cl01_vds_copy_profile_chosen</f>
        <v>Unselected</v>
      </c>
      <c r="G171" s="1"/>
      <c r="H171" s="173" t="s">
        <v>1326</v>
      </c>
      <c r="I171" s="18" t="str">
        <f>IF(ISBLANK(input_cluster_az1_host_overlay_uplink_profile_name),"Value Missing",input_cluster_az1_host_overlay_uplink_profile_name)</f>
        <v>Value Missing</v>
      </c>
      <c r="J171" s="1"/>
      <c r="K171" s="84" t="s">
        <v>2702</v>
      </c>
      <c r="L171" s="18" t="str">
        <f>IF(ISBLANK(input_mgmt_witnessaz_mgmt_vlan),"Value Missing",input_mgmt_witnessaz_mgmt_vlan)</f>
        <v>Value Missing</v>
      </c>
      <c r="M171" s="41"/>
      <c r="N171" s="1"/>
      <c r="O171" s="41"/>
      <c r="P171" s="41"/>
      <c r="Q171" s="41"/>
      <c r="R171" s="1"/>
      <c r="S171" s="1"/>
      <c r="T171" s="84" t="s">
        <v>2588</v>
      </c>
      <c r="U171" s="18" t="str">
        <f>IF(ISBLANK(input_ccm_aws_management_subnet),"Value Missing",input_ccm_aws_management_subnet)</f>
        <v>Value Missing</v>
      </c>
      <c r="V171" s="10"/>
      <c r="W171" s="1"/>
      <c r="X171" s="41"/>
      <c r="Y171" s="41"/>
      <c r="Z171" s="1"/>
      <c r="AA171" s="1"/>
      <c r="AB171" s="1"/>
      <c r="AC171" s="1"/>
      <c r="AD171" s="1"/>
      <c r="AE171" s="1"/>
      <c r="AF171" s="1"/>
    </row>
    <row r="172" ht="19.5" customHeight="1">
      <c r="A172" s="1"/>
      <c r="B172" s="84" t="s">
        <v>2703</v>
      </c>
      <c r="C172" s="18" t="str">
        <f>IF(ISBLANK(input_flt_vidb_primary_domain_controller),"Value Missing",input_flt_vidb_primary_domain_controller)</f>
        <v>Value Missing</v>
      </c>
      <c r="D172" s="1"/>
      <c r="E172" s="173" t="s">
        <v>1323</v>
      </c>
      <c r="F172" s="18" t="str">
        <f>IF(ISBLANK(input_wld_cl01_az1_nsx_uplink_count),"Value Missing",input_wld_cl01_az1_nsx_uplink_count)</f>
        <v>Value Missing</v>
      </c>
      <c r="G172" s="1"/>
      <c r="H172" s="84" t="s">
        <v>442</v>
      </c>
      <c r="I172" s="18" t="str">
        <f>IF(ISBLANK(cluster_az1_nsx_lbt_chosen),"Value Missing",cluster_az1_nsx_lbt_chosen)</f>
        <v>Load Balance Source</v>
      </c>
      <c r="J172" s="1"/>
      <c r="K172" s="84" t="s">
        <v>2704</v>
      </c>
      <c r="L172" s="18"/>
      <c r="M172" s="41"/>
      <c r="N172" s="1"/>
      <c r="O172" s="41"/>
      <c r="P172" s="41"/>
      <c r="Q172" s="41"/>
      <c r="R172" s="1"/>
      <c r="S172" s="1"/>
      <c r="T172" s="84" t="s">
        <v>2705</v>
      </c>
      <c r="U172" s="18" t="str">
        <f>IF(ISBLANK(input_ccm_firewall_rule_vcenter),"Value Missing",input_ccm_firewall_rule_vcenter)</f>
        <v>Value Missing</v>
      </c>
      <c r="V172" s="10"/>
      <c r="W172" s="1"/>
      <c r="X172" s="41"/>
      <c r="Y172" s="41"/>
      <c r="Z172" s="1"/>
      <c r="AA172" s="1"/>
      <c r="AB172" s="1"/>
      <c r="AC172" s="1"/>
      <c r="AD172" s="1"/>
      <c r="AE172" s="1"/>
      <c r="AF172" s="1"/>
    </row>
    <row r="173" ht="19.5" customHeight="1">
      <c r="A173" s="1"/>
      <c r="B173" s="84" t="s">
        <v>2706</v>
      </c>
      <c r="C173" s="18" t="str">
        <f>IF(ISBLANK(input_flt_vidb_primary_domain_controller_port),"Value Missing",input_flt_vidb_primary_domain_controller_port)</f>
        <v>Value Missing</v>
      </c>
      <c r="D173" s="1"/>
      <c r="E173" s="173" t="s">
        <v>1320</v>
      </c>
      <c r="F173" s="18" t="str">
        <f>IF(ISBLANK(input_wld_nsx_vlan_transport_zone_name),"Value Missing",input_wld_nsx_vlan_transport_zone_name)</f>
        <v>Value Missing</v>
      </c>
      <c r="G173" s="1"/>
      <c r="H173" s="84" t="s">
        <v>2707</v>
      </c>
      <c r="I173" s="18" t="str">
        <f>IF(ISBLANK(input_cluster_az1_nsx_uplink1_active),"Value Missing",input_cluster_az1_nsx_uplink1_active)</f>
        <v>Value Missing</v>
      </c>
      <c r="J173" s="1"/>
      <c r="K173" s="84" t="s">
        <v>2708</v>
      </c>
      <c r="L173" s="18" t="str">
        <f>IF(mgmt_witnessaz_mgmt_cidr="Value Missing",mgmt_witnessaz_mgmt_cidr,(LEFT(mgmt_witnessaz_mgmt_cidr,(FIND("/",mgmt_witnessaz_mgmt_cidr)-1))))</f>
        <v>Value Missing</v>
      </c>
      <c r="M173" s="41"/>
      <c r="N173" s="1"/>
      <c r="O173" s="41"/>
      <c r="P173" s="41"/>
      <c r="Q173" s="41"/>
      <c r="R173" s="1"/>
      <c r="S173" s="1"/>
      <c r="T173" s="84" t="s">
        <v>2709</v>
      </c>
      <c r="U173" s="18" t="str">
        <f>IF(ISBLANK(input_ccm_firewall_rule_hcx),"Value Missing",input_ccm_firewall_rule_hcx)</f>
        <v>Value Missing</v>
      </c>
      <c r="V173" s="10"/>
      <c r="W173" s="1"/>
      <c r="X173" s="41"/>
      <c r="Y173" s="41"/>
      <c r="Z173" s="1"/>
      <c r="AA173" s="1"/>
      <c r="AB173" s="1"/>
      <c r="AC173" s="1"/>
      <c r="AD173" s="1"/>
      <c r="AE173" s="1"/>
      <c r="AF173" s="1"/>
    </row>
    <row r="174" ht="19.5" customHeight="1">
      <c r="A174" s="1"/>
      <c r="B174" s="84" t="s">
        <v>2710</v>
      </c>
      <c r="C174" s="18" t="str">
        <f>IF(ISBLANK(input_flt_vidb_secondary_domain_controller),"Value Missing",input_flt_vidb_secondary_domain_controller)</f>
        <v>Value Missing</v>
      </c>
      <c r="D174" s="1"/>
      <c r="E174" s="84" t="s">
        <v>1329</v>
      </c>
      <c r="F174" s="18" t="str">
        <f>IF(ISBLANK(wld_az1_nsx_uplink1_active_chosen),"Value Missing",wld_az1_nsx_uplink1_active_chosen)</f>
        <v>Selected</v>
      </c>
      <c r="G174" s="1"/>
      <c r="H174" s="84" t="s">
        <v>1619</v>
      </c>
      <c r="I174" s="18" t="str">
        <f>IF(ISBLANK(input_cluster_az1_nsx_uplink2_active),"Value Missing",input_cluster_az1_nsx_uplink2_active)</f>
        <v>Value Missing</v>
      </c>
      <c r="J174" s="1"/>
      <c r="K174" s="84"/>
      <c r="L174" s="18"/>
      <c r="M174" s="41"/>
      <c r="N174" s="1"/>
      <c r="O174" s="41"/>
      <c r="P174" s="41"/>
      <c r="Q174" s="41"/>
      <c r="R174" s="1"/>
      <c r="S174" s="1"/>
      <c r="T174" s="84" t="s">
        <v>2711</v>
      </c>
      <c r="U174" s="18" t="str">
        <f>IF(ISBLANK(input_ccm_firewall_group),"Value Missing",input_ccm_firewall_group)</f>
        <v>Value Missing</v>
      </c>
      <c r="V174" s="10"/>
      <c r="W174" s="1"/>
      <c r="X174" s="41"/>
      <c r="Y174" s="41"/>
      <c r="Z174" s="1"/>
      <c r="AA174" s="1"/>
      <c r="AB174" s="1"/>
      <c r="AC174" s="1"/>
      <c r="AD174" s="1"/>
      <c r="AE174" s="1"/>
      <c r="AF174" s="1"/>
    </row>
    <row r="175" ht="19.5" customHeight="1">
      <c r="A175" s="1"/>
      <c r="B175" s="84" t="s">
        <v>2712</v>
      </c>
      <c r="C175" s="18" t="str">
        <f>IF(ISBLANK(input_flt_vidb_secondary_domain_controller_port),"Value Missing",input_flt_vidb_secondary_domain_controller_port)</f>
        <v>Value Missing</v>
      </c>
      <c r="D175" s="1"/>
      <c r="E175" s="84" t="s">
        <v>1330</v>
      </c>
      <c r="F175" s="18" t="str">
        <f>IF(ISBLANK(wld_az1_nsx_uplink2_active_chosen),"Value Missing",wld_az1_nsx_uplink2_active_chosen)</f>
        <v>Selected</v>
      </c>
      <c r="G175" s="1"/>
      <c r="H175" s="1"/>
      <c r="I175" s="1"/>
      <c r="J175" s="1"/>
      <c r="K175" s="84" t="s">
        <v>2713</v>
      </c>
      <c r="L175" s="18" t="str">
        <f>IF(mgmt_witnessaz_mgmt_cidr="Value Missing",mgmt_witnessaz_mgmt_cidr,VLOOKUP(INT(RIGHT(mgmt_witnessaz_mgmt_cidr,LEN(mgmt_witnessaz_mgmt_cidr)-FIND("/",mgmt_witnessaz_mgmt_cidr))),table_cidr_to_mask,2,FALSE))</f>
        <v>Value Missing</v>
      </c>
      <c r="M175" s="41"/>
      <c r="N175" s="1"/>
      <c r="O175" s="41"/>
      <c r="P175" s="41"/>
      <c r="Q175" s="41"/>
      <c r="R175" s="1"/>
      <c r="S175" s="1"/>
      <c r="T175" s="84" t="s">
        <v>2714</v>
      </c>
      <c r="U175" s="18" t="str">
        <f>IF(ISBLANK(input_ccm_firewall_ip_addresses),"Value Missing",input_ccm_firewall_ip_addresses)</f>
        <v>Value Missing</v>
      </c>
      <c r="V175" s="10"/>
      <c r="W175" s="1"/>
      <c r="X175" s="41"/>
      <c r="Y175" s="41"/>
      <c r="Z175" s="1"/>
      <c r="AA175" s="1"/>
      <c r="AB175" s="1"/>
      <c r="AC175" s="1"/>
      <c r="AD175" s="1"/>
      <c r="AE175" s="1"/>
      <c r="AF175" s="1"/>
    </row>
    <row r="176" ht="19.5" customHeight="1">
      <c r="A176" s="1"/>
      <c r="B176" s="84" t="s">
        <v>2715</v>
      </c>
      <c r="C176" s="18" t="str">
        <f>flt_vidb_directory_search_chosen</f>
        <v>sAMAccountName</v>
      </c>
      <c r="D176" s="41"/>
      <c r="E176" s="267" t="s">
        <v>2716</v>
      </c>
      <c r="F176" s="18" t="str">
        <f>IF(ISBLANK(input_wld_nsxt_en_admin_password),"Value Missing",input_wld_nsxt_en_admin_password)</f>
        <v>Value Missing</v>
      </c>
      <c r="G176" s="1"/>
      <c r="H176" s="331" t="s">
        <v>2717</v>
      </c>
      <c r="I176" s="331"/>
      <c r="J176" s="1"/>
      <c r="K176" s="84" t="s">
        <v>2718</v>
      </c>
      <c r="L176" s="18" t="str">
        <f>IF(ISBLANK(input_mgmt_witness_ip),"Value Missing",input_mgmt_witness_ip)</f>
        <v>Value Missing</v>
      </c>
      <c r="M176" s="41"/>
      <c r="N176" s="1"/>
      <c r="O176" s="41"/>
      <c r="P176" s="41"/>
      <c r="Q176" s="41"/>
      <c r="R176" s="1"/>
      <c r="S176" s="1"/>
      <c r="T176" s="84" t="s">
        <v>2719</v>
      </c>
      <c r="U176" s="18" t="str">
        <f>IF(ISBLANK(input_ccm_hcx_license),"Value Missing",input_ccm_hcx_license)</f>
        <v>Value Missing</v>
      </c>
      <c r="V176" s="10"/>
      <c r="W176" s="1"/>
      <c r="X176" s="41"/>
      <c r="Y176" s="41"/>
      <c r="Z176" s="1"/>
      <c r="AA176" s="1"/>
      <c r="AB176" s="1"/>
      <c r="AC176" s="1"/>
      <c r="AD176" s="1"/>
      <c r="AE176" s="1"/>
      <c r="AF176" s="1"/>
    </row>
    <row r="177" ht="19.5" customHeight="1">
      <c r="A177" s="1"/>
      <c r="B177" s="84" t="s">
        <v>2720</v>
      </c>
      <c r="C177" s="18" t="str">
        <f>IF(ISBLANK(input_flt_vidb_base_dn),"Value Missing",input_flt_vidb_base_dn)</f>
        <v>Value Missing</v>
      </c>
      <c r="D177" s="41"/>
      <c r="E177" s="268" t="s">
        <v>2721</v>
      </c>
      <c r="F177" s="18" t="str">
        <f>IF(ISBLANK(input_wld_nsxt_en_root_password),"Value Missing",input_wld_nsxt_en_root_password)</f>
        <v>Value Missing</v>
      </c>
      <c r="G177" s="1"/>
      <c r="H177" s="15" t="s">
        <v>256</v>
      </c>
      <c r="I177" s="15" t="s">
        <v>274</v>
      </c>
      <c r="J177" s="1"/>
      <c r="K177" s="84" t="s">
        <v>2722</v>
      </c>
      <c r="L177" s="18" t="str">
        <f>IF(ISBLANK(input_mgmt_witnessaz_mgmt_cidr),"Value Missing",input_mgmt_witnessaz_mgmt_cidr)</f>
        <v>Value Missing</v>
      </c>
      <c r="M177" s="41"/>
      <c r="N177" s="1"/>
      <c r="O177" s="41"/>
      <c r="P177" s="41"/>
      <c r="Q177" s="41"/>
      <c r="R177" s="1"/>
      <c r="S177" s="1"/>
      <c r="T177" s="84" t="s">
        <v>2723</v>
      </c>
      <c r="U177" s="18" t="str">
        <f>IF(ISBLANK(input_ccm_hcx_dc_location),"Value Missing",input_ccm_hcx_dc_location)</f>
        <v>Value Missing</v>
      </c>
      <c r="V177" s="10"/>
      <c r="W177" s="1"/>
      <c r="X177" s="41"/>
      <c r="Y177" s="41"/>
      <c r="Z177" s="1"/>
      <c r="AA177" s="1"/>
      <c r="AB177" s="1"/>
      <c r="AC177" s="1"/>
      <c r="AD177" s="1"/>
      <c r="AE177" s="1"/>
      <c r="AF177" s="1"/>
    </row>
    <row r="178" ht="19.5" customHeight="1">
      <c r="A178" s="1"/>
      <c r="B178" s="84" t="s">
        <v>2724</v>
      </c>
      <c r="C178" s="18" t="str">
        <f>IF(ISBLANK(input_flt_vidb_bind_username),"Value Missing",input_flt_vidb_bind_username)</f>
        <v>Value Missing</v>
      </c>
      <c r="D178" s="41"/>
      <c r="E178" s="268" t="s">
        <v>2725</v>
      </c>
      <c r="F178" s="18" t="str">
        <f>IF(ISBLANK(input_wld_ec_mtu),"Value Missing",input_wld_ec_mtu)</f>
        <v>Value Missing</v>
      </c>
      <c r="G178" s="1"/>
      <c r="H178" s="84" t="s">
        <v>1214</v>
      </c>
      <c r="I178" s="18" t="str">
        <f>wld_bf_vcenter_type_chosen</f>
        <v>Specify an external vCenter</v>
      </c>
      <c r="J178" s="1"/>
      <c r="K178" s="84" t="s">
        <v>2726</v>
      </c>
      <c r="L178" s="18" t="str">
        <f>IF(ISBLANK(input_mgmt_witnessaz_mgmt_gateway_ip),"Value Missing",input_mgmt_witnessaz_mgmt_gateway_ip)</f>
        <v>Value Missing</v>
      </c>
      <c r="M178" s="41"/>
      <c r="N178" s="1"/>
      <c r="O178" s="41"/>
      <c r="P178" s="41"/>
      <c r="Q178" s="41"/>
      <c r="R178" s="1"/>
      <c r="S178" s="1"/>
      <c r="T178" s="345" t="s">
        <v>2727</v>
      </c>
      <c r="U178" s="18" t="str">
        <f>IF(ISBLANK(input_ccm_hcx_cdp_hostname),"Value Missing",input_ccm_hcx_cdp_hostname)</f>
        <v>Value Missing</v>
      </c>
      <c r="V178" s="10"/>
      <c r="W178" s="1"/>
      <c r="X178" s="41"/>
      <c r="Y178" s="41"/>
      <c r="Z178" s="1"/>
      <c r="AA178" s="1"/>
      <c r="AB178" s="1"/>
      <c r="AC178" s="1"/>
      <c r="AD178" s="1"/>
      <c r="AE178" s="1"/>
      <c r="AF178" s="1"/>
    </row>
    <row r="179" ht="19.5" customHeight="1">
      <c r="A179" s="1"/>
      <c r="B179" s="84" t="s">
        <v>2728</v>
      </c>
      <c r="C179" s="18" t="str">
        <f>IF(ISBLANK(input_flt_vidb_bind_password),"Value Missing",input_flt_vidb_bind_password)</f>
        <v>Value Missing</v>
      </c>
      <c r="D179" s="41"/>
      <c r="E179" s="173" t="s">
        <v>1255</v>
      </c>
      <c r="F179" s="18" t="str">
        <f>IF(ISBLANK(input_wld_cl01_cluster_zn_name),"Value Missing",input_wld_cl01_cluster_zn_name)</f>
        <v>Value Missing</v>
      </c>
      <c r="G179" s="1"/>
      <c r="H179" s="84" t="s">
        <v>1216</v>
      </c>
      <c r="I179" s="18" t="str">
        <f>IF(ISBLANK(input_wld_bf_vc_fqdn),"Value Missing",input_wld_bf_vc_fqdn)</f>
        <v>Value Missing</v>
      </c>
      <c r="J179" s="1"/>
      <c r="K179" s="84" t="s">
        <v>2729</v>
      </c>
      <c r="L179" s="18" t="str">
        <f>IF(ISBLANK(input_sftp_server),"Value Missing",input_sftp_server)</f>
        <v>Value Missing</v>
      </c>
      <c r="M179" s="41"/>
      <c r="N179" s="1"/>
      <c r="O179" s="41"/>
      <c r="P179" s="41"/>
      <c r="Q179" s="41"/>
      <c r="R179" s="1"/>
      <c r="S179" s="1"/>
      <c r="T179" s="84" t="s">
        <v>2730</v>
      </c>
      <c r="U179" s="18" t="str">
        <f>IF(ISBLANK(input_ccm_hcx_admin_password),"Value Missing",input_ccm_hcx_admin_password)</f>
        <v>Value Missing</v>
      </c>
      <c r="V179" s="10"/>
      <c r="W179" s="1"/>
      <c r="X179" s="41"/>
      <c r="Y179" s="41"/>
      <c r="Z179" s="1"/>
      <c r="AA179" s="1"/>
      <c r="AB179" s="1"/>
      <c r="AC179" s="1"/>
      <c r="AD179" s="1"/>
      <c r="AE179" s="1"/>
      <c r="AF179" s="1"/>
    </row>
    <row r="180" ht="19.5" customHeight="1">
      <c r="A180" s="1"/>
      <c r="B180" s="84" t="s">
        <v>2731</v>
      </c>
      <c r="C180" s="18" t="str">
        <f>IF(ISBLANK(input_flt_vidb_user_name),"Value Missing",input_flt_vidb_user_name)</f>
        <v>Value Missing</v>
      </c>
      <c r="D180" s="41"/>
      <c r="E180" s="173" t="s">
        <v>1338</v>
      </c>
      <c r="F180" s="18" t="str">
        <f>IF(ISBLANK(input_wld_cl01_supervisor_control_plane_ip_range),"Value Missing",input_wld_cl01_supervisor_control_plane_ip_range)</f>
        <v>Value Missing</v>
      </c>
      <c r="G180" s="1"/>
      <c r="H180" s="84" t="s">
        <v>1217</v>
      </c>
      <c r="I180" s="18" t="str">
        <f>IF(ISBLANK(input_wld_bf_vc_root_password),"Value Missing",input_wld_bf_vc_root_password)</f>
        <v>Value Missing</v>
      </c>
      <c r="J180" s="1"/>
      <c r="K180" s="1"/>
      <c r="L180" s="41"/>
      <c r="M180" s="41"/>
      <c r="N180" s="1"/>
      <c r="O180" s="41"/>
      <c r="P180" s="41"/>
      <c r="Q180" s="41"/>
      <c r="R180" s="1"/>
      <c r="S180" s="1"/>
      <c r="T180" s="84" t="s">
        <v>2732</v>
      </c>
      <c r="U180" s="18" t="str">
        <f>IF(ISBLANK(input_ccm_hcx_root_password),"Value Missing",input_ccm_hcx_root_password)</f>
        <v>Value Missing</v>
      </c>
      <c r="V180" s="10"/>
      <c r="W180" s="1"/>
      <c r="X180" s="41"/>
      <c r="Y180" s="41"/>
      <c r="Z180" s="1"/>
      <c r="AA180" s="1"/>
      <c r="AB180" s="1"/>
      <c r="AC180" s="1"/>
      <c r="AD180" s="41"/>
      <c r="AE180" s="1"/>
      <c r="AF180" s="1"/>
    </row>
    <row r="181" ht="19.5" customHeight="1">
      <c r="A181" s="1"/>
      <c r="B181" s="84" t="s">
        <v>2733</v>
      </c>
      <c r="C181" s="18" t="str">
        <f>IF(ISBLANK(input_flt_vidb_first_name),"Value Missing",input_flt_vidb_first_name)</f>
        <v>Value Missing</v>
      </c>
      <c r="D181" s="41"/>
      <c r="E181" s="173" t="s">
        <v>1349</v>
      </c>
      <c r="F181" s="18" t="str">
        <f>IF(ISBLANK(input_wld_cl01_supervisor_dns),"Value Missing",input_wld_cl01_supervisor_dns)</f>
        <v>Value Missing</v>
      </c>
      <c r="G181" s="1"/>
      <c r="H181" s="84" t="s">
        <v>1218</v>
      </c>
      <c r="I181" s="18" t="str">
        <f>IF(ISBLANK(input_wld_bf_vc_sso_username),"Value Missing",input_wld_bf_vc_sso_username)</f>
        <v>Value Missing</v>
      </c>
      <c r="J181" s="1"/>
      <c r="K181" s="331" t="s">
        <v>2734</v>
      </c>
      <c r="L181" s="331"/>
      <c r="M181" s="41"/>
      <c r="N181" s="1"/>
      <c r="O181" s="41"/>
      <c r="P181" s="41"/>
      <c r="Q181" s="41"/>
      <c r="R181" s="1"/>
      <c r="S181" s="1"/>
      <c r="T181" s="84" t="s">
        <v>2735</v>
      </c>
      <c r="U181" s="18" t="str">
        <f>IF(ISBLANK(input_ccm_hcx_cdp_ip),"Value Missing",input_ccm_hcx_cdp_ip)</f>
        <v>Value Missing</v>
      </c>
      <c r="V181" s="41"/>
      <c r="W181" s="1"/>
      <c r="X181" s="41"/>
      <c r="Y181" s="41"/>
      <c r="Z181" s="1"/>
      <c r="AA181" s="1"/>
      <c r="AB181" s="1"/>
      <c r="AC181" s="1"/>
      <c r="AD181" s="41"/>
      <c r="AE181" s="1"/>
      <c r="AF181" s="1"/>
    </row>
    <row r="182" ht="19.5" customHeight="1">
      <c r="A182" s="1"/>
      <c r="B182" s="84" t="s">
        <v>2736</v>
      </c>
      <c r="C182" s="18" t="str">
        <f>IF(ISBLANK(input_flt_vidb_last_name),"Value Missing",input_flt_vidb_last_name)</f>
        <v>Value Missing</v>
      </c>
      <c r="D182" s="41"/>
      <c r="E182" s="173" t="s">
        <v>1333</v>
      </c>
      <c r="F182" s="18" t="str">
        <f>IF(ISBLANK(input_wld_cl01_supervisor_name),"Value Missing",input_wld_cl01_supervisor_name)</f>
        <v>Value Missing</v>
      </c>
      <c r="G182" s="1"/>
      <c r="H182" s="84" t="s">
        <v>1219</v>
      </c>
      <c r="I182" s="18" t="str">
        <f>IF(ISBLANK(input_wld_bf_vc_sso_password),"Value Missing",input_wld_bf_vc_sso_password)</f>
        <v>Value Missing</v>
      </c>
      <c r="J182" s="41"/>
      <c r="K182" s="15" t="s">
        <v>256</v>
      </c>
      <c r="L182" s="15" t="s">
        <v>274</v>
      </c>
      <c r="M182" s="41"/>
      <c r="N182" s="1"/>
      <c r="O182" s="41"/>
      <c r="P182" s="41"/>
      <c r="Q182" s="41"/>
      <c r="R182" s="1"/>
      <c r="S182" s="1"/>
      <c r="T182" s="84" t="s">
        <v>2737</v>
      </c>
      <c r="U182" s="18" t="str">
        <f>IF(ISBLANK(input_ccm_hcx_remote_url),"Value Missing",input_ccm_hcx_remote_url)</f>
        <v>Value Missing</v>
      </c>
      <c r="V182" s="41"/>
      <c r="W182" s="1"/>
      <c r="X182" s="41"/>
      <c r="Y182" s="41"/>
      <c r="Z182" s="1"/>
      <c r="AA182" s="1"/>
      <c r="AB182" s="1"/>
      <c r="AC182" s="1"/>
      <c r="AD182" s="41"/>
      <c r="AE182" s="1"/>
      <c r="AF182" s="1"/>
    </row>
    <row r="183" ht="19.5" customHeight="1">
      <c r="A183" s="41"/>
      <c r="B183" s="84" t="s">
        <v>2738</v>
      </c>
      <c r="C183" s="18" t="str">
        <f>IF(ISBLANK(input_flt_vidb_distinguished_name),"Value Missing",input_flt_vidb_distinguished_name)</f>
        <v>Value Missing</v>
      </c>
      <c r="D183" s="41"/>
      <c r="E183" s="173" t="s">
        <v>1340</v>
      </c>
      <c r="F183" s="18" t="str">
        <f>IF(ISBLANK(input_wld_cl01_supervisor_nsx_project),"Value Missing",input_wld_cl01_supervisor_nsx_project)</f>
        <v>Value Missing</v>
      </c>
      <c r="G183" s="41"/>
      <c r="H183" s="84" t="s">
        <v>1220</v>
      </c>
      <c r="I183" s="18" t="str">
        <f>IF(ISBLANK(wld_bf_nsx_existing_chosen),"Value Missing",wld_bf_nsx_existing_chosen)</f>
        <v>Selected</v>
      </c>
      <c r="J183" s="41"/>
      <c r="K183" s="84" t="s">
        <v>1034</v>
      </c>
      <c r="L183" s="18" t="str">
        <f>IF(ISBLANK(input_flt_logs_cert_alias),"Value Missing",input_flt_logs_cert_alias)</f>
        <v>Value Missing</v>
      </c>
      <c r="M183" s="41"/>
      <c r="N183" s="1"/>
      <c r="O183" s="41"/>
      <c r="P183" s="41"/>
      <c r="Q183" s="41"/>
      <c r="R183" s="41"/>
      <c r="S183" s="41"/>
      <c r="T183" s="84" t="s">
        <v>2739</v>
      </c>
      <c r="U183" s="18" t="str">
        <f>IF(ISBLANK(input_ccm_aws_admin_ssouser),"Value Missing",input_ccm_aws_admin_ssouser)</f>
        <v>Value Missing</v>
      </c>
      <c r="V183" s="41"/>
      <c r="W183" s="41"/>
      <c r="X183" s="41"/>
      <c r="Y183" s="41"/>
      <c r="Z183" s="1"/>
      <c r="AA183" s="1"/>
      <c r="AB183" s="1"/>
      <c r="AC183" s="1"/>
      <c r="AD183" s="41"/>
      <c r="AE183" s="41"/>
      <c r="AF183" s="41"/>
    </row>
    <row r="184" ht="19.5" customHeight="1">
      <c r="A184" s="41"/>
      <c r="B184" s="84" t="s">
        <v>2740</v>
      </c>
      <c r="C184" s="18" t="str">
        <f>IF(ISBLANK(input_flt_vidb_employeeID),"Value Missing",input_flt_vidb_employeeID)</f>
        <v>Value Missing</v>
      </c>
      <c r="D184" s="41"/>
      <c r="E184" s="173" t="s">
        <v>1350</v>
      </c>
      <c r="F184" s="18" t="str">
        <f>IF(ISBLANK(input_wld_cl01_supervisor_ntp),"Value Missing",input_wld_cl01_supervisor_ntp)</f>
        <v>Value Missing</v>
      </c>
      <c r="G184" s="41"/>
      <c r="H184" s="173" t="s">
        <v>1222</v>
      </c>
      <c r="I184" s="18" t="str">
        <f>IF(ISBLANK(wld_bf_nsx_join_manager_chosen),"Value Missing",wld_bf_nsx_join_manager_chosen)</f>
        <v>Create new NSX Manager Instance</v>
      </c>
      <c r="J184" s="41"/>
      <c r="K184" s="84" t="s">
        <v>1036</v>
      </c>
      <c r="L184" s="18" t="str">
        <f>IF(ISBLANK(input_flt_logs_common_name),"Value Missing",input_flt_logs_common_name)</f>
        <v>Value Missing</v>
      </c>
      <c r="M184" s="41"/>
      <c r="N184" s="1"/>
      <c r="O184" s="41"/>
      <c r="P184" s="41"/>
      <c r="Q184" s="41"/>
      <c r="R184" s="41"/>
      <c r="S184" s="41"/>
      <c r="T184" s="84" t="s">
        <v>2741</v>
      </c>
      <c r="U184" s="18" t="str">
        <f>IF(ISBLANK(input_ccm_aws_admin_password),"Value Missing",input_ccm_aws_admin_password)</f>
        <v>Value Missing</v>
      </c>
      <c r="V184" s="41"/>
      <c r="W184" s="41"/>
      <c r="X184" s="41"/>
      <c r="Y184" s="41"/>
      <c r="Z184" s="1"/>
      <c r="AA184" s="1"/>
      <c r="AB184" s="1"/>
      <c r="AC184" s="1"/>
      <c r="AD184" s="41"/>
      <c r="AE184" s="41"/>
      <c r="AF184" s="41"/>
    </row>
    <row r="185" ht="19.5" customHeight="1">
      <c r="A185" s="41"/>
      <c r="B185" s="84" t="s">
        <v>2742</v>
      </c>
      <c r="C185" s="18" t="str">
        <f>IF(ISBLANK(input_flt_vidb_mail),"Value Missing",input_flt_vidb_mail)</f>
        <v>Value Missing</v>
      </c>
      <c r="D185" s="41"/>
      <c r="E185" s="173" t="s">
        <v>1347</v>
      </c>
      <c r="F185" s="18" t="str">
        <f>IF(ISBLANK(input_wld_cl01_supervisor_private_cidr),"Value Missing",input_wld_cl01_supervisor_private_cidr)</f>
        <v>Value Missing</v>
      </c>
      <c r="G185" s="41"/>
      <c r="H185" s="173" t="s">
        <v>1224</v>
      </c>
      <c r="I185" s="18" t="str">
        <f>IF(ISBLANK(wld_bf_nsx_ha_mode_chosen),"Value Missing",wld_bf_nsx_ha_mode_chosen)</f>
        <v>NSX Management Cluster</v>
      </c>
      <c r="J185" s="41"/>
      <c r="K185" s="84" t="s">
        <v>1037</v>
      </c>
      <c r="L185" s="18" t="str">
        <f>IF(ISBLANK(input_flt_logs_cert_organisation),"Value Missing",input_flt_logs_cert_organisation)</f>
        <v>Value Missing</v>
      </c>
      <c r="M185" s="41"/>
      <c r="N185" s="1"/>
      <c r="O185" s="41"/>
      <c r="P185" s="41"/>
      <c r="Q185" s="41"/>
      <c r="R185" s="41"/>
      <c r="S185" s="41"/>
      <c r="T185" s="84" t="s">
        <v>2743</v>
      </c>
      <c r="U185" s="18" t="str">
        <f t="array" ref="U185">IF(ISBLANK(input_ccm_hcx_mgmt_network_ip_range),"Value Missing",input_ccm_hcx_mgmt_network_ip_range)</f>
        <v>Value Missing</v>
      </c>
      <c r="V185" s="41"/>
      <c r="W185" s="41"/>
      <c r="X185" s="41"/>
      <c r="Y185" s="41"/>
      <c r="Z185" s="1"/>
      <c r="AA185" s="1"/>
      <c r="AB185" s="1"/>
      <c r="AC185" s="1"/>
      <c r="AD185" s="41"/>
      <c r="AE185" s="41"/>
      <c r="AF185" s="41"/>
    </row>
    <row r="186" ht="19.5" customHeight="1">
      <c r="A186" s="41"/>
      <c r="B186" s="84" t="s">
        <v>2744</v>
      </c>
      <c r="C186" s="18" t="str">
        <f>IF(ISBLANK(input_flt_vidb_user_principal_name),"Value Missing",input_flt_vidb_user_principal_name)</f>
        <v>Value Missing</v>
      </c>
      <c r="D186" s="41"/>
      <c r="E186" s="173" t="s">
        <v>1344</v>
      </c>
      <c r="F186" s="18" t="str">
        <f>IF(ISBLANK(input_wld_cl01_supervisor_private_transit_gateway_cidr),"Value Missing",input_wld_cl01_supervisor_private_transit_gateway_cidr)</f>
        <v>Value Missing</v>
      </c>
      <c r="G186" s="41"/>
      <c r="H186" s="173" t="s">
        <v>351</v>
      </c>
      <c r="I186" s="18" t="str">
        <f>IF(ISBLANK(wld_bf_nsx_appliance_size_chosen),"Value Missing",wld_bf_nsx_appliance_size_chosen)</f>
        <v>Medium</v>
      </c>
      <c r="J186" s="41"/>
      <c r="K186" s="84" t="s">
        <v>1038</v>
      </c>
      <c r="L186" s="18" t="str">
        <f>IF(ISBLANK(input_flt_logs_ou_cert),"Value Missing",input_flt_logs_ou_cert)</f>
        <v>Value Missing</v>
      </c>
      <c r="M186" s="41"/>
      <c r="N186" s="1"/>
      <c r="O186" s="41"/>
      <c r="P186" s="41"/>
      <c r="Q186" s="41"/>
      <c r="R186" s="41"/>
      <c r="S186" s="41"/>
      <c r="T186" s="84" t="s">
        <v>2745</v>
      </c>
      <c r="U186" s="18" t="str">
        <f t="array" ref="U186">IF(ISBLANK(input_ccm_hcx_vmotion_network_ip_range),"Value Missing",input_ccm_hcx_vmotion_network_ip_range)</f>
        <v>Value Missing</v>
      </c>
      <c r="V186" s="41"/>
      <c r="W186" s="41"/>
      <c r="X186" s="41"/>
      <c r="Y186" s="41"/>
      <c r="Z186" s="1"/>
      <c r="AA186" s="1"/>
      <c r="AB186" s="1"/>
      <c r="AC186" s="1"/>
      <c r="AD186" s="41"/>
      <c r="AE186" s="41"/>
      <c r="AF186" s="41"/>
    </row>
    <row r="187" ht="19.5" customHeight="1">
      <c r="A187" s="41"/>
      <c r="B187" s="84" t="s">
        <v>2746</v>
      </c>
      <c r="C187" s="18" t="str">
        <f>IF(ISBLANK(input_flt_vidb_group_base_dn),"Value Missing",input_flt_vidb_group_base_dn)</f>
        <v>Value Missing</v>
      </c>
      <c r="D187" s="41"/>
      <c r="E187" s="173" t="s">
        <v>1335</v>
      </c>
      <c r="F187" s="18" t="str">
        <f>IF(ISBLANK(input_wld_cl01_supervisor_service_cidr),"Value Missing",input_wld_cl01_supervisor_service_cidr)</f>
        <v>Value Missing</v>
      </c>
      <c r="G187" s="41"/>
      <c r="H187" s="173" t="s">
        <v>362</v>
      </c>
      <c r="I187" s="18" t="str">
        <f>IF(ISBLANK(input_wld_bf_nsxt_mgra_fqdn),"Value Missing",input_wld_bf_nsxt_mgra_fqdn)</f>
        <v>Value Missing</v>
      </c>
      <c r="J187" s="41"/>
      <c r="K187" s="84" t="s">
        <v>1039</v>
      </c>
      <c r="L187" s="18" t="str">
        <f>IF(ISBLANK(input_flt_logs_cert_country_code),"Value Missing",input_flt_logs_cert_country_code)</f>
        <v>Value Missing</v>
      </c>
      <c r="M187" s="41"/>
      <c r="N187" s="1"/>
      <c r="O187" s="41"/>
      <c r="P187" s="41"/>
      <c r="Q187" s="41"/>
      <c r="R187" s="41"/>
      <c r="S187" s="41"/>
      <c r="T187" s="84" t="s">
        <v>2747</v>
      </c>
      <c r="U187" s="18" t="str">
        <f>IF(ISBLANK(input_ccm_hcx_compute_profile),"Value Missing",input_ccm_hcx_compute_profile)</f>
        <v>Value Missing</v>
      </c>
      <c r="V187" s="41"/>
      <c r="W187" s="41"/>
      <c r="X187" s="41"/>
      <c r="Y187" s="41"/>
      <c r="Z187" s="41"/>
      <c r="AA187" s="41"/>
      <c r="AB187" s="1"/>
      <c r="AC187" s="1"/>
      <c r="AD187" s="41"/>
      <c r="AE187" s="41"/>
      <c r="AF187" s="41"/>
    </row>
    <row r="188" ht="19.5" customHeight="1">
      <c r="A188" s="41"/>
      <c r="B188" s="84" t="s">
        <v>2748</v>
      </c>
      <c r="C188" s="18" t="str">
        <f>IF(ISBLANK(input_flt_vidb_user_base_dn),"Value Missing",input_flt_vidb_user_base_dn)</f>
        <v>Value Missing</v>
      </c>
      <c r="D188" s="41"/>
      <c r="E188" s="173" t="s">
        <v>1337</v>
      </c>
      <c r="F188" s="18" t="str">
        <f>IF(ISBLANK(wld_cl01_supervisor_use_mgmt_vmk_chosen),"Value Missing",wld_cl01_supervisor_use_mgmt_vmk_chosen)</f>
        <v>Unselected</v>
      </c>
      <c r="G188" s="41"/>
      <c r="H188" s="173" t="s">
        <v>1227</v>
      </c>
      <c r="I188" s="18" t="str">
        <f>IF(ISBLANK(input_wld_bf_nsxt_mgrb_fqdn),"Value Missing",input_wld_bf_nsxt_mgrb_fqdn)</f>
        <v>Value Missing</v>
      </c>
      <c r="J188" s="1"/>
      <c r="K188" s="84" t="s">
        <v>1040</v>
      </c>
      <c r="L188" s="18" t="str">
        <f>IF(ISBLANK(input_flt_logs_cert_locality),"Value Missing",input_flt_logs_cert_locality)</f>
        <v>Value Missing</v>
      </c>
      <c r="M188" s="41"/>
      <c r="N188" s="1"/>
      <c r="O188" s="41"/>
      <c r="P188" s="41"/>
      <c r="Q188" s="41"/>
      <c r="R188" s="41"/>
      <c r="S188" s="41"/>
      <c r="T188" s="84" t="s">
        <v>2749</v>
      </c>
      <c r="U188" s="18" t="str">
        <f>IF(ISBLANK(input_ccm_hcx_service_mesh),"Value Missing",input_ccm_hcx_service_mesh)</f>
        <v>Value Missing</v>
      </c>
      <c r="V188" s="41"/>
      <c r="W188" s="41"/>
      <c r="X188" s="41"/>
      <c r="Y188" s="41"/>
      <c r="Z188" s="41"/>
      <c r="AA188" s="41"/>
      <c r="AB188" s="1"/>
      <c r="AC188" s="1"/>
      <c r="AD188" s="41"/>
      <c r="AE188" s="41"/>
      <c r="AF188" s="41"/>
    </row>
    <row r="189" ht="19.5" customHeight="1">
      <c r="A189" s="41"/>
      <c r="B189" s="41"/>
      <c r="C189" s="41"/>
      <c r="D189" s="41"/>
      <c r="E189" s="173" t="s">
        <v>1342</v>
      </c>
      <c r="F189" s="18" t="str">
        <f>IF(ISBLANK(input_wld_cl01_supervisor_vpc_profile),"Value Missing",input_wld_cl01_supervisor_vpc_profile)</f>
        <v>Value Missing</v>
      </c>
      <c r="G189" s="41"/>
      <c r="H189" s="173" t="s">
        <v>1229</v>
      </c>
      <c r="I189" s="18" t="str">
        <f>IF(ISBLANK(input_wld_bf_nsxt_mgrc_fqdn),"Value Missing",input_wld_bf_nsxt_mgrc_fqdn)</f>
        <v>Value Missing</v>
      </c>
      <c r="J189" s="1"/>
      <c r="K189" s="84" t="s">
        <v>1041</v>
      </c>
      <c r="L189" s="18" t="str">
        <f>IF(ISBLANK(input_flt_logs_cert_state),"Value Missing",input_flt_logs_cert_state)</f>
        <v>Value Missing</v>
      </c>
      <c r="M189" s="41"/>
      <c r="N189" s="1"/>
      <c r="O189" s="41"/>
      <c r="P189" s="41"/>
      <c r="Q189" s="41"/>
      <c r="R189" s="41"/>
      <c r="S189" s="41"/>
      <c r="T189" s="41"/>
      <c r="U189" s="41"/>
      <c r="V189" s="41"/>
      <c r="W189" s="41"/>
      <c r="X189" s="41"/>
      <c r="Y189" s="41"/>
      <c r="Z189" s="41"/>
      <c r="AA189" s="41"/>
      <c r="AB189" s="41"/>
      <c r="AC189" s="41"/>
      <c r="AD189" s="41"/>
      <c r="AE189" s="41"/>
      <c r="AF189" s="41"/>
    </row>
    <row r="190" ht="19.5" customHeight="1">
      <c r="A190" s="41"/>
      <c r="B190" s="335" t="s">
        <v>2750</v>
      </c>
      <c r="C190" s="336"/>
      <c r="D190" s="41"/>
      <c r="E190" s="267" t="s">
        <v>2725</v>
      </c>
      <c r="F190" s="18" t="str">
        <f>IF(ISBLANK(input_wld_ec_mtu),"Value Missing",input_wld_ec_mtu)</f>
        <v>Value Missing</v>
      </c>
      <c r="G190" s="41"/>
      <c r="H190" s="173" t="s">
        <v>1231</v>
      </c>
      <c r="I190" s="18" t="str">
        <f>IF(ISBLANK(input_wld_bf_nsxt_vip_fqdn),"Value Missing",input_wld_bf_nsxt_vip_fqdn)</f>
        <v>Value Missing</v>
      </c>
      <c r="J190" s="1"/>
      <c r="K190" s="84" t="s">
        <v>1042</v>
      </c>
      <c r="L190" s="18" t="str">
        <f>IF(ISBLANK(flt_logs_cert_key_length_chosen),"Value Missing",flt_logs_cert_key_length_chosen)</f>
        <v>4096</v>
      </c>
      <c r="M190" s="41"/>
      <c r="N190" s="1"/>
      <c r="O190" s="41"/>
      <c r="P190" s="41"/>
      <c r="Q190" s="41"/>
      <c r="R190" s="41"/>
      <c r="S190" s="41"/>
      <c r="T190" s="332" t="s">
        <v>2751</v>
      </c>
      <c r="U190" s="14"/>
      <c r="V190" s="41"/>
      <c r="W190" s="41"/>
      <c r="X190" s="41"/>
      <c r="Y190" s="41"/>
      <c r="Z190" s="41"/>
      <c r="AA190" s="41"/>
      <c r="AB190" s="41"/>
      <c r="AC190" s="41"/>
      <c r="AD190" s="41"/>
      <c r="AE190" s="41"/>
      <c r="AF190" s="41"/>
    </row>
    <row r="191" ht="19.5" customHeight="1">
      <c r="A191" s="41"/>
      <c r="B191" s="337" t="s">
        <v>256</v>
      </c>
      <c r="C191" s="338" t="s">
        <v>274</v>
      </c>
      <c r="D191" s="1"/>
      <c r="E191" s="267" t="s">
        <v>2716</v>
      </c>
      <c r="F191" s="18" t="str">
        <f>IF(ISBLANK(input_wld_nsxt_en_admin_password),"Value Missing",input_wld_nsxt_en_admin_password)</f>
        <v>Value Missing</v>
      </c>
      <c r="G191" s="41"/>
      <c r="H191" s="84" t="s">
        <v>366</v>
      </c>
      <c r="I191" s="18" t="str">
        <f>IF(ISBLANK(wld_bf_nsxt_enable_edge_sync_chosen),"Value Missing",wld_bf_nsxt_enable_edge_sync_chosen)</f>
        <v>Selected</v>
      </c>
      <c r="J191" s="1"/>
      <c r="K191" s="84" t="s">
        <v>1169</v>
      </c>
      <c r="L191" s="18" t="str">
        <f>IF(ISBLANK(input_flt_logs_vip_fqdn),"Value Missing",input_flt_logs_vip_fqdn)</f>
        <v>Value Missing</v>
      </c>
      <c r="M191" s="41"/>
      <c r="N191" s="41"/>
      <c r="O191" s="41"/>
      <c r="P191" s="41"/>
      <c r="Q191" s="41"/>
      <c r="R191" s="41"/>
      <c r="S191" s="41"/>
      <c r="T191" s="190" t="s">
        <v>2752</v>
      </c>
      <c r="U191" s="18" t="str">
        <f>IF(ISBLANK(input_mgmt_rwr_vc_fqdn),"Value Missing",input_mgmt_rwr_vc_fqdn)</f>
        <v>Value Missing</v>
      </c>
      <c r="V191" s="41"/>
      <c r="W191" s="41"/>
      <c r="X191" s="41"/>
      <c r="Y191" s="41"/>
      <c r="Z191" s="41"/>
      <c r="AA191" s="41"/>
      <c r="AB191" s="41"/>
      <c r="AC191" s="41"/>
      <c r="AD191" s="41"/>
      <c r="AE191" s="41"/>
      <c r="AF191" s="41"/>
    </row>
    <row r="192" ht="19.5" customHeight="1">
      <c r="A192" s="41"/>
      <c r="B192" s="85" t="s">
        <v>2081</v>
      </c>
      <c r="C192" s="18" t="str">
        <f>IF(ISBLANK('Configure Management Domain'!D310),"Value Missing",'Configure Management Domain'!D310)</f>
        <v>Value Missing</v>
      </c>
      <c r="D192" s="1"/>
      <c r="E192" s="268" t="s">
        <v>2721</v>
      </c>
      <c r="F192" s="18" t="str">
        <f>IF(ISBLANK(input_wld_nsxt_en_root_password),"Value Missing",input_wld_nsxt_en_root_password)</f>
        <v>Value Missing</v>
      </c>
      <c r="G192" s="41"/>
      <c r="H192" s="173" t="s">
        <v>1234</v>
      </c>
      <c r="I192" s="18" t="str">
        <f>IF(ISBLANK(wld_bf_nsxt_enable_edge_sync_chosen),"Value Missing",wld_bf_nsxt_configure_overlay_on_mgmt_pg_chosen)</f>
        <v>Selected</v>
      </c>
      <c r="J192" s="1"/>
      <c r="K192" s="84" t="s">
        <v>2753</v>
      </c>
      <c r="L192" s="18" t="str">
        <f>IF(ISBLANK(input_flt_logs_nodea_fqdn),"Value Missing",input_flt_logs_nodea_fqdn)</f>
        <v>Value Missing</v>
      </c>
      <c r="M192" s="41"/>
      <c r="N192" s="41"/>
      <c r="O192" s="41"/>
      <c r="P192" s="41"/>
      <c r="Q192" s="41"/>
      <c r="R192" s="41"/>
      <c r="S192" s="41"/>
      <c r="T192" s="190" t="s">
        <v>2754</v>
      </c>
      <c r="U192" s="18" t="str">
        <f>IF(ISBLANK(input_wld_rwr_vc_fqdn),"Value Missing",input_wld_rwr_vc_fqdn)</f>
        <v>Value Missing</v>
      </c>
      <c r="V192" s="41"/>
      <c r="W192" s="41"/>
      <c r="X192" s="41"/>
      <c r="Y192" s="41"/>
      <c r="Z192" s="41"/>
      <c r="AA192" s="41"/>
      <c r="AB192" s="41"/>
      <c r="AC192" s="41"/>
      <c r="AD192" s="41"/>
      <c r="AE192" s="41"/>
      <c r="AF192" s="41"/>
    </row>
    <row r="193" ht="19.5" customHeight="1">
      <c r="A193" s="41"/>
      <c r="B193" s="85" t="s">
        <v>737</v>
      </c>
      <c r="C193" s="18" t="str">
        <f>IF(ISBLANK(input_mgmt_witness_hostname),"Value Missing",input_mgmt_witness_hostname)</f>
        <v>Value Missing</v>
      </c>
      <c r="D193" s="1"/>
      <c r="E193" s="41"/>
      <c r="F193" s="41"/>
      <c r="G193" s="41"/>
      <c r="H193" s="173" t="s">
        <v>1236</v>
      </c>
      <c r="I193" s="18" t="str">
        <f>IF(ISBLANK(wld_bf_nsx_create_passwords_chosen),"Value Missing",wld_bf_nsx_create_passwords_chosen)</f>
        <v>Unselected</v>
      </c>
      <c r="J193" s="1"/>
      <c r="K193" s="84" t="s">
        <v>2755</v>
      </c>
      <c r="L193" s="18" t="str">
        <f>IF(ISBLANK(input_flt_logs_nodeb_fqdn),"Value Missing",input_flt_logs_nodeb_fqdn)</f>
        <v>Value Missing</v>
      </c>
      <c r="M193" s="41"/>
      <c r="N193" s="41"/>
      <c r="O193" s="41"/>
      <c r="P193" s="41"/>
      <c r="Q193" s="41"/>
      <c r="R193" s="41"/>
      <c r="S193" s="41"/>
      <c r="T193" s="190" t="s">
        <v>2756</v>
      </c>
      <c r="U193" s="18" t="str">
        <f>IF(ISBLANK(input_wld_vlr_hostname),"Value Missing",input_wld_vlr_hostname)</f>
        <v>Value Missing</v>
      </c>
      <c r="V193" s="41"/>
      <c r="W193" s="41"/>
      <c r="X193" s="41"/>
      <c r="Y193" s="41"/>
      <c r="Z193" s="41"/>
      <c r="AA193" s="41"/>
      <c r="AB193" s="41"/>
      <c r="AC193" s="41"/>
      <c r="AD193" s="41"/>
      <c r="AE193" s="41"/>
      <c r="AF193" s="41"/>
    </row>
    <row r="194" ht="19.5" customHeight="1">
      <c r="A194" s="41"/>
      <c r="B194" s="1"/>
      <c r="C194" s="1"/>
      <c r="D194" s="1"/>
      <c r="E194" s="41"/>
      <c r="F194" s="41"/>
      <c r="G194" s="41"/>
      <c r="H194" s="84" t="s">
        <v>1237</v>
      </c>
      <c r="I194" s="18" t="str">
        <f>IF(ISBLANK(input_wld_bf_nsxt_admin_password),"Value Missing",input_wld_bf_nsxt_admin_password)</f>
        <v>Value Missing</v>
      </c>
      <c r="J194" s="1"/>
      <c r="K194" s="84" t="s">
        <v>2757</v>
      </c>
      <c r="L194" s="18" t="str">
        <f>IF(ISBLANK(input_flt_logs_nodec_fqdn),"Value Missing",input_flt_logs_nodec_fqdn)</f>
        <v>Value Missing</v>
      </c>
      <c r="M194" s="41"/>
      <c r="N194" s="41"/>
      <c r="O194" s="41"/>
      <c r="P194" s="41"/>
      <c r="Q194" s="41"/>
      <c r="R194" s="41"/>
      <c r="S194" s="41"/>
      <c r="T194" s="190" t="s">
        <v>2758</v>
      </c>
      <c r="U194" s="18" t="str">
        <f>CONCATENATE(wld_vlr_hostname,".",rwr_child_dns_zone)</f>
        <v>Value Missing.Value Missing</v>
      </c>
      <c r="V194" s="41"/>
      <c r="W194" s="41"/>
      <c r="X194" s="41"/>
      <c r="Y194" s="41"/>
      <c r="Z194" s="41"/>
      <c r="AA194" s="41"/>
      <c r="AB194" s="41"/>
      <c r="AC194" s="41"/>
      <c r="AD194" s="41"/>
      <c r="AE194" s="41"/>
      <c r="AF194" s="41"/>
    </row>
    <row r="195" ht="19.5" customHeight="1">
      <c r="A195" s="41"/>
      <c r="B195" s="331" t="s">
        <v>2759</v>
      </c>
      <c r="C195" s="331"/>
      <c r="D195" s="1"/>
      <c r="E195" s="41"/>
      <c r="F195" s="41"/>
      <c r="G195" s="41"/>
      <c r="H195" s="84" t="s">
        <v>1238</v>
      </c>
      <c r="I195" s="18" t="str">
        <f>IF(ISBLANK(input_wld_bf_nsxt_root_password),"Value Missing",input_wld_bf_nsxt_root_password)</f>
        <v>Value Missing</v>
      </c>
      <c r="J195" s="1"/>
      <c r="K195" s="84" t="s">
        <v>741</v>
      </c>
      <c r="L195" s="18" t="str">
        <f>IF(ISBLANK(input_flt_logs_vip_ip),"Value Missing",input_flt_logs_vip_ip)</f>
        <v>Value Missing</v>
      </c>
      <c r="M195" s="41"/>
      <c r="N195" s="41"/>
      <c r="O195" s="41"/>
      <c r="P195" s="41"/>
      <c r="Q195" s="41"/>
      <c r="R195" s="41"/>
      <c r="S195" s="41"/>
      <c r="T195" s="190" t="s">
        <v>2760</v>
      </c>
      <c r="U195" s="18" t="str">
        <f t="array" ref="U195">IF(ISBLANK(input_wld_rwr_cl02_cluster),"Value Missing",input_wld_rwr_cl02_cluster)</f>
        <v>Value Missing</v>
      </c>
      <c r="V195" s="41"/>
      <c r="W195" s="41"/>
      <c r="X195" s="41"/>
      <c r="Y195" s="41"/>
      <c r="Z195" s="41"/>
      <c r="AA195" s="41"/>
      <c r="AB195" s="41"/>
      <c r="AC195" s="41"/>
      <c r="AD195" s="41"/>
      <c r="AE195" s="41"/>
      <c r="AF195" s="41"/>
    </row>
    <row r="196" ht="19.5" customHeight="1">
      <c r="A196" s="41"/>
      <c r="B196" s="15" t="s">
        <v>256</v>
      </c>
      <c r="C196" s="15" t="s">
        <v>274</v>
      </c>
      <c r="D196" s="41"/>
      <c r="E196" s="41"/>
      <c r="F196" s="41"/>
      <c r="G196" s="41"/>
      <c r="H196" s="84" t="s">
        <v>1239</v>
      </c>
      <c r="I196" s="18" t="str">
        <f>IF(ISBLANK(input_wld_bf_nsxt_audit_password),"Value Missing",input_wld_bf_nsxt_audit_password)</f>
        <v>Value Missing</v>
      </c>
      <c r="J196" s="1"/>
      <c r="K196" s="84" t="s">
        <v>741</v>
      </c>
      <c r="L196" s="18" t="str">
        <f>IF(ISBLANK(input_flt_logs_nodea_ip),"Value Missing",input_flt_logs_nodea_ip)</f>
        <v>Value Missing</v>
      </c>
      <c r="M196" s="41"/>
      <c r="N196" s="41"/>
      <c r="O196" s="41"/>
      <c r="P196" s="41"/>
      <c r="Q196" s="41"/>
      <c r="R196" s="41"/>
      <c r="S196" s="41"/>
      <c r="T196" s="190" t="s">
        <v>2761</v>
      </c>
      <c r="U196" s="18" t="str">
        <f>IF(ISBLANK(input_wld_rwr_cl02_vds01),"Value Missing",input_wld_rwr_cl02_vds01)</f>
        <v>Value Missing</v>
      </c>
      <c r="V196" s="41"/>
      <c r="W196" s="41"/>
      <c r="X196" s="41"/>
      <c r="Y196" s="41"/>
      <c r="Z196" s="41"/>
      <c r="AA196" s="41"/>
      <c r="AB196" s="41"/>
      <c r="AC196" s="41"/>
      <c r="AD196" s="41"/>
      <c r="AE196" s="1"/>
      <c r="AF196" s="1"/>
    </row>
    <row r="197" ht="19.5" customHeight="1">
      <c r="A197" s="41"/>
      <c r="B197" s="84" t="s">
        <v>2508</v>
      </c>
      <c r="C197" s="18" t="str">
        <f>IF(ISBLANK('Configure Management Domain'!D345),"Value Missing",'Configure Management Domain'!D345)</f>
        <v>Value Missing</v>
      </c>
      <c r="D197" s="41"/>
      <c r="E197" s="41"/>
      <c r="F197" s="41"/>
      <c r="G197" s="41"/>
      <c r="H197" s="173" t="s">
        <v>1212</v>
      </c>
      <c r="I197" s="18" t="str">
        <f>IF(ISBLANK(input_wld_bf_sddc_domain),"Value Missing",input_wld_bf_sddc_domain)</f>
        <v>Value Missing</v>
      </c>
      <c r="J197" s="1"/>
      <c r="K197" s="84" t="s">
        <v>741</v>
      </c>
      <c r="L197" s="18" t="str">
        <f>IF(ISBLANK(input_flt_logs_nodeb_ip),"Value Missing",input_flt_logs_nodeb_ip)</f>
        <v>Value Missing</v>
      </c>
      <c r="M197" s="41"/>
      <c r="N197" s="41"/>
      <c r="O197" s="41"/>
      <c r="P197" s="41"/>
      <c r="Q197" s="41"/>
      <c r="R197" s="41"/>
      <c r="S197" s="41"/>
      <c r="T197" s="190"/>
      <c r="U197" s="18" t="str">
        <f>IF(ISBLANK(input_rwr_sso_domain_name),"Value Missing",input_rwr_sso_domain_name)</f>
        <v>Value Missing</v>
      </c>
      <c r="V197" s="41"/>
      <c r="W197" s="41"/>
      <c r="X197" s="41"/>
      <c r="Y197" s="41"/>
      <c r="Z197" s="41"/>
      <c r="AA197" s="41"/>
      <c r="AB197" s="41"/>
      <c r="AC197" s="41"/>
      <c r="AD197" s="41"/>
      <c r="AE197" s="41"/>
      <c r="AF197" s="41"/>
    </row>
    <row r="198" ht="19.5" customHeight="1">
      <c r="A198" s="41"/>
      <c r="B198" s="84" t="s">
        <v>2511</v>
      </c>
      <c r="C198" s="18" t="str">
        <f>IF(ISBLANK('Configure Management Domain'!D346),"Value Missing",'Configure Management Domain'!D346)</f>
        <v>Value Missing</v>
      </c>
      <c r="D198" s="41"/>
      <c r="E198" s="41"/>
      <c r="F198" s="41"/>
      <c r="G198" s="41"/>
      <c r="H198" s="41"/>
      <c r="I198" s="41"/>
      <c r="J198" s="1"/>
      <c r="K198" s="84" t="s">
        <v>741</v>
      </c>
      <c r="L198" s="18" t="str">
        <f>IF(ISBLANK(input_flt_logs_nodec_ip),"Value Missing",input_flt_logs_nodec_ip)</f>
        <v>Value Missing</v>
      </c>
      <c r="M198" s="41"/>
      <c r="N198" s="41"/>
      <c r="O198" s="41"/>
      <c r="P198" s="41"/>
      <c r="Q198" s="41"/>
      <c r="R198" s="41"/>
      <c r="S198" s="41"/>
      <c r="T198" s="41"/>
      <c r="U198" s="18" t="str">
        <f>IF(ISBLANK(input_wld_vlr_replication_user),"Value Missing",input_wld_vlr_replication_user)</f>
        <v>Value Missing</v>
      </c>
      <c r="V198" s="41"/>
      <c r="W198" s="41"/>
      <c r="X198" s="41"/>
      <c r="Y198" s="41"/>
      <c r="Z198" s="41"/>
      <c r="AA198" s="41"/>
      <c r="AB198" s="41"/>
      <c r="AC198" s="41"/>
      <c r="AD198" s="41"/>
      <c r="AE198" s="41"/>
      <c r="AF198" s="41"/>
    </row>
    <row r="199" ht="19.5" customHeight="1">
      <c r="A199" s="41"/>
      <c r="B199" s="84" t="s">
        <v>2516</v>
      </c>
      <c r="C199" s="18" t="str">
        <f>IF(ISBLANK('Configure Management Domain'!D347),"Value Missing",'Configure Management Domain'!D347)</f>
        <v>Value Missing</v>
      </c>
      <c r="D199" s="41"/>
      <c r="E199" s="41"/>
      <c r="F199" s="41"/>
      <c r="G199" s="41"/>
      <c r="H199" s="331" t="s">
        <v>2762</v>
      </c>
      <c r="I199" s="331"/>
      <c r="J199" s="1"/>
      <c r="K199" s="84" t="s">
        <v>1050</v>
      </c>
      <c r="L199" s="18" t="str">
        <f>IF(ISBLANK(input_flt_logs_folder),"Value Missing",input_flt_logs_folder)</f>
        <v>Value Missing</v>
      </c>
      <c r="M199" s="41"/>
      <c r="N199" s="41"/>
      <c r="O199" s="41"/>
      <c r="P199" s="41"/>
      <c r="Q199" s="41"/>
      <c r="R199" s="41"/>
      <c r="S199" s="41"/>
      <c r="T199" s="41"/>
      <c r="U199" s="18" t="str">
        <f>IF(ISBLANK(input_rwr_child_dns_zone),"Value Missing",input_rwr_child_dns_zone)</f>
        <v>Value Missing</v>
      </c>
      <c r="V199" s="41"/>
      <c r="W199" s="41"/>
      <c r="X199" s="41"/>
      <c r="Y199" s="41"/>
      <c r="Z199" s="41"/>
      <c r="AA199" s="41"/>
      <c r="AB199" s="41"/>
      <c r="AC199" s="41"/>
      <c r="AD199" s="41"/>
      <c r="AE199" s="41"/>
      <c r="AF199" s="41"/>
    </row>
    <row r="200" ht="19.5" customHeight="1">
      <c r="A200" s="41"/>
      <c r="B200" s="84" t="s">
        <v>2519</v>
      </c>
      <c r="C200" s="18" t="str">
        <f>IF(ISBLANK('Configure Management Domain'!D348),"Value Missing",'Configure Management Domain'!D348)</f>
        <v>Value Missing</v>
      </c>
      <c r="D200" s="41"/>
      <c r="E200" s="41"/>
      <c r="F200" s="41"/>
      <c r="G200" s="41"/>
      <c r="H200" s="15" t="s">
        <v>256</v>
      </c>
      <c r="I200" s="15" t="s">
        <v>274</v>
      </c>
      <c r="J200" s="1"/>
      <c r="K200" s="84" t="s">
        <v>1052</v>
      </c>
      <c r="L200" s="18" t="str">
        <f>IF(ISBLANK(input_flt_logs_resource_pool),"Value Missing",input_flt_logs_resource_pool)</f>
        <v>Value Missing</v>
      </c>
      <c r="M200" s="41"/>
      <c r="N200" s="41"/>
      <c r="O200" s="41"/>
      <c r="P200" s="41"/>
      <c r="Q200" s="41"/>
      <c r="R200" s="41"/>
      <c r="S200" s="41"/>
      <c r="T200" s="41"/>
      <c r="U200" s="18" t="str">
        <f>IF(ISBLANK(input_rwr_vlr_replication_password),"Value Missing",input_rwr_vlr_replication_password)</f>
        <v>Value Missing</v>
      </c>
      <c r="V200" s="41"/>
      <c r="W200" s="41"/>
      <c r="X200" s="41"/>
      <c r="Y200" s="41"/>
      <c r="Z200" s="41"/>
      <c r="AA200" s="41"/>
      <c r="AB200" s="41"/>
      <c r="AC200" s="41"/>
      <c r="AD200" s="41"/>
      <c r="AE200" s="41"/>
      <c r="AF200" s="41"/>
    </row>
    <row r="201" ht="19.5" customHeight="1">
      <c r="A201" s="41"/>
      <c r="B201" s="84" t="s">
        <v>809</v>
      </c>
      <c r="C201" s="18" t="str">
        <f>IF(ISBLANK('Configure Management Domain'!D374),"Value Missing",'Configure Management Domain'!D374)</f>
        <v>Value Missing</v>
      </c>
      <c r="D201" s="41"/>
      <c r="E201" s="41"/>
      <c r="F201" s="41"/>
      <c r="G201" s="41"/>
      <c r="H201" s="187" t="s">
        <v>401</v>
      </c>
      <c r="I201" s="18" t="str">
        <f>IF(ISBLANK(input_cluster_az2_mgmt_vlan),"Value Missing",input_cluster_az2_mgmt_vlan)</f>
        <v>Value Missing</v>
      </c>
      <c r="J201" s="1"/>
      <c r="K201" s="84" t="s">
        <v>2763</v>
      </c>
      <c r="L201" s="18" t="str">
        <f>IF(ISBLANK(input_flt_logs_portgroup),"Value Missing",input_flt_logs_portgroup)</f>
        <v>Value Missing</v>
      </c>
      <c r="M201" s="41"/>
      <c r="N201" s="41"/>
      <c r="O201" s="41"/>
      <c r="P201" s="41"/>
      <c r="Q201" s="41"/>
      <c r="R201" s="41"/>
      <c r="S201" s="41"/>
      <c r="T201" s="41"/>
      <c r="U201" s="18" t="str">
        <f>IF(ISBLANK(input_rwr_vrms_pg),"Value Missing",input_rwr_vrms_pg)</f>
        <v>Value Missing</v>
      </c>
      <c r="V201" s="41"/>
      <c r="W201" s="41"/>
      <c r="X201" s="41"/>
      <c r="Y201" s="41"/>
      <c r="Z201" s="41"/>
      <c r="AA201" s="41"/>
      <c r="AB201" s="41"/>
      <c r="AC201" s="41"/>
      <c r="AD201" s="41"/>
      <c r="AE201" s="41"/>
      <c r="AF201" s="41"/>
    </row>
    <row r="202" ht="19.5" customHeight="1">
      <c r="A202" s="41"/>
      <c r="B202" s="84" t="s">
        <v>1866</v>
      </c>
      <c r="C202" s="18" t="str">
        <f>IF(ISBLANK('Configure Management Domain'!D363),"Value Missing",'Configure Management Domain'!D363)</f>
        <v>Value Missing</v>
      </c>
      <c r="D202" s="41"/>
      <c r="E202" s="41"/>
      <c r="F202" s="41"/>
      <c r="G202" s="41"/>
      <c r="H202" s="187" t="s">
        <v>402</v>
      </c>
      <c r="I202" s="18" t="str">
        <f>IF(ISBLANK(input_cluster_az2_mgmt_gateway_ip),"Value Missing",input_cluster_az2_mgmt_gateway_ip)</f>
        <v>Value Missing</v>
      </c>
      <c r="J202" s="1"/>
      <c r="K202" s="84" t="s">
        <v>2764</v>
      </c>
      <c r="L202" s="18" t="str">
        <f>IF(ISBLANK(input_flt_logs_gateway_ip),"Value Missing",input_flt_logs_gateway_ip)</f>
        <v>Value Missing</v>
      </c>
      <c r="M202" s="41"/>
      <c r="N202" s="41"/>
      <c r="O202" s="41"/>
      <c r="P202" s="41"/>
      <c r="Q202" s="41"/>
      <c r="R202" s="41"/>
      <c r="S202" s="41"/>
      <c r="T202" s="41"/>
      <c r="U202" s="18" t="str">
        <f>IF(ISBLANK(input_wld_rwr_recovery_site_vc_fqdn),"Value Missing",input_wld_rwr_recovery_site_vc_fqdn)</f>
        <v>Value Missing</v>
      </c>
      <c r="V202" s="41"/>
      <c r="W202" s="41"/>
      <c r="X202" s="41"/>
      <c r="Y202" s="41"/>
      <c r="Z202" s="41"/>
      <c r="AA202" s="41"/>
      <c r="AB202" s="41"/>
      <c r="AC202" s="41"/>
      <c r="AD202" s="41"/>
      <c r="AE202" s="41"/>
      <c r="AF202" s="41"/>
    </row>
    <row r="203" ht="19.5" customHeight="1">
      <c r="A203" s="41"/>
      <c r="B203" s="1"/>
      <c r="C203" s="1"/>
      <c r="D203" s="41"/>
      <c r="E203" s="41"/>
      <c r="F203" s="41"/>
      <c r="G203" s="41"/>
      <c r="H203" s="187" t="s">
        <v>403</v>
      </c>
      <c r="I203" s="18" t="str">
        <f>IF(ISBLANK(input_cluster_az2_mgmt_cidr),"Value Missing",input_cluster_az2_mgmt_cidr)</f>
        <v>Value Missing</v>
      </c>
      <c r="J203" s="1"/>
      <c r="K203" s="84" t="s">
        <v>2765</v>
      </c>
      <c r="L203" s="18" t="str">
        <f>IF(ISBLANK(input_flt_logs_mask),"Value Missing",input_flt_logs_mask)</f>
        <v>Value Missing</v>
      </c>
      <c r="M203" s="41"/>
      <c r="N203" s="41"/>
      <c r="O203" s="41"/>
      <c r="P203" s="41"/>
      <c r="Q203" s="41"/>
      <c r="R203" s="41"/>
      <c r="S203" s="41"/>
      <c r="T203" s="41"/>
      <c r="U203" s="18" t="str">
        <f>IF(ISBLANK(input_rwr_datacenter),"Value Missing",input_rwr_datacenter)</f>
        <v>Value Missing</v>
      </c>
      <c r="V203" s="41"/>
      <c r="W203" s="41"/>
      <c r="X203" s="41"/>
      <c r="Y203" s="41"/>
      <c r="Z203" s="41"/>
      <c r="AA203" s="41"/>
      <c r="AB203" s="41"/>
      <c r="AC203" s="41"/>
      <c r="AD203" s="41"/>
      <c r="AE203" s="41"/>
      <c r="AF203" s="41"/>
    </row>
    <row r="204" ht="19.5" customHeight="1">
      <c r="A204" s="41"/>
      <c r="B204" s="333" t="s">
        <v>2766</v>
      </c>
      <c r="C204" s="333"/>
      <c r="D204" s="41"/>
      <c r="E204" s="41"/>
      <c r="F204" s="41"/>
      <c r="G204" s="41"/>
      <c r="H204" s="187" t="s">
        <v>404</v>
      </c>
      <c r="I204" s="18" t="str">
        <f>IF(ISBLANK(input_cluster_az2_mgmt_mtu),"Value Missing",input_cluster_az2_mgmt_mtu)</f>
        <v>Value Missing</v>
      </c>
      <c r="J204" s="1"/>
      <c r="K204" s="84" t="s">
        <v>299</v>
      </c>
      <c r="L204" s="18" t="str">
        <f>IF(ISBLANK(input_flt_logs_vcenter_fqdn),"Value Missing",input_flt_logs_vcenter_fqdn)</f>
        <v>Value Missing</v>
      </c>
      <c r="M204" s="41"/>
      <c r="N204" s="41"/>
      <c r="O204" s="41"/>
      <c r="P204" s="41"/>
      <c r="Q204" s="41"/>
      <c r="R204" s="41"/>
      <c r="S204" s="41"/>
      <c r="T204" s="41"/>
      <c r="U204" s="18" t="str">
        <f>IF(ISBLANK(input_wld_rwr_recoverysite_fd),"Value Missing",input_wld_rwr_recoverysite_fd)</f>
        <v>Value Missing</v>
      </c>
      <c r="V204" s="41"/>
      <c r="W204" s="41"/>
      <c r="X204" s="41"/>
      <c r="Y204" s="41"/>
      <c r="Z204" s="41"/>
      <c r="AA204" s="41"/>
      <c r="AB204" s="41"/>
      <c r="AC204" s="41"/>
      <c r="AD204" s="41"/>
      <c r="AE204" s="41"/>
      <c r="AF204" s="41"/>
    </row>
    <row r="205" ht="19.5" customHeight="1">
      <c r="A205" s="41"/>
      <c r="B205" s="337" t="s">
        <v>256</v>
      </c>
      <c r="C205" s="338" t="s">
        <v>274</v>
      </c>
      <c r="D205" s="41"/>
      <c r="E205" s="41"/>
      <c r="F205" s="41"/>
      <c r="G205" s="41"/>
      <c r="H205" s="187" t="s">
        <v>697</v>
      </c>
      <c r="I205" s="18" t="str">
        <f>IF(ISBLANK(input_cluster_az2_host1_mgmt_ip),"Value Missing",input_cluster_az2_host1_mgmt_ip)</f>
        <v>Value Missing</v>
      </c>
      <c r="J205" s="1"/>
      <c r="K205" s="84" t="s">
        <v>1178</v>
      </c>
      <c r="L205" s="18" t="str">
        <f>IF(ISBLANK(input_flt_logs_cluster),"Value Missing",input_flt_logs_cluster)</f>
        <v>Value Missing</v>
      </c>
      <c r="M205" s="41"/>
      <c r="N205" s="41"/>
      <c r="O205" s="41"/>
      <c r="P205" s="41"/>
      <c r="Q205" s="41"/>
      <c r="R205" s="41"/>
      <c r="S205" s="41"/>
      <c r="T205" s="84" t="s">
        <v>2767</v>
      </c>
      <c r="U205" s="1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10.13.</v>
      </c>
      <c r="V205" s="41"/>
      <c r="W205" s="41"/>
      <c r="X205" s="41"/>
      <c r="Y205" s="41"/>
      <c r="Z205" s="41"/>
      <c r="AA205" s="41"/>
      <c r="AB205" s="41"/>
      <c r="AC205" s="41"/>
      <c r="AD205" s="41"/>
      <c r="AE205" s="41"/>
      <c r="AF205" s="41"/>
    </row>
    <row r="206" ht="19.5" customHeight="1">
      <c r="A206" s="41"/>
      <c r="B206" s="84" t="s">
        <v>356</v>
      </c>
      <c r="C206" s="18" t="str">
        <f>IF(ISBLANK(input_mgmt_sddc_domain),"Value Missing",input_mgmt_sddc_domain)</f>
        <v>Value Missing</v>
      </c>
      <c r="D206" s="41"/>
      <c r="E206" s="41"/>
      <c r="F206" s="41"/>
      <c r="G206" s="41"/>
      <c r="H206" s="187" t="s">
        <v>698</v>
      </c>
      <c r="I206" s="18" t="str">
        <f>IF(ISBLANK(input_cluster_az2_host2_mgmt_ip),"Value Missing",input_cluster_az2_host2_mgmt_ip)</f>
        <v>Value Missing</v>
      </c>
      <c r="J206" s="1"/>
      <c r="K206" s="84" t="s">
        <v>596</v>
      </c>
      <c r="L206" s="18" t="str">
        <f>IF(ISBLANK(input_flt_logs_datastore),"Value Missing",input_flt_logs_datastore)</f>
        <v>Value Missing</v>
      </c>
      <c r="M206" s="41"/>
      <c r="N206" s="41"/>
      <c r="O206" s="41"/>
      <c r="P206" s="41"/>
      <c r="Q206" s="41"/>
      <c r="R206" s="41"/>
      <c r="S206" s="41"/>
      <c r="T206" s="41" t="s">
        <v>2768</v>
      </c>
      <c r="U206" s="18" t="str">
        <f>IF(ISBLANK(input_wld_rwr_az1_vrms_gateway_ip),"Value Missing",input_wld_rwr_az1_vrms_gateway_ip)</f>
        <v>Value Missing</v>
      </c>
      <c r="V206" s="41"/>
      <c r="W206" s="41"/>
      <c r="X206" s="41"/>
      <c r="Y206" s="41"/>
      <c r="Z206" s="41"/>
      <c r="AA206" s="41"/>
      <c r="AB206" s="41"/>
      <c r="AC206" s="41"/>
      <c r="AD206" s="41"/>
      <c r="AE206" s="41"/>
      <c r="AF206" s="41"/>
    </row>
    <row r="207" ht="19.5" customHeight="1">
      <c r="A207" s="41"/>
      <c r="B207" s="84" t="s">
        <v>738</v>
      </c>
      <c r="C207" s="18" t="str">
        <f>IF(ISBLANK('Configure Management Domain'!D315),"Value Missing",'Configure Management Domain'!D315)</f>
        <v>Value Missing</v>
      </c>
      <c r="D207" s="41"/>
      <c r="E207" s="41"/>
      <c r="F207" s="41"/>
      <c r="G207" s="41"/>
      <c r="H207" s="187" t="s">
        <v>699</v>
      </c>
      <c r="I207" s="18" t="str">
        <f>IF(ISBLANK(input_cluster_az2_host3_mgmt_ip),"Value Missing",input_cluster_az2_host3_mgmt_ip)</f>
        <v>Value Missing</v>
      </c>
      <c r="J207" s="1"/>
      <c r="K207" s="173" t="s">
        <v>1152</v>
      </c>
      <c r="L207" s="18" t="str">
        <f>IF(ISBLANK(input_flt_logs_admin_password_alias),"Value Missing",input_flt_logs_admin_password_alias)</f>
        <v>Value Missing</v>
      </c>
      <c r="M207" s="41"/>
      <c r="N207" s="41"/>
      <c r="O207" s="41"/>
      <c r="P207" s="41"/>
      <c r="Q207" s="41"/>
      <c r="R207" s="41"/>
      <c r="S207" s="41"/>
      <c r="T207" s="41" t="s">
        <v>2769</v>
      </c>
      <c r="U207" s="18" t="str">
        <f>IF(ISBLANK(input_wld_rwr_recovery_site_az1_vrms_cidr),"Value Missing",input_wld_rwr_recovery_site_az1_vrms_cidr)</f>
        <v>Value Missing</v>
      </c>
      <c r="V207" s="41"/>
      <c r="W207" s="41"/>
      <c r="X207" s="41"/>
      <c r="Y207" s="41"/>
      <c r="Z207" s="41"/>
      <c r="AA207" s="41"/>
      <c r="AB207" s="41"/>
      <c r="AC207" s="41"/>
      <c r="AD207" s="41"/>
      <c r="AE207" s="41"/>
      <c r="AF207" s="41"/>
    </row>
    <row r="208" ht="19.5" customHeight="1">
      <c r="A208" s="41"/>
      <c r="B208" s="84" t="s">
        <v>355</v>
      </c>
      <c r="C208" s="18" t="str">
        <f>IF(ISBLANK('Configure Management Domain'!D313),"Value Missing",'Configure Management Domain'!D313)</f>
        <v>Value Missing</v>
      </c>
      <c r="D208" s="41"/>
      <c r="E208" s="41"/>
      <c r="F208" s="41"/>
      <c r="G208" s="41"/>
      <c r="H208" s="187" t="s">
        <v>700</v>
      </c>
      <c r="I208" s="18" t="str">
        <f>IF(ISBLANK(input_cluster_az2_host4_mgmt_ip),"Value Missing",input_cluster_az2_host4_mgmt_ip)</f>
        <v>Value Missing</v>
      </c>
      <c r="J208" s="1"/>
      <c r="K208" s="187" t="s">
        <v>685</v>
      </c>
      <c r="L208" s="18" t="str">
        <f>IF(ISBLANK(input_flt_logs_admin_password),"Value Missing",input_flt_logs_admin_password)</f>
        <v>Value Missing</v>
      </c>
      <c r="M208" s="41"/>
      <c r="N208" s="41"/>
      <c r="O208" s="41"/>
      <c r="P208" s="41"/>
      <c r="Q208" s="41"/>
      <c r="R208" s="41"/>
      <c r="S208" s="41"/>
      <c r="T208" s="41" t="s">
        <v>2770</v>
      </c>
      <c r="U208" s="18" t="str">
        <f>IF(ISBLANK(input_wld_rwr_az1_vrms_gateway_mask),"Value Missing",input_wld_rwr_az1_vrms_gateway_mask)</f>
        <v>Value Missing</v>
      </c>
      <c r="V208" s="41"/>
      <c r="W208" s="41"/>
      <c r="X208" s="41"/>
      <c r="Y208" s="41"/>
      <c r="Z208" s="41"/>
      <c r="AA208" s="41"/>
      <c r="AB208" s="41"/>
      <c r="AC208" s="41"/>
      <c r="AD208" s="41"/>
      <c r="AE208" s="41"/>
      <c r="AF208" s="41"/>
    </row>
    <row r="209" ht="19.5" customHeight="1">
      <c r="A209" s="41"/>
      <c r="B209" s="84" t="s">
        <v>737</v>
      </c>
      <c r="C209" s="18" t="str">
        <f>IF(ISBLANK(input_mgmt_witness_vm_folder),"Value Missing",input_mgmt_witness_vm_folder)</f>
        <v>Value Missing</v>
      </c>
      <c r="D209" s="41"/>
      <c r="E209" s="41"/>
      <c r="F209" s="41"/>
      <c r="G209" s="41"/>
      <c r="H209" s="187" t="s">
        <v>701</v>
      </c>
      <c r="I209" s="18" t="str">
        <f>IF(ISBLANK(input_cluster_az2_host5_mgmt_ip),"Value Missing",input_cluster_az2_host5_mgmt_ip)</f>
        <v>Value Missing</v>
      </c>
      <c r="J209" s="1"/>
      <c r="K209" s="187" t="s">
        <v>1153</v>
      </c>
      <c r="L209" s="18" t="str">
        <f>IF(ISBLANK(input_flt_logs_admin_password_description),"Value Missing",input_flt_logs_admin_password_description)</f>
        <v>Value Missing</v>
      </c>
      <c r="M209" s="41"/>
      <c r="N209" s="41"/>
      <c r="O209" s="41"/>
      <c r="P209" s="41"/>
      <c r="Q209" s="41"/>
      <c r="R209" s="41"/>
      <c r="S209" s="41"/>
      <c r="T209" s="41"/>
      <c r="U209" s="18" t="str">
        <f>IF(ISBLANK(input_mgmt_rwr_recovery_site_az1_mgmt_cidr),"Value Missing",input_mgmt_rwr_recovery_site_az1_mgmt_cidr)</f>
        <v>Value Missing</v>
      </c>
      <c r="V209" s="41"/>
      <c r="W209" s="41"/>
      <c r="X209" s="41"/>
      <c r="Y209" s="41"/>
      <c r="Z209" s="41"/>
      <c r="AA209" s="41"/>
      <c r="AB209" s="41"/>
      <c r="AC209" s="41"/>
      <c r="AD209" s="41"/>
      <c r="AE209" s="41"/>
      <c r="AF209" s="41"/>
    </row>
    <row r="210" ht="19.5" customHeight="1">
      <c r="A210" s="41"/>
      <c r="B210" s="41"/>
      <c r="C210" s="41"/>
      <c r="D210" s="41"/>
      <c r="E210" s="41"/>
      <c r="F210" s="41"/>
      <c r="G210" s="41"/>
      <c r="H210" s="187" t="s">
        <v>702</v>
      </c>
      <c r="I210" s="18" t="str">
        <f>IF(ISBLANK(input_cluster_az2_host6_mgmt_ip),"Value Missing",input_cluster_az2_host6_mgmt_ip)</f>
        <v>Value Missing</v>
      </c>
      <c r="J210" s="1"/>
      <c r="K210" s="187" t="s">
        <v>1155</v>
      </c>
      <c r="L210" s="18" t="str">
        <f>IF(ISBLANK(input_flt_logs_admin_username),"Value Missing",input_flt_logs_admin_username)</f>
        <v>Value Missing</v>
      </c>
      <c r="M210" s="41"/>
      <c r="N210" s="41"/>
      <c r="O210" s="41"/>
      <c r="P210" s="41"/>
      <c r="Q210" s="41"/>
      <c r="R210" s="41"/>
      <c r="S210" s="41"/>
      <c r="T210" s="41" t="s">
        <v>2771</v>
      </c>
      <c r="U210" s="18" t="str">
        <f>IF(ISBLANK(input_wld_rwr_vcfops_vlsr_username),"Value Missing",input_wld_rwr_vcfops_vlsr_username)</f>
        <v>Value Missing</v>
      </c>
      <c r="V210" s="41"/>
      <c r="W210" s="41"/>
      <c r="X210" s="41"/>
      <c r="Y210" s="41"/>
      <c r="Z210" s="41"/>
      <c r="AA210" s="41"/>
      <c r="AB210" s="41"/>
      <c r="AC210" s="41"/>
      <c r="AD210" s="41"/>
      <c r="AE210" s="41"/>
      <c r="AF210" s="41"/>
    </row>
    <row r="211" ht="19.5" customHeight="1">
      <c r="A211" s="41"/>
      <c r="B211" s="333" t="s">
        <v>2772</v>
      </c>
      <c r="C211" s="333"/>
      <c r="D211" s="41"/>
      <c r="E211" s="41"/>
      <c r="F211" s="41"/>
      <c r="G211" s="41"/>
      <c r="H211" s="187" t="s">
        <v>703</v>
      </c>
      <c r="I211" s="18" t="str">
        <f>IF(ISBLANK(input_cluster_az2_host7_mgmt_ip),"Value Missing",input_cluster_az2_host7_mgmt_ip)</f>
        <v>Value Missing</v>
      </c>
      <c r="J211" s="1"/>
      <c r="K211" s="187" t="s">
        <v>1068</v>
      </c>
      <c r="L211" s="18" t="str">
        <f>IF(ISBLANK(input_flt_logs_root_password_alias),"Value Missing",input_flt_logs_root_password_alias)</f>
        <v>Value Missing</v>
      </c>
      <c r="M211" s="41"/>
      <c r="N211" s="41"/>
      <c r="O211" s="41"/>
      <c r="P211" s="41"/>
      <c r="Q211" s="41"/>
      <c r="R211" s="41"/>
      <c r="S211" s="41"/>
      <c r="T211" s="41"/>
      <c r="U211" s="18" t="str">
        <f>IF(ISBLANK(input_wld_rwr_vcfops_vr_username),"Value Missing",input_wld_rwr_vcfops_vr_username)</f>
        <v>Value Missing</v>
      </c>
      <c r="V211" s="41"/>
      <c r="W211" s="41"/>
      <c r="X211" s="41"/>
      <c r="Y211" s="41"/>
      <c r="Z211" s="41"/>
      <c r="AA211" s="41"/>
      <c r="AB211" s="41"/>
      <c r="AC211" s="41"/>
      <c r="AD211" s="41"/>
      <c r="AE211" s="41"/>
      <c r="AF211" s="41"/>
    </row>
    <row r="212" ht="19.5" customHeight="1">
      <c r="A212" s="41"/>
      <c r="B212" s="337" t="s">
        <v>256</v>
      </c>
      <c r="C212" s="338" t="s">
        <v>274</v>
      </c>
      <c r="D212" s="1"/>
      <c r="E212" s="41"/>
      <c r="F212" s="41"/>
      <c r="G212" s="41"/>
      <c r="H212" s="187" t="s">
        <v>704</v>
      </c>
      <c r="I212" s="18" t="str">
        <f>IF(ISBLANK(input_cluster_az2_host8_mgmt_ip),"Value Missing",input_cluster_az2_host8_mgmt_ip)</f>
        <v>Value Missing</v>
      </c>
      <c r="J212" s="1"/>
      <c r="K212" s="187" t="s">
        <v>331</v>
      </c>
      <c r="L212" s="18" t="str">
        <f>IF(ISBLANK(input_flt_logs_root_password),"Value Missing",input_flt_logs_root_password)</f>
        <v>Value Missing</v>
      </c>
      <c r="M212" s="41"/>
      <c r="N212" s="41"/>
      <c r="O212" s="41"/>
      <c r="P212" s="41"/>
      <c r="Q212" s="41"/>
      <c r="R212" s="41"/>
      <c r="S212" s="41"/>
      <c r="T212" s="110" t="s">
        <v>502</v>
      </c>
      <c r="U212" s="18"/>
      <c r="V212" s="41"/>
      <c r="W212" s="41"/>
      <c r="X212" s="41"/>
      <c r="Y212" s="41"/>
      <c r="Z212" s="41"/>
      <c r="AA212" s="41"/>
      <c r="AB212" s="41"/>
      <c r="AC212" s="41"/>
      <c r="AD212" s="41"/>
      <c r="AE212" s="41"/>
      <c r="AF212" s="41"/>
    </row>
    <row r="213" ht="19.5" customHeight="1">
      <c r="A213" s="41"/>
      <c r="B213" s="85" t="s">
        <v>2081</v>
      </c>
      <c r="C213" s="18" t="str">
        <f>IF(ISBLANK(input_mgmt_witness_zone_vc_ip),"Value Missing",input_mgmt_witness_zone_vc_ip)</f>
        <v>Value Missing</v>
      </c>
      <c r="D213" s="1"/>
      <c r="E213" s="41"/>
      <c r="F213" s="41"/>
      <c r="G213" s="41"/>
      <c r="H213" s="187" t="s">
        <v>705</v>
      </c>
      <c r="I213" s="18" t="str">
        <f>IF(ISBLANK(input_cluster_az2_host9_mgmt_ip),"Value Missing",input_cluster_az2_host9_mgmt_ip)</f>
        <v>Value Missing</v>
      </c>
      <c r="J213" s="1"/>
      <c r="K213" s="187" t="s">
        <v>1069</v>
      </c>
      <c r="L213" s="18" t="str">
        <f>IF(ISBLANK(input_flt_logs_root_password_description),"Value Missing",input_flt_logs_root_password_description)</f>
        <v>Value Missing</v>
      </c>
      <c r="M213" s="41"/>
      <c r="N213" s="41"/>
      <c r="O213" s="41"/>
      <c r="P213" s="41"/>
      <c r="Q213" s="41"/>
      <c r="R213" s="41"/>
      <c r="S213" s="41"/>
      <c r="T213" s="41"/>
      <c r="U213" s="41"/>
      <c r="V213" s="41"/>
      <c r="W213" s="41"/>
      <c r="X213" s="41"/>
      <c r="Y213" s="41"/>
      <c r="Z213" s="41"/>
      <c r="AA213" s="41"/>
      <c r="AB213" s="41"/>
      <c r="AC213" s="41"/>
      <c r="AD213" s="41"/>
      <c r="AE213" s="41"/>
      <c r="AF213" s="41"/>
    </row>
    <row r="214" ht="19.5" customHeight="1">
      <c r="A214" s="41"/>
      <c r="B214" s="85" t="s">
        <v>2773</v>
      </c>
      <c r="C214" s="18" t="str">
        <f>IF(ISBLANK('Configure Management Domain'!D319),"Value Missing",'Configure Management Domain'!D319)</f>
        <v>Value Missing</v>
      </c>
      <c r="D214" s="1"/>
      <c r="E214" s="41"/>
      <c r="F214" s="41"/>
      <c r="G214" s="41"/>
      <c r="H214" s="187" t="s">
        <v>706</v>
      </c>
      <c r="I214" s="18" t="str">
        <f>IF(ISBLANK(input_cluster_az2_host10_mgmt_ip),"Value Missing",input_cluster_az2_host10_mgmt_ip)</f>
        <v>Value Missing</v>
      </c>
      <c r="J214" s="1"/>
      <c r="K214" s="187" t="s">
        <v>1071</v>
      </c>
      <c r="L214" s="18" t="str">
        <f>IF(ISBLANK(input_flt_logs_root_username),"Value Missing",input_flt_logs_root_username)</f>
        <v>Value Missing</v>
      </c>
      <c r="M214" s="41"/>
      <c r="N214" s="41"/>
      <c r="O214" s="41"/>
      <c r="P214" s="41"/>
      <c r="Q214" s="41"/>
      <c r="R214" s="41"/>
      <c r="S214" s="41"/>
      <c r="T214" s="41"/>
      <c r="U214" s="41"/>
      <c r="V214" s="41"/>
      <c r="W214" s="41"/>
      <c r="X214" s="41"/>
      <c r="Y214" s="41"/>
      <c r="Z214" s="41"/>
      <c r="AA214" s="41"/>
      <c r="AB214" s="41"/>
      <c r="AC214" s="41"/>
      <c r="AD214" s="41"/>
      <c r="AE214" s="41"/>
      <c r="AF214" s="41"/>
    </row>
    <row r="215" ht="19.5" customHeight="1">
      <c r="A215" s="41"/>
      <c r="B215" s="84" t="s">
        <v>2537</v>
      </c>
      <c r="C215" s="18" t="str">
        <f>IF(ISBLANK(input_mgmt_witness_dns1_ip),"Value Missing",input_mgmt_witness_dns1_ip)</f>
        <v>Value Missing</v>
      </c>
      <c r="D215" s="1"/>
      <c r="E215" s="41"/>
      <c r="F215" s="41"/>
      <c r="G215" s="41"/>
      <c r="H215" s="187" t="s">
        <v>707</v>
      </c>
      <c r="I215" s="18" t="str">
        <f>IF(ISBLANK(input_cluster_az2_host11_mgmt_ip),"Value Missing",input_cluster_az2_host11_mgmt_ip)</f>
        <v>Value Missing</v>
      </c>
      <c r="J215" s="1"/>
      <c r="K215" s="84" t="s">
        <v>1158</v>
      </c>
      <c r="L215" s="18" t="str">
        <f>IF(ISBLANK(flt_logs_node_size_chosen),"Value Missing",flt_logs_node_size_chosen)</f>
        <v>Medium</v>
      </c>
      <c r="M215" s="41"/>
      <c r="N215" s="41"/>
      <c r="O215" s="41"/>
      <c r="P215" s="41"/>
      <c r="Q215" s="41"/>
      <c r="R215" s="41"/>
      <c r="S215" s="41"/>
      <c r="T215" s="41"/>
      <c r="U215" s="41"/>
      <c r="V215" s="41"/>
      <c r="W215" s="41"/>
      <c r="X215" s="41"/>
      <c r="Y215" s="41"/>
      <c r="Z215" s="41"/>
      <c r="AA215" s="41"/>
      <c r="AB215" s="41"/>
      <c r="AC215" s="41"/>
      <c r="AD215" s="41"/>
      <c r="AE215" s="41"/>
      <c r="AF215" s="41"/>
    </row>
    <row r="216" ht="19.5" customHeight="1">
      <c r="A216" s="41"/>
      <c r="B216" s="84" t="s">
        <v>2537</v>
      </c>
      <c r="C216" s="18" t="str">
        <f>IF(ISBLANK(input_mgmt_witness_dns2_ip),"Value Missing",input_mgmt_witness_dns2_ip)</f>
        <v>Value Missing</v>
      </c>
      <c r="D216" s="1"/>
      <c r="E216" s="41"/>
      <c r="F216" s="41"/>
      <c r="G216" s="41"/>
      <c r="H216" s="187" t="s">
        <v>708</v>
      </c>
      <c r="I216" s="18" t="str">
        <f>IF(ISBLANK(input_cluster_az2_host12_mgmt_ip),"Value Missing",input_cluster_az2_host12_mgmt_ip)</f>
        <v>Value Missing</v>
      </c>
      <c r="J216" s="1"/>
      <c r="K216" s="84" t="s">
        <v>1167</v>
      </c>
      <c r="L216" s="18" t="str">
        <f>IF(ISBLANK(input_flt_logs_admin_email),"Value Missing",input_flt_logs_admin_email)</f>
        <v>Value Missing</v>
      </c>
      <c r="M216" s="41"/>
      <c r="N216" s="41"/>
      <c r="O216" s="41"/>
      <c r="P216" s="41"/>
      <c r="Q216" s="41"/>
      <c r="R216" s="41"/>
      <c r="S216" s="41"/>
      <c r="T216" s="41"/>
      <c r="U216" s="41"/>
      <c r="V216" s="41"/>
      <c r="W216" s="41"/>
      <c r="X216" s="41"/>
      <c r="Y216" s="41"/>
      <c r="Z216" s="41"/>
      <c r="AA216" s="41"/>
      <c r="AB216" s="41"/>
      <c r="AC216" s="41"/>
      <c r="AD216" s="41"/>
      <c r="AE216" s="41"/>
      <c r="AF216" s="41"/>
    </row>
    <row r="217" ht="19.5" customHeight="1">
      <c r="A217" s="41"/>
      <c r="B217" s="84" t="s">
        <v>2542</v>
      </c>
      <c r="C217" s="186" t="str">
        <f>IF(ISBLANK(sample_mgmt_witness_ntp1_server),"Value Missing",sample_mgmt_witness_ntp1_server)</f>
        <v>ntp0.lax.rainpole.io</v>
      </c>
      <c r="D217" s="41"/>
      <c r="E217" s="41"/>
      <c r="F217" s="41"/>
      <c r="G217" s="41"/>
      <c r="H217" s="187" t="s">
        <v>709</v>
      </c>
      <c r="I217" s="18" t="str">
        <f>IF(ISBLANK(input_cluster_az2_host13_mgmt_ip),"Value Missing",input_cluster_az2_host13_mgmt_ip)</f>
        <v>Value Missing</v>
      </c>
      <c r="J217" s="1"/>
      <c r="K217" s="84" t="s">
        <v>2774</v>
      </c>
      <c r="L217" s="18" t="str">
        <f>IF(ISBLANK(input_flt_logs_nodea_hostname),"Value Missing",input_flt_logs_nodea_hostname)</f>
        <v>Value Missing</v>
      </c>
      <c r="M217" s="41"/>
      <c r="N217" s="41"/>
      <c r="O217" s="41"/>
      <c r="P217" s="41"/>
      <c r="Q217" s="41"/>
      <c r="R217" s="41"/>
      <c r="S217" s="41"/>
      <c r="T217" s="41"/>
      <c r="U217" s="41"/>
      <c r="V217" s="41"/>
      <c r="W217" s="41"/>
      <c r="X217" s="41"/>
      <c r="Y217" s="41"/>
      <c r="Z217" s="41"/>
      <c r="AA217" s="41"/>
      <c r="AB217" s="41"/>
      <c r="AC217" s="41"/>
      <c r="AD217" s="41"/>
      <c r="AE217" s="41"/>
      <c r="AF217" s="41"/>
    </row>
    <row r="218" ht="19.5" customHeight="1">
      <c r="A218" s="41"/>
      <c r="B218" s="84" t="s">
        <v>2542</v>
      </c>
      <c r="C218" s="186" t="str">
        <f>IF(ISBLANK(sample_mgmt_witness_ntp2_server),"Value Missing",sample_mgmt_witness_ntp2_server)</f>
        <v>ntp1.lax.rainpole.io</v>
      </c>
      <c r="D218" s="41"/>
      <c r="E218" s="41"/>
      <c r="F218" s="41"/>
      <c r="G218" s="41"/>
      <c r="H218" s="187" t="s">
        <v>710</v>
      </c>
      <c r="I218" s="18" t="str">
        <f>IF(ISBLANK(input_cluster_az2_host14_mgmt_ip),"Value Missing",input_cluster_az2_host14_mgmt_ip)</f>
        <v>Value Missing</v>
      </c>
      <c r="J218" s="1"/>
      <c r="K218" s="84" t="s">
        <v>2775</v>
      </c>
      <c r="L218" s="18" t="str">
        <f>IF(ISBLANK(input_flt_logs_nodeb_hostname),"Value Missing",input_flt_logs_nodeb_hostname)</f>
        <v>Value Missing</v>
      </c>
      <c r="M218" s="41"/>
      <c r="N218" s="41"/>
      <c r="O218" s="41"/>
      <c r="P218" s="41"/>
      <c r="Q218" s="41"/>
      <c r="R218" s="41"/>
      <c r="S218" s="41"/>
      <c r="T218" s="41"/>
      <c r="U218" s="41"/>
      <c r="V218" s="41"/>
      <c r="W218" s="41"/>
      <c r="X218" s="41"/>
      <c r="Y218" s="41"/>
      <c r="Z218" s="41"/>
      <c r="AA218" s="41"/>
      <c r="AB218" s="41"/>
      <c r="AC218" s="41"/>
      <c r="AD218" s="41"/>
      <c r="AE218" s="41"/>
      <c r="AF218" s="41"/>
    </row>
    <row r="219" ht="19.5" customHeight="1">
      <c r="A219" s="41"/>
      <c r="B219" s="70"/>
      <c r="C219" s="41"/>
      <c r="D219" s="41"/>
      <c r="E219" s="41"/>
      <c r="F219" s="41"/>
      <c r="G219" s="41"/>
      <c r="H219" s="187" t="s">
        <v>711</v>
      </c>
      <c r="I219" s="18" t="str">
        <f>IF(ISBLANK(input_cluster_az2_host15_mgmt_ip),"Value Missing",input_cluster_az2_host15_mgmt_ip)</f>
        <v>Value Missing</v>
      </c>
      <c r="J219" s="1"/>
      <c r="K219" s="84" t="s">
        <v>2776</v>
      </c>
      <c r="L219" s="18" t="str">
        <f>IF(ISBLANK(input_flt_logs_nodec_hostname),"Value Missing",input_flt_logs_nodec_hostname)</f>
        <v>Value Missing</v>
      </c>
      <c r="M219" s="41"/>
      <c r="N219" s="41"/>
      <c r="O219" s="41"/>
      <c r="P219" s="41"/>
      <c r="Q219" s="41"/>
      <c r="R219" s="41"/>
      <c r="S219" s="41"/>
      <c r="T219" s="41"/>
      <c r="U219" s="41"/>
      <c r="V219" s="41"/>
      <c r="W219" s="41"/>
      <c r="X219" s="41"/>
      <c r="Y219" s="41"/>
      <c r="Z219" s="41"/>
      <c r="AA219" s="41"/>
      <c r="AB219" s="41"/>
      <c r="AC219" s="41"/>
      <c r="AD219" s="41"/>
      <c r="AE219" s="41"/>
      <c r="AF219" s="41"/>
    </row>
    <row r="220" ht="19.5" customHeight="1">
      <c r="A220" s="41"/>
      <c r="B220" s="331" t="s">
        <v>2777</v>
      </c>
      <c r="C220" s="331"/>
      <c r="D220" s="41"/>
      <c r="E220" s="41"/>
      <c r="F220" s="41"/>
      <c r="G220" s="41"/>
      <c r="H220" s="187" t="s">
        <v>712</v>
      </c>
      <c r="I220" s="18" t="str">
        <f>IF(ISBLANK(input_cluster_az2_host16_mgmt_ip),"Value Missing",input_cluster_az2_host16_mgmt_ip)</f>
        <v>Value Missing</v>
      </c>
      <c r="J220" s="1"/>
      <c r="K220" s="84" t="s">
        <v>2778</v>
      </c>
      <c r="L220" s="18" t="str">
        <f>IF(ISBLANK(input_flt_logs_vip_ip),"Value Missing",input_flt_logs_vip_ip)</f>
        <v>Value Missing</v>
      </c>
      <c r="M220" s="41"/>
      <c r="N220" s="41"/>
      <c r="O220" s="41"/>
      <c r="P220" s="41"/>
      <c r="Q220" s="41"/>
      <c r="R220" s="41"/>
      <c r="S220" s="41"/>
      <c r="T220" s="41"/>
      <c r="U220" s="41"/>
      <c r="V220" s="41"/>
      <c r="W220" s="41"/>
      <c r="X220" s="41"/>
      <c r="Y220" s="41"/>
      <c r="Z220" s="41"/>
      <c r="AA220" s="41"/>
      <c r="AB220" s="41"/>
      <c r="AC220" s="41"/>
      <c r="AD220" s="41"/>
      <c r="AE220" s="41"/>
      <c r="AF220" s="41"/>
    </row>
    <row r="221" ht="19.5" customHeight="1">
      <c r="A221" s="41"/>
      <c r="B221" s="15" t="s">
        <v>256</v>
      </c>
      <c r="C221" s="15" t="s">
        <v>274</v>
      </c>
      <c r="D221" s="41"/>
      <c r="E221" s="41"/>
      <c r="F221" s="41"/>
      <c r="G221" s="41"/>
      <c r="H221" s="187" t="s">
        <v>716</v>
      </c>
      <c r="I221" s="18" t="str">
        <f>IF(ISBLANK(input_cluster_az2_pool_name),"Value Missing",input_cluster_az2_pool_name)</f>
        <v>Value Missing</v>
      </c>
      <c r="J221" s="1"/>
      <c r="K221" s="84" t="s">
        <v>2779</v>
      </c>
      <c r="L221" s="18" t="str">
        <f>IF(ISBLANK(input_flt_logs_nodea_ip),"Value Missing",input_flt_logs_nodea_ip)</f>
        <v>Value Missing</v>
      </c>
      <c r="M221" s="41"/>
      <c r="N221" s="41"/>
      <c r="O221" s="41"/>
      <c r="P221" s="41"/>
      <c r="Q221" s="41"/>
      <c r="R221" s="41"/>
      <c r="S221" s="41"/>
      <c r="T221" s="41"/>
      <c r="U221" s="41"/>
      <c r="V221" s="41"/>
      <c r="W221" s="41"/>
      <c r="X221" s="41"/>
      <c r="Y221" s="41"/>
      <c r="Z221" s="41"/>
      <c r="AA221" s="41"/>
      <c r="AB221" s="41"/>
      <c r="AC221" s="41"/>
      <c r="AD221" s="41"/>
      <c r="AE221" s="41"/>
      <c r="AF221" s="41"/>
    </row>
    <row r="222" ht="19.5" customHeight="1">
      <c r="A222" s="41"/>
      <c r="B222" s="85" t="s">
        <v>2780</v>
      </c>
      <c r="C222" s="18" t="str">
        <f>IF(ISBLANK(input_wld_esx_root_username),"Value Missing",input_wld_esx_root_username)</f>
        <v>Value Missing</v>
      </c>
      <c r="D222" s="41"/>
      <c r="E222" s="41"/>
      <c r="F222" s="41"/>
      <c r="G222" s="41"/>
      <c r="H222" s="17" t="s">
        <v>407</v>
      </c>
      <c r="I222" s="14"/>
      <c r="J222" s="1"/>
      <c r="K222" s="84" t="s">
        <v>2781</v>
      </c>
      <c r="L222" s="18" t="str">
        <f>IF(ISBLANK(input_flt_logs_nodeb_ip),"Value Missing",input_flt_logs_nodeb_ip)</f>
        <v>Value Missing</v>
      </c>
      <c r="M222" s="41"/>
      <c r="N222" s="41"/>
      <c r="O222" s="41"/>
      <c r="P222" s="41"/>
      <c r="Q222" s="41"/>
      <c r="R222" s="41"/>
      <c r="S222" s="41"/>
      <c r="T222" s="41"/>
      <c r="U222" s="41"/>
      <c r="V222" s="41"/>
      <c r="W222" s="41"/>
      <c r="X222" s="41"/>
      <c r="Y222" s="41"/>
      <c r="Z222" s="41"/>
      <c r="AA222" s="41"/>
      <c r="AB222" s="41"/>
      <c r="AC222" s="41"/>
      <c r="AD222" s="41"/>
      <c r="AE222" s="41"/>
      <c r="AF222" s="41"/>
    </row>
    <row r="223" ht="19.5" customHeight="1">
      <c r="A223" s="41"/>
      <c r="B223" s="85" t="s">
        <v>381</v>
      </c>
      <c r="C223" s="18" t="str">
        <f>IF(ISBLANK(input_wld_esx_root_password),"Value Missing",input_wld_esx_root_password)</f>
        <v>Value Missing</v>
      </c>
      <c r="D223" s="41"/>
      <c r="E223" s="41"/>
      <c r="F223" s="41"/>
      <c r="G223" s="41"/>
      <c r="H223" s="187" t="s">
        <v>2782</v>
      </c>
      <c r="I223" s="18" t="str">
        <f>IF(ISBLANK(input_cluster_az2_vmotion_vlan),"Value Missing",input_cluster_az2_vmotion_vlan)</f>
        <v>Value Missing</v>
      </c>
      <c r="J223" s="1"/>
      <c r="K223" s="84" t="s">
        <v>2783</v>
      </c>
      <c r="L223" s="18" t="str">
        <f>IF(ISBLANK(input_flt_logs_nodec_ip),"Value Missing",input_flt_logs_nodec_ip)</f>
        <v>Value Missing</v>
      </c>
      <c r="M223" s="41"/>
      <c r="N223" s="41"/>
      <c r="O223" s="41"/>
      <c r="P223" s="41"/>
      <c r="Q223" s="41"/>
      <c r="R223" s="41"/>
      <c r="S223" s="41"/>
      <c r="T223" s="41"/>
      <c r="U223" s="41"/>
      <c r="V223" s="41"/>
      <c r="W223" s="41"/>
      <c r="X223" s="41"/>
      <c r="Y223" s="41"/>
      <c r="Z223" s="41"/>
      <c r="AA223" s="41"/>
      <c r="AB223" s="41"/>
      <c r="AC223" s="41"/>
      <c r="AD223" s="41"/>
      <c r="AE223" s="41"/>
      <c r="AF223" s="41"/>
    </row>
    <row r="224" ht="19.5" customHeight="1">
      <c r="A224" s="41"/>
      <c r="B224" s="85" t="s">
        <v>1253</v>
      </c>
      <c r="C224" s="18" t="str">
        <f>IF(ISBLANK(input_wld_vcenter_root_password),"Value Missing",input_wld_vcenter_root_password)</f>
        <v>Value Missing</v>
      </c>
      <c r="D224" s="41"/>
      <c r="E224" s="41"/>
      <c r="F224" s="41"/>
      <c r="G224" s="41"/>
      <c r="H224" s="187" t="s">
        <v>404</v>
      </c>
      <c r="I224" s="18" t="str">
        <f>IF(ISBLANK(input_cluster_az2_vmotion_mtu),"Value Missing",input_cluster_az2_vmotion_mtu)</f>
        <v>Value Missing</v>
      </c>
      <c r="J224" s="1"/>
      <c r="K224" s="84" t="s">
        <v>2784</v>
      </c>
      <c r="L224" s="18" t="str">
        <f>IF(ISBLANK(flt_logs_disk_mode_chosen),"Value Missing",flt_logs_disk_mode_chosen)</f>
        <v>Thin</v>
      </c>
      <c r="M224" s="41"/>
      <c r="N224" s="41"/>
      <c r="O224" s="41"/>
      <c r="P224" s="41"/>
      <c r="Q224" s="41"/>
      <c r="R224" s="41"/>
      <c r="S224" s="41"/>
      <c r="T224" s="41"/>
      <c r="U224" s="41"/>
      <c r="V224" s="41"/>
      <c r="W224" s="41"/>
      <c r="X224" s="41"/>
      <c r="Y224" s="41"/>
      <c r="Z224" s="41"/>
      <c r="AA224" s="41"/>
      <c r="AB224" s="41"/>
      <c r="AC224" s="41"/>
      <c r="AD224" s="41"/>
      <c r="AE224" s="41"/>
      <c r="AF224" s="41"/>
    </row>
    <row r="225" ht="19.5" customHeight="1">
      <c r="A225" s="41"/>
      <c r="B225" s="85" t="s">
        <v>2785</v>
      </c>
      <c r="C225" s="18" t="str">
        <f>IF(ISBLANK(input_xreg_vra_admin_password),"Value Missing",input_xreg_vra_admin_password)</f>
        <v>Value Missing</v>
      </c>
      <c r="D225" s="41"/>
      <c r="E225" s="41"/>
      <c r="F225" s="41"/>
      <c r="G225" s="41"/>
      <c r="H225" s="187" t="s">
        <v>2786</v>
      </c>
      <c r="I225" s="18" t="str">
        <f>IF(ISBLANK(input_cluster_az2_vmotion_network),"Value Missing",input_cluster_az2_vmotion_network)</f>
        <v>Value Missing</v>
      </c>
      <c r="J225" s="1"/>
      <c r="K225" s="41"/>
      <c r="L225" s="41"/>
      <c r="M225" s="41"/>
      <c r="N225" s="41"/>
      <c r="O225" s="41"/>
      <c r="P225" s="41"/>
      <c r="Q225" s="41"/>
      <c r="R225" s="41"/>
      <c r="S225" s="41"/>
      <c r="T225" s="41"/>
      <c r="U225" s="41"/>
      <c r="V225" s="41"/>
      <c r="W225" s="41"/>
      <c r="X225" s="41"/>
      <c r="Y225" s="41"/>
      <c r="Z225" s="41"/>
      <c r="AA225" s="41"/>
      <c r="AB225" s="41"/>
      <c r="AC225" s="41"/>
      <c r="AD225" s="41"/>
      <c r="AE225" s="41"/>
      <c r="AF225" s="41"/>
    </row>
    <row r="226" ht="19.5" customHeight="1">
      <c r="A226" s="41"/>
      <c r="B226" s="85" t="s">
        <v>2787</v>
      </c>
      <c r="C226" s="18" t="str">
        <f>IF(ISBLANK(input_xreg_vrops_admin_password),"Value Missing",input_xreg_vrops_admin_password)</f>
        <v>Value Missing</v>
      </c>
      <c r="D226" s="41"/>
      <c r="E226" s="41"/>
      <c r="F226" s="41"/>
      <c r="G226" s="41"/>
      <c r="H226" s="187" t="s">
        <v>718</v>
      </c>
      <c r="I226" s="18" t="str">
        <f>IF(ISBLANK(input_cluster_az2_vmotion_mask),"Value Missing",input_cluster_az2_vmotion_mask)</f>
        <v>Value Missing</v>
      </c>
      <c r="J226" s="1"/>
      <c r="K226" s="331" t="s">
        <v>2788</v>
      </c>
      <c r="L226" s="331"/>
      <c r="M226" s="41"/>
      <c r="N226" s="41"/>
      <c r="O226" s="41"/>
      <c r="P226" s="41"/>
      <c r="Q226" s="41"/>
      <c r="R226" s="41"/>
      <c r="S226" s="41"/>
      <c r="T226" s="41"/>
      <c r="U226" s="41"/>
      <c r="V226" s="41"/>
      <c r="W226" s="41"/>
      <c r="X226" s="41"/>
      <c r="Y226" s="41"/>
      <c r="Z226" s="41"/>
      <c r="AA226" s="41"/>
      <c r="AB226" s="41"/>
      <c r="AC226" s="41"/>
      <c r="AD226" s="41"/>
      <c r="AE226" s="41"/>
      <c r="AF226" s="41"/>
    </row>
    <row r="227" ht="19.5" customHeight="1">
      <c r="A227" s="41"/>
      <c r="B227" s="85" t="s">
        <v>2789</v>
      </c>
      <c r="C227" s="18" t="str">
        <f>IF(ISBLANK(input_xreg_vrops_root_password),"Value Missing",input_xreg_vrops_root_password)</f>
        <v>Value Missing</v>
      </c>
      <c r="D227" s="41"/>
      <c r="E227" s="41"/>
      <c r="F227" s="41"/>
      <c r="G227" s="41"/>
      <c r="H227" s="84" t="s">
        <v>464</v>
      </c>
      <c r="I227" s="18" t="str">
        <f>IF(OR(cluster_az2_vmotion_network="Value Missing",cluster_az2_vmotion_mask="Value Missing"),"Value Missing",(CONCATENATE(cluster_az2_vmotion_network,"/",VLOOKUP(cluster_az2_vmotion_mask,table_mask_to_cidr,2,FALSE))))</f>
        <v>Value Missing</v>
      </c>
      <c r="J227" s="1"/>
      <c r="K227" s="15" t="s">
        <v>256</v>
      </c>
      <c r="L227" s="15" t="s">
        <v>274</v>
      </c>
      <c r="M227" s="41"/>
      <c r="N227" s="41"/>
      <c r="O227" s="41"/>
      <c r="P227" s="41"/>
      <c r="Q227" s="41"/>
      <c r="R227" s="41"/>
      <c r="S227" s="41"/>
      <c r="T227" s="41"/>
      <c r="U227" s="41"/>
      <c r="V227" s="41"/>
      <c r="W227" s="41"/>
      <c r="X227" s="41"/>
      <c r="Y227" s="41"/>
      <c r="Z227" s="41"/>
      <c r="AA227" s="41"/>
      <c r="AB227" s="41"/>
      <c r="AC227" s="41"/>
      <c r="AD227" s="41"/>
      <c r="AE227" s="41"/>
      <c r="AF227" s="41"/>
    </row>
    <row r="228" ht="19.5" customHeight="1">
      <c r="A228" s="41"/>
      <c r="B228" s="85" t="s">
        <v>2790</v>
      </c>
      <c r="C228" s="18" t="str">
        <f>IF(ISBLANK(input_vrslcm_admin_password),"Value Missing",input_vrslcm_admin_password)</f>
        <v>Value Missing</v>
      </c>
      <c r="D228" s="41"/>
      <c r="E228" s="41"/>
      <c r="F228" s="41"/>
      <c r="G228" s="41"/>
      <c r="H228" s="187" t="s">
        <v>719</v>
      </c>
      <c r="I228" s="18" t="str">
        <f>IF(ISBLANK(input_cluster_az2_vmotion_gateway_ip),"Value Missing",input_cluster_az2_vmotion_gateway_ip)</f>
        <v>Value Missing</v>
      </c>
      <c r="J228" s="1"/>
      <c r="K228" s="84" t="s">
        <v>1032</v>
      </c>
      <c r="L228" s="41"/>
      <c r="M228" s="41"/>
      <c r="N228" s="41"/>
      <c r="O228" s="41"/>
      <c r="P228" s="41"/>
      <c r="Q228" s="41"/>
      <c r="R228" s="41"/>
      <c r="S228" s="41"/>
      <c r="T228" s="41"/>
      <c r="U228" s="41"/>
      <c r="V228" s="41"/>
      <c r="W228" s="41"/>
      <c r="X228" s="41"/>
      <c r="Y228" s="41"/>
      <c r="Z228" s="41"/>
      <c r="AA228" s="41"/>
      <c r="AB228" s="41"/>
      <c r="AC228" s="41"/>
      <c r="AD228" s="41"/>
      <c r="AE228" s="41"/>
      <c r="AF228" s="41"/>
    </row>
    <row r="229" ht="19.5" customHeight="1">
      <c r="A229" s="41"/>
      <c r="B229" s="85" t="s">
        <v>2791</v>
      </c>
      <c r="C229" s="18" t="str">
        <f>IF(ISBLANK(input_vrslcm_root_password),"Value Missing",input_vrslcm_root_password)</f>
        <v>Value Missing</v>
      </c>
      <c r="D229" s="41"/>
      <c r="E229" s="41"/>
      <c r="F229" s="41"/>
      <c r="G229" s="41"/>
      <c r="H229" s="187" t="s">
        <v>465</v>
      </c>
      <c r="I229" s="18" t="str">
        <f>IF(ISBLANK(input_cluster_az2_vmotion_pool_start_ip),"Value Missing",input_cluster_az2_vmotion_pool_start_ip)</f>
        <v>Value Missing</v>
      </c>
      <c r="J229" s="41"/>
      <c r="K229" s="84" t="s">
        <v>1034</v>
      </c>
      <c r="L229" s="18" t="str">
        <f>IF(ISBLANK(input_flt_net_cert_alias),"Value Missing",input_flt_net_cert_alias)</f>
        <v>Value Missing</v>
      </c>
      <c r="M229" s="41"/>
      <c r="N229" s="41"/>
      <c r="O229" s="41"/>
      <c r="P229" s="41"/>
      <c r="Q229" s="41"/>
      <c r="R229" s="41"/>
      <c r="S229" s="41"/>
      <c r="T229" s="41"/>
      <c r="U229" s="41"/>
      <c r="V229" s="41"/>
      <c r="W229" s="41"/>
      <c r="X229" s="41"/>
      <c r="Y229" s="41"/>
      <c r="Z229" s="41"/>
      <c r="AA229" s="41"/>
      <c r="AB229" s="41"/>
      <c r="AC229" s="41"/>
      <c r="AD229" s="41"/>
      <c r="AE229" s="41"/>
      <c r="AF229" s="41"/>
    </row>
    <row r="230" ht="19.5" customHeight="1">
      <c r="A230" s="41"/>
      <c r="B230" s="85" t="s">
        <v>2792</v>
      </c>
      <c r="C230" s="18" t="str">
        <f>IF(ISBLANK(input_wld_administrator_vsphere_local_password),"Value Missing",input_wld_administrator_vsphere_local_password)</f>
        <v>Value Missing</v>
      </c>
      <c r="D230" s="41"/>
      <c r="E230" s="41"/>
      <c r="F230" s="41"/>
      <c r="G230" s="41"/>
      <c r="H230" s="187" t="s">
        <v>466</v>
      </c>
      <c r="I230" s="18" t="str">
        <f>IF(ISBLANK(input_cluster_az2_vmotion_pool_end_ip),"Value Missing",input_cluster_az2_vmotion_pool_end_ip)</f>
        <v>Value Missing</v>
      </c>
      <c r="J230" s="41"/>
      <c r="K230" s="84" t="s">
        <v>1141</v>
      </c>
      <c r="L230" s="41"/>
      <c r="M230" s="41"/>
      <c r="N230" s="41"/>
      <c r="O230" s="41"/>
      <c r="P230" s="41"/>
      <c r="Q230" s="41"/>
      <c r="R230" s="41"/>
      <c r="S230" s="41"/>
      <c r="T230" s="41"/>
      <c r="U230" s="41"/>
      <c r="V230" s="41"/>
      <c r="W230" s="41"/>
      <c r="X230" s="41"/>
      <c r="Y230" s="41"/>
      <c r="Z230" s="41"/>
      <c r="AA230" s="41"/>
      <c r="AB230" s="41"/>
      <c r="AC230" s="41"/>
      <c r="AD230" s="41"/>
      <c r="AE230" s="41"/>
      <c r="AF230" s="41"/>
    </row>
    <row r="231" ht="19.5" customHeight="1">
      <c r="A231" s="41"/>
      <c r="B231" s="41"/>
      <c r="C231" s="41"/>
      <c r="D231" s="41"/>
      <c r="E231" s="41"/>
      <c r="F231" s="41"/>
      <c r="G231" s="41"/>
      <c r="H231" s="17" t="s">
        <v>2793</v>
      </c>
      <c r="I231" s="14"/>
      <c r="J231" s="41"/>
      <c r="K231" s="84" t="s">
        <v>1035</v>
      </c>
      <c r="L231" s="41"/>
      <c r="M231" s="41"/>
      <c r="N231" s="41"/>
      <c r="O231" s="41"/>
      <c r="P231" s="41"/>
      <c r="Q231" s="41"/>
      <c r="R231" s="41"/>
      <c r="S231" s="41"/>
      <c r="T231" s="41"/>
      <c r="U231" s="41"/>
      <c r="V231" s="41"/>
      <c r="W231" s="41"/>
      <c r="X231" s="41"/>
      <c r="Y231" s="41"/>
      <c r="Z231" s="41"/>
      <c r="AA231" s="41"/>
      <c r="AB231" s="41"/>
      <c r="AC231" s="41"/>
      <c r="AD231" s="41"/>
      <c r="AE231" s="41"/>
      <c r="AF231" s="41"/>
    </row>
    <row r="232" ht="19.5" customHeight="1">
      <c r="A232" s="41"/>
      <c r="B232" s="85" t="s">
        <v>2794</v>
      </c>
      <c r="C232" s="18" t="str">
        <f>IF(ISBLANK(input_mgmt_nsxt_en_admin_password),"Value Missing",input_mgmt_nsxt_en_admin_password)</f>
        <v>Value Missing</v>
      </c>
      <c r="D232" s="41"/>
      <c r="E232" s="41"/>
      <c r="F232" s="41"/>
      <c r="G232" s="41"/>
      <c r="H232" s="187" t="s">
        <v>2795</v>
      </c>
      <c r="I232" s="18" t="str">
        <f>IF(ISBLANK(input_cluster_az2_principal_storage_vlan),"Value Missing",input_cluster_az2_principal_storage_vlan)</f>
        <v>Value Missing</v>
      </c>
      <c r="J232" s="41"/>
      <c r="K232" s="84" t="s">
        <v>2796</v>
      </c>
      <c r="L232" s="41"/>
      <c r="M232" s="41"/>
      <c r="N232" s="41"/>
      <c r="O232" s="41"/>
      <c r="P232" s="41"/>
      <c r="Q232" s="41"/>
      <c r="R232" s="41"/>
      <c r="S232" s="41"/>
      <c r="T232" s="41"/>
      <c r="U232" s="41"/>
      <c r="V232" s="41"/>
      <c r="W232" s="41"/>
      <c r="X232" s="41"/>
      <c r="Y232" s="41"/>
      <c r="Z232" s="41"/>
      <c r="AA232" s="41"/>
      <c r="AB232" s="41"/>
      <c r="AC232" s="41"/>
      <c r="AD232" s="41"/>
      <c r="AE232" s="41"/>
      <c r="AF232" s="41"/>
    </row>
    <row r="233" ht="19.5" customHeight="1">
      <c r="A233" s="41"/>
      <c r="B233" s="85" t="s">
        <v>2797</v>
      </c>
      <c r="C233" s="18" t="str">
        <f>IF(ISBLANK(input_mgmt_nsxt_en_root_password),"Value Missing",input_mgmt_nsxt_en_root_password)</f>
        <v>Value Missing</v>
      </c>
      <c r="D233" s="41"/>
      <c r="E233" s="41"/>
      <c r="F233" s="41"/>
      <c r="G233" s="41"/>
      <c r="H233" s="187" t="s">
        <v>404</v>
      </c>
      <c r="I233" s="18" t="str">
        <f>IF(ISBLANK(input_cluster_az2_principal_storage_mtu),"Value Missing",input_cluster_az2_principal_storage_mtu)</f>
        <v>Value Missing</v>
      </c>
      <c r="J233" s="1"/>
      <c r="K233" s="84" t="s">
        <v>2798</v>
      </c>
      <c r="L233" s="41"/>
      <c r="M233" s="41"/>
      <c r="N233" s="41"/>
      <c r="O233" s="41"/>
      <c r="P233" s="41"/>
      <c r="Q233" s="41"/>
      <c r="R233" s="41"/>
      <c r="S233" s="41"/>
      <c r="T233" s="41"/>
      <c r="U233" s="41"/>
      <c r="V233" s="41"/>
      <c r="W233" s="41"/>
      <c r="X233" s="41"/>
      <c r="Y233" s="41"/>
      <c r="Z233" s="41"/>
      <c r="AA233" s="41"/>
      <c r="AB233" s="41"/>
      <c r="AC233" s="41"/>
      <c r="AD233" s="41"/>
      <c r="AE233" s="41"/>
      <c r="AF233" s="41"/>
    </row>
    <row r="234" ht="19.5" customHeight="1">
      <c r="A234" s="41"/>
      <c r="B234" s="85" t="s">
        <v>2799</v>
      </c>
      <c r="C234" s="18" t="str">
        <f>IF(ISBLANK(input_flt_vidb_additional_vips),"Value Missing",input_flt_vidb_additional_vips)</f>
        <v>Value Missing</v>
      </c>
      <c r="D234" s="41"/>
      <c r="E234" s="41"/>
      <c r="F234" s="41"/>
      <c r="G234" s="41"/>
      <c r="H234" s="187" t="s">
        <v>2800</v>
      </c>
      <c r="I234" s="18" t="str">
        <f>IF(ISBLANK(input_cluster_az2_principal_storage_network),"Value Missing",input_cluster_az2_principal_storage_network)</f>
        <v>Value Missing</v>
      </c>
      <c r="J234" s="41"/>
      <c r="K234" s="84" t="s">
        <v>1036</v>
      </c>
      <c r="L234" s="18" t="str">
        <f>IF(ISBLANK(input_flt_net_common_name),"Value Missing",input_flt_net_common_name)</f>
        <v>Value Missing</v>
      </c>
      <c r="M234" s="41"/>
      <c r="N234" s="41"/>
      <c r="O234" s="41"/>
      <c r="P234" s="41"/>
      <c r="Q234" s="41"/>
      <c r="R234" s="41"/>
      <c r="S234" s="41"/>
      <c r="T234" s="41"/>
      <c r="U234" s="41"/>
      <c r="V234" s="41"/>
      <c r="W234" s="41"/>
      <c r="X234" s="41"/>
      <c r="Y234" s="41"/>
      <c r="Z234" s="41"/>
      <c r="AA234" s="41"/>
      <c r="AB234" s="41"/>
      <c r="AC234" s="41"/>
      <c r="AD234" s="41"/>
      <c r="AE234" s="41"/>
      <c r="AF234" s="41"/>
    </row>
    <row r="235" ht="19.5" customHeight="1">
      <c r="A235" s="41"/>
      <c r="B235" s="85" t="s">
        <v>2801</v>
      </c>
      <c r="C235" s="18" t="str">
        <f>IF(ISBLANK(input_flt_vidb_node_prefix),"Value Missing",input_flt_vidb_node_prefix)</f>
        <v>Value Missing</v>
      </c>
      <c r="D235" s="41"/>
      <c r="E235" s="41"/>
      <c r="F235" s="41"/>
      <c r="G235" s="41"/>
      <c r="H235" s="187" t="s">
        <v>718</v>
      </c>
      <c r="I235" s="18" t="str">
        <f>IF(ISBLANK(input_cluster_az2_principal_storage_mask),"Value Missing",input_cluster_az2_principal_storage_mask)</f>
        <v>Value Missing</v>
      </c>
      <c r="J235" s="41"/>
      <c r="K235" s="84" t="s">
        <v>1037</v>
      </c>
      <c r="L235" s="18" t="str">
        <f>IF(ISBLANK(input_flt_net_cert_organisation),"Value Missing",input_flt_net_cert_organisation)</f>
        <v>Value Missing</v>
      </c>
      <c r="M235" s="41"/>
      <c r="N235" s="41"/>
      <c r="O235" s="41"/>
      <c r="P235" s="41"/>
      <c r="Q235" s="41"/>
      <c r="R235" s="41"/>
      <c r="S235" s="41"/>
      <c r="T235" s="41"/>
      <c r="U235" s="41"/>
      <c r="V235" s="41"/>
      <c r="W235" s="41"/>
      <c r="X235" s="41"/>
      <c r="Y235" s="41"/>
      <c r="Z235" s="41"/>
      <c r="AA235" s="41"/>
      <c r="AB235" s="41"/>
      <c r="AC235" s="41"/>
      <c r="AD235" s="41"/>
      <c r="AE235" s="41"/>
      <c r="AF235" s="41"/>
    </row>
    <row r="236" ht="19.5" customHeight="1">
      <c r="A236" s="41"/>
      <c r="B236" s="85" t="s">
        <v>2802</v>
      </c>
      <c r="C236" s="18" t="str">
        <f>IF(ISBLANK(input_flt_vidb_password),"Value Missing",input_flt_vidb_password)</f>
        <v>Value Missing</v>
      </c>
      <c r="D236" s="41"/>
      <c r="E236" s="41"/>
      <c r="F236" s="41"/>
      <c r="G236" s="41"/>
      <c r="H236" s="187" t="s">
        <v>403</v>
      </c>
      <c r="I236" s="18" t="str">
        <f>IF(OR(cluster_az2_principal_storage_network="Value Missing",cluster_az2_principal_storage_mask="Value Missing"),"Value Missing",(CONCATENATE(cluster_az2_principal_storage_network,"/",VLOOKUP(cluster_az2_principal_storage_mask,table_mask_to_cidr,2,FALSE))))</f>
        <v>Value Missing</v>
      </c>
      <c r="J236" s="41"/>
      <c r="K236" s="84" t="s">
        <v>1038</v>
      </c>
      <c r="L236" s="18" t="str">
        <f>IF(ISBLANK(input_flt_net_ou_cert),"Value Missing",input_flt_net_ou_cert)</f>
        <v>Value Missing</v>
      </c>
      <c r="M236" s="41"/>
      <c r="N236" s="41"/>
      <c r="O236" s="41"/>
      <c r="P236" s="41"/>
      <c r="Q236" s="41"/>
      <c r="R236" s="41"/>
      <c r="S236" s="41"/>
      <c r="T236" s="41"/>
      <c r="U236" s="41"/>
      <c r="V236" s="41"/>
      <c r="W236" s="41"/>
      <c r="X236" s="41"/>
      <c r="Y236" s="41"/>
      <c r="Z236" s="41"/>
      <c r="AA236" s="41"/>
      <c r="AB236" s="41"/>
      <c r="AC236" s="41"/>
      <c r="AD236" s="41"/>
      <c r="AE236" s="41"/>
      <c r="AF236" s="41"/>
    </row>
    <row r="237" ht="19.5" customHeight="1">
      <c r="A237" s="41"/>
      <c r="B237" s="85" t="s">
        <v>2803</v>
      </c>
      <c r="C237" s="18" t="str">
        <f>IF(ISBLANK(input_flt_vidb_password_alias),"Value Missing",input_flt_vidb_password_alias)</f>
        <v>Value Missing</v>
      </c>
      <c r="D237" s="41"/>
      <c r="E237" s="41"/>
      <c r="F237" s="41"/>
      <c r="G237" s="41"/>
      <c r="H237" s="187" t="s">
        <v>719</v>
      </c>
      <c r="I237" s="18" t="str">
        <f>IF(ISBLANK(input_cluster_az2_principal_storage_gateway_ip),"Value Missing",input_cluster_az2_principal_storage_gateway_ip)</f>
        <v>Value Missing</v>
      </c>
      <c r="J237" s="41"/>
      <c r="K237" s="84" t="s">
        <v>1039</v>
      </c>
      <c r="L237" s="18" t="str">
        <f>IF(ISBLANK(input_flt_net_cert_country_code),"Value Missing",input_flt_net_cert_country_code)</f>
        <v>Value Missing</v>
      </c>
      <c r="M237" s="41"/>
      <c r="N237" s="41"/>
      <c r="O237" s="41"/>
      <c r="P237" s="41"/>
      <c r="Q237" s="41"/>
      <c r="R237" s="41"/>
      <c r="S237" s="41"/>
      <c r="T237" s="41"/>
      <c r="U237" s="41"/>
      <c r="V237" s="41"/>
      <c r="W237" s="41"/>
      <c r="X237" s="41"/>
      <c r="Y237" s="41"/>
      <c r="Z237" s="41"/>
      <c r="AA237" s="41"/>
      <c r="AB237" s="41"/>
      <c r="AC237" s="41"/>
      <c r="AD237" s="41"/>
      <c r="AE237" s="41"/>
      <c r="AF237" s="41"/>
    </row>
    <row r="238" ht="19.5" customHeight="1">
      <c r="A238" s="41"/>
      <c r="B238" s="85" t="s">
        <v>2804</v>
      </c>
      <c r="C238" s="18" t="str">
        <f>IF(ISBLANK(input_flt_vidb_password_description),"Value Missing",input_flt_vidb_password_description)</f>
        <v>Value Missing</v>
      </c>
      <c r="D238" s="41"/>
      <c r="E238" s="41"/>
      <c r="F238" s="41"/>
      <c r="G238" s="41"/>
      <c r="H238" s="187" t="s">
        <v>465</v>
      </c>
      <c r="I238" s="18" t="str">
        <f>IF(ISBLANK(input_cluster_az2_principal_storage_pool_start_ip),"Value Missing",input_cluster_az2_principal_storage_pool_start_ip)</f>
        <v>Value Missing</v>
      </c>
      <c r="J238" s="41"/>
      <c r="K238" s="84" t="s">
        <v>1040</v>
      </c>
      <c r="L238" s="18" t="str">
        <f>IF(ISBLANK(input_flt_net_cert_locality),"Value Missing",input_flt_net_cert_locality)</f>
        <v>Value Missing</v>
      </c>
      <c r="M238" s="41"/>
      <c r="N238" s="41"/>
      <c r="O238" s="41"/>
      <c r="P238" s="41"/>
      <c r="Q238" s="41"/>
      <c r="R238" s="41"/>
      <c r="S238" s="41"/>
      <c r="T238" s="41"/>
      <c r="U238" s="41"/>
      <c r="V238" s="41"/>
      <c r="W238" s="41"/>
      <c r="X238" s="41"/>
      <c r="Y238" s="41"/>
      <c r="Z238" s="41"/>
      <c r="AA238" s="41"/>
      <c r="AB238" s="41"/>
      <c r="AC238" s="41"/>
      <c r="AD238" s="41"/>
      <c r="AE238" s="41"/>
      <c r="AF238" s="41"/>
    </row>
    <row r="239" ht="19.5" customHeight="1">
      <c r="A239" s="41"/>
      <c r="B239" s="85" t="s">
        <v>2805</v>
      </c>
      <c r="C239" s="18" t="str">
        <f>IF(ISBLANK(input_flt_vidb_root_username),"Value Missing",input_flt_vidb_root_username)</f>
        <v>Value Missing</v>
      </c>
      <c r="D239" s="41"/>
      <c r="E239" s="41"/>
      <c r="F239" s="41"/>
      <c r="G239" s="41"/>
      <c r="H239" s="187" t="s">
        <v>466</v>
      </c>
      <c r="I239" s="18" t="str">
        <f>IF(ISBLANK(input_cluster_az2_principal_storage_pool_end_ip),"Value Missing",input_cluster_az2_principal_storage_pool_end_ip)</f>
        <v>Value Missing</v>
      </c>
      <c r="J239" s="41"/>
      <c r="K239" s="84" t="s">
        <v>1041</v>
      </c>
      <c r="L239" s="18" t="str">
        <f>IF(ISBLANK(input_flt_net_cert_state),"Value Missing",input_flt_net_cert_state)</f>
        <v>Value Missing</v>
      </c>
      <c r="M239" s="41"/>
      <c r="N239" s="41"/>
      <c r="O239" s="41"/>
      <c r="P239" s="41"/>
      <c r="Q239" s="41"/>
      <c r="R239" s="41"/>
      <c r="S239" s="41"/>
      <c r="T239" s="41"/>
      <c r="U239" s="41"/>
      <c r="V239" s="41"/>
      <c r="W239" s="41"/>
      <c r="X239" s="41"/>
      <c r="Y239" s="41"/>
      <c r="Z239" s="41"/>
      <c r="AA239" s="41"/>
      <c r="AB239" s="41"/>
      <c r="AC239" s="41"/>
      <c r="AD239" s="41"/>
      <c r="AE239" s="41"/>
      <c r="AF239" s="41"/>
    </row>
    <row r="240" ht="19.5" customHeight="1">
      <c r="A240" s="41"/>
      <c r="B240" s="173" t="s">
        <v>2806</v>
      </c>
      <c r="C240" s="18" t="str">
        <f>IF(ISBLANK(input_flt_vidb_system_user_alias),"Value Missing",input_flt_vidb_system_user_alias)</f>
        <v>Value Missing</v>
      </c>
      <c r="D240" s="41"/>
      <c r="E240" s="41"/>
      <c r="F240" s="41"/>
      <c r="G240" s="41"/>
      <c r="H240" s="17" t="s">
        <v>2807</v>
      </c>
      <c r="I240" s="14"/>
      <c r="J240" s="41"/>
      <c r="K240" s="84" t="s">
        <v>1042</v>
      </c>
      <c r="L240" s="18" t="str">
        <f>IF(ISBLANK(flt_net_cert_key_length_chosen),"Value Missing",flt_net_cert_key_length_chosen)</f>
        <v>4096</v>
      </c>
      <c r="M240" s="41"/>
      <c r="N240" s="41"/>
      <c r="O240" s="41"/>
      <c r="P240" s="41"/>
      <c r="Q240" s="41"/>
      <c r="R240" s="41"/>
      <c r="S240" s="41"/>
      <c r="T240" s="41"/>
      <c r="U240" s="41"/>
      <c r="V240" s="41"/>
      <c r="W240" s="41"/>
      <c r="X240" s="41"/>
      <c r="Y240" s="41"/>
      <c r="Z240" s="41"/>
      <c r="AA240" s="41"/>
      <c r="AB240" s="41"/>
      <c r="AC240" s="41"/>
      <c r="AD240" s="41"/>
      <c r="AE240" s="41"/>
      <c r="AF240" s="41"/>
    </row>
    <row r="241" ht="19.5" customHeight="1">
      <c r="A241" s="41"/>
      <c r="B241" s="187" t="s">
        <v>2808</v>
      </c>
      <c r="C241" s="18" t="str">
        <f>IF(ISBLANK(input_flt_vidb_system_user_password),"Value Missing",input_flt_vidb_system_user_password)</f>
        <v>Value Missing</v>
      </c>
      <c r="D241" s="41"/>
      <c r="E241" s="41"/>
      <c r="F241" s="41"/>
      <c r="G241" s="41"/>
      <c r="H241" s="187" t="s">
        <v>2809</v>
      </c>
      <c r="I241" s="18" t="str">
        <f>IF(ISBLANK(input_cluster_az2_secondary_storage_vlan),"Value Missing",input_cluster_az2_secondary_storage_vlan)</f>
        <v>Value Missing</v>
      </c>
      <c r="J241" s="41"/>
      <c r="K241" s="84" t="s">
        <v>1179</v>
      </c>
      <c r="L241" s="18" t="str">
        <f>IF(ISBLANK(input_flt_net_nodea_fqdn),"Value Missing",input_flt_net_nodea_fqdn)</f>
        <v>Value Missing</v>
      </c>
      <c r="M241" s="41"/>
      <c r="N241" s="41"/>
      <c r="O241" s="41"/>
      <c r="P241" s="41"/>
      <c r="Q241" s="41"/>
      <c r="R241" s="41"/>
      <c r="S241" s="41"/>
      <c r="T241" s="41"/>
      <c r="U241" s="41"/>
      <c r="V241" s="41"/>
      <c r="W241" s="41"/>
      <c r="X241" s="41"/>
      <c r="Y241" s="41"/>
      <c r="Z241" s="41"/>
      <c r="AA241" s="41"/>
      <c r="AB241" s="41"/>
      <c r="AC241" s="41"/>
      <c r="AD241" s="41"/>
      <c r="AE241" s="41"/>
      <c r="AF241" s="41"/>
    </row>
    <row r="242" ht="19.5" customHeight="1">
      <c r="A242" s="41"/>
      <c r="B242" s="187" t="s">
        <v>2810</v>
      </c>
      <c r="C242" s="18" t="str">
        <f>IF(ISBLANK(input_flt_vidb_system_user_description),"Value Missing",input_flt_vidb_system_user_description)</f>
        <v>Value Missing</v>
      </c>
      <c r="D242" s="41"/>
      <c r="E242" s="41"/>
      <c r="F242" s="41"/>
      <c r="G242" s="41"/>
      <c r="H242" s="187" t="s">
        <v>404</v>
      </c>
      <c r="I242" s="18" t="str">
        <f>IF(ISBLANK(input_cluster_az2_secondary_storage_mtu),"Value Missing",input_cluster_az2_secondary_storage_mtu)</f>
        <v>Value Missing</v>
      </c>
      <c r="J242" s="41"/>
      <c r="K242" s="84" t="s">
        <v>1180</v>
      </c>
      <c r="L242" s="18" t="str">
        <f>IF(ISBLANK(input_flt_net_nodeb_fqdn),"Value Missing",input_flt_net_nodeb_fqdn)</f>
        <v>Value Missing</v>
      </c>
      <c r="M242" s="41"/>
      <c r="N242" s="41"/>
      <c r="O242" s="41"/>
      <c r="P242" s="41"/>
      <c r="Q242" s="41"/>
      <c r="R242" s="41"/>
      <c r="S242" s="41"/>
      <c r="T242" s="41"/>
      <c r="U242" s="41"/>
      <c r="V242" s="41"/>
      <c r="W242" s="41"/>
      <c r="X242" s="41"/>
      <c r="Y242" s="41"/>
      <c r="Z242" s="41"/>
      <c r="AA242" s="41"/>
      <c r="AB242" s="41"/>
      <c r="AC242" s="41"/>
      <c r="AD242" s="41"/>
      <c r="AE242" s="41"/>
      <c r="AF242" s="41"/>
    </row>
    <row r="243" ht="19.5" customHeight="1">
      <c r="A243" s="41"/>
      <c r="B243" s="191"/>
      <c r="C243" s="191"/>
      <c r="D243" s="41"/>
      <c r="E243" s="41"/>
      <c r="F243" s="41"/>
      <c r="G243" s="41"/>
      <c r="H243" s="187" t="s">
        <v>2811</v>
      </c>
      <c r="I243" s="18" t="str">
        <f>IF(ISBLANK(input_cluster_az2_secondary_storage_network),"Value Missing",input_cluster_az2_secondary_storage_network)</f>
        <v>Value Missing</v>
      </c>
      <c r="J243" s="41"/>
      <c r="K243" s="84" t="s">
        <v>1181</v>
      </c>
      <c r="L243" s="18" t="str">
        <f>IF(ISBLANK(input_flt_net_nodec_fqdn),"Value Missing",input_flt_net_nodec_fqdn)</f>
        <v>Value Missing</v>
      </c>
      <c r="M243" s="41"/>
      <c r="N243" s="41"/>
      <c r="O243" s="41"/>
      <c r="P243" s="41"/>
      <c r="Q243" s="41"/>
      <c r="R243" s="41"/>
      <c r="S243" s="41"/>
      <c r="T243" s="41"/>
      <c r="U243" s="41"/>
      <c r="V243" s="41"/>
      <c r="W243" s="41"/>
      <c r="X243" s="41"/>
      <c r="Y243" s="41"/>
      <c r="Z243" s="41"/>
      <c r="AA243" s="41"/>
      <c r="AB243" s="41"/>
      <c r="AC243" s="41"/>
      <c r="AD243" s="41"/>
      <c r="AE243" s="41"/>
      <c r="AF243" s="41"/>
    </row>
    <row r="244" ht="19.5" customHeight="1">
      <c r="A244" s="41"/>
      <c r="B244" s="85" t="s">
        <v>2812</v>
      </c>
      <c r="C244" s="18" t="str">
        <f>IF(ISBLANK(input_mgmt_az1_en1_eth0_uplink0),"Value Missing",input_mgmt_az1_en1_eth0_uplink0)</f>
        <v>Value Missing</v>
      </c>
      <c r="D244" s="41"/>
      <c r="E244" s="41"/>
      <c r="F244" s="41"/>
      <c r="G244" s="41"/>
      <c r="H244" s="187" t="s">
        <v>718</v>
      </c>
      <c r="I244" s="18" t="str">
        <f>IF(ISBLANK(input_cluster_az2_secondary_storage_mask),"Value Missing",input_cluster_az2_secondary_storage_mask)</f>
        <v>Value Missing</v>
      </c>
      <c r="J244" s="41"/>
      <c r="K244" s="84" t="s">
        <v>2813</v>
      </c>
      <c r="L244" s="18" t="str">
        <f>IF(ISBLANK(input_flt_net_prxy_fqdn),"Value Missing",input_flt_net_prxy_fqdn)</f>
        <v>Value Missing</v>
      </c>
      <c r="M244" s="41"/>
      <c r="N244" s="41"/>
      <c r="O244" s="41"/>
      <c r="P244" s="41"/>
      <c r="Q244" s="41"/>
      <c r="R244" s="41"/>
      <c r="S244" s="41"/>
      <c r="T244" s="41"/>
      <c r="U244" s="41"/>
      <c r="V244" s="41"/>
      <c r="W244" s="41"/>
      <c r="X244" s="41"/>
      <c r="Y244" s="41"/>
      <c r="Z244" s="41"/>
      <c r="AA244" s="41"/>
      <c r="AB244" s="41"/>
      <c r="AC244" s="41"/>
      <c r="AD244" s="41"/>
      <c r="AE244" s="41"/>
      <c r="AF244" s="41"/>
    </row>
    <row r="245" ht="19.5" customHeight="1">
      <c r="A245" s="41"/>
      <c r="B245" s="85" t="s">
        <v>2814</v>
      </c>
      <c r="C245" s="18" t="str">
        <f>IF(ISBLANK(input_mgmt_az1_en1_eth0_uplink1),"Value Missing",input_mgmt_az1_en1_eth0_uplink1)</f>
        <v>Value Missing</v>
      </c>
      <c r="D245" s="41"/>
      <c r="E245" s="41"/>
      <c r="F245" s="41"/>
      <c r="G245" s="41"/>
      <c r="H245" s="187" t="s">
        <v>719</v>
      </c>
      <c r="I245" s="18" t="str">
        <f>IF(ISBLANK(input_cluster_az2_secondary_storage_gateway_ip),"Value Missing",input_cluster_az2_secondary_storage_gateway_ip)</f>
        <v>Value Missing</v>
      </c>
      <c r="J245" s="41"/>
      <c r="K245" s="84" t="s">
        <v>1183</v>
      </c>
      <c r="L245" s="18" t="str">
        <f>IF(ISBLANK(input_flt_net_nodea_ip),"Value Missing",input_flt_net_nodea_ip)</f>
        <v>Value Missing</v>
      </c>
      <c r="M245" s="41"/>
      <c r="N245" s="41"/>
      <c r="O245" s="41"/>
      <c r="P245" s="41"/>
      <c r="Q245" s="41"/>
      <c r="R245" s="41"/>
      <c r="S245" s="41"/>
      <c r="T245" s="41"/>
      <c r="U245" s="41"/>
      <c r="V245" s="41"/>
      <c r="W245" s="41"/>
      <c r="X245" s="41"/>
      <c r="Y245" s="41"/>
      <c r="Z245" s="41"/>
      <c r="AA245" s="41"/>
      <c r="AB245" s="41"/>
      <c r="AC245" s="41"/>
      <c r="AD245" s="41"/>
      <c r="AE245" s="41"/>
      <c r="AF245" s="41"/>
    </row>
    <row r="246" ht="19.5" customHeight="1">
      <c r="A246" s="41"/>
      <c r="B246" s="85" t="s">
        <v>2815</v>
      </c>
      <c r="C246" s="18" t="str">
        <f>IF(ISBLANK(input_mgmt_az1_en1_eth1_uplink0),"Value Missing",input_mgmt_az1_en1_eth1_uplink0)</f>
        <v>Value Missing</v>
      </c>
      <c r="D246" s="41"/>
      <c r="E246" s="41"/>
      <c r="F246" s="41"/>
      <c r="G246" s="41"/>
      <c r="H246" s="187" t="s">
        <v>465</v>
      </c>
      <c r="I246" s="18" t="str">
        <f>IF(ISBLANK(input_cluster_az2_secondary_storage_pool_start_ip),"Value Missing",input_cluster_az2_secondary_storage_pool_start_ip)</f>
        <v>Value Missing</v>
      </c>
      <c r="J246" s="41"/>
      <c r="K246" s="84" t="s">
        <v>1184</v>
      </c>
      <c r="L246" s="18" t="str">
        <f>IF(ISBLANK(input_flt_net_nodeb_ip),"Value Missing",input_flt_net_nodeb_ip)</f>
        <v>Value Missing</v>
      </c>
      <c r="M246" s="41"/>
      <c r="N246" s="41"/>
      <c r="O246" s="41"/>
      <c r="P246" s="41"/>
      <c r="Q246" s="41"/>
      <c r="R246" s="41"/>
      <c r="S246" s="41"/>
      <c r="T246" s="41"/>
      <c r="U246" s="41"/>
      <c r="V246" s="41"/>
      <c r="W246" s="41"/>
      <c r="X246" s="41"/>
      <c r="Y246" s="41"/>
      <c r="Z246" s="41"/>
      <c r="AA246" s="41"/>
      <c r="AB246" s="41"/>
      <c r="AC246" s="41"/>
      <c r="AD246" s="41"/>
      <c r="AE246" s="41"/>
      <c r="AF246" s="41"/>
    </row>
    <row r="247" ht="19.5" customHeight="1">
      <c r="A247" s="41"/>
      <c r="B247" s="85" t="s">
        <v>2816</v>
      </c>
      <c r="C247" s="18" t="str">
        <f>IF(ISBLANK(input_mgmt_az1_en1_eth1_uplink1),"Value Missing",input_mgmt_az1_en1_eth1_uplink1)</f>
        <v>Value Missing</v>
      </c>
      <c r="D247" s="41"/>
      <c r="E247" s="41"/>
      <c r="F247" s="41"/>
      <c r="G247" s="41"/>
      <c r="H247" s="187" t="s">
        <v>466</v>
      </c>
      <c r="I247" s="18" t="str">
        <f>IF(ISBLANK(input_cluster_az2_secondary_storage_pool_end_ip),"Value Missing",input_cluster_az2_secondary_storage_pool_end_ip)</f>
        <v>Value Missing</v>
      </c>
      <c r="J247" s="41"/>
      <c r="K247" s="84" t="s">
        <v>1185</v>
      </c>
      <c r="L247" s="18" t="str">
        <f>IF(ISBLANK(input_flt_net_nodec_ip),"Value Missing",input_flt_net_nodec_ip)</f>
        <v>Value Missing</v>
      </c>
      <c r="M247" s="41"/>
      <c r="N247" s="41"/>
      <c r="O247" s="41"/>
      <c r="P247" s="41"/>
      <c r="Q247" s="41"/>
      <c r="R247" s="41"/>
      <c r="S247" s="41"/>
      <c r="T247" s="41"/>
      <c r="U247" s="41"/>
      <c r="V247" s="41"/>
      <c r="W247" s="41"/>
      <c r="X247" s="41"/>
      <c r="Y247" s="41"/>
      <c r="Z247" s="41"/>
      <c r="AA247" s="41"/>
      <c r="AB247" s="41"/>
      <c r="AC247" s="41"/>
      <c r="AD247" s="41"/>
      <c r="AE247" s="41"/>
      <c r="AF247" s="41"/>
    </row>
    <row r="248" ht="19.5" customHeight="1">
      <c r="A248" s="41"/>
      <c r="B248" s="85" t="s">
        <v>2817</v>
      </c>
      <c r="C248" s="18" t="str">
        <f>IF(ISBLANK(input_mgmt_az1_en2_eth0_uplink0),"Value Missing",input_mgmt_az1_en2_eth0_uplink0)</f>
        <v>Value Missing</v>
      </c>
      <c r="D248" s="41"/>
      <c r="E248" s="41"/>
      <c r="F248" s="41"/>
      <c r="G248" s="41"/>
      <c r="H248" s="17" t="s">
        <v>1244</v>
      </c>
      <c r="I248" s="14"/>
      <c r="J248" s="41"/>
      <c r="K248" s="84" t="s">
        <v>2818</v>
      </c>
      <c r="L248" s="18" t="str">
        <f>IF(ISBLANK(input_flt_net_prxy_ip),"Value Missing",input_flt_net_prxy_ip)</f>
        <v>Value Missing</v>
      </c>
      <c r="M248" s="41"/>
      <c r="N248" s="41"/>
      <c r="O248" s="41"/>
      <c r="P248" s="41"/>
      <c r="Q248" s="41"/>
      <c r="R248" s="41"/>
      <c r="S248" s="41"/>
      <c r="T248" s="41"/>
      <c r="U248" s="41"/>
      <c r="V248" s="41"/>
      <c r="W248" s="41"/>
      <c r="X248" s="41"/>
      <c r="Y248" s="41"/>
      <c r="Z248" s="41"/>
      <c r="AA248" s="41"/>
      <c r="AB248" s="41"/>
      <c r="AC248" s="41"/>
      <c r="AD248" s="41"/>
      <c r="AE248" s="41"/>
      <c r="AF248" s="41"/>
    </row>
    <row r="249" ht="19.5" customHeight="1">
      <c r="A249" s="41"/>
      <c r="B249" s="85" t="s">
        <v>2819</v>
      </c>
      <c r="C249" s="18" t="str">
        <f>IF(ISBLANK(input_mgmt_az1_en2_eth0_uplink1),"Value Missing",input_mgmt_az1_en2_eth0_uplink1)</f>
        <v>Value Missing</v>
      </c>
      <c r="D249" s="41"/>
      <c r="E249" s="41"/>
      <c r="F249" s="41"/>
      <c r="G249" s="41"/>
      <c r="H249" s="84" t="s">
        <v>401</v>
      </c>
      <c r="I249" s="18" t="str">
        <f>IF(ISBLANK(input_cluster_az2_storage_cluster_vlan),"Value Missing",input_cluster_az2_storage_cluster_vlan)</f>
        <v>Value Missing</v>
      </c>
      <c r="J249" s="41"/>
      <c r="K249" s="84" t="s">
        <v>2820</v>
      </c>
      <c r="L249" s="18" t="str">
        <f>IF(flt_net_nodea_fqdn="Value Missing",flt_net_nodea_fqdn,LEFT(flt_net_nodea_fqdn,FIND(".",flt_net_nodea_fqdn)-1))</f>
        <v>Value Missing</v>
      </c>
      <c r="M249" s="41"/>
      <c r="N249" s="41"/>
      <c r="O249" s="41"/>
      <c r="P249" s="41"/>
      <c r="Q249" s="41"/>
      <c r="R249" s="41"/>
      <c r="S249" s="41"/>
      <c r="T249" s="41"/>
      <c r="U249" s="41"/>
      <c r="V249" s="41"/>
      <c r="W249" s="41"/>
      <c r="X249" s="41"/>
      <c r="Y249" s="41"/>
      <c r="Z249" s="41"/>
      <c r="AA249" s="41"/>
      <c r="AB249" s="41"/>
      <c r="AC249" s="41"/>
      <c r="AD249" s="41"/>
      <c r="AE249" s="41"/>
      <c r="AF249" s="41"/>
    </row>
    <row r="250" ht="19.5" customHeight="1">
      <c r="A250" s="41"/>
      <c r="B250" s="85" t="s">
        <v>2821</v>
      </c>
      <c r="C250" s="18" t="str">
        <f>IF(ISBLANK(input_mgmt_az1_en2_eth1_uplink0),"Value Missing",input_mgmt_az1_en2_eth1_uplink0)</f>
        <v>Value Missing</v>
      </c>
      <c r="D250" s="41"/>
      <c r="E250" s="41"/>
      <c r="F250" s="41"/>
      <c r="G250" s="41"/>
      <c r="H250" s="84" t="s">
        <v>404</v>
      </c>
      <c r="I250" s="18" t="str">
        <f>IF(ISBLANK(input_cluster_az2_storage_cluster_mtu),"Value Missing",input_cluster_az2_storage_cluster_mtu)</f>
        <v>Value Missing</v>
      </c>
      <c r="J250" s="41"/>
      <c r="K250" s="84" t="s">
        <v>2822</v>
      </c>
      <c r="L250" s="18" t="str">
        <f>IF(flt_net_nodeb_fqdn="Value Missing",flt_net_nodeb_fqdn,LEFT(flt_net_nodeb_fqdn,FIND(".",flt_net_nodeb_fqdn)-1))</f>
        <v>Value Missing</v>
      </c>
      <c r="M250" s="41"/>
      <c r="N250" s="41"/>
      <c r="O250" s="41"/>
      <c r="P250" s="41"/>
      <c r="Q250" s="41"/>
      <c r="R250" s="41"/>
      <c r="S250" s="41"/>
      <c r="T250" s="41"/>
      <c r="U250" s="41"/>
      <c r="V250" s="41"/>
      <c r="W250" s="41"/>
      <c r="X250" s="41"/>
      <c r="Y250" s="41"/>
      <c r="Z250" s="41"/>
      <c r="AA250" s="41"/>
      <c r="AB250" s="41"/>
      <c r="AC250" s="41"/>
      <c r="AD250" s="41"/>
      <c r="AE250" s="41"/>
      <c r="AF250" s="41"/>
    </row>
    <row r="251" ht="19.5" customHeight="1">
      <c r="A251" s="41"/>
      <c r="B251" s="85" t="s">
        <v>2823</v>
      </c>
      <c r="C251" s="18" t="str">
        <f>IF(ISBLANK(input_mgmt_az1_en2_eth1_uplink1),"Value Missing",input_mgmt_az1_en2_eth1_uplink1)</f>
        <v>Value Missing</v>
      </c>
      <c r="D251" s="41"/>
      <c r="E251" s="41"/>
      <c r="F251" s="41"/>
      <c r="G251" s="41"/>
      <c r="H251" s="84" t="s">
        <v>717</v>
      </c>
      <c r="I251" s="18" t="str">
        <f>IF(ISBLANK(input_cluster_az2_storage_cluster_network),"Value Missing",input_cluster_az2_storage_cluster_network)</f>
        <v>Value Missing</v>
      </c>
      <c r="J251" s="41"/>
      <c r="K251" s="84" t="s">
        <v>2824</v>
      </c>
      <c r="L251" s="18" t="str">
        <f>IF(flt_net_nodec_fqdn="Value Missing",flt_net_nodec_fqdn,LEFT(flt_net_nodec_fqdn,FIND(".",flt_net_nodec_fqdn)-1))</f>
        <v>Value Missing</v>
      </c>
      <c r="M251" s="41"/>
      <c r="N251" s="41"/>
      <c r="O251" s="41"/>
      <c r="P251" s="41"/>
      <c r="Q251" s="41"/>
      <c r="R251" s="41"/>
      <c r="S251" s="41"/>
      <c r="T251" s="41"/>
      <c r="U251" s="41"/>
      <c r="V251" s="41"/>
      <c r="W251" s="41"/>
      <c r="X251" s="41"/>
      <c r="Y251" s="41"/>
      <c r="Z251" s="41"/>
      <c r="AA251" s="41"/>
      <c r="AB251" s="41"/>
      <c r="AC251" s="41"/>
      <c r="AD251" s="41"/>
      <c r="AE251" s="41"/>
      <c r="AF251" s="41"/>
    </row>
    <row r="252" ht="19.5" customHeight="1">
      <c r="A252" s="41"/>
      <c r="B252" s="85"/>
      <c r="C252" s="41"/>
      <c r="D252" s="41"/>
      <c r="E252" s="41"/>
      <c r="F252" s="41"/>
      <c r="G252" s="41"/>
      <c r="H252" s="84" t="s">
        <v>743</v>
      </c>
      <c r="I252" s="18" t="str">
        <f>IF(ISBLANK(input_cluster_az2_storage_cluster_mask),"Value Missing",input_cluster_az2_storage_cluster_mask)</f>
        <v>Value Missing</v>
      </c>
      <c r="J252" s="41"/>
      <c r="K252" s="84" t="s">
        <v>2825</v>
      </c>
      <c r="L252" s="18" t="str">
        <f>IF(flt_net_prxy_fqdn="Value Missing",flt_net_prxy_fqdn,LEFT(flt_net_prxy_fqdn,FIND(".",flt_net_prxy_fqdn)-1))</f>
        <v>Value Missing</v>
      </c>
      <c r="M252" s="41"/>
      <c r="N252" s="41"/>
      <c r="O252" s="41"/>
      <c r="P252" s="41"/>
      <c r="Q252" s="41"/>
      <c r="R252" s="41"/>
      <c r="S252" s="41"/>
      <c r="T252" s="41"/>
      <c r="U252" s="41"/>
      <c r="V252" s="41"/>
      <c r="W252" s="41"/>
      <c r="X252" s="41"/>
      <c r="Y252" s="41"/>
      <c r="Z252" s="41"/>
      <c r="AA252" s="41"/>
      <c r="AB252" s="41"/>
      <c r="AC252" s="41"/>
      <c r="AD252" s="41"/>
      <c r="AE252" s="41"/>
      <c r="AF252" s="41"/>
    </row>
    <row r="253" ht="19.5" customHeight="1">
      <c r="A253" s="41"/>
      <c r="B253" s="85" t="s">
        <v>2826</v>
      </c>
      <c r="C253" s="18" t="str">
        <f>IF(ISBLANK(input_wld_az1_en1_eth0_uplink0),"Value Missing",input_wld_az1_en1_eth0_uplink0)</f>
        <v>Value Missing</v>
      </c>
      <c r="D253" s="41"/>
      <c r="E253" s="41"/>
      <c r="F253" s="41"/>
      <c r="G253" s="41"/>
      <c r="H253" s="84" t="s">
        <v>464</v>
      </c>
      <c r="I253" s="18" t="str">
        <f>IF(OR(cluster_az2_storage_cluster_network="Value Missing",cluster_az2_storage_cluster_mask="Value Missing"),"Value Missing",(CONCATENATE(cluster_az2_storage_cluster_network,"/",VLOOKUP(cluster_az2_storage_cluster_mask,table_mask_to_cidr,2,FALSE))))</f>
        <v>Value Missing</v>
      </c>
      <c r="J253" s="41"/>
      <c r="K253" s="84" t="s">
        <v>1048</v>
      </c>
      <c r="L253" s="41"/>
      <c r="M253" s="41"/>
      <c r="N253" s="41"/>
      <c r="O253" s="41"/>
      <c r="P253" s="41"/>
      <c r="Q253" s="41"/>
      <c r="R253" s="41"/>
      <c r="S253" s="41"/>
      <c r="T253" s="41"/>
      <c r="U253" s="41"/>
      <c r="V253" s="41"/>
      <c r="W253" s="41"/>
      <c r="X253" s="41"/>
      <c r="Y253" s="41"/>
      <c r="Z253" s="41"/>
      <c r="AA253" s="41"/>
      <c r="AB253" s="41"/>
      <c r="AC253" s="41"/>
      <c r="AD253" s="41"/>
      <c r="AE253" s="41"/>
      <c r="AF253" s="41"/>
    </row>
    <row r="254" ht="19.5" customHeight="1">
      <c r="A254" s="41"/>
      <c r="B254" s="85" t="s">
        <v>2827</v>
      </c>
      <c r="C254" s="18" t="str">
        <f>IF(ISBLANK(input_wld_az1_en1_eth0_uplink1),"Value Missing",input_wld_az1_en1_eth0_uplink1)</f>
        <v>Value Missing</v>
      </c>
      <c r="D254" s="41"/>
      <c r="E254" s="41"/>
      <c r="F254" s="41"/>
      <c r="G254" s="41"/>
      <c r="H254" s="84" t="s">
        <v>402</v>
      </c>
      <c r="I254" s="18" t="str">
        <f>IF(ISBLANK(input_cluster_az2_storage_cluster_gateway_ip),"Value Missing",input_cluster_az2_storage_cluster_gateway_ip)</f>
        <v>Value Missing</v>
      </c>
      <c r="J254" s="41"/>
      <c r="K254" s="84" t="s">
        <v>1049</v>
      </c>
      <c r="L254" s="18" t="str">
        <f>IF(ISBLANK(input_flt_net_cluster),"Value Missing",input_flt_net_cluster)</f>
        <v>Value Missing</v>
      </c>
      <c r="M254" s="41"/>
      <c r="N254" s="41"/>
      <c r="O254" s="41"/>
      <c r="P254" s="41"/>
      <c r="Q254" s="41"/>
      <c r="R254" s="41"/>
      <c r="S254" s="41"/>
      <c r="T254" s="41"/>
      <c r="U254" s="41"/>
      <c r="V254" s="41"/>
      <c r="W254" s="41"/>
      <c r="X254" s="41"/>
      <c r="Y254" s="41"/>
      <c r="Z254" s="41"/>
      <c r="AA254" s="41"/>
      <c r="AB254" s="41"/>
      <c r="AC254" s="41"/>
      <c r="AD254" s="41"/>
      <c r="AE254" s="41"/>
      <c r="AF254" s="41"/>
    </row>
    <row r="255" ht="19.5" customHeight="1">
      <c r="A255" s="41"/>
      <c r="B255" s="85" t="s">
        <v>2828</v>
      </c>
      <c r="C255" s="18" t="str">
        <f>IF(ISBLANK(input_wld_az1_en1_eth1_uplink0),"Value Missing",input_wld_az1_en1_eth1_uplink0)</f>
        <v>Value Missing</v>
      </c>
      <c r="D255" s="41"/>
      <c r="E255" s="41"/>
      <c r="F255" s="41"/>
      <c r="G255" s="41"/>
      <c r="H255" s="173" t="s">
        <v>465</v>
      </c>
      <c r="I255" s="18" t="str">
        <f>IF(ISBLANK(input_cluster_az2_storage_cluster_pool_start_ip),"Value Missing",input_cluster_az2_storage_cluster_pool_start_ip)</f>
        <v>Value Missing</v>
      </c>
      <c r="J255" s="41"/>
      <c r="K255" s="84" t="s">
        <v>1050</v>
      </c>
      <c r="L255" s="18" t="str">
        <f>IF(ISBLANK(input_flt_net_folder),"Value Missing",input_flt_net_folder)</f>
        <v>Value Missing</v>
      </c>
      <c r="M255" s="41"/>
      <c r="N255" s="41"/>
      <c r="O255" s="41"/>
      <c r="P255" s="41"/>
      <c r="Q255" s="41"/>
      <c r="R255" s="41"/>
      <c r="S255" s="41"/>
      <c r="T255" s="41"/>
      <c r="U255" s="41"/>
      <c r="V255" s="41"/>
      <c r="W255" s="41"/>
      <c r="X255" s="41"/>
      <c r="Y255" s="41"/>
      <c r="Z255" s="41"/>
      <c r="AA255" s="41"/>
      <c r="AB255" s="41"/>
      <c r="AC255" s="41"/>
      <c r="AD255" s="41"/>
      <c r="AE255" s="41"/>
      <c r="AF255" s="41"/>
    </row>
    <row r="256" ht="19.5" customHeight="1">
      <c r="A256" s="41"/>
      <c r="B256" s="85" t="s">
        <v>2829</v>
      </c>
      <c r="C256" s="18" t="str">
        <f>IF(ISBLANK(input_wld_az1_en1_eth1_uplink1),"Value Missing",input_wld_az1_en1_eth1_uplink1)</f>
        <v>Value Missing</v>
      </c>
      <c r="D256" s="41"/>
      <c r="E256" s="41"/>
      <c r="F256" s="41"/>
      <c r="G256" s="41"/>
      <c r="H256" s="173" t="s">
        <v>466</v>
      </c>
      <c r="I256" s="18" t="str">
        <f>IF(ISBLANK(input_cluster_az2_storage_cluster_pool_end_ip),"Value Missing",input_cluster_az2_storage_cluster_pool_end_ip)</f>
        <v>Value Missing</v>
      </c>
      <c r="J256" s="41"/>
      <c r="K256" s="84" t="s">
        <v>1052</v>
      </c>
      <c r="L256" s="18" t="str">
        <f>IF(ISBLANK(input_flt_net_resource_pool),"Value Missing",input_flt_net_resource_pool)</f>
        <v>Value Missing</v>
      </c>
      <c r="M256" s="41"/>
      <c r="N256" s="41"/>
      <c r="O256" s="41"/>
      <c r="P256" s="41"/>
      <c r="Q256" s="41"/>
      <c r="R256" s="41"/>
      <c r="S256" s="41"/>
      <c r="T256" s="41"/>
      <c r="U256" s="41"/>
      <c r="V256" s="41"/>
      <c r="W256" s="41"/>
      <c r="X256" s="41"/>
      <c r="Y256" s="41"/>
      <c r="Z256" s="41"/>
      <c r="AA256" s="41"/>
      <c r="AB256" s="41"/>
      <c r="AC256" s="41"/>
      <c r="AD256" s="41"/>
      <c r="AE256" s="41"/>
      <c r="AF256" s="41"/>
    </row>
    <row r="257" ht="19.5" customHeight="1">
      <c r="A257" s="41"/>
      <c r="B257" s="85" t="s">
        <v>2830</v>
      </c>
      <c r="C257" s="18" t="str">
        <f>IF(ISBLANK(input_wld_az1_en2_eth0_uplink0),"Value Missing",input_wld_az1_en2_eth0_uplink0)</f>
        <v>Value Missing</v>
      </c>
      <c r="D257" s="41"/>
      <c r="E257" s="41"/>
      <c r="F257" s="41"/>
      <c r="G257" s="41"/>
      <c r="H257" s="187" t="s">
        <v>723</v>
      </c>
      <c r="I257" s="18"/>
      <c r="J257" s="41"/>
      <c r="K257" s="84" t="s">
        <v>596</v>
      </c>
      <c r="L257" s="18" t="str">
        <f>IF(ISBLANK(input_flt_net_datastore),"Value Missing",input_flt_net_datastore)</f>
        <v>Value Missing</v>
      </c>
      <c r="M257" s="41"/>
      <c r="N257" s="41"/>
      <c r="O257" s="41"/>
      <c r="P257" s="41"/>
      <c r="Q257" s="41"/>
      <c r="R257" s="41"/>
      <c r="S257" s="41"/>
      <c r="T257" s="41"/>
      <c r="U257" s="41"/>
      <c r="V257" s="41"/>
      <c r="W257" s="41"/>
      <c r="X257" s="41"/>
      <c r="Y257" s="41"/>
      <c r="Z257" s="41"/>
      <c r="AA257" s="41"/>
      <c r="AB257" s="41"/>
      <c r="AC257" s="41"/>
      <c r="AD257" s="41"/>
      <c r="AE257" s="41"/>
      <c r="AF257" s="41"/>
    </row>
    <row r="258" ht="19.5" customHeight="1">
      <c r="A258" s="41"/>
      <c r="B258" s="85" t="s">
        <v>2831</v>
      </c>
      <c r="C258" s="18" t="str">
        <f>IF(ISBLANK(input_wld_az1_en2_eth0_uplink1),"Value Missing",input_wld_az1_en2_eth0_uplink1)</f>
        <v>Value Missing</v>
      </c>
      <c r="D258" s="41"/>
      <c r="E258" s="41"/>
      <c r="F258" s="41"/>
      <c r="G258" s="41"/>
      <c r="H258" s="187" t="s">
        <v>725</v>
      </c>
      <c r="I258" s="18"/>
      <c r="J258" s="41"/>
      <c r="K258" s="84" t="s">
        <v>299</v>
      </c>
      <c r="L258" s="18" t="str">
        <f>IF(ISBLANK(input_flt_net_vcenter_fqdn),"Value Missing",input_flt_net_vcenter_fqdn)</f>
        <v>Value Missing</v>
      </c>
      <c r="M258" s="41"/>
      <c r="N258" s="41"/>
      <c r="O258" s="41"/>
      <c r="P258" s="41"/>
      <c r="Q258" s="41"/>
      <c r="R258" s="41"/>
      <c r="S258" s="41"/>
      <c r="T258" s="41"/>
      <c r="U258" s="41"/>
      <c r="V258" s="41"/>
      <c r="W258" s="41"/>
      <c r="X258" s="41"/>
      <c r="Y258" s="41"/>
      <c r="Z258" s="41"/>
      <c r="AA258" s="41"/>
      <c r="AB258" s="41"/>
      <c r="AC258" s="41"/>
      <c r="AD258" s="41"/>
      <c r="AE258" s="41"/>
      <c r="AF258" s="41"/>
    </row>
    <row r="259" ht="19.5" customHeight="1">
      <c r="A259" s="41"/>
      <c r="B259" s="85" t="s">
        <v>2832</v>
      </c>
      <c r="C259" s="18" t="str">
        <f>IF(ISBLANK(input_wld_az1_en2_eth1_uplink0),"Value Missing",input_wld_az1_en2_eth1_uplink0)</f>
        <v>Value Missing</v>
      </c>
      <c r="D259" s="41"/>
      <c r="E259" s="41"/>
      <c r="F259" s="41"/>
      <c r="G259" s="41"/>
      <c r="H259" s="187" t="s">
        <v>727</v>
      </c>
      <c r="I259" s="18"/>
      <c r="J259" s="41"/>
      <c r="K259" s="84" t="s">
        <v>1053</v>
      </c>
      <c r="L259" s="18" t="str">
        <f>IF(ISBLANK(input_flt_net_node_portgroup),"Value Missing",input_flt_net_node_portgroup)</f>
        <v>Value Missing</v>
      </c>
      <c r="M259" s="41"/>
      <c r="N259" s="41"/>
      <c r="O259" s="41"/>
      <c r="P259" s="41"/>
      <c r="Q259" s="41"/>
      <c r="R259" s="41"/>
      <c r="S259" s="41"/>
      <c r="T259" s="41"/>
      <c r="U259" s="41"/>
      <c r="V259" s="41"/>
      <c r="W259" s="41"/>
      <c r="X259" s="41"/>
      <c r="Y259" s="41"/>
      <c r="Z259" s="41"/>
      <c r="AA259" s="41"/>
      <c r="AB259" s="41"/>
      <c r="AC259" s="41"/>
      <c r="AD259" s="41"/>
      <c r="AE259" s="41"/>
      <c r="AF259" s="41"/>
    </row>
    <row r="260" ht="19.5" customHeight="1">
      <c r="A260" s="41"/>
      <c r="B260" s="85" t="s">
        <v>2833</v>
      </c>
      <c r="C260" s="18" t="str">
        <f>IF(ISBLANK(input_wld_az1_en2_eth1_uplink1),"Value Missing",input_wld_az1_en2_eth1_uplink1)</f>
        <v>Value Missing</v>
      </c>
      <c r="D260" s="41"/>
      <c r="E260" s="41"/>
      <c r="F260" s="41"/>
      <c r="G260" s="41"/>
      <c r="H260" s="187" t="s">
        <v>2834</v>
      </c>
      <c r="I260" s="18" t="str">
        <f>IF(ISBLANK(input_cluster_witnessaz_mgmt_vlan),"Value Missing",input_cluster_witnessaz_mgmt_vlan)</f>
        <v>Value Missing</v>
      </c>
      <c r="J260" s="41"/>
      <c r="K260" s="84" t="s">
        <v>2784</v>
      </c>
      <c r="L260" s="18" t="str">
        <f>IF(ISBLANK(flt_net_disk_mode_chosen),"Value Missing",flt_net_disk_mode_chosen)</f>
        <v>Thin</v>
      </c>
      <c r="M260" s="41"/>
      <c r="N260" s="41"/>
      <c r="O260" s="41"/>
      <c r="P260" s="41"/>
      <c r="Q260" s="41"/>
      <c r="R260" s="41"/>
      <c r="S260" s="41"/>
      <c r="T260" s="41"/>
      <c r="U260" s="41"/>
      <c r="V260" s="41"/>
      <c r="W260" s="41"/>
      <c r="X260" s="41"/>
      <c r="Y260" s="41"/>
      <c r="Z260" s="41"/>
      <c r="AA260" s="41"/>
      <c r="AB260" s="41"/>
      <c r="AC260" s="41"/>
      <c r="AD260" s="41"/>
      <c r="AE260" s="41"/>
      <c r="AF260" s="41"/>
    </row>
    <row r="261" ht="19.5" customHeight="1">
      <c r="A261" s="41"/>
      <c r="B261" s="41"/>
      <c r="C261" s="41"/>
      <c r="D261" s="41"/>
      <c r="E261" s="41"/>
      <c r="F261" s="41"/>
      <c r="G261" s="41"/>
      <c r="H261" s="187" t="s">
        <v>2835</v>
      </c>
      <c r="I261" s="18" t="str">
        <f>IF(ISBLANK(input_cluster_witnessaz_mgmt_gateway_ip),"Value Missing",input_cluster_witnessaz_mgmt_gateway_ip)</f>
        <v>Value Missing</v>
      </c>
      <c r="J261" s="41"/>
      <c r="K261" s="84" t="s">
        <v>2764</v>
      </c>
      <c r="L261" s="18" t="str">
        <f>IF(ISBLANK(input_flt_net_node_gateway_ip),"Value Missing",input_flt_net_node_gateway_ip)</f>
        <v>Value Missing</v>
      </c>
      <c r="M261" s="41"/>
      <c r="N261" s="41"/>
      <c r="O261" s="41"/>
      <c r="P261" s="41"/>
      <c r="Q261" s="41"/>
      <c r="R261" s="41"/>
      <c r="S261" s="41"/>
      <c r="T261" s="41"/>
      <c r="U261" s="41"/>
      <c r="V261" s="41"/>
      <c r="W261" s="41"/>
      <c r="X261" s="41"/>
      <c r="Y261" s="41"/>
      <c r="Z261" s="41"/>
      <c r="AA261" s="41"/>
      <c r="AB261" s="41"/>
      <c r="AC261" s="41"/>
      <c r="AD261" s="41"/>
      <c r="AE261" s="41"/>
      <c r="AF261" s="41"/>
    </row>
    <row r="262" ht="19.5" customHeight="1">
      <c r="A262" s="41"/>
      <c r="B262" s="41"/>
      <c r="C262" s="41"/>
      <c r="D262" s="41"/>
      <c r="E262" s="41"/>
      <c r="F262" s="41"/>
      <c r="G262" s="41"/>
      <c r="H262" s="187" t="s">
        <v>2836</v>
      </c>
      <c r="I262" s="18" t="str">
        <f>IF(ISBLANK(input_cluster_witnessaz_mgmt_cidr),"Value Missing",input_cluster_witnessaz_mgmt_cidr)</f>
        <v>Value Missing</v>
      </c>
      <c r="J262" s="41"/>
      <c r="K262" s="84" t="s">
        <v>2765</v>
      </c>
      <c r="L262" s="18" t="str">
        <f>IF(ISBLANK(input_flt_net_node_mask),"Value Missing",input_flt_net_node_mask)</f>
        <v>Value Missing</v>
      </c>
      <c r="M262" s="41"/>
      <c r="N262" s="41"/>
      <c r="O262" s="41"/>
      <c r="P262" s="41"/>
      <c r="Q262" s="41"/>
      <c r="R262" s="41"/>
      <c r="S262" s="41"/>
      <c r="T262" s="41"/>
      <c r="U262" s="41"/>
      <c r="V262" s="41"/>
      <c r="W262" s="41"/>
      <c r="X262" s="41"/>
      <c r="Y262" s="41"/>
      <c r="Z262" s="41"/>
      <c r="AA262" s="41"/>
      <c r="AB262" s="41"/>
      <c r="AC262" s="41"/>
      <c r="AD262" s="41"/>
      <c r="AE262" s="41"/>
      <c r="AF262" s="41"/>
    </row>
    <row r="263" ht="19.5" customHeight="1">
      <c r="A263" s="41"/>
      <c r="B263" s="41"/>
      <c r="C263" s="41"/>
      <c r="D263" s="41"/>
      <c r="E263" s="41"/>
      <c r="F263" s="41"/>
      <c r="G263" s="41"/>
      <c r="H263" s="187" t="s">
        <v>2837</v>
      </c>
      <c r="I263" s="18" t="str">
        <f>IF(ISBLANK(input_cluster_witnessaz_mgmt_mtu),"Value Missing",input_cluster_witnessaz_mgmt_mtu)</f>
        <v>Value Missing</v>
      </c>
      <c r="J263" s="41"/>
      <c r="K263" s="84" t="s">
        <v>356</v>
      </c>
      <c r="L263" s="41"/>
      <c r="M263" s="41"/>
      <c r="N263" s="41"/>
      <c r="O263" s="41"/>
      <c r="P263" s="41"/>
      <c r="Q263" s="41"/>
      <c r="R263" s="41"/>
      <c r="S263" s="41"/>
      <c r="T263" s="41"/>
      <c r="U263" s="41"/>
      <c r="V263" s="41"/>
      <c r="W263" s="41"/>
      <c r="X263" s="41"/>
      <c r="Y263" s="41"/>
      <c r="Z263" s="41"/>
      <c r="AA263" s="41"/>
      <c r="AB263" s="41"/>
      <c r="AC263" s="41"/>
      <c r="AD263" s="41"/>
      <c r="AE263" s="41"/>
      <c r="AF263" s="41"/>
    </row>
    <row r="264" ht="19.5" customHeight="1">
      <c r="A264" s="41"/>
      <c r="B264" s="41"/>
      <c r="C264" s="41"/>
      <c r="D264" s="41"/>
      <c r="E264" s="41"/>
      <c r="F264" s="41"/>
      <c r="G264" s="41"/>
      <c r="H264" s="187" t="s">
        <v>732</v>
      </c>
      <c r="I264" s="18" t="str">
        <f>IF(ISBLANK(input_cluster_witness_zone_vc_fqdn),"Value Missing",input_cluster_witness_zone_vc_fqdn)</f>
        <v>Value Missing</v>
      </c>
      <c r="J264" s="41"/>
      <c r="K264" s="84" t="s">
        <v>1055</v>
      </c>
      <c r="L264" s="41"/>
      <c r="M264" s="41"/>
      <c r="N264" s="41"/>
      <c r="O264" s="41"/>
      <c r="P264" s="41"/>
      <c r="Q264" s="41"/>
      <c r="R264" s="41"/>
      <c r="S264" s="41"/>
      <c r="T264" s="41"/>
      <c r="U264" s="41"/>
      <c r="V264" s="41"/>
      <c r="W264" s="41"/>
      <c r="X264" s="41"/>
      <c r="Y264" s="41"/>
      <c r="Z264" s="41"/>
      <c r="AA264" s="41"/>
      <c r="AB264" s="41"/>
      <c r="AC264" s="41"/>
      <c r="AD264" s="41"/>
      <c r="AE264" s="41"/>
      <c r="AF264" s="41"/>
    </row>
    <row r="265" ht="19.5" customHeight="1">
      <c r="A265" s="41"/>
      <c r="B265" s="41"/>
      <c r="C265" s="41"/>
      <c r="D265" s="41"/>
      <c r="E265" s="41"/>
      <c r="F265" s="41"/>
      <c r="G265" s="41"/>
      <c r="H265" s="187" t="s">
        <v>735</v>
      </c>
      <c r="I265" s="18" t="str">
        <f t="array" ref="I265">IF(ISBLANK(input_cluster_witness_hostname),"Value Missing",input_cluster_witness_hostname)</f>
        <v>Value Missing</v>
      </c>
      <c r="J265" s="41"/>
      <c r="K265" s="84" t="s">
        <v>1056</v>
      </c>
      <c r="L265" s="41"/>
      <c r="M265" s="41"/>
      <c r="N265" s="41"/>
      <c r="O265" s="41"/>
      <c r="P265" s="41"/>
      <c r="Q265" s="41"/>
      <c r="R265" s="41"/>
      <c r="S265" s="41"/>
      <c r="T265" s="41"/>
      <c r="U265" s="41"/>
      <c r="V265" s="41"/>
      <c r="W265" s="41"/>
      <c r="X265" s="41"/>
      <c r="Y265" s="41"/>
      <c r="Z265" s="41"/>
      <c r="AA265" s="41"/>
      <c r="AB265" s="41"/>
      <c r="AC265" s="41"/>
      <c r="AD265" s="41"/>
      <c r="AE265" s="41"/>
      <c r="AF265" s="41"/>
    </row>
    <row r="266" ht="19.5" customHeight="1">
      <c r="A266" s="41"/>
      <c r="B266" s="41"/>
      <c r="C266" s="41"/>
      <c r="D266" s="41"/>
      <c r="E266" s="41"/>
      <c r="F266" s="41"/>
      <c r="G266" s="41"/>
      <c r="H266" s="187" t="s">
        <v>736</v>
      </c>
      <c r="I266" s="18" t="str">
        <f>IF(ISBLANK(input_cluster_witness_cluster),"Value Missing",input_cluster_witness_cluster)</f>
        <v>Value Missing</v>
      </c>
      <c r="J266" s="41"/>
      <c r="K266" s="84" t="s">
        <v>757</v>
      </c>
      <c r="L266" s="41"/>
      <c r="M266" s="41"/>
      <c r="N266" s="41"/>
      <c r="O266" s="41"/>
      <c r="P266" s="41"/>
      <c r="Q266" s="41"/>
      <c r="R266" s="41"/>
      <c r="S266" s="41"/>
      <c r="T266" s="41"/>
      <c r="U266" s="41"/>
      <c r="V266" s="41"/>
      <c r="W266" s="41"/>
      <c r="X266" s="41"/>
      <c r="Y266" s="41"/>
      <c r="Z266" s="41"/>
      <c r="AA266" s="41"/>
      <c r="AB266" s="41"/>
      <c r="AC266" s="41"/>
      <c r="AD266" s="41"/>
      <c r="AE266" s="41"/>
      <c r="AF266" s="41"/>
    </row>
    <row r="267" ht="19.5" customHeight="1">
      <c r="A267" s="41"/>
      <c r="B267" s="41"/>
      <c r="C267" s="41"/>
      <c r="D267" s="41"/>
      <c r="E267" s="41"/>
      <c r="F267" s="41"/>
      <c r="G267" s="41"/>
      <c r="H267" s="187" t="s">
        <v>737</v>
      </c>
      <c r="I267" s="18" t="str">
        <f>IF(ISBLANK(input_cluster_witness_vm_folder),"Value Missing",input_cluster_witness_vm_folder)</f>
        <v>Value Missing</v>
      </c>
      <c r="J267" s="41"/>
      <c r="K267" s="84" t="s">
        <v>1059</v>
      </c>
      <c r="L267" s="41"/>
      <c r="M267" s="41"/>
      <c r="N267" s="41"/>
      <c r="O267" s="41"/>
      <c r="P267" s="41"/>
      <c r="Q267" s="41"/>
      <c r="R267" s="41"/>
      <c r="S267" s="41"/>
      <c r="T267" s="41"/>
      <c r="U267" s="41"/>
      <c r="V267" s="41"/>
      <c r="W267" s="41"/>
      <c r="X267" s="41"/>
      <c r="Y267" s="41"/>
      <c r="Z267" s="41"/>
      <c r="AA267" s="41"/>
      <c r="AB267" s="41"/>
      <c r="AC267" s="41"/>
      <c r="AD267" s="41"/>
      <c r="AE267" s="41"/>
      <c r="AF267" s="41"/>
    </row>
    <row r="268" ht="19.5" customHeight="1">
      <c r="A268" s="41"/>
      <c r="B268" s="41"/>
      <c r="C268" s="41"/>
      <c r="D268" s="41"/>
      <c r="E268" s="41"/>
      <c r="F268" s="41"/>
      <c r="G268" s="41"/>
      <c r="H268" s="187" t="s">
        <v>738</v>
      </c>
      <c r="I268" s="18" t="str">
        <f>IF(ISBLANK(input_cluster_witness_vsan_datastore),"Value Missing",input_cluster_witness_vsan_datastore)</f>
        <v>Value Missing</v>
      </c>
      <c r="J268" s="41"/>
      <c r="K268" s="84" t="s">
        <v>1060</v>
      </c>
      <c r="L268" s="41"/>
      <c r="M268" s="41"/>
      <c r="N268" s="41"/>
      <c r="O268" s="41"/>
      <c r="P268" s="41"/>
      <c r="Q268" s="41"/>
      <c r="R268" s="41"/>
      <c r="S268" s="41"/>
      <c r="T268" s="41"/>
      <c r="U268" s="41"/>
      <c r="V268" s="41"/>
      <c r="W268" s="41"/>
      <c r="X268" s="41"/>
      <c r="Y268" s="41"/>
      <c r="Z268" s="41"/>
      <c r="AA268" s="41"/>
      <c r="AB268" s="41"/>
      <c r="AC268" s="41"/>
      <c r="AD268" s="41"/>
      <c r="AE268" s="41"/>
      <c r="AF268" s="41"/>
    </row>
    <row r="269" ht="19.5" customHeight="1">
      <c r="A269" s="41"/>
      <c r="B269" s="41"/>
      <c r="C269" s="41"/>
      <c r="D269" s="41"/>
      <c r="E269" s="41"/>
      <c r="F269" s="41"/>
      <c r="G269" s="41"/>
      <c r="H269" s="187" t="s">
        <v>739</v>
      </c>
      <c r="I269" s="18" t="str">
        <f>IF(ISBLANK(input_cluster_witness_mgmt_pg),"Value Missing",input_cluster_witness_mgmt_pg)</f>
        <v>Value Missing</v>
      </c>
      <c r="J269" s="41"/>
      <c r="K269" s="84" t="s">
        <v>1152</v>
      </c>
      <c r="L269" s="18" t="str">
        <f>IF(ISBLANK(input_flt_net_admin_password_alias),"Value Missing",input_flt_net_admin_password_alias)</f>
        <v>Value Missing</v>
      </c>
      <c r="M269" s="41"/>
      <c r="N269" s="41"/>
      <c r="O269" s="41"/>
      <c r="P269" s="41"/>
      <c r="Q269" s="41"/>
      <c r="R269" s="41"/>
      <c r="S269" s="41"/>
      <c r="T269" s="41"/>
      <c r="U269" s="41"/>
      <c r="V269" s="41"/>
      <c r="W269" s="41"/>
      <c r="X269" s="41"/>
      <c r="Y269" s="41"/>
      <c r="Z269" s="41"/>
      <c r="AA269" s="41"/>
      <c r="AB269" s="41"/>
      <c r="AC269" s="41"/>
      <c r="AD269" s="41"/>
      <c r="AE269" s="41"/>
      <c r="AF269" s="41"/>
    </row>
    <row r="270" ht="19.5" customHeight="1">
      <c r="A270" s="41"/>
      <c r="B270" s="41"/>
      <c r="C270" s="41"/>
      <c r="D270" s="41"/>
      <c r="E270" s="41"/>
      <c r="F270" s="41"/>
      <c r="G270" s="41"/>
      <c r="H270" s="187" t="s">
        <v>740</v>
      </c>
      <c r="I270" s="18"/>
      <c r="J270" s="41"/>
      <c r="K270" s="84" t="s">
        <v>685</v>
      </c>
      <c r="L270" s="18" t="str">
        <f>IF(ISBLANK(input_flt_net_admin_password),"Value Missing",input_flt_net_admin_password)</f>
        <v>Value Missing</v>
      </c>
      <c r="M270" s="41"/>
      <c r="N270" s="41"/>
      <c r="O270" s="41"/>
      <c r="P270" s="41"/>
      <c r="Q270" s="41"/>
      <c r="R270" s="41"/>
      <c r="S270" s="41"/>
      <c r="T270" s="41"/>
      <c r="U270" s="41"/>
      <c r="V270" s="41"/>
      <c r="W270" s="41"/>
      <c r="X270" s="41"/>
      <c r="Y270" s="41"/>
      <c r="Z270" s="41"/>
      <c r="AA270" s="41"/>
      <c r="AB270" s="41"/>
      <c r="AC270" s="41"/>
      <c r="AD270" s="41"/>
      <c r="AE270" s="41"/>
      <c r="AF270" s="41"/>
    </row>
    <row r="271" ht="19.5" customHeight="1">
      <c r="A271" s="41"/>
      <c r="B271" s="41"/>
      <c r="C271" s="41"/>
      <c r="D271" s="41"/>
      <c r="E271" s="41"/>
      <c r="F271" s="41"/>
      <c r="G271" s="41"/>
      <c r="H271" s="187" t="s">
        <v>741</v>
      </c>
      <c r="I271" s="18"/>
      <c r="J271" s="41"/>
      <c r="K271" s="84" t="s">
        <v>1153</v>
      </c>
      <c r="L271" s="18" t="str">
        <f>IF(ISBLANK(input_flt_net_admin_password_description),"Value Missing",input_flt_net_admin_password_description)</f>
        <v>Value Missing</v>
      </c>
      <c r="M271" s="41"/>
      <c r="N271" s="41"/>
      <c r="O271" s="41"/>
      <c r="P271" s="41"/>
      <c r="Q271" s="41"/>
      <c r="R271" s="41"/>
      <c r="S271" s="41"/>
      <c r="T271" s="41"/>
      <c r="U271" s="41"/>
      <c r="V271" s="41"/>
      <c r="W271" s="41"/>
      <c r="X271" s="41"/>
      <c r="Y271" s="41"/>
      <c r="Z271" s="41"/>
      <c r="AA271" s="41"/>
      <c r="AB271" s="41"/>
      <c r="AC271" s="41"/>
      <c r="AD271" s="41"/>
      <c r="AE271" s="41"/>
      <c r="AF271" s="41"/>
    </row>
    <row r="272" ht="19.5" customHeight="1">
      <c r="A272" s="41"/>
      <c r="B272" s="41"/>
      <c r="C272" s="41"/>
      <c r="D272" s="41"/>
      <c r="E272" s="41"/>
      <c r="F272" s="41"/>
      <c r="G272" s="41"/>
      <c r="H272" s="187" t="s">
        <v>743</v>
      </c>
      <c r="I272" s="18" t="str">
        <f>IF(cluster_witnessaz_mgmt_cidr="Value Missing","Value Missing",VLOOKUP(INT(RIGHT(cluster_witnessaz_mgmt_cidr,LEN(cluster_witnessaz_mgmt_cidr)-FIND("/",cluster_witnessaz_mgmt_cidr))),table_cidr_to_mask,2,FALSE))</f>
        <v>Value Missing</v>
      </c>
      <c r="J272" s="41"/>
      <c r="K272" s="84" t="s">
        <v>1155</v>
      </c>
      <c r="L272" s="18" t="str">
        <f>IF(ISBLANK(input_flt_net_admin_username),"Value Missing",input_flt_net_admin_username)</f>
        <v>Value Missing</v>
      </c>
      <c r="M272" s="41"/>
      <c r="N272" s="41"/>
      <c r="O272" s="41"/>
      <c r="P272" s="41"/>
      <c r="Q272" s="41"/>
      <c r="R272" s="41"/>
      <c r="S272" s="41"/>
      <c r="T272" s="41"/>
      <c r="U272" s="41"/>
      <c r="V272" s="41"/>
      <c r="W272" s="41"/>
      <c r="X272" s="41"/>
      <c r="Y272" s="41"/>
      <c r="Z272" s="41"/>
      <c r="AA272" s="41"/>
      <c r="AB272" s="41"/>
      <c r="AC272" s="41"/>
      <c r="AD272" s="41"/>
      <c r="AE272" s="41"/>
      <c r="AF272" s="41"/>
    </row>
    <row r="273" ht="19.5" customHeight="1">
      <c r="A273" s="41"/>
      <c r="B273" s="41"/>
      <c r="C273" s="41"/>
      <c r="D273" s="41"/>
      <c r="E273" s="41"/>
      <c r="F273" s="41"/>
      <c r="G273" s="41"/>
      <c r="H273" s="187" t="s">
        <v>745</v>
      </c>
      <c r="I273" s="18" t="str">
        <f>IF(ISBLANK(input_cluster_witness_ip),"Value Missing",input_cluster_witness_ip)</f>
        <v>Value Missing</v>
      </c>
      <c r="J273" s="41"/>
      <c r="K273" s="84" t="s">
        <v>757</v>
      </c>
      <c r="L273" s="41"/>
      <c r="M273" s="41"/>
      <c r="N273" s="41"/>
      <c r="O273" s="41"/>
      <c r="P273" s="41"/>
      <c r="Q273" s="41"/>
      <c r="R273" s="41"/>
      <c r="S273" s="41"/>
      <c r="T273" s="41"/>
      <c r="U273" s="41"/>
      <c r="V273" s="41"/>
      <c r="W273" s="41"/>
      <c r="X273" s="41"/>
      <c r="Y273" s="41"/>
      <c r="Z273" s="41"/>
      <c r="AA273" s="41"/>
      <c r="AB273" s="41"/>
      <c r="AC273" s="41"/>
      <c r="AD273" s="41"/>
      <c r="AE273" s="41"/>
      <c r="AF273" s="41"/>
    </row>
    <row r="274" ht="19.5" customHeight="1">
      <c r="A274" s="41"/>
      <c r="B274" s="41"/>
      <c r="C274" s="41"/>
      <c r="D274" s="41"/>
      <c r="E274" s="41"/>
      <c r="F274" s="41"/>
      <c r="G274" s="41"/>
      <c r="H274" s="187"/>
      <c r="I274" s="18"/>
      <c r="J274" s="41"/>
      <c r="K274" s="84" t="s">
        <v>1190</v>
      </c>
      <c r="L274" s="18" t="str">
        <f t="array" ref="L274">IF(ISBLANK(input_flt_net_platform_password),"Value Missing",input_flt_net_platform_password)</f>
        <v>Value Missing</v>
      </c>
      <c r="M274" s="41"/>
      <c r="N274" s="41"/>
      <c r="O274" s="41"/>
      <c r="P274" s="41"/>
      <c r="Q274" s="41"/>
      <c r="R274" s="41"/>
      <c r="S274" s="41"/>
      <c r="T274" s="41"/>
      <c r="U274" s="41"/>
      <c r="V274" s="41"/>
      <c r="W274" s="41"/>
      <c r="X274" s="41"/>
      <c r="Y274" s="41"/>
      <c r="Z274" s="41"/>
      <c r="AA274" s="41"/>
      <c r="AB274" s="41"/>
      <c r="AC274" s="41"/>
      <c r="AD274" s="41"/>
      <c r="AE274" s="41"/>
      <c r="AF274" s="41"/>
    </row>
    <row r="275" ht="19.5" customHeight="1">
      <c r="A275" s="41"/>
      <c r="B275" s="41"/>
      <c r="C275" s="41"/>
      <c r="D275" s="41"/>
      <c r="E275" s="41"/>
      <c r="F275" s="41"/>
      <c r="G275" s="41"/>
      <c r="H275" s="187" t="s">
        <v>746</v>
      </c>
      <c r="I275" s="18" t="str">
        <f>IF(ISBLANK(input_cluster_witness_dns1_ip),"Value Missing",input_cluster_witness_dns1_ip)</f>
        <v>Value Missing</v>
      </c>
      <c r="J275" s="41"/>
      <c r="K275" s="84" t="s">
        <v>1191</v>
      </c>
      <c r="L275" s="18" t="str">
        <f>IF(ISBLANK(input_flt_net_support_password),"Value Missing",input_flt_net_support_password)</f>
        <v>Value Missing</v>
      </c>
      <c r="M275" s="41"/>
      <c r="N275" s="41"/>
      <c r="O275" s="41"/>
      <c r="P275" s="41"/>
      <c r="Q275" s="41"/>
      <c r="R275" s="41"/>
      <c r="S275" s="41"/>
      <c r="T275" s="41"/>
      <c r="U275" s="41"/>
      <c r="V275" s="41"/>
      <c r="W275" s="41"/>
      <c r="X275" s="41"/>
      <c r="Y275" s="41"/>
      <c r="Z275" s="41"/>
      <c r="AA275" s="41"/>
      <c r="AB275" s="41"/>
      <c r="AC275" s="41"/>
      <c r="AD275" s="41"/>
      <c r="AE275" s="41"/>
      <c r="AF275" s="41"/>
    </row>
    <row r="276" ht="19.5" customHeight="1">
      <c r="A276" s="41"/>
      <c r="B276" s="41"/>
      <c r="C276" s="41"/>
      <c r="D276" s="41"/>
      <c r="E276" s="41"/>
      <c r="F276" s="41"/>
      <c r="G276" s="41"/>
      <c r="H276" s="187" t="s">
        <v>748</v>
      </c>
      <c r="I276" s="18" t="str">
        <f t="array" ref="I276">IF(ISBLANK(input_cluster_witness_dns2_ip),"Value Missing",input_cluster_witness_dns2_ip)</f>
        <v>Value Missing</v>
      </c>
      <c r="J276" s="41"/>
      <c r="K276" s="84" t="s">
        <v>1192</v>
      </c>
      <c r="L276" s="18" t="str">
        <f>IF(ISBLANK(input_flt_net_console_password),"Value Missing",input_flt_net_console_password)</f>
        <v>Value Missing</v>
      </c>
      <c r="M276" s="41"/>
      <c r="N276" s="41"/>
      <c r="O276" s="41"/>
      <c r="P276" s="41"/>
      <c r="Q276" s="41"/>
      <c r="R276" s="41"/>
      <c r="S276" s="41"/>
      <c r="T276" s="41"/>
      <c r="U276" s="41"/>
      <c r="V276" s="41"/>
      <c r="W276" s="41"/>
      <c r="X276" s="41"/>
      <c r="Y276" s="41"/>
      <c r="Z276" s="41"/>
      <c r="AA276" s="41"/>
      <c r="AB276" s="41"/>
      <c r="AC276" s="41"/>
      <c r="AD276" s="41"/>
      <c r="AE276" s="41"/>
      <c r="AF276" s="41"/>
    </row>
    <row r="277" ht="19.5" customHeight="1">
      <c r="A277" s="41"/>
      <c r="B277" s="41"/>
      <c r="C277" s="41"/>
      <c r="D277" s="41"/>
      <c r="E277" s="41"/>
      <c r="F277" s="41"/>
      <c r="G277" s="41"/>
      <c r="H277" s="187" t="s">
        <v>750</v>
      </c>
      <c r="I277" s="18" t="str">
        <f>IF(ISBLANK(input_cluster_witness_ntp1_server),"Value Missing",input_cluster_witness_ntp1_server)</f>
        <v>Value Missing</v>
      </c>
      <c r="J277" s="41"/>
      <c r="K277" s="84" t="s">
        <v>1072</v>
      </c>
      <c r="L277" s="18" t="str">
        <f>IF(ISBLANK(input_flt_net_vcenter_list),"Value Missing",input_flt_net_vcenter_list)</f>
        <v>Value Missing</v>
      </c>
      <c r="M277" s="41"/>
      <c r="N277" s="41"/>
      <c r="O277" s="41"/>
      <c r="P277" s="41"/>
      <c r="Q277" s="41"/>
      <c r="R277" s="41"/>
      <c r="S277" s="41"/>
      <c r="T277" s="41"/>
      <c r="U277" s="41"/>
      <c r="V277" s="41"/>
      <c r="W277" s="41"/>
      <c r="X277" s="41"/>
      <c r="Y277" s="41"/>
      <c r="Z277" s="41"/>
      <c r="AA277" s="41"/>
      <c r="AB277" s="41"/>
      <c r="AC277" s="41"/>
      <c r="AD277" s="41"/>
      <c r="AE277" s="41"/>
      <c r="AF277" s="41"/>
    </row>
    <row r="278" ht="19.5" customHeight="1">
      <c r="A278" s="41"/>
      <c r="B278" s="41"/>
      <c r="C278" s="41"/>
      <c r="D278" s="41"/>
      <c r="E278" s="41"/>
      <c r="F278" s="41"/>
      <c r="G278" s="41"/>
      <c r="H278" s="187" t="s">
        <v>751</v>
      </c>
      <c r="I278" s="18" t="str">
        <f>IF(ISBLANK(input_cluster_witness_ntp2_server),"Value Missing",input_cluster_witness_ntp2_server)</f>
        <v>Value Missing</v>
      </c>
      <c r="J278" s="41"/>
      <c r="K278" s="84" t="s">
        <v>2838</v>
      </c>
      <c r="L278" s="18" t="str">
        <f>IF(ISBLANK(input_flt_net_prxy_portgroup),"Value Missing",input_flt_net_prxy_portgroup)</f>
        <v>Value Missing</v>
      </c>
      <c r="M278" s="41"/>
      <c r="N278" s="41"/>
      <c r="O278" s="41"/>
      <c r="P278" s="41"/>
      <c r="Q278" s="41"/>
      <c r="R278" s="41"/>
      <c r="S278" s="41"/>
      <c r="T278" s="41"/>
      <c r="U278" s="41"/>
      <c r="V278" s="41"/>
      <c r="W278" s="41"/>
      <c r="X278" s="41"/>
      <c r="Y278" s="41"/>
      <c r="Z278" s="41"/>
      <c r="AA278" s="41"/>
      <c r="AB278" s="41"/>
      <c r="AC278" s="41"/>
      <c r="AD278" s="41"/>
      <c r="AE278" s="41"/>
      <c r="AF278" s="41"/>
    </row>
    <row r="279" ht="19.5" customHeight="1">
      <c r="A279" s="41"/>
      <c r="B279" s="41"/>
      <c r="C279" s="41"/>
      <c r="D279" s="41"/>
      <c r="E279" s="41"/>
      <c r="F279" s="41"/>
      <c r="G279" s="41"/>
      <c r="H279" s="187" t="s">
        <v>732</v>
      </c>
      <c r="I279" s="18" t="str">
        <f>IF(ISBLANK(input_cluster_vc_fqdn),"Value Missing",input_cluster_vc_fqdn)</f>
        <v>Value Missing</v>
      </c>
      <c r="J279" s="41"/>
      <c r="K279" s="84" t="s">
        <v>2583</v>
      </c>
      <c r="L279" s="18" t="str">
        <f>IF(ISBLANK(input_flt_net_prxy_mask),"Value Missing",input_flt_net_prxy_mask)</f>
        <v>Value Missing</v>
      </c>
      <c r="M279" s="41"/>
      <c r="N279" s="41"/>
      <c r="O279" s="41"/>
      <c r="P279" s="41"/>
      <c r="Q279" s="41"/>
      <c r="R279" s="41"/>
      <c r="S279" s="41"/>
      <c r="T279" s="41"/>
      <c r="U279" s="41"/>
      <c r="V279" s="41"/>
      <c r="W279" s="41"/>
      <c r="X279" s="41"/>
      <c r="Y279" s="41"/>
      <c r="Z279" s="41"/>
      <c r="AA279" s="41"/>
      <c r="AB279" s="41"/>
      <c r="AC279" s="41"/>
      <c r="AD279" s="41"/>
      <c r="AE279" s="41"/>
      <c r="AF279" s="41"/>
    </row>
    <row r="280" ht="19.5" customHeight="1">
      <c r="A280" s="41"/>
      <c r="B280" s="41"/>
      <c r="C280" s="41"/>
      <c r="D280" s="41"/>
      <c r="E280" s="41"/>
      <c r="F280" s="41"/>
      <c r="G280" s="41"/>
      <c r="H280" s="187" t="s">
        <v>753</v>
      </c>
      <c r="I280" s="18" t="str">
        <f>IF(ISBLANK(input_cluster_datacenter),"Value Missing",input_cluster_datacenter)</f>
        <v>Value Missing</v>
      </c>
      <c r="J280" s="41"/>
      <c r="K280" s="84" t="s">
        <v>999</v>
      </c>
      <c r="L280" s="18" t="str">
        <f>IF(ISBLANK(input_flt_net_prxy_gateway_ip),"Value Missing",input_flt_net_prxy_gateway_ip)</f>
        <v>Value Missing</v>
      </c>
      <c r="M280" s="41"/>
      <c r="N280" s="41"/>
      <c r="O280" s="41"/>
      <c r="P280" s="41"/>
      <c r="Q280" s="41"/>
      <c r="R280" s="41"/>
      <c r="S280" s="41"/>
      <c r="T280" s="41"/>
      <c r="U280" s="41"/>
      <c r="V280" s="41"/>
      <c r="W280" s="41"/>
      <c r="X280" s="41"/>
      <c r="Y280" s="41"/>
      <c r="Z280" s="41"/>
      <c r="AA280" s="41"/>
      <c r="AB280" s="41"/>
      <c r="AC280" s="41"/>
      <c r="AD280" s="41"/>
      <c r="AE280" s="41"/>
      <c r="AF280" s="41"/>
    </row>
    <row r="281" ht="19.5" customHeight="1">
      <c r="A281" s="41"/>
      <c r="B281" s="41"/>
      <c r="C281" s="41"/>
      <c r="D281" s="41"/>
      <c r="E281" s="41"/>
      <c r="F281" s="41"/>
      <c r="G281" s="41"/>
      <c r="H281" s="187" t="s">
        <v>537</v>
      </c>
      <c r="I281" s="18" t="str">
        <f>IF(ISBLANK(input_cluster_witness_fqdn),"Value Missing",input_cluster_witness_fqdn)</f>
        <v>Value Missing</v>
      </c>
      <c r="J281" s="41"/>
      <c r="K281" s="84" t="s">
        <v>2839</v>
      </c>
      <c r="L281" s="18" t="str">
        <f>IF(ISBLANK(flt_net_nodea_size_chosen),"Value Missing",flt_net_nodea_size_chosen)</f>
        <v>Large</v>
      </c>
      <c r="M281" s="41"/>
      <c r="N281" s="41"/>
      <c r="O281" s="41"/>
      <c r="P281" s="41"/>
      <c r="Q281" s="41"/>
      <c r="R281" s="41"/>
      <c r="S281" s="41"/>
      <c r="T281" s="41"/>
      <c r="U281" s="41"/>
      <c r="V281" s="41"/>
      <c r="W281" s="41"/>
      <c r="X281" s="41"/>
      <c r="Y281" s="41"/>
      <c r="Z281" s="41"/>
      <c r="AA281" s="41"/>
      <c r="AB281" s="41"/>
      <c r="AC281" s="41"/>
      <c r="AD281" s="41"/>
      <c r="AE281" s="41"/>
      <c r="AF281" s="41"/>
    </row>
    <row r="282" ht="19.5" customHeight="1">
      <c r="A282" s="41"/>
      <c r="B282" s="41"/>
      <c r="C282" s="41"/>
      <c r="D282" s="41"/>
      <c r="E282" s="41"/>
      <c r="F282" s="41"/>
      <c r="G282" s="41"/>
      <c r="H282" s="187" t="s">
        <v>795</v>
      </c>
      <c r="I282" s="18" t="str">
        <f>IF(ISBLANK(input_cluster_az2_host_overlay_network_profile_name),"Value Missing",input_cluster_az2_host_overlay_network_profile_name)</f>
        <v>Value Missing</v>
      </c>
      <c r="J282" s="41"/>
      <c r="K282" s="84" t="s">
        <v>2840</v>
      </c>
      <c r="L282" s="18" t="str">
        <f>IF(ISBLANK(flt_net_nodeb_size_chosen),"Value Missing",flt_net_nodeb_size_chosen)</f>
        <v>Large</v>
      </c>
      <c r="M282" s="41"/>
      <c r="N282" s="41"/>
      <c r="O282" s="41"/>
      <c r="P282" s="41"/>
      <c r="Q282" s="41"/>
      <c r="R282" s="41"/>
      <c r="S282" s="41"/>
      <c r="T282" s="41"/>
      <c r="U282" s="41"/>
      <c r="V282" s="41"/>
      <c r="W282" s="41"/>
      <c r="X282" s="41"/>
      <c r="Y282" s="41"/>
      <c r="Z282" s="41"/>
      <c r="AA282" s="41"/>
      <c r="AB282" s="41"/>
      <c r="AC282" s="41"/>
      <c r="AD282" s="41"/>
      <c r="AE282" s="41"/>
      <c r="AF282" s="41"/>
    </row>
    <row r="283" ht="19.5" customHeight="1">
      <c r="A283" s="41"/>
      <c r="B283" s="41"/>
      <c r="C283" s="41"/>
      <c r="D283" s="41"/>
      <c r="E283" s="41"/>
      <c r="F283" s="41"/>
      <c r="G283" s="41"/>
      <c r="H283" s="187" t="s">
        <v>798</v>
      </c>
      <c r="I283" s="18" t="str">
        <f>IF(ISBLANK(input_cluster_az2_host_overlay_network_pool_name),"Value Missing",input_cluster_az2_host_overlay_network_pool_name)</f>
        <v>Value Missing</v>
      </c>
      <c r="J283" s="41"/>
      <c r="K283" s="84" t="s">
        <v>2841</v>
      </c>
      <c r="L283" s="18" t="str">
        <f>IF(ISBLANK(flt_net_nodec_size_chosen),"Value Missing",flt_net_nodec_size_chosen)</f>
        <v>Large</v>
      </c>
      <c r="M283" s="41"/>
      <c r="N283" s="41"/>
      <c r="O283" s="41"/>
      <c r="P283" s="41"/>
      <c r="Q283" s="41"/>
      <c r="R283" s="41"/>
      <c r="S283" s="41"/>
      <c r="T283" s="41"/>
      <c r="U283" s="41"/>
      <c r="V283" s="41"/>
      <c r="W283" s="41"/>
      <c r="X283" s="41"/>
      <c r="Y283" s="41"/>
      <c r="Z283" s="41"/>
      <c r="AA283" s="41"/>
      <c r="AB283" s="41"/>
      <c r="AC283" s="41"/>
      <c r="AD283" s="41"/>
      <c r="AE283" s="41"/>
      <c r="AF283" s="41"/>
    </row>
    <row r="284" ht="19.5" customHeight="1">
      <c r="A284" s="41"/>
      <c r="B284" s="41"/>
      <c r="C284" s="41"/>
      <c r="D284" s="41"/>
      <c r="E284" s="41"/>
      <c r="F284" s="41"/>
      <c r="G284" s="41"/>
      <c r="H284" s="187" t="s">
        <v>799</v>
      </c>
      <c r="I284" s="18" t="str">
        <f>IF(ISBLANK(input_cluster_az2_host_overlay_uplink_profile_name),"Value Missing",input_cluster_az2_host_overlay_uplink_profile_name)</f>
        <v>Value Missing</v>
      </c>
      <c r="J284" s="41"/>
      <c r="K284" s="84" t="s">
        <v>2842</v>
      </c>
      <c r="L284" s="18" t="str">
        <f>IF(ISBLANK(flt_net_prxy_size_chosen),"Value Missing",flt_net_prxy_size_chosen)</f>
        <v>Medium</v>
      </c>
      <c r="M284" s="41"/>
      <c r="N284" s="41"/>
      <c r="O284" s="41"/>
      <c r="P284" s="41"/>
      <c r="Q284" s="41"/>
      <c r="R284" s="41"/>
      <c r="S284" s="41"/>
      <c r="T284" s="41"/>
      <c r="U284" s="41"/>
      <c r="V284" s="41"/>
      <c r="W284" s="41"/>
      <c r="X284" s="41"/>
      <c r="Y284" s="41"/>
      <c r="Z284" s="41"/>
      <c r="AA284" s="41"/>
      <c r="AB284" s="41"/>
      <c r="AC284" s="41"/>
      <c r="AD284" s="41"/>
      <c r="AE284" s="41"/>
      <c r="AF284" s="41"/>
    </row>
    <row r="285" ht="19.5" customHeight="1">
      <c r="A285" s="41"/>
      <c r="B285" s="41"/>
      <c r="C285" s="41"/>
      <c r="D285" s="41"/>
      <c r="E285" s="41"/>
      <c r="F285" s="41"/>
      <c r="G285" s="41"/>
      <c r="H285" s="187" t="s">
        <v>2843</v>
      </c>
      <c r="I285" s="18" t="str">
        <f>IF(ISBLANK(input_cluster_az2_host_overlay_vlan),"Value Missing",input_cluster_az2_host_overlay_vlan)</f>
        <v>Value Missing</v>
      </c>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row>
    <row r="286" ht="19.5" customHeight="1">
      <c r="A286" s="41"/>
      <c r="B286" s="41"/>
      <c r="C286" s="41"/>
      <c r="D286" s="41"/>
      <c r="E286" s="41"/>
      <c r="F286" s="41"/>
      <c r="G286" s="41"/>
      <c r="H286" s="187" t="s">
        <v>403</v>
      </c>
      <c r="I286" s="18" t="str">
        <f>IF(ISBLANK(input_cluster_az2_host_overlay_cidr),"Value Missing",input_cluster_az2_host_overlay_cidr)</f>
        <v>Value Missing</v>
      </c>
      <c r="J286" s="41"/>
      <c r="K286" s="331" t="s">
        <v>2844</v>
      </c>
      <c r="L286" s="331"/>
      <c r="M286" s="41"/>
      <c r="N286" s="41"/>
      <c r="O286" s="41"/>
      <c r="P286" s="41"/>
      <c r="Q286" s="41"/>
      <c r="R286" s="41"/>
      <c r="S286" s="41"/>
      <c r="T286" s="41"/>
      <c r="U286" s="41"/>
      <c r="V286" s="41"/>
      <c r="W286" s="41"/>
      <c r="X286" s="41"/>
      <c r="Y286" s="41"/>
      <c r="Z286" s="41"/>
      <c r="AA286" s="41"/>
      <c r="AB286" s="41"/>
      <c r="AC286" s="41"/>
      <c r="AD286" s="41"/>
      <c r="AE286" s="41"/>
      <c r="AF286" s="41"/>
    </row>
    <row r="287" ht="19.5" customHeight="1">
      <c r="A287" s="41"/>
      <c r="B287" s="41"/>
      <c r="C287" s="41"/>
      <c r="D287" s="41"/>
      <c r="E287" s="41"/>
      <c r="F287" s="41"/>
      <c r="G287" s="41"/>
      <c r="H287" s="187" t="s">
        <v>719</v>
      </c>
      <c r="I287" s="18" t="str">
        <f>IF(ISBLANK(input_cluster_az2_host_overlay_gateway_ip),"Value Missing",input_cluster_az2_host_overlay_gateway_ip)</f>
        <v>Value Missing</v>
      </c>
      <c r="J287" s="41"/>
      <c r="K287" s="15" t="s">
        <v>256</v>
      </c>
      <c r="L287" s="15" t="s">
        <v>274</v>
      </c>
      <c r="M287" s="41"/>
      <c r="N287" s="41"/>
      <c r="O287" s="41"/>
      <c r="P287" s="41"/>
      <c r="Q287" s="41"/>
      <c r="R287" s="41"/>
      <c r="S287" s="41"/>
      <c r="T287" s="41"/>
      <c r="U287" s="41"/>
      <c r="V287" s="41"/>
      <c r="W287" s="41"/>
      <c r="X287" s="41"/>
      <c r="Y287" s="41"/>
      <c r="Z287" s="41"/>
      <c r="AA287" s="41"/>
      <c r="AB287" s="41"/>
      <c r="AC287" s="41"/>
      <c r="AD287" s="41"/>
      <c r="AE287" s="41"/>
      <c r="AF287" s="41"/>
    </row>
    <row r="288" ht="19.5" customHeight="1">
      <c r="A288" s="41"/>
      <c r="B288" s="41"/>
      <c r="C288" s="41"/>
      <c r="D288" s="41"/>
      <c r="E288" s="41"/>
      <c r="F288" s="41"/>
      <c r="G288" s="41"/>
      <c r="H288" s="187" t="s">
        <v>465</v>
      </c>
      <c r="I288" s="18" t="str">
        <f>IF(ISBLANK(input_cluster_az2_host_overlay_pool_start_ip),"Value Missing",input_cluster_az2_host_overlay_pool_start_ip)</f>
        <v>Value Missing</v>
      </c>
      <c r="J288" s="41"/>
      <c r="K288" s="84" t="s">
        <v>997</v>
      </c>
      <c r="L288" s="18" t="str">
        <f>IF(ISBLANK(input_flt_net_vcenter_list),"Value Missing",input_flt_net_vcenter_list)</f>
        <v>Value Missing</v>
      </c>
      <c r="M288" s="41"/>
      <c r="N288" s="41"/>
      <c r="O288" s="41"/>
      <c r="P288" s="41"/>
      <c r="Q288" s="41"/>
      <c r="R288" s="41"/>
      <c r="S288" s="41"/>
      <c r="T288" s="41"/>
      <c r="U288" s="41"/>
      <c r="V288" s="41"/>
      <c r="W288" s="41"/>
      <c r="X288" s="41"/>
      <c r="Y288" s="41"/>
      <c r="Z288" s="41"/>
      <c r="AA288" s="41"/>
      <c r="AB288" s="41"/>
      <c r="AC288" s="41"/>
      <c r="AD288" s="41"/>
      <c r="AE288" s="41"/>
      <c r="AF288" s="41"/>
    </row>
    <row r="289" ht="19.5" customHeight="1">
      <c r="A289" s="41"/>
      <c r="B289" s="41"/>
      <c r="C289" s="41"/>
      <c r="D289" s="41"/>
      <c r="E289" s="41"/>
      <c r="F289" s="41"/>
      <c r="G289" s="41"/>
      <c r="H289" s="187" t="s">
        <v>466</v>
      </c>
      <c r="I289" s="18" t="str">
        <f>IF(ISBLANK(input_cluster_az2_host_overlay_pool_end_ip),"Value Missing",input_cluster_az2_host_overlay_pool_end_ip)</f>
        <v>Value Missing</v>
      </c>
      <c r="J289" s="41"/>
      <c r="K289" s="84" t="s">
        <v>998</v>
      </c>
      <c r="L289" s="18" t="str">
        <f>IF(ISBLANK(input_flt_net_vcenter_list),"Value Missing",input_flt_net_vcenter_list)</f>
        <v>Value Missing</v>
      </c>
      <c r="M289" s="41"/>
      <c r="N289" s="41"/>
      <c r="O289" s="41"/>
      <c r="P289" s="41"/>
      <c r="Q289" s="41"/>
      <c r="R289" s="41"/>
      <c r="S289" s="41"/>
      <c r="T289" s="41"/>
      <c r="U289" s="41"/>
      <c r="V289" s="41"/>
      <c r="W289" s="41"/>
      <c r="X289" s="41"/>
      <c r="Y289" s="41"/>
      <c r="Z289" s="41"/>
      <c r="AA289" s="41"/>
      <c r="AB289" s="41"/>
      <c r="AC289" s="41"/>
      <c r="AD289" s="41"/>
      <c r="AE289" s="41"/>
      <c r="AF289" s="41"/>
    </row>
    <row r="290" ht="19.5" customHeight="1">
      <c r="A290" s="41"/>
      <c r="B290" s="41"/>
      <c r="C290" s="41"/>
      <c r="D290" s="41"/>
      <c r="E290" s="41"/>
      <c r="F290" s="41"/>
      <c r="G290" s="41"/>
      <c r="H290" s="187" t="s">
        <v>809</v>
      </c>
      <c r="I290" s="18" t="str">
        <f>IF(ISBLANK(input_cluster_cluster_sddc_id),"Value Missing",input_cluster_cluster_sddc_id)</f>
        <v>Value Missing</v>
      </c>
      <c r="J290" s="41"/>
      <c r="K290" s="84" t="s">
        <v>999</v>
      </c>
      <c r="L290" s="18" t="str">
        <f>IF(ISBLANK(input_flt_net_vcenter_list),"Value Missing",input_flt_net_vcenter_list)</f>
        <v>Value Missing</v>
      </c>
      <c r="M290" s="41"/>
      <c r="N290" s="41"/>
      <c r="O290" s="41"/>
      <c r="P290" s="41"/>
      <c r="Q290" s="41"/>
      <c r="R290" s="41"/>
      <c r="S290" s="41"/>
      <c r="T290" s="41"/>
      <c r="U290" s="41"/>
      <c r="V290" s="41"/>
      <c r="W290" s="41"/>
      <c r="X290" s="41"/>
      <c r="Y290" s="41"/>
      <c r="Z290" s="41"/>
      <c r="AA290" s="41"/>
      <c r="AB290" s="41"/>
      <c r="AC290" s="41"/>
      <c r="AD290" s="41"/>
      <c r="AE290" s="41"/>
      <c r="AF290" s="41"/>
    </row>
    <row r="291" ht="19.5" customHeight="1">
      <c r="A291" s="41"/>
      <c r="B291" s="41"/>
      <c r="C291" s="41"/>
      <c r="D291" s="41"/>
      <c r="E291" s="41"/>
      <c r="F291" s="41"/>
      <c r="G291" s="41"/>
      <c r="H291" s="187" t="s">
        <v>814</v>
      </c>
      <c r="I291" s="18" t="str">
        <f>IF(ISBLANK(input_cluster_nsxt_vip_fqdn),"Value Missing",input_cluster_nsxt_vip_fqdn)</f>
        <v>Value Missing</v>
      </c>
      <c r="J291" s="41"/>
      <c r="K291" s="84" t="s">
        <v>1003</v>
      </c>
      <c r="L291" s="18"/>
      <c r="M291" s="41"/>
      <c r="N291" s="41"/>
      <c r="O291" s="41"/>
      <c r="P291" s="41"/>
      <c r="Q291" s="41"/>
      <c r="R291" s="41"/>
      <c r="S291" s="41"/>
      <c r="T291" s="41"/>
      <c r="U291" s="41"/>
      <c r="V291" s="41"/>
      <c r="W291" s="41"/>
      <c r="X291" s="41"/>
      <c r="Y291" s="41"/>
      <c r="Z291" s="41"/>
      <c r="AA291" s="41"/>
      <c r="AB291" s="41"/>
      <c r="AC291" s="41"/>
      <c r="AD291" s="41"/>
      <c r="AE291" s="41"/>
      <c r="AF291" s="41"/>
    </row>
    <row r="292" ht="19.5" customHeight="1">
      <c r="A292" s="41"/>
      <c r="B292" s="41"/>
      <c r="C292" s="41"/>
      <c r="D292" s="41"/>
      <c r="E292" s="41"/>
      <c r="F292" s="41"/>
      <c r="G292" s="41"/>
      <c r="H292" s="187" t="s">
        <v>2845</v>
      </c>
      <c r="I292" s="18" t="str">
        <f>IF(ISBLANK(input_cluster_az2_host1_fqdn),"Value Missing",input_cluster_az2_host1_fqdn)</f>
        <v>Value Missing</v>
      </c>
      <c r="J292" s="41"/>
      <c r="K292" s="84" t="s">
        <v>537</v>
      </c>
      <c r="L292" s="18" t="str">
        <f>IF(ISBLANK(input_flt_custom_network_flt_fqdn),"Value Missing",input_flt_custom_network_flt_fqdn)</f>
        <v>Value Missing</v>
      </c>
      <c r="M292" s="41"/>
      <c r="N292" s="41"/>
      <c r="O292" s="41"/>
      <c r="P292" s="41"/>
      <c r="Q292" s="41"/>
      <c r="R292" s="41"/>
      <c r="S292" s="41"/>
      <c r="T292" s="41"/>
      <c r="U292" s="41"/>
      <c r="V292" s="41"/>
      <c r="W292" s="41"/>
      <c r="X292" s="41"/>
      <c r="Y292" s="41"/>
      <c r="Z292" s="41"/>
      <c r="AA292" s="41"/>
      <c r="AB292" s="41"/>
      <c r="AC292" s="41"/>
      <c r="AD292" s="41"/>
      <c r="AE292" s="41"/>
      <c r="AF292" s="41"/>
    </row>
    <row r="293" ht="19.5" customHeight="1">
      <c r="A293" s="41"/>
      <c r="B293" s="41"/>
      <c r="C293" s="41"/>
      <c r="D293" s="41"/>
      <c r="E293" s="41"/>
      <c r="F293" s="41"/>
      <c r="G293" s="41"/>
      <c r="H293" s="187" t="s">
        <v>2846</v>
      </c>
      <c r="I293" s="18" t="str">
        <f>IF(ISBLANK(input_cluster_az2_host2_fqdn),"Value Missing",input_cluster_az2_host2_fqdn)</f>
        <v>Value Missing</v>
      </c>
      <c r="J293" s="41"/>
      <c r="K293" s="84" t="s">
        <v>1004</v>
      </c>
      <c r="L293" s="18" t="str">
        <f>IF(ISBLANK(input_flt_custom_network_flt_ip),"Value Missing",input_flt_custom_network_flt_ip)</f>
        <v>Value Missing</v>
      </c>
      <c r="M293" s="41"/>
      <c r="N293" s="41"/>
      <c r="O293" s="41"/>
      <c r="P293" s="41"/>
      <c r="Q293" s="41"/>
      <c r="R293" s="41"/>
      <c r="S293" s="41"/>
      <c r="T293" s="41"/>
      <c r="U293" s="41"/>
      <c r="V293" s="41"/>
      <c r="W293" s="41"/>
      <c r="X293" s="41"/>
      <c r="Y293" s="41"/>
      <c r="Z293" s="41"/>
      <c r="AA293" s="41"/>
      <c r="AB293" s="41"/>
      <c r="AC293" s="41"/>
      <c r="AD293" s="41"/>
      <c r="AE293" s="41"/>
      <c r="AF293" s="41"/>
    </row>
    <row r="294" ht="19.5" customHeight="1">
      <c r="A294" s="41"/>
      <c r="B294" s="41"/>
      <c r="C294" s="41"/>
      <c r="D294" s="41"/>
      <c r="E294" s="41"/>
      <c r="F294" s="41"/>
      <c r="G294" s="41"/>
      <c r="H294" s="187" t="s">
        <v>2847</v>
      </c>
      <c r="I294" s="18" t="str">
        <f>IF(ISBLANK(input_cluster_az2_host3_fqdn),"Value Missing",input_cluster_az2_host3_fqdn)</f>
        <v>Value Missing</v>
      </c>
      <c r="J294" s="41"/>
      <c r="K294" s="84" t="s">
        <v>1005</v>
      </c>
      <c r="L294" s="18" t="str">
        <f>IF(ISBLANK(input_flt_custom_network_flt_root_password),"Value Missing",input_flt_custom_network_flt_root_password)</f>
        <v>Value Missing</v>
      </c>
      <c r="M294" s="41"/>
      <c r="N294" s="41"/>
      <c r="O294" s="41"/>
      <c r="P294" s="41"/>
      <c r="Q294" s="41"/>
      <c r="R294" s="41"/>
      <c r="S294" s="41"/>
      <c r="T294" s="41"/>
      <c r="U294" s="41"/>
      <c r="V294" s="41"/>
      <c r="W294" s="41"/>
      <c r="X294" s="41"/>
      <c r="Y294" s="41"/>
      <c r="Z294" s="41"/>
      <c r="AA294" s="41"/>
      <c r="AB294" s="41"/>
      <c r="AC294" s="41"/>
      <c r="AD294" s="41"/>
      <c r="AE294" s="41"/>
      <c r="AF294" s="41"/>
    </row>
    <row r="295" ht="19.5" customHeight="1">
      <c r="A295" s="41"/>
      <c r="B295" s="41"/>
      <c r="C295" s="41"/>
      <c r="D295" s="41"/>
      <c r="E295" s="41"/>
      <c r="F295" s="41"/>
      <c r="G295" s="41"/>
      <c r="H295" s="187" t="s">
        <v>2848</v>
      </c>
      <c r="I295" s="18" t="str">
        <f>IF(ISBLANK(input_cluster_az2_host4_fqdn),"Value Missing",input_cluster_az2_host4_fqdn)</f>
        <v>Value Missing</v>
      </c>
      <c r="J295" s="41"/>
      <c r="K295" s="84" t="s">
        <v>1006</v>
      </c>
      <c r="L295" s="18" t="str">
        <f>IF(ISBLANK(input_flt_custom_network_flt_admin_password),"Value Missing",input_flt_custom_network_flt_admin_password)</f>
        <v>Value Missing</v>
      </c>
      <c r="M295" s="41"/>
      <c r="N295" s="41"/>
      <c r="O295" s="41"/>
      <c r="P295" s="41"/>
      <c r="Q295" s="41"/>
      <c r="R295" s="41"/>
      <c r="S295" s="41"/>
      <c r="T295" s="41"/>
      <c r="U295" s="41"/>
      <c r="V295" s="41"/>
      <c r="W295" s="41"/>
      <c r="X295" s="41"/>
      <c r="Y295" s="41"/>
      <c r="Z295" s="41"/>
      <c r="AA295" s="41"/>
      <c r="AB295" s="41"/>
      <c r="AC295" s="41"/>
      <c r="AD295" s="41"/>
      <c r="AE295" s="41"/>
      <c r="AF295" s="41"/>
    </row>
    <row r="296" ht="19.5" customHeight="1">
      <c r="A296" s="41"/>
      <c r="B296" s="41"/>
      <c r="C296" s="41"/>
      <c r="D296" s="41"/>
      <c r="E296" s="41"/>
      <c r="F296" s="41"/>
      <c r="G296" s="41"/>
      <c r="H296" s="187" t="s">
        <v>2849</v>
      </c>
      <c r="I296" s="18" t="str">
        <f>IF(ISBLANK(input_cluster_az2_host5_fqdn),"Value Missing",input_cluster_az2_host5_fqdn)</f>
        <v>Value Missing</v>
      </c>
      <c r="J296" s="41"/>
      <c r="K296" s="84" t="s">
        <v>1003</v>
      </c>
      <c r="L296" s="18"/>
      <c r="M296" s="41"/>
      <c r="N296" s="41"/>
      <c r="O296" s="41"/>
      <c r="P296" s="41"/>
      <c r="Q296" s="41"/>
      <c r="R296" s="41"/>
      <c r="S296" s="41"/>
      <c r="T296" s="41"/>
      <c r="U296" s="41"/>
      <c r="V296" s="41"/>
      <c r="W296" s="41"/>
      <c r="X296" s="41"/>
      <c r="Y296" s="41"/>
      <c r="Z296" s="41"/>
      <c r="AA296" s="41"/>
      <c r="AB296" s="41"/>
      <c r="AC296" s="41"/>
      <c r="AD296" s="41"/>
      <c r="AE296" s="41"/>
      <c r="AF296" s="41"/>
    </row>
    <row r="297" ht="19.5" customHeight="1">
      <c r="A297" s="41"/>
      <c r="B297" s="41"/>
      <c r="C297" s="41"/>
      <c r="D297" s="41"/>
      <c r="E297" s="41"/>
      <c r="F297" s="41"/>
      <c r="G297" s="41"/>
      <c r="H297" s="187" t="s">
        <v>2850</v>
      </c>
      <c r="I297" s="18" t="str">
        <f>IF(ISBLANK(input_cluster_az2_host6_fqdn),"Value Missing",input_cluster_az2_host6_fqdn)</f>
        <v>Value Missing</v>
      </c>
      <c r="J297" s="41"/>
      <c r="K297" s="84" t="s">
        <v>2851</v>
      </c>
      <c r="L297" s="18" t="str">
        <f>IF(ISBLANK(input_flt_custom_network_ops_vip_fqdn),"Value Missing",input_flt_custom_network_ops_vip_fqdn)</f>
        <v>Value Missing</v>
      </c>
      <c r="M297" s="41"/>
      <c r="N297" s="41"/>
      <c r="O297" s="41"/>
      <c r="P297" s="41"/>
      <c r="Q297" s="41"/>
      <c r="R297" s="41"/>
      <c r="S297" s="41"/>
      <c r="T297" s="41"/>
      <c r="U297" s="41"/>
      <c r="V297" s="41"/>
      <c r="W297" s="41"/>
      <c r="X297" s="41"/>
      <c r="Y297" s="41"/>
      <c r="Z297" s="41"/>
      <c r="AA297" s="41"/>
      <c r="AB297" s="41"/>
      <c r="AC297" s="41"/>
      <c r="AD297" s="41"/>
      <c r="AE297" s="41"/>
      <c r="AF297" s="41"/>
    </row>
    <row r="298" ht="19.5" customHeight="1">
      <c r="A298" s="41"/>
      <c r="B298" s="41"/>
      <c r="C298" s="41"/>
      <c r="D298" s="41"/>
      <c r="E298" s="41"/>
      <c r="F298" s="41"/>
      <c r="G298" s="41"/>
      <c r="H298" s="187" t="s">
        <v>2852</v>
      </c>
      <c r="I298" s="18" t="str">
        <f>IF(ISBLANK(input_cluster_az2_host7_fqdn),"Value Missing",input_cluster_az2_host7_fqdn)</f>
        <v>Value Missing</v>
      </c>
      <c r="J298" s="41"/>
      <c r="K298" s="84" t="s">
        <v>2853</v>
      </c>
      <c r="L298" s="18" t="str">
        <f>IF(ISBLANK(input_flt_custom_network_ops_nodea_fqdn),"Value Missing",input_flt_custom_network_ops_nodea_fqdn)</f>
        <v>Value Missing</v>
      </c>
      <c r="M298" s="41"/>
      <c r="N298" s="41"/>
      <c r="O298" s="41"/>
      <c r="P298" s="41"/>
      <c r="Q298" s="41"/>
      <c r="R298" s="41"/>
      <c r="S298" s="41"/>
      <c r="T298" s="41"/>
      <c r="U298" s="41"/>
      <c r="V298" s="41"/>
      <c r="W298" s="41"/>
      <c r="X298" s="41"/>
      <c r="Y298" s="41"/>
      <c r="Z298" s="41"/>
      <c r="AA298" s="41"/>
      <c r="AB298" s="41"/>
      <c r="AC298" s="41"/>
      <c r="AD298" s="41"/>
      <c r="AE298" s="41"/>
      <c r="AF298" s="41"/>
    </row>
    <row r="299" ht="19.5" customHeight="1">
      <c r="A299" s="41"/>
      <c r="B299" s="41"/>
      <c r="C299" s="41"/>
      <c r="D299" s="41"/>
      <c r="E299" s="41"/>
      <c r="F299" s="41"/>
      <c r="G299" s="41"/>
      <c r="H299" s="187" t="s">
        <v>2854</v>
      </c>
      <c r="I299" s="18" t="str">
        <f>IF(ISBLANK(input_cluster_az2_host8_fqdn),"Value Missing",input_cluster_az2_host8_fqdn)</f>
        <v>Value Missing</v>
      </c>
      <c r="J299" s="41"/>
      <c r="K299" s="84" t="s">
        <v>2855</v>
      </c>
      <c r="L299" s="18" t="str">
        <f>IF(ISBLANK(input_flt_custom_network_ops_nodeb_fqdn),"Value Missing",input_flt_custom_network_ops_nodeb_fqdn)</f>
        <v>Value Missing</v>
      </c>
      <c r="M299" s="41"/>
      <c r="N299" s="41"/>
      <c r="O299" s="41"/>
      <c r="P299" s="41"/>
      <c r="Q299" s="41"/>
      <c r="R299" s="41"/>
      <c r="S299" s="41"/>
      <c r="T299" s="41"/>
      <c r="U299" s="41"/>
      <c r="V299" s="41"/>
      <c r="W299" s="41"/>
      <c r="X299" s="41"/>
      <c r="Y299" s="41"/>
      <c r="Z299" s="41"/>
      <c r="AA299" s="41"/>
      <c r="AB299" s="41"/>
      <c r="AC299" s="41"/>
      <c r="AD299" s="41"/>
      <c r="AE299" s="41"/>
      <c r="AF299" s="41"/>
    </row>
    <row r="300" ht="19.5" customHeight="1">
      <c r="A300" s="41"/>
      <c r="B300" s="41"/>
      <c r="C300" s="41"/>
      <c r="D300" s="41"/>
      <c r="E300" s="41"/>
      <c r="F300" s="41"/>
      <c r="G300" s="41"/>
      <c r="H300" s="187" t="s">
        <v>2856</v>
      </c>
      <c r="I300" s="18" t="str">
        <f>IF(ISBLANK(input_cluster_az2_host9_fqdn),"Value Missing",input_cluster_az2_host9_fqdn)</f>
        <v>Value Missing</v>
      </c>
      <c r="J300" s="41"/>
      <c r="K300" s="84" t="s">
        <v>2857</v>
      </c>
      <c r="L300" s="18" t="str">
        <f>IF(ISBLANK(input_flt_custom_network_ops_nodec_fqdn),"Value Missing",input_flt_custom_network_ops_nodec_fqdn)</f>
        <v>Value Missing</v>
      </c>
      <c r="M300" s="41"/>
      <c r="N300" s="41"/>
      <c r="O300" s="41"/>
      <c r="P300" s="41"/>
      <c r="Q300" s="41"/>
      <c r="R300" s="41"/>
      <c r="S300" s="41"/>
      <c r="T300" s="41"/>
      <c r="U300" s="41"/>
      <c r="V300" s="41"/>
      <c r="W300" s="41"/>
      <c r="X300" s="41"/>
      <c r="Y300" s="41"/>
      <c r="Z300" s="41"/>
      <c r="AA300" s="41"/>
      <c r="AB300" s="41"/>
      <c r="AC300" s="41"/>
      <c r="AD300" s="41"/>
      <c r="AE300" s="41"/>
      <c r="AF300" s="41"/>
    </row>
    <row r="301" ht="19.5" customHeight="1">
      <c r="A301" s="41"/>
      <c r="B301" s="41"/>
      <c r="C301" s="41"/>
      <c r="D301" s="41"/>
      <c r="E301" s="41"/>
      <c r="F301" s="41"/>
      <c r="G301" s="41"/>
      <c r="H301" s="187" t="s">
        <v>2858</v>
      </c>
      <c r="I301" s="18" t="str">
        <f>IF(ISBLANK(input_cluster_az2_host10_fqdn),"Value Missing",input_cluster_az2_host10_fqdn)</f>
        <v>Value Missing</v>
      </c>
      <c r="J301" s="41"/>
      <c r="K301" s="173" t="s">
        <v>2859</v>
      </c>
      <c r="L301" s="18" t="str">
        <f>IF(ISBLANK(input_flt_custom_network_ops_vip_ip),"Value Missing",input_flt_custom_network_ops_vip_ip)</f>
        <v>Value Missing</v>
      </c>
      <c r="M301" s="41"/>
      <c r="N301" s="41"/>
      <c r="O301" s="41"/>
      <c r="P301" s="41"/>
      <c r="Q301" s="41"/>
      <c r="R301" s="41"/>
      <c r="S301" s="41"/>
      <c r="T301" s="41"/>
      <c r="U301" s="41"/>
      <c r="V301" s="41"/>
      <c r="W301" s="41"/>
      <c r="X301" s="41"/>
      <c r="Y301" s="41"/>
      <c r="Z301" s="41"/>
      <c r="AA301" s="41"/>
      <c r="AB301" s="41"/>
      <c r="AC301" s="41"/>
      <c r="AD301" s="41"/>
      <c r="AE301" s="41"/>
      <c r="AF301" s="41"/>
    </row>
    <row r="302" ht="19.5" customHeight="1">
      <c r="A302" s="41"/>
      <c r="B302" s="41"/>
      <c r="C302" s="41"/>
      <c r="D302" s="41"/>
      <c r="E302" s="41"/>
      <c r="F302" s="41"/>
      <c r="G302" s="41"/>
      <c r="H302" s="187" t="s">
        <v>2860</v>
      </c>
      <c r="I302" s="18" t="str">
        <f>IF(ISBLANK(input_cluster_az2_host11_fqdn),"Value Missing",input_cluster_az2_host11_fqdn)</f>
        <v>Value Missing</v>
      </c>
      <c r="J302" s="41"/>
      <c r="K302" s="173" t="s">
        <v>2861</v>
      </c>
      <c r="L302" s="18" t="str">
        <f>IF(ISBLANK(input_flt_custom_network_ops_nodea_ip),"Value Missing",input_flt_custom_network_ops_nodea_ip)</f>
        <v>Value Missing</v>
      </c>
      <c r="M302" s="41"/>
      <c r="N302" s="41"/>
      <c r="O302" s="41"/>
      <c r="P302" s="41"/>
      <c r="Q302" s="41"/>
      <c r="R302" s="41"/>
      <c r="S302" s="41"/>
      <c r="T302" s="41"/>
      <c r="U302" s="41"/>
      <c r="V302" s="41"/>
      <c r="W302" s="41"/>
      <c r="X302" s="41"/>
      <c r="Y302" s="41"/>
      <c r="Z302" s="41"/>
      <c r="AA302" s="41"/>
      <c r="AB302" s="41"/>
      <c r="AC302" s="41"/>
      <c r="AD302" s="41"/>
      <c r="AE302" s="41"/>
      <c r="AF302" s="41"/>
    </row>
    <row r="303" ht="19.5" customHeight="1">
      <c r="A303" s="41"/>
      <c r="B303" s="41"/>
      <c r="C303" s="41"/>
      <c r="D303" s="41"/>
      <c r="E303" s="41"/>
      <c r="F303" s="41"/>
      <c r="G303" s="41"/>
      <c r="H303" s="187" t="s">
        <v>2862</v>
      </c>
      <c r="I303" s="18" t="str">
        <f>IF(ISBLANK(input_cluster_az2_host12_fqdn),"Value Missing",input_cluster_az2_host12_fqdn)</f>
        <v>Value Missing</v>
      </c>
      <c r="J303" s="41"/>
      <c r="K303" s="187" t="s">
        <v>2863</v>
      </c>
      <c r="L303" s="18" t="str">
        <f>IF(ISBLANK(input_flt_custom_network_ops_nodeb_ip),"Value Missing",input_flt_custom_network_ops_nodeb_ip)</f>
        <v>Value Missing</v>
      </c>
      <c r="M303" s="41"/>
      <c r="N303" s="41"/>
      <c r="O303" s="41"/>
      <c r="P303" s="41"/>
      <c r="Q303" s="41"/>
      <c r="R303" s="41"/>
      <c r="S303" s="41"/>
      <c r="T303" s="41"/>
      <c r="U303" s="41"/>
      <c r="V303" s="41"/>
      <c r="W303" s="41"/>
      <c r="X303" s="41"/>
      <c r="Y303" s="41"/>
      <c r="Z303" s="41"/>
      <c r="AA303" s="41"/>
      <c r="AB303" s="41"/>
      <c r="AC303" s="41"/>
      <c r="AD303" s="41"/>
      <c r="AE303" s="41"/>
      <c r="AF303" s="41"/>
    </row>
    <row r="304" ht="19.5" customHeight="1">
      <c r="A304" s="41"/>
      <c r="B304" s="41"/>
      <c r="C304" s="41"/>
      <c r="D304" s="41"/>
      <c r="E304" s="41"/>
      <c r="F304" s="41"/>
      <c r="G304" s="41"/>
      <c r="H304" s="187" t="s">
        <v>2864</v>
      </c>
      <c r="I304" s="18" t="str">
        <f>IF(ISBLANK(input_cluster_az2_host13_fqdn),"Value Missing",input_cluster_az2_host13_fqdn)</f>
        <v>Value Missing</v>
      </c>
      <c r="J304" s="41"/>
      <c r="K304" s="187" t="s">
        <v>2865</v>
      </c>
      <c r="L304" s="18" t="str">
        <f>IF(ISBLANK(input_flt_custom_network_ops_nodec_ip),"Value Missing",input_flt_custom_network_ops_nodec_ip)</f>
        <v>Value Missing</v>
      </c>
      <c r="M304" s="41"/>
      <c r="N304" s="41"/>
      <c r="O304" s="41"/>
      <c r="P304" s="41"/>
      <c r="Q304" s="41"/>
      <c r="R304" s="41"/>
      <c r="S304" s="41"/>
      <c r="T304" s="41"/>
      <c r="U304" s="41"/>
      <c r="V304" s="41"/>
      <c r="W304" s="41"/>
      <c r="X304" s="41"/>
      <c r="Y304" s="41"/>
      <c r="Z304" s="41"/>
      <c r="AA304" s="41"/>
      <c r="AB304" s="41"/>
      <c r="AC304" s="41"/>
      <c r="AD304" s="41"/>
      <c r="AE304" s="41"/>
      <c r="AF304" s="41"/>
    </row>
    <row r="305" ht="19.5" customHeight="1">
      <c r="A305" s="41"/>
      <c r="B305" s="41"/>
      <c r="C305" s="41"/>
      <c r="D305" s="41"/>
      <c r="E305" s="41"/>
      <c r="F305" s="41"/>
      <c r="G305" s="41"/>
      <c r="H305" s="187" t="s">
        <v>2866</v>
      </c>
      <c r="I305" s="18" t="str">
        <f>IF(ISBLANK(input_cluster_az2_host14_fqdn),"Value Missing",input_cluster_az2_host14_fqdn)</f>
        <v>Value Missing</v>
      </c>
      <c r="J305" s="41"/>
      <c r="K305" s="84" t="s">
        <v>1013</v>
      </c>
      <c r="L305" s="18"/>
      <c r="M305" s="41"/>
      <c r="N305" s="41"/>
      <c r="O305" s="41"/>
      <c r="P305" s="41"/>
      <c r="Q305" s="41"/>
      <c r="R305" s="41"/>
      <c r="S305" s="41"/>
      <c r="T305" s="41"/>
      <c r="U305" s="41"/>
      <c r="V305" s="41"/>
      <c r="W305" s="41"/>
      <c r="X305" s="41"/>
      <c r="Y305" s="41"/>
      <c r="Z305" s="41"/>
      <c r="AA305" s="41"/>
      <c r="AB305" s="41"/>
      <c r="AC305" s="41"/>
      <c r="AD305" s="41"/>
      <c r="AE305" s="41"/>
      <c r="AF305" s="41"/>
    </row>
    <row r="306" ht="19.5" customHeight="1">
      <c r="A306" s="41"/>
      <c r="B306" s="41"/>
      <c r="C306" s="41"/>
      <c r="D306" s="41"/>
      <c r="E306" s="41"/>
      <c r="F306" s="41"/>
      <c r="G306" s="41"/>
      <c r="H306" s="187" t="s">
        <v>2867</v>
      </c>
      <c r="I306" s="18" t="str">
        <f>IF(ISBLANK(input_cluster_az2_host15_fqdn),"Value Missing",input_cluster_az2_host15_fqdn)</f>
        <v>Value Missing</v>
      </c>
      <c r="J306" s="41"/>
      <c r="K306" s="84" t="s">
        <v>331</v>
      </c>
      <c r="L306" s="18" t="str">
        <f>IF(ISBLANK(input_flt_custom_network_ops_root_password),"Value Missing",input_flt_custom_network_ops_root_password)</f>
        <v>Value Missing</v>
      </c>
      <c r="M306" s="41"/>
      <c r="N306" s="41"/>
      <c r="O306" s="41"/>
      <c r="P306" s="41"/>
      <c r="Q306" s="41"/>
      <c r="R306" s="41"/>
      <c r="S306" s="41"/>
      <c r="T306" s="41"/>
      <c r="U306" s="41"/>
      <c r="V306" s="41"/>
      <c r="W306" s="41"/>
      <c r="X306" s="41"/>
      <c r="Y306" s="41"/>
      <c r="Z306" s="41"/>
      <c r="AA306" s="41"/>
      <c r="AB306" s="41"/>
      <c r="AC306" s="41"/>
      <c r="AD306" s="41"/>
      <c r="AE306" s="41"/>
      <c r="AF306" s="41"/>
    </row>
    <row r="307" ht="19.5" customHeight="1">
      <c r="A307" s="41"/>
      <c r="B307" s="41"/>
      <c r="C307" s="41"/>
      <c r="D307" s="41"/>
      <c r="E307" s="41"/>
      <c r="F307" s="41"/>
      <c r="G307" s="41"/>
      <c r="H307" s="187" t="s">
        <v>2868</v>
      </c>
      <c r="I307" s="18" t="str">
        <f>IF(ISBLANK(input_cluster_az2_host16_fqdn),"Value Missing",input_cluster_az2_host16_fqdn)</f>
        <v>Value Missing</v>
      </c>
      <c r="J307" s="41"/>
      <c r="K307" s="84" t="s">
        <v>685</v>
      </c>
      <c r="L307" s="18" t="str">
        <f>IF(ISBLANK(input_flt_custom_network_ops_admin_password),"Value Missing",input_flt_custom_network_ops_admin_password)</f>
        <v>Value Missing</v>
      </c>
      <c r="M307" s="41"/>
      <c r="N307" s="41"/>
      <c r="O307" s="41"/>
      <c r="P307" s="41"/>
      <c r="Q307" s="41"/>
      <c r="R307" s="41"/>
      <c r="S307" s="41"/>
      <c r="T307" s="41"/>
      <c r="U307" s="41"/>
      <c r="V307" s="41"/>
      <c r="W307" s="41"/>
      <c r="X307" s="41"/>
      <c r="Y307" s="41"/>
      <c r="Z307" s="41"/>
      <c r="AA307" s="41"/>
      <c r="AB307" s="41"/>
      <c r="AC307" s="41"/>
      <c r="AD307" s="41"/>
      <c r="AE307" s="41"/>
      <c r="AF307" s="41"/>
    </row>
    <row r="308" ht="19.5" customHeight="1">
      <c r="A308" s="41"/>
      <c r="B308" s="41"/>
      <c r="C308" s="41"/>
      <c r="D308" s="41"/>
      <c r="E308" s="41"/>
      <c r="F308" s="41"/>
      <c r="G308" s="41"/>
      <c r="H308" s="187" t="s">
        <v>819</v>
      </c>
      <c r="I308" s="18" t="str">
        <f>IF(ISBLANK(input_cluster_az2_tor1_peer_asn),"Value Missing",input_cluster_az2_tor1_peer_asn)</f>
        <v>Value Missing</v>
      </c>
      <c r="J308" s="41"/>
      <c r="K308" s="84" t="s">
        <v>2869</v>
      </c>
      <c r="L308" s="18" t="str">
        <f>IF(ISBLANK(input_flt_custom_network_ops_collector_fqdn),"Value Missing",input_flt_custom_network_ops_collector_fqdn)</f>
        <v>Value Missing</v>
      </c>
      <c r="M308" s="41"/>
      <c r="N308" s="41"/>
      <c r="O308" s="41"/>
      <c r="P308" s="41"/>
      <c r="Q308" s="41"/>
      <c r="R308" s="41"/>
      <c r="S308" s="41"/>
      <c r="T308" s="41"/>
      <c r="U308" s="41"/>
      <c r="V308" s="41"/>
      <c r="W308" s="41"/>
      <c r="X308" s="41"/>
      <c r="Y308" s="41"/>
      <c r="Z308" s="41"/>
      <c r="AA308" s="41"/>
      <c r="AB308" s="41"/>
      <c r="AC308" s="41"/>
      <c r="AD308" s="41"/>
      <c r="AE308" s="41"/>
      <c r="AF308" s="41"/>
    </row>
    <row r="309" ht="19.5" customHeight="1">
      <c r="A309" s="41"/>
      <c r="B309" s="41"/>
      <c r="C309" s="41"/>
      <c r="D309" s="41"/>
      <c r="E309" s="41"/>
      <c r="F309" s="41"/>
      <c r="G309" s="41"/>
      <c r="H309" s="187" t="s">
        <v>823</v>
      </c>
      <c r="I309" s="18" t="str">
        <f>IF(ISBLANK(input_cluster_az2_tor1_peer_ip),"Value Missing",input_cluster_az2_tor1_peer_ip)</f>
        <v>Value Missing</v>
      </c>
      <c r="J309" s="41"/>
      <c r="K309" s="84" t="s">
        <v>741</v>
      </c>
      <c r="L309" s="18" t="str">
        <f>IF(ISBLANK(input_flt_custom_network_ops_collector_ip),"Value Missing",input_flt_custom_network_ops_collector_ip)</f>
        <v>Value Missing</v>
      </c>
      <c r="M309" s="41"/>
      <c r="N309" s="41"/>
      <c r="O309" s="41"/>
      <c r="P309" s="41"/>
      <c r="Q309" s="41"/>
      <c r="R309" s="41"/>
      <c r="S309" s="41"/>
      <c r="T309" s="41"/>
      <c r="U309" s="41"/>
      <c r="V309" s="41"/>
      <c r="W309" s="41"/>
      <c r="X309" s="41"/>
      <c r="Y309" s="41"/>
      <c r="Z309" s="41"/>
      <c r="AA309" s="41"/>
      <c r="AB309" s="41"/>
      <c r="AC309" s="41"/>
      <c r="AD309" s="41"/>
      <c r="AE309" s="41"/>
      <c r="AF309" s="41"/>
    </row>
    <row r="310" ht="19.5" customHeight="1">
      <c r="A310" s="41"/>
      <c r="B310" s="41"/>
      <c r="C310" s="41"/>
      <c r="D310" s="41"/>
      <c r="E310" s="41"/>
      <c r="F310" s="41"/>
      <c r="G310" s="41"/>
      <c r="H310" s="187" t="s">
        <v>824</v>
      </c>
      <c r="I310" s="18" t="str">
        <f>IF(ISBLANK(input_cluster_az2_tor2_peer_asn),"Value Missing",input_cluster_az2_tor2_peer_asn)</f>
        <v>Value Missing</v>
      </c>
      <c r="J310" s="41"/>
      <c r="K310" s="84" t="s">
        <v>120</v>
      </c>
      <c r="L310" s="18" t="str">
        <f>IF(ISBLANK(input_flt_custom_network_ops_collector_version),"Value Missing",input_flt_custom_network_ops_collector_version)</f>
        <v>Value Missing</v>
      </c>
      <c r="M310" s="41"/>
      <c r="N310" s="41"/>
      <c r="O310" s="41"/>
      <c r="P310" s="41"/>
      <c r="Q310" s="41"/>
      <c r="R310" s="41"/>
      <c r="S310" s="41"/>
      <c r="T310" s="41"/>
      <c r="U310" s="41"/>
      <c r="V310" s="41"/>
      <c r="W310" s="41"/>
      <c r="X310" s="41"/>
      <c r="Y310" s="41"/>
      <c r="Z310" s="41"/>
      <c r="AA310" s="41"/>
      <c r="AB310" s="41"/>
      <c r="AC310" s="41"/>
      <c r="AD310" s="41"/>
      <c r="AE310" s="41"/>
      <c r="AF310" s="41"/>
    </row>
    <row r="311" ht="19.5" customHeight="1">
      <c r="A311" s="41"/>
      <c r="B311" s="41"/>
      <c r="C311" s="41"/>
      <c r="D311" s="41"/>
      <c r="E311" s="41"/>
      <c r="F311" s="41"/>
      <c r="G311" s="41"/>
      <c r="H311" s="41"/>
      <c r="I311" s="18" t="str">
        <f>IF(ISBLANK(input_cluster_az2_tor2_peer_ip),"Value Missing",input_cluster_az2_tor2_peer_ip)</f>
        <v>Value Missing</v>
      </c>
      <c r="J311" s="41"/>
      <c r="K311" s="84" t="s">
        <v>1013</v>
      </c>
      <c r="L311" s="18"/>
      <c r="M311" s="41"/>
      <c r="N311" s="41"/>
      <c r="O311" s="41"/>
      <c r="P311" s="41"/>
      <c r="Q311" s="41"/>
      <c r="R311" s="41"/>
      <c r="S311" s="41"/>
      <c r="T311" s="41"/>
      <c r="U311" s="41"/>
      <c r="V311" s="41"/>
      <c r="W311" s="41"/>
      <c r="X311" s="41"/>
      <c r="Y311" s="41"/>
      <c r="Z311" s="41"/>
      <c r="AA311" s="41"/>
      <c r="AB311" s="41"/>
      <c r="AC311" s="41"/>
      <c r="AD311" s="41"/>
      <c r="AE311" s="41"/>
      <c r="AF311" s="41"/>
    </row>
    <row r="312" ht="19.5" customHeight="1">
      <c r="A312" s="41"/>
      <c r="B312" s="41"/>
      <c r="C312" s="41"/>
      <c r="D312" s="41"/>
      <c r="E312" s="41"/>
      <c r="F312" s="41"/>
      <c r="G312" s="41"/>
      <c r="H312" s="41"/>
      <c r="I312" s="18" t="str">
        <f>IF(ISBLANK(input_cluster_host_overlay_transportzone),"Value Missing",input_cluster_host_overlay_transportzone)</f>
        <v>Value Missing</v>
      </c>
      <c r="J312" s="41"/>
      <c r="K312" s="84" t="s">
        <v>331</v>
      </c>
      <c r="L312" s="18" t="str">
        <f>IF(ISBLANK(input_flt_custom_network_ops_collector_root_password),"Value Missing",input_flt_custom_network_ops_collector_root_password)</f>
        <v>Value Missing</v>
      </c>
      <c r="M312" s="41"/>
      <c r="N312" s="41"/>
      <c r="O312" s="41"/>
      <c r="P312" s="41"/>
      <c r="Q312" s="41"/>
      <c r="R312" s="41"/>
      <c r="S312" s="41"/>
      <c r="T312" s="41"/>
      <c r="U312" s="41"/>
      <c r="V312" s="41"/>
      <c r="W312" s="41"/>
      <c r="X312" s="41"/>
      <c r="Y312" s="41"/>
      <c r="Z312" s="41"/>
      <c r="AA312" s="41"/>
      <c r="AB312" s="41"/>
      <c r="AC312" s="41"/>
      <c r="AD312" s="41"/>
      <c r="AE312" s="41"/>
      <c r="AF312" s="41"/>
    </row>
    <row r="313" ht="19.5" customHeight="1">
      <c r="A313" s="41"/>
      <c r="B313" s="41"/>
      <c r="C313" s="41"/>
      <c r="D313" s="41"/>
      <c r="E313" s="41"/>
      <c r="F313" s="41"/>
      <c r="G313" s="41"/>
      <c r="H313" s="41"/>
      <c r="I313" s="41"/>
      <c r="J313" s="41"/>
      <c r="K313" s="84" t="s">
        <v>2870</v>
      </c>
      <c r="L313" s="18" t="str">
        <f>IF(ISBLANK(input_flt_custom_network_auto_vip_fqdn),"Value Missing",input_flt_custom_network_auto_vip_fqdn)</f>
        <v>Value Missing</v>
      </c>
      <c r="M313" s="41"/>
      <c r="N313" s="41"/>
      <c r="O313" s="41"/>
      <c r="P313" s="41"/>
      <c r="Q313" s="41"/>
      <c r="R313" s="41"/>
      <c r="S313" s="41"/>
      <c r="T313" s="41"/>
      <c r="U313" s="41"/>
      <c r="V313" s="41"/>
      <c r="W313" s="41"/>
      <c r="X313" s="41"/>
      <c r="Y313" s="41"/>
      <c r="Z313" s="41"/>
      <c r="AA313" s="41"/>
      <c r="AB313" s="41"/>
      <c r="AC313" s="41"/>
      <c r="AD313" s="41"/>
      <c r="AE313" s="41"/>
      <c r="AF313" s="41"/>
    </row>
    <row r="314" ht="19.5" customHeight="1">
      <c r="A314" s="41"/>
      <c r="B314" s="41"/>
      <c r="C314" s="41"/>
      <c r="D314" s="41"/>
      <c r="E314" s="41"/>
      <c r="F314" s="41"/>
      <c r="G314" s="41"/>
      <c r="H314" s="41"/>
      <c r="I314" s="41"/>
      <c r="J314" s="41"/>
      <c r="K314" s="84" t="s">
        <v>1017</v>
      </c>
      <c r="L314" s="18" t="str">
        <f>IF(ISBLANK(input_flt_custom_network_auto_prefix),"Value Missing",input_flt_custom_network_auto_prefix)</f>
        <v>Value Missing</v>
      </c>
      <c r="M314" s="41"/>
      <c r="N314" s="41"/>
      <c r="O314" s="41"/>
      <c r="P314" s="41"/>
      <c r="Q314" s="41"/>
      <c r="R314" s="41"/>
      <c r="S314" s="41"/>
      <c r="T314" s="41"/>
      <c r="U314" s="41"/>
      <c r="V314" s="41"/>
      <c r="W314" s="41"/>
      <c r="X314" s="41"/>
      <c r="Y314" s="41"/>
      <c r="Z314" s="41"/>
      <c r="AA314" s="41"/>
      <c r="AB314" s="41"/>
      <c r="AC314" s="41"/>
      <c r="AD314" s="41"/>
      <c r="AE314" s="41"/>
      <c r="AF314" s="41"/>
    </row>
    <row r="315" ht="19.5" customHeight="1">
      <c r="A315" s="41"/>
      <c r="B315" s="41"/>
      <c r="C315" s="41"/>
      <c r="D315" s="41"/>
      <c r="E315" s="41"/>
      <c r="F315" s="41"/>
      <c r="G315" s="41"/>
      <c r="H315" s="41"/>
      <c r="I315" s="41"/>
      <c r="J315" s="41"/>
      <c r="K315" s="84" t="s">
        <v>741</v>
      </c>
      <c r="L315" s="18" t="str">
        <f>IF(ISBLANK(input_flt_custom_network_auto_vip_ip),"Value Missing",input_flt_custom_network_auto_vip_ip)</f>
        <v>Value Missing</v>
      </c>
      <c r="M315" s="41"/>
      <c r="N315" s="41"/>
      <c r="O315" s="41"/>
      <c r="P315" s="41"/>
      <c r="Q315" s="41"/>
      <c r="R315" s="41"/>
      <c r="S315" s="41"/>
      <c r="T315" s="41"/>
      <c r="U315" s="41"/>
      <c r="V315" s="41"/>
      <c r="W315" s="41"/>
      <c r="X315" s="41"/>
      <c r="Y315" s="41"/>
      <c r="Z315" s="41"/>
      <c r="AA315" s="41"/>
      <c r="AB315" s="41"/>
      <c r="AC315" s="41"/>
      <c r="AD315" s="41"/>
      <c r="AE315" s="41"/>
      <c r="AF315" s="41"/>
    </row>
    <row r="316" ht="19.5" customHeight="1">
      <c r="A316" s="41"/>
      <c r="B316" s="41"/>
      <c r="C316" s="41"/>
      <c r="D316" s="41"/>
      <c r="E316" s="41"/>
      <c r="F316" s="41"/>
      <c r="G316" s="41"/>
      <c r="H316" s="41"/>
      <c r="I316" s="41"/>
      <c r="J316" s="41"/>
      <c r="K316" s="84" t="s">
        <v>1019</v>
      </c>
      <c r="L316" s="18" t="str">
        <f>IF(ISBLANK(input_flt_custom_network_auto_nodea_ip),"Value Missing",input_flt_custom_network_auto_nodea_ip)</f>
        <v>Value Missing</v>
      </c>
      <c r="M316" s="41"/>
      <c r="N316" s="41"/>
      <c r="O316" s="41"/>
      <c r="P316" s="41"/>
      <c r="Q316" s="41"/>
      <c r="R316" s="41"/>
      <c r="S316" s="41"/>
      <c r="T316" s="41"/>
      <c r="U316" s="41"/>
      <c r="V316" s="41"/>
      <c r="W316" s="41"/>
      <c r="X316" s="41"/>
      <c r="Y316" s="41"/>
      <c r="Z316" s="41"/>
      <c r="AA316" s="41"/>
      <c r="AB316" s="41"/>
      <c r="AC316" s="41"/>
      <c r="AD316" s="41"/>
      <c r="AE316" s="41"/>
      <c r="AF316" s="41"/>
    </row>
    <row r="317" ht="19.5" customHeight="1">
      <c r="A317" s="41"/>
      <c r="B317" s="41"/>
      <c r="C317" s="41"/>
      <c r="D317" s="41"/>
      <c r="E317" s="41"/>
      <c r="F317" s="41"/>
      <c r="G317" s="41"/>
      <c r="H317" s="41"/>
      <c r="I317" s="41"/>
      <c r="J317" s="41"/>
      <c r="K317" s="84" t="s">
        <v>1021</v>
      </c>
      <c r="L317" s="18" t="str">
        <f>IF(ISBLANK(input_flt_custom_network_auto_nodeb_ip),"Value Missing",input_flt_custom_network_auto_nodeb_ip)</f>
        <v>Value Missing</v>
      </c>
      <c r="M317" s="41"/>
      <c r="N317" s="41"/>
      <c r="O317" s="41"/>
      <c r="P317" s="41"/>
      <c r="Q317" s="41"/>
      <c r="R317" s="41"/>
      <c r="S317" s="41"/>
      <c r="T317" s="41"/>
      <c r="U317" s="41"/>
      <c r="V317" s="41"/>
      <c r="W317" s="41"/>
      <c r="X317" s="41"/>
      <c r="Y317" s="41"/>
      <c r="Z317" s="41"/>
      <c r="AA317" s="41"/>
      <c r="AB317" s="41"/>
      <c r="AC317" s="41"/>
      <c r="AD317" s="41"/>
      <c r="AE317" s="41"/>
      <c r="AF317" s="41"/>
    </row>
    <row r="318" ht="19.5" customHeight="1">
      <c r="A318" s="41"/>
      <c r="B318" s="41"/>
      <c r="C318" s="41"/>
      <c r="D318" s="41"/>
      <c r="E318" s="41"/>
      <c r="F318" s="41"/>
      <c r="G318" s="41"/>
      <c r="H318" s="41"/>
      <c r="I318" s="41"/>
      <c r="J318" s="41"/>
      <c r="K318" s="84" t="s">
        <v>1022</v>
      </c>
      <c r="L318" s="18" t="str">
        <f>IF(ISBLANK(input_flt_custom_network_auto_nodec_ip),"Value Missing",input_flt_custom_network_auto_nodec_ip)</f>
        <v>Value Missing</v>
      </c>
      <c r="M318" s="41"/>
      <c r="N318" s="41"/>
      <c r="O318" s="41"/>
      <c r="P318" s="41"/>
      <c r="Q318" s="41"/>
      <c r="R318" s="41"/>
      <c r="S318" s="41"/>
      <c r="T318" s="41"/>
      <c r="U318" s="41"/>
      <c r="V318" s="41"/>
      <c r="W318" s="41"/>
      <c r="X318" s="41"/>
      <c r="Y318" s="41"/>
      <c r="Z318" s="41"/>
      <c r="AA318" s="41"/>
      <c r="AB318" s="41"/>
      <c r="AC318" s="41"/>
      <c r="AD318" s="41"/>
      <c r="AE318" s="41"/>
      <c r="AF318" s="41"/>
    </row>
    <row r="319" ht="19.5" customHeight="1">
      <c r="A319" s="41"/>
      <c r="B319" s="41"/>
      <c r="C319" s="41"/>
      <c r="D319" s="41"/>
      <c r="E319" s="41"/>
      <c r="F319" s="41"/>
      <c r="G319" s="41"/>
      <c r="H319" s="41"/>
      <c r="I319" s="41"/>
      <c r="J319" s="41"/>
      <c r="K319" s="84" t="s">
        <v>1023</v>
      </c>
      <c r="L319" s="18" t="str">
        <f>IF(ISBLANK(input_flt_custom_network_auto_noded_ip),"Value Missing",input_flt_custom_network_auto_noded_ip)</f>
        <v>Value Missing</v>
      </c>
      <c r="M319" s="41"/>
      <c r="N319" s="41"/>
      <c r="O319" s="41"/>
      <c r="P319" s="41"/>
      <c r="Q319" s="41"/>
      <c r="R319" s="41"/>
      <c r="S319" s="41"/>
      <c r="T319" s="41"/>
      <c r="U319" s="41"/>
      <c r="V319" s="41"/>
      <c r="W319" s="41"/>
      <c r="X319" s="41"/>
      <c r="Y319" s="41"/>
      <c r="Z319" s="41"/>
      <c r="AA319" s="41"/>
      <c r="AB319" s="41"/>
      <c r="AC319" s="41"/>
      <c r="AD319" s="41"/>
      <c r="AE319" s="41"/>
      <c r="AF319" s="41"/>
    </row>
    <row r="320" ht="19.5" customHeight="1">
      <c r="A320" s="41"/>
      <c r="B320" s="41"/>
      <c r="C320" s="41"/>
      <c r="D320" s="41"/>
      <c r="E320" s="41"/>
      <c r="F320" s="41"/>
      <c r="G320" s="41"/>
      <c r="H320" s="41"/>
      <c r="I320" s="41"/>
      <c r="J320" s="41"/>
      <c r="K320" s="84" t="s">
        <v>1024</v>
      </c>
      <c r="L320" s="18" t="str">
        <f>IF(ISBLANK(flt_custom_network_auto_cluster_cidr_chosen),"Value Missing",flt_custom_network_auto_cluster_cidr_chosen)</f>
        <v>198.18.0.0/15</v>
      </c>
      <c r="M320" s="41"/>
      <c r="N320" s="41"/>
      <c r="O320" s="41"/>
      <c r="P320" s="41"/>
      <c r="Q320" s="41"/>
      <c r="R320" s="41"/>
      <c r="S320" s="41"/>
      <c r="T320" s="41"/>
      <c r="U320" s="41"/>
      <c r="V320" s="41"/>
      <c r="W320" s="41"/>
      <c r="X320" s="41"/>
      <c r="Y320" s="41"/>
      <c r="Z320" s="41"/>
      <c r="AA320" s="41"/>
      <c r="AB320" s="41"/>
      <c r="AC320" s="41"/>
      <c r="AD320" s="41"/>
      <c r="AE320" s="41"/>
      <c r="AF320" s="41"/>
    </row>
    <row r="321" ht="19.5" customHeight="1">
      <c r="A321" s="41"/>
      <c r="B321" s="41"/>
      <c r="C321" s="41"/>
      <c r="D321" s="41"/>
      <c r="E321" s="41"/>
      <c r="F321" s="41"/>
      <c r="G321" s="41"/>
      <c r="H321" s="41"/>
      <c r="I321" s="41"/>
      <c r="J321" s="41"/>
      <c r="K321" s="84" t="s">
        <v>1006</v>
      </c>
      <c r="L321" s="18" t="str">
        <f>IF(ISBLANK(input_flt_custom_network_auto_admin_password),"Value Missing",input_flt_custom_network_auto_admin_password)</f>
        <v>Value Missing</v>
      </c>
      <c r="M321" s="41"/>
      <c r="N321" s="41"/>
      <c r="O321" s="41"/>
      <c r="P321" s="41"/>
      <c r="Q321" s="41"/>
      <c r="R321" s="41"/>
      <c r="S321" s="41"/>
      <c r="T321" s="41"/>
      <c r="U321" s="41"/>
      <c r="V321" s="41"/>
      <c r="W321" s="41"/>
      <c r="X321" s="41"/>
      <c r="Y321" s="41"/>
      <c r="Z321" s="41"/>
      <c r="AA321" s="41"/>
      <c r="AB321" s="41"/>
      <c r="AC321" s="41"/>
      <c r="AD321" s="41"/>
      <c r="AE321" s="41"/>
      <c r="AF321" s="41"/>
    </row>
    <row r="322" ht="19.5" customHeight="1">
      <c r="A322" s="41"/>
      <c r="B322" s="41"/>
      <c r="C322" s="41"/>
      <c r="D322" s="41"/>
      <c r="E322" s="41"/>
      <c r="F322" s="41"/>
      <c r="G322" s="41"/>
      <c r="H322" s="41"/>
      <c r="I322" s="41"/>
      <c r="J322" s="41"/>
      <c r="K322" s="84" t="s">
        <v>2871</v>
      </c>
      <c r="L322" s="18" t="str">
        <f>IF(ISBLANK(input_flt_custom_network_x_reg_pg),"Value Missing",input_flt_custom_network_x_reg_pg)</f>
        <v>Value Missing</v>
      </c>
      <c r="M322" s="41"/>
      <c r="N322" s="41"/>
      <c r="O322" s="41"/>
      <c r="P322" s="41"/>
      <c r="Q322" s="41"/>
      <c r="R322" s="41"/>
      <c r="S322" s="41"/>
      <c r="T322" s="41"/>
      <c r="U322" s="41"/>
      <c r="V322" s="41"/>
      <c r="W322" s="41"/>
      <c r="X322" s="41"/>
      <c r="Y322" s="41"/>
      <c r="Z322" s="41"/>
      <c r="AA322" s="41"/>
      <c r="AB322" s="41"/>
      <c r="AC322" s="41"/>
      <c r="AD322" s="41"/>
      <c r="AE322" s="41"/>
      <c r="AF322" s="41"/>
    </row>
    <row r="323" ht="19.5" customHeight="1">
      <c r="A323" s="41"/>
      <c r="B323" s="41"/>
      <c r="C323" s="41"/>
      <c r="D323" s="41"/>
      <c r="E323" s="41"/>
      <c r="F323" s="41"/>
      <c r="G323" s="41"/>
      <c r="H323" s="41"/>
      <c r="I323" s="41"/>
      <c r="J323" s="41"/>
      <c r="K323" s="84" t="s">
        <v>2872</v>
      </c>
      <c r="L323" s="18" t="str">
        <f>IF(ISBLANK(input_flt_custom_network_x_reg_mask),"Value Missing",input_flt_custom_network_x_reg_mask)</f>
        <v>Value Missing</v>
      </c>
      <c r="M323" s="41"/>
      <c r="N323" s="41"/>
      <c r="O323" s="41"/>
      <c r="P323" s="41"/>
      <c r="Q323" s="41"/>
      <c r="R323" s="41"/>
      <c r="S323" s="41"/>
      <c r="T323" s="41"/>
      <c r="U323" s="41"/>
      <c r="V323" s="41"/>
      <c r="W323" s="41"/>
      <c r="X323" s="41"/>
      <c r="Y323" s="41"/>
      <c r="Z323" s="41"/>
      <c r="AA323" s="41"/>
      <c r="AB323" s="41"/>
      <c r="AC323" s="41"/>
      <c r="AD323" s="41"/>
      <c r="AE323" s="41"/>
      <c r="AF323" s="41"/>
    </row>
    <row r="324" ht="19.5" customHeight="1">
      <c r="A324" s="41"/>
      <c r="B324" s="41"/>
      <c r="C324" s="41"/>
      <c r="D324" s="41"/>
      <c r="E324" s="41"/>
      <c r="F324" s="41"/>
      <c r="G324" s="41"/>
      <c r="H324" s="41"/>
      <c r="I324" s="41"/>
      <c r="J324" s="41"/>
      <c r="K324" s="84" t="s">
        <v>2873</v>
      </c>
      <c r="L324" s="18" t="str">
        <f>IF(ISBLANK(input_flt_custom_network_x_reg_gateway_ip),"Value Missing",input_flt_custom_network_x_reg_gateway_ip)</f>
        <v>Value Missing</v>
      </c>
      <c r="M324" s="41"/>
      <c r="N324" s="41"/>
      <c r="O324" s="41"/>
      <c r="P324" s="41"/>
      <c r="Q324" s="41"/>
      <c r="R324" s="41"/>
      <c r="S324" s="41"/>
      <c r="T324" s="41"/>
      <c r="U324" s="41"/>
      <c r="V324" s="41"/>
      <c r="W324" s="41"/>
      <c r="X324" s="41"/>
      <c r="Y324" s="41"/>
      <c r="Z324" s="41"/>
      <c r="AA324" s="41"/>
      <c r="AB324" s="41"/>
      <c r="AC324" s="41"/>
      <c r="AD324" s="41"/>
      <c r="AE324" s="41"/>
      <c r="AF324" s="41"/>
    </row>
    <row r="325" ht="19.5" customHeight="1">
      <c r="A325" s="41"/>
      <c r="B325" s="41"/>
      <c r="C325" s="41"/>
      <c r="D325" s="41"/>
      <c r="E325" s="41"/>
      <c r="F325" s="41"/>
      <c r="G325" s="41"/>
      <c r="H325" s="41"/>
      <c r="I325" s="41"/>
      <c r="J325" s="41"/>
      <c r="K325" s="84" t="s">
        <v>2874</v>
      </c>
      <c r="L325" s="18" t="str">
        <f>IF(ISBLANK(input_flt_custom_network_local_reg_pg),"Value Missing",input_flt_custom_network_local_reg_pg)</f>
        <v>Value Missing</v>
      </c>
      <c r="M325" s="41"/>
      <c r="N325" s="41"/>
      <c r="O325" s="41"/>
      <c r="P325" s="41"/>
      <c r="Q325" s="41"/>
      <c r="R325" s="41"/>
      <c r="S325" s="41"/>
      <c r="T325" s="41"/>
      <c r="U325" s="41"/>
      <c r="V325" s="41"/>
      <c r="W325" s="41"/>
      <c r="X325" s="41"/>
      <c r="Y325" s="41"/>
      <c r="Z325" s="41"/>
      <c r="AA325" s="41"/>
      <c r="AB325" s="41"/>
      <c r="AC325" s="41"/>
      <c r="AD325" s="41"/>
      <c r="AE325" s="41"/>
      <c r="AF325" s="41"/>
    </row>
    <row r="326" ht="19.5" customHeight="1">
      <c r="A326" s="41"/>
      <c r="B326" s="41"/>
      <c r="C326" s="41"/>
      <c r="D326" s="41"/>
      <c r="E326" s="41"/>
      <c r="F326" s="41"/>
      <c r="G326" s="41"/>
      <c r="H326" s="41"/>
      <c r="I326" s="41"/>
      <c r="J326" s="41"/>
      <c r="K326" s="84" t="s">
        <v>2875</v>
      </c>
      <c r="L326" s="18" t="str">
        <f>IF(ISBLANK(input_flt_custom_network_local_reg_mask),"Value Missing",input_flt_custom_network_local_reg_mask)</f>
        <v>Value Missing</v>
      </c>
      <c r="M326" s="41"/>
      <c r="N326" s="41"/>
      <c r="O326" s="41"/>
      <c r="P326" s="41"/>
      <c r="Q326" s="41"/>
      <c r="R326" s="41"/>
      <c r="S326" s="41"/>
      <c r="T326" s="41"/>
      <c r="U326" s="41"/>
      <c r="V326" s="41"/>
      <c r="W326" s="41"/>
      <c r="X326" s="41"/>
      <c r="Y326" s="41"/>
      <c r="Z326" s="41"/>
      <c r="AA326" s="41"/>
      <c r="AB326" s="41"/>
      <c r="AC326" s="41"/>
      <c r="AD326" s="41"/>
      <c r="AE326" s="41"/>
      <c r="AF326" s="41"/>
    </row>
    <row r="327" ht="19.5" customHeight="1">
      <c r="A327" s="41"/>
      <c r="B327" s="41"/>
      <c r="C327" s="41"/>
      <c r="D327" s="41"/>
      <c r="E327" s="41"/>
      <c r="F327" s="41"/>
      <c r="G327" s="41"/>
      <c r="H327" s="41"/>
      <c r="I327" s="41"/>
      <c r="J327" s="41"/>
      <c r="K327" s="84" t="s">
        <v>2876</v>
      </c>
      <c r="L327" s="18" t="str">
        <f>IF(ISBLANK(input_flt_custom_network_local_reg_gateway_ip),"Value Missing",input_flt_custom_network_local_reg_gateway_ip)</f>
        <v>Value Missing</v>
      </c>
      <c r="M327" s="41"/>
      <c r="N327" s="41"/>
      <c r="O327" s="41"/>
      <c r="P327" s="41"/>
      <c r="Q327" s="41"/>
      <c r="R327" s="41"/>
      <c r="S327" s="41"/>
      <c r="T327" s="41"/>
      <c r="U327" s="41"/>
      <c r="V327" s="41"/>
      <c r="W327" s="41"/>
      <c r="X327" s="41"/>
      <c r="Y327" s="41"/>
      <c r="Z327" s="41"/>
      <c r="AA327" s="41"/>
      <c r="AB327" s="41"/>
      <c r="AC327" s="41"/>
      <c r="AD327" s="41"/>
      <c r="AE327" s="41"/>
      <c r="AF327" s="41"/>
    </row>
    <row r="328" ht="19.5" customHeight="1">
      <c r="A328" s="41"/>
      <c r="B328" s="41"/>
      <c r="C328" s="41"/>
      <c r="D328" s="41"/>
      <c r="E328" s="41"/>
      <c r="F328" s="41"/>
      <c r="G328" s="41"/>
      <c r="H328" s="41"/>
      <c r="I328" s="41"/>
      <c r="J328" s="41"/>
      <c r="K328" s="331" t="s">
        <v>2877</v>
      </c>
      <c r="L328" s="331"/>
      <c r="M328" s="41"/>
      <c r="N328" s="41"/>
      <c r="O328" s="41"/>
      <c r="P328" s="41"/>
      <c r="Q328" s="41"/>
      <c r="R328" s="41"/>
      <c r="S328" s="41"/>
      <c r="T328" s="41"/>
      <c r="U328" s="41"/>
      <c r="V328" s="41"/>
      <c r="W328" s="41"/>
      <c r="X328" s="41"/>
      <c r="Y328" s="41"/>
      <c r="Z328" s="41"/>
      <c r="AA328" s="41"/>
      <c r="AB328" s="41"/>
      <c r="AC328" s="41"/>
      <c r="AD328" s="41"/>
      <c r="AE328" s="41"/>
      <c r="AF328" s="41"/>
    </row>
    <row r="329" ht="19.5" customHeight="1">
      <c r="A329" s="41"/>
      <c r="B329" s="41"/>
      <c r="C329" s="41"/>
      <c r="D329" s="41"/>
      <c r="E329" s="41"/>
      <c r="F329" s="41"/>
      <c r="G329" s="41"/>
      <c r="H329" s="41"/>
      <c r="I329" s="41"/>
      <c r="J329" s="41"/>
      <c r="K329" s="15" t="s">
        <v>256</v>
      </c>
      <c r="L329" s="15" t="s">
        <v>274</v>
      </c>
      <c r="M329" s="41"/>
      <c r="N329" s="41"/>
      <c r="O329" s="41"/>
      <c r="P329" s="41"/>
      <c r="Q329" s="41"/>
      <c r="R329" s="41"/>
      <c r="S329" s="41"/>
      <c r="T329" s="41"/>
      <c r="U329" s="41"/>
      <c r="V329" s="41"/>
      <c r="W329" s="41"/>
      <c r="X329" s="41"/>
      <c r="Y329" s="41"/>
      <c r="Z329" s="41"/>
      <c r="AA329" s="41"/>
      <c r="AB329" s="41"/>
      <c r="AC329" s="41"/>
      <c r="AD329" s="41"/>
      <c r="AE329" s="41"/>
      <c r="AF329" s="41"/>
    </row>
    <row r="330" ht="19.5" customHeight="1">
      <c r="A330" s="41"/>
      <c r="B330" s="41"/>
      <c r="C330" s="41"/>
      <c r="D330" s="41"/>
      <c r="E330" s="41"/>
      <c r="F330" s="41"/>
      <c r="G330" s="41"/>
      <c r="H330" s="41"/>
      <c r="I330" s="41"/>
      <c r="J330" s="41"/>
      <c r="K330" s="84" t="s">
        <v>1028</v>
      </c>
      <c r="L330" s="18" t="str">
        <f>IF(ISBLANK(vcf_automation_type_chosen),"Value Missing",vcf_automation_type_chosen)</f>
        <v>New Install</v>
      </c>
      <c r="M330" s="41"/>
      <c r="N330" s="41"/>
      <c r="O330" s="41"/>
      <c r="P330" s="41"/>
      <c r="Q330" s="41"/>
      <c r="R330" s="41"/>
      <c r="S330" s="41"/>
      <c r="T330" s="41"/>
      <c r="U330" s="41"/>
      <c r="V330" s="41"/>
      <c r="W330" s="41"/>
      <c r="X330" s="41"/>
      <c r="Y330" s="41"/>
      <c r="Z330" s="41"/>
      <c r="AA330" s="41"/>
      <c r="AB330" s="41"/>
      <c r="AC330" s="41"/>
      <c r="AD330" s="41"/>
      <c r="AE330" s="41"/>
      <c r="AF330" s="41"/>
    </row>
    <row r="331" ht="19.5" customHeight="1">
      <c r="A331" s="41"/>
      <c r="B331" s="41"/>
      <c r="C331" s="41"/>
      <c r="D331" s="41"/>
      <c r="E331" s="41"/>
      <c r="F331" s="41"/>
      <c r="G331" s="41"/>
      <c r="H331" s="41"/>
      <c r="I331" s="41"/>
      <c r="J331" s="41"/>
      <c r="K331" s="84" t="s">
        <v>120</v>
      </c>
      <c r="L331" s="18" t="str">
        <f>IF(ISBLANK(input_vcf_automation_version),"Value Missing",input_vcf_automation_version)</f>
        <v>Value Missing</v>
      </c>
      <c r="M331" s="41"/>
      <c r="N331" s="41"/>
      <c r="O331" s="41"/>
      <c r="P331" s="41"/>
      <c r="Q331" s="41"/>
      <c r="R331" s="41"/>
      <c r="S331" s="41"/>
      <c r="T331" s="41"/>
      <c r="U331" s="41"/>
      <c r="V331" s="41"/>
      <c r="W331" s="41"/>
      <c r="X331" s="41"/>
      <c r="Y331" s="41"/>
      <c r="Z331" s="41"/>
      <c r="AA331" s="41"/>
      <c r="AB331" s="41"/>
      <c r="AC331" s="41"/>
      <c r="AD331" s="41"/>
      <c r="AE331" s="41"/>
      <c r="AF331" s="41"/>
    </row>
    <row r="332" ht="19.5" customHeight="1">
      <c r="A332" s="41"/>
      <c r="B332" s="41"/>
      <c r="C332" s="41"/>
      <c r="D332" s="41"/>
      <c r="E332" s="41"/>
      <c r="F332" s="41"/>
      <c r="G332" s="41"/>
      <c r="H332" s="41"/>
      <c r="I332" s="41"/>
      <c r="J332" s="41"/>
      <c r="K332" s="84" t="s">
        <v>994</v>
      </c>
      <c r="L332" s="18" t="str">
        <f>IF(ISBLANK(vcf_automation_size_chosen),"Value Missing",vcf_automation_size_chosen)</f>
        <v>Small</v>
      </c>
      <c r="M332" s="41"/>
      <c r="N332" s="41"/>
      <c r="O332" s="41"/>
      <c r="P332" s="41"/>
      <c r="Q332" s="41"/>
      <c r="R332" s="41"/>
      <c r="S332" s="41"/>
      <c r="T332" s="41"/>
      <c r="U332" s="41"/>
      <c r="V332" s="41"/>
      <c r="W332" s="41"/>
      <c r="X332" s="41"/>
      <c r="Y332" s="41"/>
      <c r="Z332" s="41"/>
      <c r="AA332" s="41"/>
      <c r="AB332" s="41"/>
      <c r="AC332" s="41"/>
      <c r="AD332" s="41"/>
      <c r="AE332" s="41"/>
      <c r="AF332" s="41"/>
    </row>
    <row r="333" ht="19.5" customHeight="1">
      <c r="A333" s="41"/>
      <c r="B333" s="41"/>
      <c r="C333" s="41"/>
      <c r="D333" s="41"/>
      <c r="E333" s="41"/>
      <c r="F333" s="41"/>
      <c r="G333" s="41"/>
      <c r="H333" s="41"/>
      <c r="I333" s="41"/>
      <c r="J333" s="41"/>
      <c r="K333" s="84" t="s">
        <v>1032</v>
      </c>
      <c r="L333" s="18" t="str">
        <f>IF(ISBLANK(vcf_automation_cert_type_chosen),"Value Missing",vcf_automation_cert_type_chosen)</f>
        <v>Generate Certificate</v>
      </c>
      <c r="M333" s="41"/>
      <c r="N333" s="41"/>
      <c r="O333" s="41"/>
      <c r="P333" s="41"/>
      <c r="Q333" s="41"/>
      <c r="R333" s="41"/>
      <c r="S333" s="41"/>
      <c r="T333" s="41"/>
      <c r="U333" s="41"/>
      <c r="V333" s="41"/>
      <c r="W333" s="41"/>
      <c r="X333" s="41"/>
      <c r="Y333" s="41"/>
      <c r="Z333" s="41"/>
      <c r="AA333" s="41"/>
      <c r="AB333" s="41"/>
      <c r="AC333" s="41"/>
      <c r="AD333" s="41"/>
      <c r="AE333" s="41"/>
      <c r="AF333" s="41"/>
    </row>
    <row r="334" ht="19.5" customHeight="1">
      <c r="A334" s="41"/>
      <c r="B334" s="41"/>
      <c r="C334" s="41"/>
      <c r="D334" s="41"/>
      <c r="E334" s="41"/>
      <c r="F334" s="41"/>
      <c r="G334" s="41"/>
      <c r="H334" s="41"/>
      <c r="I334" s="41"/>
      <c r="J334" s="41"/>
      <c r="K334" s="84" t="s">
        <v>1034</v>
      </c>
      <c r="L334" s="18" t="str">
        <f>IF(ISBLANK(input_vcf_automation_cert_alias),"Value Missing",input_vcf_automation_cert_alias)</f>
        <v>Value Missing</v>
      </c>
      <c r="M334" s="41"/>
      <c r="N334" s="41"/>
      <c r="O334" s="41"/>
      <c r="P334" s="41"/>
      <c r="Q334" s="41"/>
      <c r="R334" s="41"/>
      <c r="S334" s="41"/>
      <c r="T334" s="41"/>
      <c r="U334" s="41"/>
      <c r="V334" s="41"/>
      <c r="W334" s="41"/>
      <c r="X334" s="41"/>
      <c r="Y334" s="41"/>
      <c r="Z334" s="41"/>
      <c r="AA334" s="41"/>
      <c r="AB334" s="41"/>
      <c r="AC334" s="41"/>
      <c r="AD334" s="41"/>
      <c r="AE334" s="41"/>
      <c r="AF334" s="41"/>
    </row>
    <row r="335" ht="19.5" customHeight="1">
      <c r="A335" s="41"/>
      <c r="B335" s="41"/>
      <c r="C335" s="41"/>
      <c r="D335" s="41"/>
      <c r="E335" s="41"/>
      <c r="F335" s="41"/>
      <c r="G335" s="41"/>
      <c r="H335" s="41"/>
      <c r="I335" s="41"/>
      <c r="J335" s="41"/>
      <c r="K335" s="84" t="s">
        <v>1035</v>
      </c>
      <c r="L335" s="18" t="str">
        <f>IF(ISBLANK(input_vcf_automation_cert_file),"Value Missing",input_vcf_automation_cert_file)</f>
        <v>Value Missing</v>
      </c>
      <c r="M335" s="41"/>
      <c r="N335" s="41"/>
      <c r="O335" s="41"/>
      <c r="P335" s="41"/>
      <c r="Q335" s="41"/>
      <c r="R335" s="41"/>
      <c r="S335" s="41"/>
      <c r="T335" s="41"/>
      <c r="U335" s="41"/>
      <c r="V335" s="41"/>
      <c r="W335" s="41"/>
      <c r="X335" s="41"/>
      <c r="Y335" s="41"/>
      <c r="Z335" s="41"/>
      <c r="AA335" s="41"/>
      <c r="AB335" s="41"/>
      <c r="AC335" s="41"/>
      <c r="AD335" s="41"/>
      <c r="AE335" s="41"/>
      <c r="AF335" s="41"/>
    </row>
    <row r="336" ht="19.5" customHeight="1">
      <c r="A336" s="41"/>
      <c r="B336" s="41"/>
      <c r="C336" s="41"/>
      <c r="D336" s="41"/>
      <c r="E336" s="41"/>
      <c r="F336" s="41"/>
      <c r="G336" s="41"/>
      <c r="H336" s="41"/>
      <c r="I336" s="41"/>
      <c r="J336" s="41"/>
      <c r="K336" s="84" t="s">
        <v>1036</v>
      </c>
      <c r="L336" s="18" t="str">
        <f>IF(ISBLANK(input_vcf_automation_cert_common_name),"Value Missing",input_vcf_automation_cert_common_name)</f>
        <v>Value Missing</v>
      </c>
      <c r="M336" s="41"/>
      <c r="N336" s="41"/>
      <c r="O336" s="41"/>
      <c r="P336" s="41"/>
      <c r="Q336" s="41"/>
      <c r="R336" s="41"/>
      <c r="S336" s="41"/>
      <c r="T336" s="41"/>
      <c r="U336" s="41"/>
      <c r="V336" s="41"/>
      <c r="W336" s="41"/>
      <c r="X336" s="41"/>
      <c r="Y336" s="41"/>
      <c r="Z336" s="41"/>
      <c r="AA336" s="41"/>
      <c r="AB336" s="41"/>
      <c r="AC336" s="41"/>
      <c r="AD336" s="41"/>
      <c r="AE336" s="41"/>
      <c r="AF336" s="41"/>
    </row>
    <row r="337" ht="19.5" customHeight="1">
      <c r="A337" s="41"/>
      <c r="B337" s="41"/>
      <c r="C337" s="41"/>
      <c r="D337" s="41"/>
      <c r="E337" s="41"/>
      <c r="F337" s="41"/>
      <c r="G337" s="41"/>
      <c r="H337" s="41"/>
      <c r="I337" s="41"/>
      <c r="J337" s="41"/>
      <c r="K337" s="84" t="s">
        <v>1037</v>
      </c>
      <c r="L337" s="18" t="str">
        <f>IF(ISBLANK(input_vcf_automation_cert_organisation),"Value Missing",input_vcf_automation_cert_organisation)</f>
        <v>Value Missing</v>
      </c>
      <c r="M337" s="41"/>
      <c r="N337" s="41"/>
      <c r="O337" s="41"/>
      <c r="P337" s="41"/>
      <c r="Q337" s="41"/>
      <c r="R337" s="41"/>
      <c r="S337" s="41"/>
      <c r="T337" s="41"/>
      <c r="U337" s="41"/>
      <c r="V337" s="41"/>
      <c r="W337" s="41"/>
      <c r="X337" s="41"/>
      <c r="Y337" s="41"/>
      <c r="Z337" s="41"/>
      <c r="AA337" s="41"/>
      <c r="AB337" s="41"/>
      <c r="AC337" s="41"/>
      <c r="AD337" s="41"/>
      <c r="AE337" s="41"/>
      <c r="AF337" s="41"/>
    </row>
    <row r="338" ht="19.5" customHeight="1">
      <c r="A338" s="41"/>
      <c r="B338" s="41"/>
      <c r="C338" s="41"/>
      <c r="D338" s="41"/>
      <c r="E338" s="41"/>
      <c r="F338" s="41"/>
      <c r="G338" s="41"/>
      <c r="H338" s="41"/>
      <c r="I338" s="41"/>
      <c r="J338" s="41"/>
      <c r="K338" s="84" t="s">
        <v>1038</v>
      </c>
      <c r="L338" s="18" t="str">
        <f>IF(ISBLANK(input_vcf_automation_ou_cert),"Value Missing",input_vcf_automation_ou_cert)</f>
        <v>Value Missing</v>
      </c>
      <c r="M338" s="41"/>
      <c r="N338" s="41"/>
      <c r="O338" s="41"/>
      <c r="P338" s="41"/>
      <c r="Q338" s="41"/>
      <c r="R338" s="41"/>
      <c r="S338" s="41"/>
      <c r="T338" s="41"/>
      <c r="U338" s="41"/>
      <c r="V338" s="41"/>
      <c r="W338" s="41"/>
      <c r="X338" s="41"/>
      <c r="Y338" s="41"/>
      <c r="Z338" s="41"/>
      <c r="AA338" s="41"/>
      <c r="AB338" s="41"/>
      <c r="AC338" s="41"/>
      <c r="AD338" s="41"/>
      <c r="AE338" s="41"/>
      <c r="AF338" s="41"/>
    </row>
    <row r="339" ht="19.5" customHeight="1">
      <c r="A339" s="41"/>
      <c r="B339" s="41"/>
      <c r="C339" s="41"/>
      <c r="D339" s="41"/>
      <c r="E339" s="41"/>
      <c r="F339" s="41"/>
      <c r="G339" s="41"/>
      <c r="H339" s="41"/>
      <c r="I339" s="41"/>
      <c r="J339" s="41"/>
      <c r="K339" s="84" t="s">
        <v>1039</v>
      </c>
      <c r="L339" s="18" t="str">
        <f>IF(ISBLANK(input_vcf_automation_cert_country_code),"Value Missing",input_vcf_automation_cert_country_code)</f>
        <v>Value Missing</v>
      </c>
      <c r="M339" s="41"/>
      <c r="N339" s="41"/>
      <c r="O339" s="41"/>
      <c r="P339" s="41"/>
      <c r="Q339" s="41"/>
      <c r="R339" s="41"/>
      <c r="S339" s="41"/>
      <c r="T339" s="41"/>
      <c r="U339" s="41"/>
      <c r="V339" s="41"/>
      <c r="W339" s="41"/>
      <c r="X339" s="41"/>
      <c r="Y339" s="41"/>
      <c r="Z339" s="41"/>
      <c r="AA339" s="41"/>
      <c r="AB339" s="41"/>
      <c r="AC339" s="41"/>
      <c r="AD339" s="41"/>
      <c r="AE339" s="41"/>
      <c r="AF339" s="41"/>
    </row>
    <row r="340" ht="19.5" customHeight="1">
      <c r="A340" s="41"/>
      <c r="B340" s="41"/>
      <c r="C340" s="41"/>
      <c r="D340" s="41"/>
      <c r="E340" s="41"/>
      <c r="F340" s="41"/>
      <c r="G340" s="41"/>
      <c r="H340" s="41"/>
      <c r="I340" s="41"/>
      <c r="J340" s="41"/>
      <c r="K340" s="84" t="s">
        <v>1040</v>
      </c>
      <c r="L340" s="18" t="str">
        <f>IF(ISBLANK(input_vcf_automation_cert_locality),"Value Missing",input_vcf_automation_cert_locality)</f>
        <v>Value Missing</v>
      </c>
      <c r="M340" s="41"/>
      <c r="N340" s="41"/>
      <c r="O340" s="41"/>
      <c r="P340" s="41"/>
      <c r="Q340" s="41"/>
      <c r="R340" s="41"/>
      <c r="S340" s="41"/>
      <c r="T340" s="41"/>
      <c r="U340" s="41"/>
      <c r="V340" s="41"/>
      <c r="W340" s="41"/>
      <c r="X340" s="41"/>
      <c r="Y340" s="41"/>
      <c r="Z340" s="41"/>
      <c r="AA340" s="41"/>
      <c r="AB340" s="41"/>
      <c r="AC340" s="41"/>
      <c r="AD340" s="41"/>
      <c r="AE340" s="41"/>
      <c r="AF340" s="41"/>
    </row>
    <row r="341" ht="19.5" customHeight="1">
      <c r="A341" s="41"/>
      <c r="B341" s="41"/>
      <c r="C341" s="41"/>
      <c r="D341" s="41"/>
      <c r="E341" s="41"/>
      <c r="F341" s="41"/>
      <c r="G341" s="41"/>
      <c r="H341" s="41"/>
      <c r="I341" s="41"/>
      <c r="J341" s="41"/>
      <c r="K341" s="84" t="s">
        <v>1041</v>
      </c>
      <c r="L341" s="18" t="str">
        <f>IF(ISBLANK(input_vcf_automation_cert_state),"Value Missing",input_vcf_automation_cert_state)</f>
        <v>Value Missing</v>
      </c>
      <c r="M341" s="41"/>
      <c r="N341" s="41"/>
      <c r="O341" s="41"/>
      <c r="P341" s="41"/>
      <c r="Q341" s="41"/>
      <c r="R341" s="41"/>
      <c r="S341" s="41"/>
      <c r="T341" s="41"/>
      <c r="U341" s="41"/>
      <c r="V341" s="41"/>
      <c r="W341" s="41"/>
      <c r="X341" s="41"/>
      <c r="Y341" s="41"/>
      <c r="Z341" s="41"/>
      <c r="AA341" s="41"/>
      <c r="AB341" s="41"/>
      <c r="AC341" s="41"/>
      <c r="AD341" s="41"/>
      <c r="AE341" s="41"/>
      <c r="AF341" s="41"/>
    </row>
    <row r="342" ht="19.5" customHeight="1">
      <c r="A342" s="41"/>
      <c r="B342" s="41"/>
      <c r="C342" s="41"/>
      <c r="D342" s="41"/>
      <c r="E342" s="41"/>
      <c r="F342" s="41"/>
      <c r="G342" s="41"/>
      <c r="H342" s="41"/>
      <c r="I342" s="41"/>
      <c r="J342" s="41"/>
      <c r="K342" s="84" t="s">
        <v>1042</v>
      </c>
      <c r="L342" s="18" t="str">
        <f>IF(ISBLANK(vcf_automation_cert_key_length_chosen),"Value Missing",vcf_automation_cert_key_length_chosen)</f>
        <v>4096</v>
      </c>
      <c r="M342" s="41"/>
      <c r="N342" s="41"/>
      <c r="O342" s="41"/>
      <c r="P342" s="41"/>
      <c r="Q342" s="41"/>
      <c r="R342" s="41"/>
      <c r="S342" s="41"/>
      <c r="T342" s="41"/>
      <c r="U342" s="41"/>
      <c r="V342" s="41"/>
      <c r="W342" s="41"/>
      <c r="X342" s="41"/>
      <c r="Y342" s="41"/>
      <c r="Z342" s="41"/>
      <c r="AA342" s="41"/>
      <c r="AB342" s="41"/>
      <c r="AC342" s="41"/>
      <c r="AD342" s="41"/>
      <c r="AE342" s="41"/>
      <c r="AF342" s="41"/>
    </row>
    <row r="343" ht="19.5" customHeight="1">
      <c r="A343" s="41"/>
      <c r="B343" s="41"/>
      <c r="C343" s="41"/>
      <c r="D343" s="41"/>
      <c r="E343" s="41"/>
      <c r="F343" s="41"/>
      <c r="G343" s="41"/>
      <c r="H343" s="41"/>
      <c r="I343" s="41"/>
      <c r="J343" s="41"/>
      <c r="K343" s="84" t="s">
        <v>1044</v>
      </c>
      <c r="L343" s="18" t="str">
        <f>IF(ISBLANK(input_vcf_automation_vip_fqdn),"Value Missing",input_vcf_automation_vip_fqdn)</f>
        <v>Value Missing</v>
      </c>
      <c r="M343" s="41"/>
      <c r="N343" s="41"/>
      <c r="O343" s="41"/>
      <c r="P343" s="41"/>
      <c r="Q343" s="41"/>
      <c r="R343" s="41"/>
      <c r="S343" s="41"/>
      <c r="T343" s="41"/>
      <c r="U343" s="41"/>
      <c r="V343" s="41"/>
      <c r="W343" s="41"/>
      <c r="X343" s="41"/>
      <c r="Y343" s="41"/>
      <c r="Z343" s="41"/>
      <c r="AA343" s="41"/>
      <c r="AB343" s="41"/>
      <c r="AC343" s="41"/>
      <c r="AD343" s="41"/>
      <c r="AE343" s="41"/>
      <c r="AF343" s="41"/>
    </row>
    <row r="344" ht="19.5" customHeight="1">
      <c r="A344" s="41"/>
      <c r="B344" s="41"/>
      <c r="C344" s="41"/>
      <c r="D344" s="41"/>
      <c r="E344" s="41"/>
      <c r="F344" s="41"/>
      <c r="G344" s="41"/>
      <c r="H344" s="41"/>
      <c r="I344" s="41"/>
      <c r="J344" s="41"/>
      <c r="K344" s="173" t="s">
        <v>741</v>
      </c>
      <c r="L344" s="18" t="str">
        <f>IF(ISBLANK(input_vcf_automation_vip_ip),"Value Missing",input_vcf_automation_vip_ip)</f>
        <v>Value Missing</v>
      </c>
      <c r="M344" s="41"/>
      <c r="N344" s="41"/>
      <c r="O344" s="41"/>
      <c r="P344" s="41"/>
      <c r="Q344" s="41"/>
      <c r="R344" s="41"/>
      <c r="S344" s="41"/>
      <c r="T344" s="41"/>
      <c r="U344" s="41"/>
      <c r="V344" s="41"/>
      <c r="W344" s="41"/>
      <c r="X344" s="41"/>
      <c r="Y344" s="41"/>
      <c r="Z344" s="41"/>
      <c r="AA344" s="41"/>
      <c r="AB344" s="41"/>
      <c r="AC344" s="41"/>
      <c r="AD344" s="41"/>
      <c r="AE344" s="41"/>
      <c r="AF344" s="41"/>
    </row>
    <row r="345" ht="19.5" customHeight="1">
      <c r="A345" s="41"/>
      <c r="B345" s="41"/>
      <c r="C345" s="41"/>
      <c r="D345" s="41"/>
      <c r="E345" s="41"/>
      <c r="F345" s="41"/>
      <c r="G345" s="41"/>
      <c r="H345" s="41"/>
      <c r="I345" s="41"/>
      <c r="J345" s="41"/>
      <c r="K345" s="187" t="s">
        <v>1019</v>
      </c>
      <c r="L345" s="18" t="str">
        <f>IF(ISBLANK(input_vcf_automation_nodea_ip),"Value Missing",input_vcf_automation_nodea_ip)</f>
        <v>Value Missing</v>
      </c>
      <c r="M345" s="41"/>
      <c r="N345" s="41"/>
      <c r="O345" s="41"/>
      <c r="P345" s="41"/>
      <c r="Q345" s="41"/>
      <c r="R345" s="41"/>
      <c r="S345" s="41"/>
      <c r="T345" s="41"/>
      <c r="U345" s="41"/>
      <c r="V345" s="41"/>
      <c r="W345" s="41"/>
      <c r="X345" s="41"/>
      <c r="Y345" s="41"/>
      <c r="Z345" s="41"/>
      <c r="AA345" s="41"/>
      <c r="AB345" s="41"/>
      <c r="AC345" s="41"/>
      <c r="AD345" s="41"/>
      <c r="AE345" s="41"/>
      <c r="AF345" s="41"/>
    </row>
    <row r="346" ht="19.5" customHeight="1">
      <c r="A346" s="41"/>
      <c r="B346" s="41"/>
      <c r="C346" s="41"/>
      <c r="D346" s="41"/>
      <c r="E346" s="41"/>
      <c r="F346" s="41"/>
      <c r="G346" s="41"/>
      <c r="H346" s="41"/>
      <c r="I346" s="41"/>
      <c r="J346" s="41"/>
      <c r="K346" s="187" t="s">
        <v>1021</v>
      </c>
      <c r="L346" s="18" t="str">
        <f>IF(ISBLANK(input_vcf_automation_nodeb_ip),"Value Missing",input_vcf_automation_nodeb_ip)</f>
        <v>Value Missing</v>
      </c>
      <c r="M346" s="41"/>
      <c r="N346" s="41"/>
      <c r="O346" s="41"/>
      <c r="P346" s="41"/>
      <c r="Q346" s="41"/>
      <c r="R346" s="41"/>
      <c r="S346" s="41"/>
      <c r="T346" s="41"/>
      <c r="U346" s="41"/>
      <c r="V346" s="41"/>
      <c r="W346" s="41"/>
      <c r="X346" s="41"/>
      <c r="Y346" s="41"/>
      <c r="Z346" s="41"/>
      <c r="AA346" s="41"/>
      <c r="AB346" s="41"/>
      <c r="AC346" s="41"/>
      <c r="AD346" s="41"/>
      <c r="AE346" s="41"/>
      <c r="AF346" s="41"/>
    </row>
    <row r="347" ht="19.5" customHeight="1">
      <c r="A347" s="41"/>
      <c r="B347" s="41"/>
      <c r="C347" s="41"/>
      <c r="D347" s="41"/>
      <c r="E347" s="41"/>
      <c r="F347" s="41"/>
      <c r="G347" s="41"/>
      <c r="H347" s="41"/>
      <c r="I347" s="41"/>
      <c r="J347" s="41"/>
      <c r="K347" s="187" t="s">
        <v>1022</v>
      </c>
      <c r="L347" s="18" t="str">
        <f>IF(ISBLANK(input_vcf_automation_nodec_ip),"Value Missing",input_vcf_automation_nodec_ip)</f>
        <v>Value Missing</v>
      </c>
      <c r="M347" s="41"/>
      <c r="N347" s="41"/>
      <c r="O347" s="41"/>
      <c r="P347" s="41"/>
      <c r="Q347" s="41"/>
      <c r="R347" s="41"/>
      <c r="S347" s="41"/>
      <c r="T347" s="41"/>
      <c r="U347" s="41"/>
      <c r="V347" s="41"/>
      <c r="W347" s="41"/>
      <c r="X347" s="41"/>
      <c r="Y347" s="41"/>
      <c r="Z347" s="41"/>
      <c r="AA347" s="41"/>
      <c r="AB347" s="41"/>
      <c r="AC347" s="41"/>
      <c r="AD347" s="41"/>
      <c r="AE347" s="41"/>
      <c r="AF347" s="41"/>
    </row>
    <row r="348" ht="19.5" customHeight="1">
      <c r="A348" s="41"/>
      <c r="B348" s="41"/>
      <c r="C348" s="41"/>
      <c r="D348" s="41"/>
      <c r="E348" s="41"/>
      <c r="F348" s="41"/>
      <c r="G348" s="41"/>
      <c r="H348" s="41"/>
      <c r="I348" s="41"/>
      <c r="J348" s="41"/>
      <c r="K348" s="187" t="s">
        <v>1023</v>
      </c>
      <c r="L348" s="18" t="str">
        <f>IF(ISBLANK(input_vcf_automation_noded_ip),"Value Missing",input_vcf_automation_noded_ip)</f>
        <v>Value Missing</v>
      </c>
      <c r="M348" s="41"/>
      <c r="N348" s="41"/>
      <c r="O348" s="41"/>
      <c r="P348" s="41"/>
      <c r="Q348" s="41"/>
      <c r="R348" s="41"/>
      <c r="S348" s="41"/>
      <c r="T348" s="41"/>
      <c r="U348" s="41"/>
      <c r="V348" s="41"/>
      <c r="W348" s="41"/>
      <c r="X348" s="41"/>
      <c r="Y348" s="41"/>
      <c r="Z348" s="41"/>
      <c r="AA348" s="41"/>
      <c r="AB348" s="41"/>
      <c r="AC348" s="41"/>
      <c r="AD348" s="41"/>
      <c r="AE348" s="41"/>
      <c r="AF348" s="41"/>
    </row>
    <row r="349" ht="19.5" customHeight="1">
      <c r="A349" s="41"/>
      <c r="B349" s="41"/>
      <c r="C349" s="41"/>
      <c r="D349" s="41"/>
      <c r="E349" s="41"/>
      <c r="F349" s="41"/>
      <c r="G349" s="41"/>
      <c r="H349" s="41"/>
      <c r="I349" s="41"/>
      <c r="J349" s="41"/>
      <c r="K349" s="84" t="s">
        <v>1050</v>
      </c>
      <c r="L349" s="18" t="str">
        <f>IF(ISBLANK(input_vcf_automation_folder),"Value Missing",input_vcf_automation_folder)</f>
        <v>Value Missing</v>
      </c>
      <c r="M349" s="41"/>
      <c r="N349" s="41"/>
      <c r="O349" s="41"/>
      <c r="P349" s="41"/>
      <c r="Q349" s="41"/>
      <c r="R349" s="41"/>
      <c r="S349" s="41"/>
      <c r="T349" s="41"/>
      <c r="U349" s="41"/>
      <c r="V349" s="41"/>
      <c r="W349" s="41"/>
      <c r="X349" s="41"/>
      <c r="Y349" s="41"/>
      <c r="Z349" s="41"/>
      <c r="AA349" s="41"/>
      <c r="AB349" s="41"/>
      <c r="AC349" s="41"/>
      <c r="AD349" s="41"/>
      <c r="AE349" s="41"/>
      <c r="AF349" s="41"/>
    </row>
    <row r="350" ht="19.5" customHeight="1">
      <c r="A350" s="41"/>
      <c r="B350" s="41"/>
      <c r="C350" s="41"/>
      <c r="D350" s="41"/>
      <c r="E350" s="41"/>
      <c r="F350" s="41"/>
      <c r="G350" s="41"/>
      <c r="H350" s="41"/>
      <c r="I350" s="41"/>
      <c r="J350" s="41"/>
      <c r="K350" s="84" t="s">
        <v>1052</v>
      </c>
      <c r="L350" s="18" t="str">
        <f>IF(ISBLANK(input_vcf_automation_resource_pool),"Value Missing",input_vcf_automation_resource_pool)</f>
        <v>Value Missing</v>
      </c>
      <c r="M350" s="41"/>
      <c r="N350" s="41"/>
      <c r="O350" s="41"/>
      <c r="P350" s="41"/>
      <c r="Q350" s="41"/>
      <c r="R350" s="41"/>
      <c r="S350" s="41"/>
      <c r="T350" s="41"/>
      <c r="U350" s="41"/>
      <c r="V350" s="41"/>
      <c r="W350" s="41"/>
      <c r="X350" s="41"/>
      <c r="Y350" s="41"/>
      <c r="Z350" s="41"/>
      <c r="AA350" s="41"/>
      <c r="AB350" s="41"/>
      <c r="AC350" s="41"/>
      <c r="AD350" s="41"/>
      <c r="AE350" s="41"/>
      <c r="AF350" s="41"/>
    </row>
    <row r="351" ht="19.5" customHeight="1">
      <c r="A351" s="41"/>
      <c r="B351" s="41"/>
      <c r="C351" s="41"/>
      <c r="D351" s="41"/>
      <c r="E351" s="41"/>
      <c r="F351" s="41"/>
      <c r="G351" s="41"/>
      <c r="H351" s="41"/>
      <c r="I351" s="41"/>
      <c r="J351" s="41"/>
      <c r="K351" s="84" t="s">
        <v>2878</v>
      </c>
      <c r="L351" s="18" t="str">
        <f>IF(ISBLANK(input_vcf_automation_mask),"Value Missing",input_vcf_automation_mask)</f>
        <v>Value Missing</v>
      </c>
      <c r="M351" s="41"/>
      <c r="N351" s="41"/>
      <c r="O351" s="41"/>
      <c r="P351" s="41"/>
      <c r="Q351" s="41"/>
      <c r="R351" s="41"/>
      <c r="S351" s="41"/>
      <c r="T351" s="41"/>
      <c r="U351" s="41"/>
      <c r="V351" s="41"/>
      <c r="W351" s="41"/>
      <c r="X351" s="41"/>
      <c r="Y351" s="41"/>
      <c r="Z351" s="41"/>
      <c r="AA351" s="41"/>
      <c r="AB351" s="41"/>
      <c r="AC351" s="41"/>
      <c r="AD351" s="41"/>
      <c r="AE351" s="41"/>
      <c r="AF351" s="41"/>
    </row>
    <row r="352" ht="19.5" customHeight="1">
      <c r="A352" s="41"/>
      <c r="B352" s="41"/>
      <c r="C352" s="41"/>
      <c r="D352" s="41"/>
      <c r="E352" s="41"/>
      <c r="F352" s="41"/>
      <c r="G352" s="41"/>
      <c r="H352" s="41"/>
      <c r="I352" s="41"/>
      <c r="J352" s="41"/>
      <c r="K352" s="84" t="s">
        <v>2764</v>
      </c>
      <c r="L352" s="18" t="str">
        <f>IF(ISBLANK(input_vcf_automation_gateway_ip),"Value Missing",input_vcf_automation_gateway_ip)</f>
        <v>Value Missing</v>
      </c>
      <c r="M352" s="41"/>
      <c r="N352" s="41"/>
      <c r="O352" s="41"/>
      <c r="P352" s="41"/>
      <c r="Q352" s="41"/>
      <c r="R352" s="41"/>
      <c r="S352" s="41"/>
      <c r="T352" s="41"/>
      <c r="U352" s="41"/>
      <c r="V352" s="41"/>
      <c r="W352" s="41"/>
      <c r="X352" s="41"/>
      <c r="Y352" s="41"/>
      <c r="Z352" s="41"/>
      <c r="AA352" s="41"/>
      <c r="AB352" s="41"/>
      <c r="AC352" s="41"/>
      <c r="AD352" s="41"/>
      <c r="AE352" s="41"/>
      <c r="AF352" s="41"/>
    </row>
    <row r="353" ht="19.5" customHeight="1">
      <c r="A353" s="41"/>
      <c r="B353" s="41"/>
      <c r="C353" s="41"/>
      <c r="D353" s="41"/>
      <c r="E353" s="41"/>
      <c r="F353" s="41"/>
      <c r="G353" s="41"/>
      <c r="H353" s="41"/>
      <c r="I353" s="41"/>
      <c r="J353" s="41"/>
      <c r="K353" s="84" t="s">
        <v>2879</v>
      </c>
      <c r="L353" s="18" t="str">
        <f>IF(ISBLANK(input_vcf_automation_portgroup),"Value Missing",input_vcf_automation_portgroup)</f>
        <v>Value Missing</v>
      </c>
      <c r="M353" s="41"/>
      <c r="N353" s="41"/>
      <c r="O353" s="41"/>
      <c r="P353" s="41"/>
      <c r="Q353" s="41"/>
      <c r="R353" s="41"/>
      <c r="S353" s="41"/>
      <c r="T353" s="41"/>
      <c r="U353" s="41"/>
      <c r="V353" s="41"/>
      <c r="W353" s="41"/>
      <c r="X353" s="41"/>
      <c r="Y353" s="41"/>
      <c r="Z353" s="41"/>
      <c r="AA353" s="41"/>
      <c r="AB353" s="41"/>
      <c r="AC353" s="41"/>
      <c r="AD353" s="41"/>
      <c r="AE353" s="41"/>
      <c r="AF353" s="41"/>
    </row>
    <row r="354" ht="19.5" customHeight="1">
      <c r="A354" s="41"/>
      <c r="B354" s="41"/>
      <c r="C354" s="41"/>
      <c r="D354" s="41"/>
      <c r="E354" s="41"/>
      <c r="F354" s="41"/>
      <c r="G354" s="41"/>
      <c r="H354" s="41"/>
      <c r="I354" s="41"/>
      <c r="J354" s="41"/>
      <c r="K354" s="173" t="s">
        <v>1152</v>
      </c>
      <c r="L354" s="18" t="str">
        <f>IF(ISBLANK(input_vcf_automation_admin_password_alias),"Value Missing",input_vcf_automation_admin_password_alias)</f>
        <v>Value Missing</v>
      </c>
      <c r="M354" s="41"/>
      <c r="N354" s="41"/>
      <c r="O354" s="41"/>
      <c r="P354" s="41"/>
      <c r="Q354" s="41"/>
      <c r="R354" s="41"/>
      <c r="S354" s="41"/>
      <c r="T354" s="41"/>
      <c r="U354" s="41"/>
      <c r="V354" s="41"/>
      <c r="W354" s="41"/>
      <c r="X354" s="41"/>
      <c r="Y354" s="41"/>
      <c r="Z354" s="41"/>
      <c r="AA354" s="41"/>
      <c r="AB354" s="41"/>
      <c r="AC354" s="41"/>
      <c r="AD354" s="41"/>
      <c r="AE354" s="41"/>
      <c r="AF354" s="41"/>
    </row>
    <row r="355" ht="19.5" customHeight="1">
      <c r="A355" s="41"/>
      <c r="B355" s="41"/>
      <c r="C355" s="41"/>
      <c r="D355" s="41"/>
      <c r="E355" s="41"/>
      <c r="F355" s="41"/>
      <c r="G355" s="41"/>
      <c r="H355" s="41"/>
      <c r="I355" s="41"/>
      <c r="J355" s="41"/>
      <c r="K355" s="187" t="s">
        <v>685</v>
      </c>
      <c r="L355" s="18" t="str">
        <f>IF(ISBLANK(input_vcf_automation_admin_password),"Value Missing",input_vcf_automation_admin_password)</f>
        <v>Value Missing</v>
      </c>
      <c r="M355" s="41"/>
      <c r="N355" s="41"/>
      <c r="O355" s="41"/>
      <c r="P355" s="41"/>
      <c r="Q355" s="41"/>
      <c r="R355" s="41"/>
      <c r="S355" s="41"/>
      <c r="T355" s="41"/>
      <c r="U355" s="41"/>
      <c r="V355" s="41"/>
      <c r="W355" s="41"/>
      <c r="X355" s="41"/>
      <c r="Y355" s="41"/>
      <c r="Z355" s="41"/>
      <c r="AA355" s="41"/>
      <c r="AB355" s="41"/>
      <c r="AC355" s="41"/>
      <c r="AD355" s="41"/>
      <c r="AE355" s="41"/>
      <c r="AF355" s="41"/>
    </row>
    <row r="356" ht="19.5" customHeight="1">
      <c r="A356" s="41"/>
      <c r="B356" s="41"/>
      <c r="C356" s="41"/>
      <c r="D356" s="41"/>
      <c r="E356" s="41"/>
      <c r="F356" s="41"/>
      <c r="G356" s="41"/>
      <c r="H356" s="41"/>
      <c r="I356" s="41"/>
      <c r="J356" s="41"/>
      <c r="K356" s="187" t="s">
        <v>1153</v>
      </c>
      <c r="L356" s="18" t="str">
        <f>IF(ISBLANK(input_vcf_automation_admin_password_description),"Value Missing",input_vcf_automation_admin_password_description)</f>
        <v>Value Missing</v>
      </c>
      <c r="M356" s="41"/>
      <c r="N356" s="41"/>
      <c r="O356" s="41"/>
      <c r="P356" s="41"/>
      <c r="Q356" s="41"/>
      <c r="R356" s="41"/>
      <c r="S356" s="41"/>
      <c r="T356" s="41"/>
      <c r="U356" s="41"/>
      <c r="V356" s="41"/>
      <c r="W356" s="41"/>
      <c r="X356" s="41"/>
      <c r="Y356" s="41"/>
      <c r="Z356" s="41"/>
      <c r="AA356" s="41"/>
      <c r="AB356" s="41"/>
      <c r="AC356" s="41"/>
      <c r="AD356" s="41"/>
      <c r="AE356" s="41"/>
      <c r="AF356" s="41"/>
    </row>
    <row r="357" ht="19.5" customHeight="1">
      <c r="A357" s="41"/>
      <c r="B357" s="41"/>
      <c r="C357" s="41"/>
      <c r="D357" s="41"/>
      <c r="E357" s="41"/>
      <c r="F357" s="41"/>
      <c r="G357" s="41"/>
      <c r="H357" s="41"/>
      <c r="I357" s="41"/>
      <c r="J357" s="41"/>
      <c r="K357" s="187" t="s">
        <v>1155</v>
      </c>
      <c r="L357" s="18" t="str">
        <f>IF(ISBLANK(input_vcf_automation_admin_username),"Value Missing",input_vcf_automation_admin_username)</f>
        <v>Value Missing</v>
      </c>
      <c r="M357" s="41"/>
      <c r="N357" s="41"/>
      <c r="O357" s="41"/>
      <c r="P357" s="41"/>
      <c r="Q357" s="41"/>
      <c r="R357" s="41"/>
      <c r="S357" s="41"/>
      <c r="T357" s="41"/>
      <c r="U357" s="41"/>
      <c r="V357" s="41"/>
      <c r="W357" s="41"/>
      <c r="X357" s="41"/>
      <c r="Y357" s="41"/>
      <c r="Z357" s="41"/>
      <c r="AA357" s="41"/>
      <c r="AB357" s="41"/>
      <c r="AC357" s="41"/>
      <c r="AD357" s="41"/>
      <c r="AE357" s="41"/>
      <c r="AF357" s="41"/>
    </row>
    <row r="358" ht="19.5" customHeight="1">
      <c r="A358" s="41"/>
      <c r="B358" s="41"/>
      <c r="C358" s="41"/>
      <c r="D358" s="41"/>
      <c r="E358" s="41"/>
      <c r="F358" s="41"/>
      <c r="G358" s="41"/>
      <c r="H358" s="41"/>
      <c r="I358" s="41"/>
      <c r="J358" s="41"/>
      <c r="K358" s="84" t="s">
        <v>2880</v>
      </c>
      <c r="L358" s="18" t="str">
        <f>IF(ISBLANK(input_vcf_automation_root_password_alias),"Value Missing",input_vcf_automation_root_password_alias)</f>
        <v>Value Missing</v>
      </c>
      <c r="M358" s="41"/>
      <c r="N358" s="41"/>
      <c r="O358" s="41"/>
      <c r="P358" s="41"/>
      <c r="Q358" s="41"/>
      <c r="R358" s="41"/>
      <c r="S358" s="41"/>
      <c r="T358" s="41"/>
      <c r="U358" s="41"/>
      <c r="V358" s="41"/>
      <c r="W358" s="41"/>
      <c r="X358" s="41"/>
      <c r="Y358" s="41"/>
      <c r="Z358" s="41"/>
      <c r="AA358" s="41"/>
      <c r="AB358" s="41"/>
      <c r="AC358" s="41"/>
      <c r="AD358" s="41"/>
      <c r="AE358" s="41"/>
      <c r="AF358" s="41"/>
    </row>
    <row r="359" ht="19.5" customHeight="1">
      <c r="A359" s="41"/>
      <c r="B359" s="41"/>
      <c r="C359" s="41"/>
      <c r="D359" s="41"/>
      <c r="E359" s="41"/>
      <c r="F359" s="41"/>
      <c r="G359" s="41"/>
      <c r="H359" s="41"/>
      <c r="I359" s="41"/>
      <c r="J359" s="41"/>
      <c r="K359" s="84" t="s">
        <v>296</v>
      </c>
      <c r="L359" s="18" t="str">
        <f>IF(ISBLANK(input_vcf_automation_root_password),"Value Missing",input_vcf_automation_root_password)</f>
        <v>Value Missing</v>
      </c>
      <c r="M359" s="41"/>
      <c r="N359" s="41"/>
      <c r="O359" s="41"/>
      <c r="P359" s="41"/>
      <c r="Q359" s="41"/>
      <c r="R359" s="41"/>
      <c r="S359" s="41"/>
      <c r="T359" s="41"/>
      <c r="U359" s="41"/>
      <c r="V359" s="41"/>
      <c r="W359" s="41"/>
      <c r="X359" s="41"/>
      <c r="Y359" s="41"/>
      <c r="Z359" s="41"/>
      <c r="AA359" s="41"/>
      <c r="AB359" s="41"/>
      <c r="AC359" s="41"/>
      <c r="AD359" s="41"/>
      <c r="AE359" s="41"/>
      <c r="AF359" s="41"/>
    </row>
    <row r="360" ht="19.5" customHeight="1">
      <c r="A360" s="41"/>
      <c r="B360" s="41"/>
      <c r="C360" s="41"/>
      <c r="D360" s="41"/>
      <c r="E360" s="41"/>
      <c r="F360" s="41"/>
      <c r="G360" s="41"/>
      <c r="H360" s="41"/>
      <c r="I360" s="41"/>
      <c r="J360" s="41"/>
      <c r="K360" s="84" t="s">
        <v>2881</v>
      </c>
      <c r="L360" s="18" t="str">
        <f>IF(ISBLANK(input_vcf_automation_root_password_description),"Value Missing",input_vcf_automation_root_password_description)</f>
        <v>Value Missing</v>
      </c>
      <c r="M360" s="41"/>
      <c r="N360" s="41"/>
      <c r="O360" s="41"/>
      <c r="P360" s="41"/>
      <c r="Q360" s="41"/>
      <c r="R360" s="41"/>
      <c r="S360" s="41"/>
      <c r="T360" s="41"/>
      <c r="U360" s="41"/>
      <c r="V360" s="41"/>
      <c r="W360" s="41"/>
      <c r="X360" s="41"/>
      <c r="Y360" s="41"/>
      <c r="Z360" s="41"/>
      <c r="AA360" s="41"/>
      <c r="AB360" s="41"/>
      <c r="AC360" s="41"/>
      <c r="AD360" s="41"/>
      <c r="AE360" s="41"/>
      <c r="AF360" s="41"/>
    </row>
    <row r="361" ht="19.5" customHeight="1">
      <c r="A361" s="41"/>
      <c r="B361" s="41"/>
      <c r="C361" s="41"/>
      <c r="D361" s="41"/>
      <c r="E361" s="41"/>
      <c r="F361" s="41"/>
      <c r="G361" s="41"/>
      <c r="H361" s="41"/>
      <c r="I361" s="41"/>
      <c r="J361" s="41"/>
      <c r="K361" s="84" t="s">
        <v>294</v>
      </c>
      <c r="L361" s="18" t="str">
        <f>IF(ISBLANK(input_vcf_automation_root_username),"Value Missing",input_vcf_automation_root_username)</f>
        <v>Value Missing</v>
      </c>
      <c r="M361" s="41"/>
      <c r="N361" s="41"/>
      <c r="O361" s="41"/>
      <c r="P361" s="41"/>
      <c r="Q361" s="41"/>
      <c r="R361" s="41"/>
      <c r="S361" s="41"/>
      <c r="T361" s="41"/>
      <c r="U361" s="41"/>
      <c r="V361" s="41"/>
      <c r="W361" s="41"/>
      <c r="X361" s="41"/>
      <c r="Y361" s="41"/>
      <c r="Z361" s="41"/>
      <c r="AA361" s="41"/>
      <c r="AB361" s="41"/>
      <c r="AC361" s="41"/>
      <c r="AD361" s="41"/>
      <c r="AE361" s="41"/>
      <c r="AF361" s="41"/>
    </row>
    <row r="362" ht="19.5" customHeight="1">
      <c r="A362" s="41"/>
      <c r="B362" s="41"/>
      <c r="C362" s="41"/>
      <c r="D362" s="41"/>
      <c r="E362" s="41"/>
      <c r="F362" s="41"/>
      <c r="G362" s="41"/>
      <c r="H362" s="41"/>
      <c r="I362" s="41"/>
      <c r="J362" s="41"/>
      <c r="K362" s="187" t="s">
        <v>1073</v>
      </c>
      <c r="L362" s="18" t="str">
        <f>IF(ISBLANK(vcf_automation_lb_type_chosen),"Value Missing",vcf_automation_lb_type_chosen)</f>
        <v>Internal Load Balancer</v>
      </c>
      <c r="M362" s="41"/>
      <c r="N362" s="41"/>
      <c r="O362" s="41"/>
      <c r="P362" s="41"/>
      <c r="Q362" s="41"/>
      <c r="R362" s="41"/>
      <c r="S362" s="41"/>
      <c r="T362" s="41"/>
      <c r="U362" s="41"/>
      <c r="V362" s="41"/>
      <c r="W362" s="41"/>
      <c r="X362" s="41"/>
      <c r="Y362" s="41"/>
      <c r="Z362" s="41"/>
      <c r="AA362" s="41"/>
      <c r="AB362" s="41"/>
      <c r="AC362" s="41"/>
      <c r="AD362" s="41"/>
      <c r="AE362" s="41"/>
      <c r="AF362" s="41"/>
    </row>
    <row r="363" ht="19.5" customHeight="1">
      <c r="A363" s="41"/>
      <c r="B363" s="41"/>
      <c r="C363" s="41"/>
      <c r="D363" s="41"/>
      <c r="E363" s="41"/>
      <c r="F363" s="41"/>
      <c r="G363" s="41"/>
      <c r="H363" s="41"/>
      <c r="I363" s="41"/>
      <c r="J363" s="41"/>
      <c r="K363" s="187" t="s">
        <v>1017</v>
      </c>
      <c r="L363" s="18" t="str">
        <f>IF(ISBLANK(vcf_automation_node_prefix_chosen),"Value Missing",vcf_automation_node_prefix_chosen)</f>
        <v>flt-auto</v>
      </c>
      <c r="M363" s="41"/>
      <c r="N363" s="41"/>
      <c r="O363" s="41"/>
      <c r="P363" s="41"/>
      <c r="Q363" s="41"/>
      <c r="R363" s="41"/>
      <c r="S363" s="41"/>
      <c r="T363" s="41"/>
      <c r="U363" s="41"/>
      <c r="V363" s="41"/>
      <c r="W363" s="41"/>
      <c r="X363" s="41"/>
      <c r="Y363" s="41"/>
      <c r="Z363" s="41"/>
      <c r="AA363" s="41"/>
      <c r="AB363" s="41"/>
      <c r="AC363" s="41"/>
      <c r="AD363" s="41"/>
      <c r="AE363" s="41"/>
      <c r="AF363" s="41"/>
    </row>
    <row r="364" ht="19.5" customHeight="1">
      <c r="A364" s="41"/>
      <c r="B364" s="41"/>
      <c r="C364" s="41"/>
      <c r="D364" s="41"/>
      <c r="E364" s="41"/>
      <c r="F364" s="41"/>
      <c r="G364" s="41"/>
      <c r="H364" s="41"/>
      <c r="I364" s="41"/>
      <c r="J364" s="41"/>
      <c r="K364" s="187" t="s">
        <v>348</v>
      </c>
      <c r="L364" s="18" t="str">
        <f>IF(ISBLANK(vcf_automation_internal_cidr_chosen),"Value Missing",vcf_automation_internal_cidr_chosen)</f>
        <v>192.18.0.0/15</v>
      </c>
      <c r="M364" s="41"/>
      <c r="N364" s="41"/>
      <c r="O364" s="41"/>
      <c r="P364" s="41"/>
      <c r="Q364" s="41"/>
      <c r="R364" s="41"/>
      <c r="S364" s="41"/>
      <c r="T364" s="41"/>
      <c r="U364" s="41"/>
      <c r="V364" s="41"/>
      <c r="W364" s="41"/>
      <c r="X364" s="41"/>
      <c r="Y364" s="41"/>
      <c r="Z364" s="41"/>
      <c r="AA364" s="41"/>
      <c r="AB364" s="41"/>
      <c r="AC364" s="41"/>
      <c r="AD364" s="41"/>
      <c r="AE364" s="41"/>
      <c r="AF364" s="41"/>
    </row>
    <row r="365" ht="19.5" customHeight="1">
      <c r="A365" s="41"/>
      <c r="B365" s="41"/>
      <c r="C365" s="41"/>
      <c r="D365" s="41"/>
      <c r="E365" s="41"/>
      <c r="F365" s="41"/>
      <c r="G365" s="41"/>
      <c r="H365" s="41"/>
      <c r="I365" s="41"/>
      <c r="J365" s="41"/>
      <c r="K365" s="187" t="s">
        <v>1078</v>
      </c>
      <c r="L365" s="18" t="str">
        <f>IF(ISBLANK(input_vcf_automation_additional_vips),"Value Missing",input_vcf_automation_additional_vips)</f>
        <v>Value Missing</v>
      </c>
      <c r="M365" s="41"/>
      <c r="N365" s="41"/>
      <c r="O365" s="41"/>
      <c r="P365" s="41"/>
      <c r="Q365" s="41"/>
      <c r="R365" s="41"/>
      <c r="S365" s="41"/>
      <c r="T365" s="41"/>
      <c r="U365" s="41"/>
      <c r="V365" s="41"/>
      <c r="W365" s="41"/>
      <c r="X365" s="41"/>
      <c r="Y365" s="41"/>
      <c r="Z365" s="41"/>
      <c r="AA365" s="41"/>
      <c r="AB365" s="41"/>
      <c r="AC365" s="41"/>
      <c r="AD365" s="41"/>
      <c r="AE365" s="41"/>
      <c r="AF365" s="41"/>
    </row>
    <row r="366" ht="19.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row>
    <row r="367" ht="19.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row>
    <row r="368" ht="19.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row>
    <row r="369" ht="19.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row>
    <row r="370" ht="19.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row>
    <row r="371" ht="19.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row>
    <row r="372" ht="19.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row>
    <row r="373" ht="19.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row>
    <row r="374" ht="19.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row>
    <row r="375" ht="19.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row>
    <row r="376" ht="19.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row>
    <row r="377" ht="19.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row>
    <row r="378" ht="19.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row>
    <row r="379" ht="19.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row>
    <row r="380" ht="19.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row>
    <row r="381" ht="19.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row>
    <row r="382" ht="19.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row>
    <row r="383" ht="19.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row>
    <row r="384" ht="19.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row>
    <row r="385" ht="19.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row>
    <row r="386" ht="19.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row>
    <row r="387" ht="19.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row>
    <row r="388" ht="19.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row>
    <row r="389" ht="19.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row>
    <row r="390" ht="19.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row>
    <row r="391" ht="19.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row>
    <row r="392" ht="19.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row>
    <row r="393" ht="19.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row>
    <row r="394" ht="19.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row>
    <row r="395" ht="19.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row>
    <row r="396" ht="19.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row>
    <row r="397" ht="19.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row>
    <row r="398" ht="19.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row>
    <row r="399" ht="19.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row>
    <row r="400" ht="19.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row>
    <row r="401" ht="19.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row>
    <row r="402" ht="19.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row>
    <row r="403" ht="19.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row>
    <row r="404" ht="19.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row>
    <row r="405" ht="19.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row>
    <row r="406" ht="19.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row>
    <row r="407" ht="19.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row>
    <row r="408" ht="19.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row>
    <row r="409" ht="19.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row>
    <row r="410" ht="19.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row>
    <row r="411" ht="19.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row>
    <row r="412" ht="19.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row>
    <row r="413" ht="19.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row>
    <row r="414" ht="19.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row>
    <row r="415" ht="19.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row>
    <row r="416" ht="19.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row>
    <row r="417" ht="19.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row>
    <row r="418" ht="19.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row>
    <row r="419" ht="19.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row>
    <row r="420" ht="19.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row>
    <row r="421" ht="19.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row>
    <row r="422" ht="19.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row>
    <row r="423" ht="19.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row>
    <row r="424" ht="19.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row>
    <row r="425" ht="19.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row>
    <row r="426" ht="19.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row>
    <row r="427" ht="19.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row>
    <row r="428" ht="19.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row>
    <row r="429" ht="19.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row>
    <row r="430" ht="19.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row>
    <row r="431" ht="19.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row>
    <row r="432" ht="19.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row>
    <row r="433" ht="19.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row>
    <row r="434" ht="19.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row>
    <row r="435" ht="19.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row>
    <row r="436" ht="19.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row>
    <row r="437" ht="19.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row>
    <row r="438" ht="19.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row>
    <row r="439" ht="19.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row>
    <row r="440" ht="19.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row>
    <row r="441" ht="19.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row>
    <row r="442" ht="19.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row>
    <row r="443" ht="19.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row>
    <row r="444" ht="19.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row>
    <row r="445" ht="19.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row>
    <row r="446" ht="19.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row>
    <row r="447" ht="19.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row>
    <row r="448" ht="19.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row>
    <row r="449" ht="19.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row>
    <row r="450" ht="19.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row>
    <row r="451" ht="19.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row>
    <row r="452" ht="19.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row>
    <row r="453" ht="19.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row>
    <row r="454" ht="19.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row>
    <row r="455" ht="19.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row>
    <row r="456" ht="19.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row>
    <row r="457" ht="19.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row>
    <row r="458" ht="19.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row>
    <row r="459" ht="19.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row>
    <row r="460" ht="19.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row>
    <row r="461" ht="19.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row>
    <row r="462" ht="19.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row>
    <row r="463" ht="19.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row>
    <row r="464" ht="19.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row>
    <row r="465" ht="19.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row>
    <row r="466" ht="19.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row>
    <row r="467" ht="19.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row>
    <row r="468" ht="19.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row>
    <row r="469" ht="19.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row>
    <row r="470" ht="19.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row>
    <row r="471" ht="19.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row>
    <row r="472" ht="19.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row>
    <row r="473" ht="19.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row>
    <row r="474" ht="19.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row>
    <row r="475" ht="19.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row>
    <row r="476" ht="19.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row>
    <row r="477" ht="19.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row>
    <row r="478" ht="19.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row>
    <row r="479" ht="19.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row>
    <row r="480" ht="19.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row>
    <row r="481" ht="19.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row>
    <row r="482" ht="19.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row>
    <row r="483" ht="19.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row>
    <row r="484" ht="19.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row>
    <row r="485" ht="19.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row>
    <row r="486" ht="19.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row>
    <row r="487" ht="19.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row>
    <row r="488" ht="19.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row>
    <row r="489" ht="19.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row>
    <row r="490" ht="19.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row>
    <row r="491" ht="19.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row>
    <row r="492" ht="19.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row>
    <row r="493" ht="19.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row>
    <row r="494" ht="19.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row>
    <row r="495" ht="19.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row>
    <row r="496" ht="19.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row>
    <row r="497" ht="19.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row>
    <row r="498" ht="19.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row>
    <row r="499" ht="19.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row>
    <row r="500" ht="19.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row>
    <row r="501" ht="19.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row>
    <row r="502" ht="19.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row>
    <row r="503" ht="19.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row>
    <row r="504" ht="19.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row>
    <row r="505" ht="19.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row>
    <row r="506" ht="19.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row>
    <row r="507" ht="19.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row>
    <row r="508" ht="19.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row>
    <row r="509" ht="19.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row>
    <row r="510" ht="19.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row>
    <row r="511" ht="19.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row>
    <row r="512" ht="19.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row>
    <row r="513" ht="19.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row>
    <row r="514" ht="19.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row>
    <row r="515" ht="19.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row>
    <row r="516" ht="19.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row>
    <row r="517" ht="19.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row>
    <row r="518" ht="19.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row>
    <row r="519" ht="19.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row>
    <row r="520" ht="19.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row>
    <row r="521" ht="19.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row>
    <row r="522" ht="19.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row>
    <row r="523" ht="19.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row>
    <row r="524" ht="19.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row>
    <row r="525" ht="19.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row>
    <row r="526" ht="19.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row>
    <row r="527" ht="19.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row>
    <row r="528" ht="19.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row>
    <row r="529" ht="19.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row>
    <row r="530" ht="19.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row>
    <row r="531" ht="19.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row>
    <row r="532" ht="19.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row>
    <row r="533" ht="19.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row>
    <row r="534" ht="19.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row>
    <row r="535" ht="19.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row>
    <row r="536" ht="19.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row>
    <row r="537" ht="19.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row>
    <row r="538" ht="19.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row>
    <row r="539" ht="19.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row>
    <row r="540" ht="19.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row>
    <row r="541" ht="19.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row>
    <row r="542" ht="19.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row>
    <row r="543" ht="19.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row>
    <row r="544" ht="19.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row>
    <row r="545" ht="19.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row>
    <row r="546" ht="19.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row>
    <row r="547" ht="19.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row>
    <row r="548" ht="19.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row>
    <row r="549" ht="19.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row>
    <row r="550" ht="19.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row>
    <row r="551" ht="19.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row>
    <row r="552" ht="19.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row>
    <row r="553" ht="19.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row>
    <row r="554" ht="19.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row>
    <row r="555" ht="19.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row>
    <row r="556" ht="19.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row>
    <row r="557" ht="19.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row>
    <row r="558" ht="19.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row>
    <row r="559" ht="19.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row>
    <row r="560" ht="19.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row>
    <row r="561" ht="19.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row>
    <row r="562" ht="19.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row>
    <row r="563" ht="19.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row>
    <row r="564" ht="19.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row>
    <row r="565" ht="19.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row>
    <row r="566" ht="19.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row>
    <row r="567" ht="19.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row>
    <row r="568" ht="19.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row>
    <row r="569" ht="19.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row>
    <row r="570" ht="19.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row>
    <row r="571" ht="19.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row>
    <row r="572" ht="19.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row>
    <row r="573" ht="19.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row>
    <row r="574" ht="19.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row>
    <row r="575" ht="19.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row>
    <row r="576" ht="19.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row>
    <row r="577" ht="19.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row>
    <row r="578" ht="19.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row>
    <row r="579" ht="19.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row>
    <row r="580" ht="19.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row>
    <row r="581" ht="19.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row>
    <row r="582" ht="19.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row>
    <row r="583" ht="19.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row>
    <row r="584" ht="19.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row>
    <row r="585" ht="19.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row>
    <row r="586" ht="19.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row>
    <row r="587" ht="19.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row>
    <row r="588" ht="19.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row>
    <row r="589" ht="19.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row>
    <row r="590" ht="19.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row>
    <row r="591" ht="19.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row>
    <row r="592" ht="19.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row>
    <row r="593" ht="19.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row>
    <row r="594" ht="19.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row>
    <row r="595" ht="19.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row>
    <row r="596" ht="19.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row>
    <row r="597" ht="19.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row>
    <row r="598" ht="19.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row>
    <row r="599" ht="19.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row>
    <row r="600" ht="19.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row>
    <row r="601" ht="19.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row>
    <row r="602" ht="19.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row>
    <row r="603" ht="19.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row>
    <row r="604" ht="19.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row>
    <row r="605" ht="19.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row>
    <row r="606" ht="19.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row>
    <row r="607" ht="19.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row>
    <row r="608" ht="19.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row>
    <row r="609" ht="19.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row>
    <row r="610" ht="19.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row>
    <row r="611" ht="19.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row>
    <row r="612" ht="19.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row>
    <row r="613" ht="19.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row>
    <row r="614" ht="19.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row>
    <row r="615" ht="19.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row>
    <row r="616" ht="19.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row>
    <row r="617" ht="19.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row>
    <row r="618" ht="19.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row>
    <row r="619" ht="19.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row>
    <row r="620" ht="19.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row>
    <row r="621" ht="19.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row>
    <row r="622" ht="19.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row>
    <row r="623" ht="19.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row>
    <row r="624" ht="19.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row>
    <row r="625" ht="19.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row>
    <row r="626" ht="19.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row>
    <row r="627" ht="19.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row>
    <row r="628" ht="19.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row>
    <row r="629" ht="19.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row>
    <row r="630" ht="19.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row>
    <row r="631" ht="19.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row>
    <row r="632" ht="19.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row>
    <row r="633" ht="19.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row>
    <row r="634" ht="19.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row>
    <row r="635" ht="19.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row>
    <row r="636" ht="19.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row>
    <row r="637" ht="19.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row>
    <row r="638" ht="19.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row>
    <row r="639" ht="19.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row>
    <row r="640" ht="19.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row>
    <row r="641" ht="19.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row>
    <row r="642" ht="19.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row>
    <row r="643" ht="19.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row>
    <row r="644" ht="19.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row>
    <row r="645" ht="19.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row>
    <row r="646" ht="19.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row>
    <row r="647" ht="19.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row>
    <row r="648" ht="19.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row>
    <row r="649" ht="19.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row>
    <row r="650" ht="19.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row>
    <row r="651" ht="19.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row>
    <row r="652" ht="19.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row>
    <row r="653" ht="19.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row>
    <row r="654" ht="19.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row>
    <row r="655" ht="19.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row>
    <row r="656" ht="19.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row>
    <row r="657" ht="19.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row>
    <row r="658" ht="19.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row>
    <row r="659" ht="19.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row>
    <row r="660" ht="19.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row>
    <row r="661" ht="19.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row>
    <row r="662" ht="19.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row>
    <row r="663" ht="19.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row>
    <row r="664" ht="19.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row>
    <row r="665" ht="19.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row>
    <row r="666" ht="19.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row>
    <row r="667" ht="19.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row>
    <row r="668" ht="19.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row>
    <row r="669" ht="19.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row>
    <row r="670" ht="19.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row>
    <row r="671" ht="19.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row>
    <row r="672" ht="19.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row>
    <row r="673" ht="19.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row>
    <row r="674" ht="19.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row>
    <row r="675" ht="19.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row>
    <row r="676" ht="19.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row>
    <row r="677" ht="19.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row>
    <row r="678" ht="19.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row>
    <row r="679" ht="19.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row>
    <row r="680" ht="19.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row>
    <row r="681" ht="19.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row>
    <row r="682" ht="19.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row>
    <row r="683" ht="19.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row>
    <row r="684" ht="19.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row>
    <row r="685" ht="19.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row>
    <row r="686" ht="19.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row>
    <row r="687" ht="19.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row>
    <row r="688" ht="19.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row>
    <row r="689" ht="19.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row>
    <row r="690" ht="19.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row>
    <row r="691" ht="19.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row>
    <row r="692" ht="19.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row>
    <row r="693" ht="19.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row>
    <row r="694" ht="19.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row>
    <row r="695" ht="19.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row>
    <row r="696" ht="19.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row>
    <row r="697" ht="19.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row>
    <row r="698" ht="19.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row>
    <row r="699" ht="19.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row>
    <row r="700" ht="19.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row>
    <row r="701" ht="19.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row>
    <row r="702" ht="19.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row>
    <row r="703" ht="19.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row>
    <row r="704" ht="19.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row>
    <row r="705" ht="19.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row>
    <row r="706" ht="19.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row>
    <row r="707" ht="19.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row>
    <row r="708" ht="19.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row>
    <row r="709" ht="19.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row>
    <row r="710" ht="19.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row>
    <row r="711" ht="19.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row>
    <row r="712" ht="19.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row>
    <row r="713" ht="19.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row>
    <row r="714" ht="19.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row>
    <row r="715" ht="19.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row>
    <row r="716" ht="19.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row>
    <row r="717" ht="19.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row>
    <row r="718" ht="19.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row>
    <row r="719" ht="19.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row>
    <row r="720" ht="19.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row>
    <row r="721" ht="19.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row>
    <row r="722" ht="19.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row>
    <row r="723" ht="19.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row>
    <row r="724" ht="19.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row>
    <row r="725" ht="19.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row>
    <row r="726" ht="19.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row>
    <row r="727" ht="19.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row>
    <row r="728" ht="19.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row>
    <row r="729" ht="19.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row>
    <row r="730" ht="19.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row>
    <row r="731" ht="19.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row>
    <row r="732" ht="19.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row>
    <row r="733" ht="19.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row>
    <row r="734" ht="19.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row>
    <row r="735" ht="19.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row>
    <row r="736" ht="19.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row>
    <row r="737" ht="19.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row>
    <row r="738" ht="19.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row>
    <row r="739" ht="19.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row>
    <row r="740" ht="19.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row>
    <row r="741" ht="19.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row>
    <row r="742" ht="19.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row>
    <row r="743" ht="19.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row>
    <row r="744" ht="19.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row>
    <row r="745" ht="19.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row>
    <row r="746" ht="19.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row>
    <row r="747" ht="19.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row>
    <row r="748" ht="19.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row>
    <row r="749" ht="19.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row>
    <row r="750" ht="19.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row>
    <row r="751" ht="19.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row>
    <row r="752" ht="19.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row>
    <row r="753" ht="19.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row>
    <row r="754" ht="19.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row>
    <row r="755" ht="19.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row>
    <row r="756" ht="19.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row>
    <row r="757" ht="19.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row>
    <row r="758" ht="19.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row>
    <row r="759" ht="19.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row>
    <row r="760" ht="19.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row>
    <row r="761" ht="19.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row>
    <row r="762" ht="19.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row>
    <row r="763" ht="19.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row>
    <row r="764" ht="19.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row>
    <row r="765" ht="19.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row>
    <row r="766" ht="19.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row>
    <row r="767" ht="19.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row>
    <row r="768" ht="19.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row>
    <row r="769" ht="19.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row>
    <row r="770" ht="19.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row>
    <row r="771" ht="19.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row>
    <row r="772" ht="19.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row>
    <row r="773" ht="19.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row>
    <row r="774" ht="19.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row>
    <row r="775" ht="19.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row>
    <row r="776" ht="19.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row>
    <row r="777" ht="19.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row>
    <row r="778" ht="19.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row>
    <row r="779" ht="19.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row>
    <row r="780" ht="19.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row>
    <row r="781" ht="19.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row>
    <row r="782" ht="19.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row>
    <row r="783" ht="19.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row>
    <row r="784" ht="19.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row>
    <row r="785" ht="19.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row>
    <row r="786" ht="19.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row>
    <row r="787" ht="19.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row>
    <row r="788" ht="19.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row>
    <row r="789" ht="19.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row>
    <row r="790" ht="19.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row>
    <row r="791" ht="19.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row>
    <row r="792" ht="19.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row>
    <row r="793" ht="19.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row>
    <row r="794" ht="19.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row>
    <row r="795" ht="19.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row>
    <row r="796" ht="19.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row>
    <row r="797" ht="19.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row>
    <row r="798" ht="19.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row>
    <row r="799" ht="19.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row>
    <row r="800" ht="19.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row>
    <row r="801" ht="19.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row>
    <row r="802" ht="19.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row>
    <row r="803" ht="19.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row>
    <row r="804" ht="19.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row>
    <row r="805" ht="19.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row>
    <row r="806" ht="19.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row>
    <row r="807" ht="19.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row>
    <row r="808" ht="19.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row>
    <row r="809" ht="19.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row>
    <row r="810" ht="19.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row>
    <row r="811" ht="19.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row>
    <row r="812" ht="19.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row>
    <row r="813" ht="19.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row>
    <row r="814" ht="19.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row>
    <row r="815" ht="19.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row>
    <row r="816" ht="19.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row>
    <row r="817" ht="19.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row>
    <row r="818" ht="19.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row>
    <row r="819" ht="19.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row>
    <row r="820" ht="19.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row>
    <row r="821" ht="19.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row>
    <row r="822" ht="19.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row>
    <row r="823" ht="19.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row>
    <row r="824" ht="19.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row>
    <row r="825" ht="19.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row>
    <row r="826" ht="19.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row>
    <row r="827" ht="19.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row>
    <row r="828" ht="19.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row>
    <row r="829" ht="19.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row>
    <row r="830" ht="19.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row>
    <row r="831" ht="19.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row>
    <row r="832" ht="19.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row>
    <row r="833" ht="19.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row>
    <row r="834" ht="19.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row>
    <row r="835" ht="19.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row>
    <row r="836" ht="19.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row>
    <row r="837" ht="19.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row>
    <row r="838" ht="19.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row>
    <row r="839" ht="19.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row>
    <row r="840" ht="19.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row>
    <row r="841" ht="19.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row>
    <row r="842" ht="19.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row>
    <row r="843" ht="19.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row>
    <row r="844" ht="19.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row>
    <row r="845" ht="19.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row>
    <row r="846" ht="19.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row>
    <row r="847" ht="19.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row>
    <row r="848" ht="19.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row>
    <row r="849" ht="19.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row>
    <row r="850" ht="19.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row>
    <row r="851" ht="19.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row>
    <row r="852" ht="19.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row>
    <row r="853" ht="19.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row>
    <row r="854" ht="19.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row>
    <row r="855" ht="19.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row>
    <row r="856" ht="19.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row>
    <row r="857" ht="19.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row>
    <row r="858" ht="19.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row>
    <row r="859" ht="19.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row>
    <row r="860" ht="19.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row>
    <row r="861" ht="19.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row>
    <row r="862" ht="19.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row>
    <row r="863" ht="19.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row>
    <row r="864" ht="19.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row>
    <row r="865" ht="19.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row>
    <row r="866" ht="19.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row>
    <row r="867" ht="19.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row>
    <row r="868" ht="19.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row>
    <row r="869" ht="19.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row>
    <row r="870" ht="19.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row>
    <row r="871" ht="19.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row>
    <row r="872" ht="19.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row>
    <row r="873" ht="19.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row>
    <row r="874" ht="19.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row>
    <row r="875" ht="19.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row>
    <row r="876" ht="19.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row>
    <row r="877" ht="19.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row>
    <row r="878" ht="19.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row>
    <row r="879" ht="19.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row>
    <row r="880" ht="19.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row>
    <row r="881" ht="19.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row>
    <row r="882" ht="19.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row>
    <row r="883" ht="19.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row>
    <row r="884" ht="19.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row>
    <row r="885" ht="19.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row>
    <row r="886" ht="19.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row>
    <row r="887" ht="19.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row>
    <row r="888" ht="19.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row>
    <row r="889" ht="19.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row>
    <row r="890" ht="19.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row>
    <row r="891" ht="19.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row>
    <row r="892" ht="19.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row>
    <row r="893" ht="19.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row>
    <row r="894" ht="19.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row>
    <row r="895" ht="19.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row>
    <row r="896" ht="19.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row>
    <row r="897" ht="19.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row>
    <row r="898" ht="19.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row>
    <row r="899" ht="19.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row>
    <row r="900" ht="19.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row>
    <row r="901" ht="19.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row>
    <row r="902" ht="19.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row>
    <row r="903" ht="19.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row>
    <row r="904" ht="19.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row>
    <row r="905" ht="19.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row>
    <row r="906" ht="19.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row>
    <row r="907" ht="19.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row>
    <row r="908" ht="19.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row>
    <row r="909" ht="19.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row>
    <row r="910" ht="19.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row>
    <row r="911" ht="19.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row>
    <row r="912" ht="19.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row>
    <row r="913" ht="19.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row>
    <row r="914" ht="19.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row>
    <row r="915" ht="19.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row>
    <row r="916" ht="19.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row>
    <row r="917" ht="19.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row>
    <row r="918" ht="19.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row>
    <row r="919" ht="19.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row>
    <row r="920" ht="19.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row>
    <row r="921" ht="19.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row>
    <row r="922" ht="19.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row>
    <row r="923" ht="19.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row>
    <row r="924" ht="19.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row>
    <row r="925" ht="19.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row>
    <row r="926" ht="19.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row>
    <row r="927" ht="19.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row>
    <row r="928" ht="19.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row>
    <row r="929" ht="19.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row>
    <row r="930" ht="19.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row>
    <row r="931" ht="19.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row>
    <row r="932" ht="19.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row>
    <row r="933" ht="19.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row>
    <row r="934" ht="19.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row>
    <row r="935" ht="19.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row>
    <row r="936" ht="19.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row>
    <row r="937" ht="19.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row>
    <row r="938" ht="19.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row>
    <row r="939" ht="19.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row>
    <row r="940" ht="19.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row>
    <row r="941" ht="19.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row>
    <row r="942" ht="19.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row>
    <row r="943" ht="19.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row>
    <row r="944" ht="19.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row>
    <row r="945" ht="19.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row>
    <row r="946" ht="19.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row>
    <row r="947" ht="19.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row>
    <row r="948" ht="19.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row>
    <row r="949" ht="19.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row>
    <row r="950" ht="19.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row>
    <row r="951" ht="19.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row>
    <row r="952" ht="19.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row>
    <row r="953" ht="19.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row>
    <row r="954" ht="19.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row>
    <row r="955" ht="19.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row>
    <row r="956" ht="19.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row>
    <row r="957" ht="19.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row>
    <row r="958" ht="19.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row>
    <row r="959" ht="19.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row>
    <row r="960" ht="19.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row>
    <row r="961" ht="19.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row>
    <row r="962" ht="19.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row>
    <row r="963" ht="19.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row>
    <row r="964" ht="19.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row>
    <row r="965" ht="19.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row>
    <row r="966" ht="19.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row>
    <row r="967" ht="19.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row>
    <row r="968" ht="19.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row>
    <row r="969" ht="19.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row>
    <row r="970" ht="19.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row>
    <row r="971" ht="19.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row>
    <row r="972" ht="19.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row>
    <row r="973" ht="19.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row>
    <row r="974" ht="19.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row>
    <row r="975" ht="19.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row>
    <row r="976" ht="19.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row>
    <row r="977" ht="19.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row>
    <row r="978" ht="19.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row>
    <row r="979" ht="19.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row>
    <row r="980" ht="19.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row>
    <row r="981" ht="19.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row>
    <row r="982" ht="19.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row>
    <row r="983" ht="19.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row>
    <row r="984" ht="19.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row>
    <row r="985" ht="19.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row>
    <row r="986" ht="19.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row>
    <row r="987" ht="19.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row>
    <row r="988" ht="19.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row>
    <row r="989" ht="19.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row>
    <row r="990" ht="19.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row>
    <row r="991" ht="19.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row>
    <row r="992" ht="19.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row>
    <row r="993" ht="19.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row>
    <row r="994" ht="19.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row>
    <row r="995" ht="19.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row>
    <row r="996" ht="19.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row>
    <row r="997" ht="19.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row>
    <row r="998" ht="19.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row>
    <row r="999" ht="19.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row>
    <row r="1000" ht="19.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row>
  </sheetData>
  <mergeCells count="49">
    <mergeCell ref="Q2:R2"/>
    <mergeCell ref="V2:Z2"/>
    <mergeCell ref="Q3:Z3"/>
    <mergeCell ref="K6:L6"/>
    <mergeCell ref="T6:U6"/>
    <mergeCell ref="W6:X6"/>
    <mergeCell ref="AC6:AE6"/>
    <mergeCell ref="Q6:R6"/>
    <mergeCell ref="Q10:R10"/>
    <mergeCell ref="H11:I11"/>
    <mergeCell ref="W11:X11"/>
    <mergeCell ref="Q14:R14"/>
    <mergeCell ref="H16:I16"/>
    <mergeCell ref="Q27:R27"/>
    <mergeCell ref="Z34:AA34"/>
    <mergeCell ref="Z56:AA56"/>
    <mergeCell ref="H25:I25"/>
    <mergeCell ref="E28:F28"/>
    <mergeCell ref="H34:I34"/>
    <mergeCell ref="B35:C35"/>
    <mergeCell ref="E41:F41"/>
    <mergeCell ref="H43:I43"/>
    <mergeCell ref="H52:I52"/>
    <mergeCell ref="N92:O92"/>
    <mergeCell ref="K109:L109"/>
    <mergeCell ref="B116:C116"/>
    <mergeCell ref="T125:U125"/>
    <mergeCell ref="K162:L162"/>
    <mergeCell ref="K166:L166"/>
    <mergeCell ref="K64:L64"/>
    <mergeCell ref="E66:F66"/>
    <mergeCell ref="B74:C74"/>
    <mergeCell ref="Q75:R75"/>
    <mergeCell ref="Q83:R83"/>
    <mergeCell ref="B88:C88"/>
    <mergeCell ref="Q91:R91"/>
    <mergeCell ref="T155:U155"/>
    <mergeCell ref="T190:U190"/>
    <mergeCell ref="H222:I222"/>
    <mergeCell ref="H231:I231"/>
    <mergeCell ref="H240:I240"/>
    <mergeCell ref="H248:I248"/>
    <mergeCell ref="Q30:R30"/>
    <mergeCell ref="Q33:R33"/>
    <mergeCell ref="Q36:R36"/>
    <mergeCell ref="T42:U42"/>
    <mergeCell ref="Q46:R46"/>
    <mergeCell ref="Q50:R50"/>
    <mergeCell ref="T50:U50"/>
  </mergeCells>
  <conditionalFormatting sqref="C7:C10 L39:L40">
    <cfRule type="notContainsBlanks" dxfId="0" priority="1">
      <formula>LEN(TRIM(C7))&gt;0</formula>
    </cfRule>
  </conditionalFormatting>
  <conditionalFormatting sqref="C7:C10 L39:L40">
    <cfRule type="containsBlanks" dxfId="7" priority="2">
      <formula>LEN(TRIM(C7))=0</formula>
    </cfRule>
  </conditionalFormatting>
  <conditionalFormatting sqref="C7:C10 L39:L40">
    <cfRule type="expression" dxfId="22" priority="3">
      <formula>(VROPS_Result="Excluded")</formula>
    </cfRule>
  </conditionalFormatting>
  <conditionalFormatting sqref="C14:C33 C92:C97 C99:C104 C106:C111 C118:C124 C128:C135 I71:I125 I178:I197 I201:I221 I223:I230 I232:I239 I241:I247 L183:L224 L288:L327 O93:O130">
    <cfRule type="notContainsBlanks" dxfId="0" priority="4">
      <formula>LEN(TRIM(C14))&gt;0</formula>
    </cfRule>
  </conditionalFormatting>
  <conditionalFormatting sqref="C14:C33 C92:C97 C99:C104 C106:C111 C118:C124 C128:C135 I71:I125 I178:I197 I201:I221 I223:I230 I232:I239 I241:I247 L183:L224 L288:L327 O93:O130">
    <cfRule type="containsBlanks" dxfId="7" priority="5">
      <formula>LEN(TRIM(C14))=0</formula>
    </cfRule>
  </conditionalFormatting>
  <conditionalFormatting sqref="C37:C48">
    <cfRule type="expression" dxfId="22" priority="6">
      <formula>AND((VRLI_Result="Excluded"),(VROPS_Result="Excluded"),(VRA_Result="Excluded"))</formula>
    </cfRule>
  </conditionalFormatting>
  <conditionalFormatting sqref="C37:C49 L167:L179">
    <cfRule type="notContainsBlanks" dxfId="0" priority="7">
      <formula>LEN(TRIM(C37))&gt;0</formula>
    </cfRule>
  </conditionalFormatting>
  <conditionalFormatting sqref="C37:C49 L167:L179">
    <cfRule type="containsBlanks" dxfId="7" priority="8">
      <formula>LEN(TRIM(C37))=0</formula>
    </cfRule>
  </conditionalFormatting>
  <conditionalFormatting sqref="C37:C49 L167:L179">
    <cfRule type="expression" dxfId="22" priority="9">
      <formula>(VROPS_Result="Excluded")</formula>
    </cfRule>
  </conditionalFormatting>
  <conditionalFormatting sqref="C49">
    <cfRule type="expression" dxfId="22" priority="10">
      <formula>AND((VRLI_Result="Excluded"),(VROPS_Result="Excluded"),(VRA_Result="Excluded"))</formula>
    </cfRule>
  </conditionalFormatting>
  <conditionalFormatting sqref="C53:C67 C138:C143">
    <cfRule type="notContainsBlanks" dxfId="0" priority="11">
      <formula>LEN(TRIM(C53))&gt;0</formula>
    </cfRule>
  </conditionalFormatting>
  <conditionalFormatting sqref="C53:C67 C138:C143">
    <cfRule type="containsBlanks" dxfId="7" priority="12">
      <formula>LEN(TRIM(C53))=0</formula>
    </cfRule>
  </conditionalFormatting>
  <conditionalFormatting sqref="C53:C67 C138:C143">
    <cfRule type="expression" dxfId="22" priority="13">
      <formula>(VROPS_Result="Excluded")</formula>
    </cfRule>
  </conditionalFormatting>
  <conditionalFormatting sqref="C53:C67 C138:C143">
    <cfRule type="expression" dxfId="22" priority="14">
      <formula>AND((VRLI_Result="Excluded"),(VROPS_Result="Excluded"),(VRA_Result="Excluded"))</formula>
    </cfRule>
  </conditionalFormatting>
  <conditionalFormatting sqref="C71:C72 F125:F126">
    <cfRule type="expression" dxfId="22" priority="15">
      <formula>AND((VRLI_Result="Excluded"),(VROPS_Result="Excluded"),(VRA_Result="Excluded"))</formula>
    </cfRule>
  </conditionalFormatting>
  <conditionalFormatting sqref="C71:C72">
    <cfRule type="notContainsBlanks" dxfId="0" priority="16">
      <formula>LEN(TRIM(C71))&gt;0</formula>
    </cfRule>
  </conditionalFormatting>
  <conditionalFormatting sqref="C71:C72">
    <cfRule type="containsBlanks" dxfId="7" priority="17">
      <formula>LEN(TRIM(C71))=0</formula>
    </cfRule>
  </conditionalFormatting>
  <conditionalFormatting sqref="C71:C72">
    <cfRule type="expression" dxfId="22" priority="18">
      <formula>(VROPS_Result="Excluded")</formula>
    </cfRule>
  </conditionalFormatting>
  <conditionalFormatting sqref="C76:C85">
    <cfRule type="expression" dxfId="22" priority="19">
      <formula>AND((VRLI_Result="Excluded"),(VROPS_Result="Excluded"),(VRA_Result="Excluded"))</formula>
    </cfRule>
  </conditionalFormatting>
  <conditionalFormatting sqref="C76:C86">
    <cfRule type="notContainsBlanks" dxfId="0" priority="20">
      <formula>LEN(TRIM(C76))&gt;0</formula>
    </cfRule>
  </conditionalFormatting>
  <conditionalFormatting sqref="C76:C86">
    <cfRule type="containsBlanks" dxfId="7" priority="21">
      <formula>LEN(TRIM(C76))=0</formula>
    </cfRule>
  </conditionalFormatting>
  <conditionalFormatting sqref="C76:C86">
    <cfRule type="expression" dxfId="22" priority="22">
      <formula>(VROPS_Result="Excluded")</formula>
    </cfRule>
  </conditionalFormatting>
  <conditionalFormatting sqref="C86">
    <cfRule type="expression" dxfId="22" priority="23">
      <formula>AND((VRLI_Result="Excluded"),(VROPS_Result="Excluded"),(VRA_Result="Excluded"))</formula>
    </cfRule>
  </conditionalFormatting>
  <conditionalFormatting sqref="C90 C114 F96:F102">
    <cfRule type="notContainsBlanks" dxfId="0" priority="24">
      <formula>LEN(TRIM(C90))&gt;0</formula>
    </cfRule>
  </conditionalFormatting>
  <conditionalFormatting sqref="C90 C114 F96:F102">
    <cfRule type="containsBlanks" dxfId="7" priority="25">
      <formula>LEN(TRIM(C90))=0</formula>
    </cfRule>
  </conditionalFormatting>
  <conditionalFormatting sqref="C90 C114 F96:F102">
    <cfRule type="expression" dxfId="22" priority="26">
      <formula>(VROPS_Result="Excluded")</formula>
    </cfRule>
  </conditionalFormatting>
  <conditionalFormatting sqref="C138:C143">
    <cfRule type="notContainsBlanks" dxfId="0" priority="27">
      <formula>LEN(TRIM(C138))&gt;0</formula>
    </cfRule>
  </conditionalFormatting>
  <conditionalFormatting sqref="C197:C202">
    <cfRule type="notContainsBlanks" dxfId="0" priority="28">
      <formula>LEN(TRIM(C197))&gt;0</formula>
    </cfRule>
  </conditionalFormatting>
  <conditionalFormatting sqref="C197:C202">
    <cfRule type="containsBlanks" dxfId="7" priority="29">
      <formula>LEN(TRIM(C197))=0</formula>
    </cfRule>
  </conditionalFormatting>
  <conditionalFormatting sqref="C197:C202">
    <cfRule type="expression" dxfId="22" priority="30">
      <formula>(VROPS_Result="Excluded")</formula>
    </cfRule>
  </conditionalFormatting>
  <conditionalFormatting sqref="C197:C202">
    <cfRule type="expression" dxfId="22" priority="31">
      <formula>AND((VRLI_Result="Excluded"),(VROPS_Result="Excluded"),(VRA_Result="Excluded"))</formula>
    </cfRule>
  </conditionalFormatting>
  <conditionalFormatting sqref="C215:C218">
    <cfRule type="notContainsBlanks" dxfId="0" priority="32">
      <formula>LEN(TRIM(C215))&gt;0</formula>
    </cfRule>
  </conditionalFormatting>
  <conditionalFormatting sqref="C215:C218">
    <cfRule type="containsBlanks" dxfId="7" priority="33">
      <formula>LEN(TRIM(C215))=0</formula>
    </cfRule>
  </conditionalFormatting>
  <conditionalFormatting sqref="C215:C218">
    <cfRule type="expression" dxfId="22" priority="34">
      <formula>(VROPS_Result="Excluded")</formula>
    </cfRule>
  </conditionalFormatting>
  <conditionalFormatting sqref="C215:C218">
    <cfRule type="expression" dxfId="22" priority="35">
      <formula>AND((VRLI_Result="Excluded"),(VROPS_Result="Excluded"),(VRA_Result="Excluded"))</formula>
    </cfRule>
  </conditionalFormatting>
  <conditionalFormatting sqref="C222:C230">
    <cfRule type="notContainsBlanks" dxfId="0" priority="36">
      <formula>LEN(TRIM(C222))&gt;0</formula>
    </cfRule>
  </conditionalFormatting>
  <conditionalFormatting sqref="C222:C230">
    <cfRule type="containsBlanks" dxfId="7" priority="37">
      <formula>LEN(TRIM(C222))=0</formula>
    </cfRule>
  </conditionalFormatting>
  <conditionalFormatting sqref="F7:F9">
    <cfRule type="notContainsBlanks" dxfId="0" priority="38">
      <formula>LEN(TRIM(F7))&gt;0</formula>
    </cfRule>
  </conditionalFormatting>
  <conditionalFormatting sqref="F7:F9">
    <cfRule type="containsBlanks" dxfId="7" priority="39">
      <formula>LEN(TRIM(F7))=0</formula>
    </cfRule>
  </conditionalFormatting>
  <conditionalFormatting sqref="F7:F9">
    <cfRule type="expression" dxfId="22" priority="40">
      <formula>(VROPS_Result="Excluded")</formula>
    </cfRule>
  </conditionalFormatting>
  <conditionalFormatting sqref="F7:F9">
    <cfRule type="expression" dxfId="22" priority="41">
      <formula>AND((VRLI_Result="Excluded"),(VROPS_Result="Excluded"),(VRA_Result="Excluded"))</formula>
    </cfRule>
  </conditionalFormatting>
  <conditionalFormatting sqref="F14:F22">
    <cfRule type="expression" dxfId="22" priority="42">
      <formula>AND((VRLI_Result="Excluded"),(VROPS_Result="Excluded"),(VRA_Result="Excluded"))</formula>
    </cfRule>
  </conditionalFormatting>
  <conditionalFormatting sqref="F14:F26">
    <cfRule type="notContainsBlanks" dxfId="0" priority="43">
      <formula>LEN(TRIM(F14))&gt;0</formula>
    </cfRule>
  </conditionalFormatting>
  <conditionalFormatting sqref="F14:F26">
    <cfRule type="containsBlanks" dxfId="7" priority="44">
      <formula>LEN(TRIM(F14))=0</formula>
    </cfRule>
  </conditionalFormatting>
  <conditionalFormatting sqref="F14:F26">
    <cfRule type="expression" dxfId="22" priority="45">
      <formula>(VROPS_Result="Excluded")</formula>
    </cfRule>
  </conditionalFormatting>
  <conditionalFormatting sqref="F23:F26">
    <cfRule type="expression" dxfId="22" priority="46">
      <formula>AND((VRLI_Result="Excluded"),(VROPS_Result="Excluded"),(VRA_Result="Excluded"))</formula>
    </cfRule>
  </conditionalFormatting>
  <conditionalFormatting sqref="F30:F39">
    <cfRule type="notContainsBlanks" dxfId="0" priority="47">
      <formula>LEN(TRIM(F30))&gt;0</formula>
    </cfRule>
  </conditionalFormatting>
  <conditionalFormatting sqref="F30:F39">
    <cfRule type="containsBlanks" dxfId="7" priority="48">
      <formula>LEN(TRIM(F30))=0</formula>
    </cfRule>
  </conditionalFormatting>
  <conditionalFormatting sqref="F30:F39">
    <cfRule type="expression" dxfId="22" priority="49">
      <formula>(VROPS_Result="Excluded")</formula>
    </cfRule>
  </conditionalFormatting>
  <conditionalFormatting sqref="F30:F39">
    <cfRule type="expression" dxfId="22" priority="50">
      <formula>AND((VRLI_Result="Excluded"),(VROPS_Result="Excluded"),(VRA_Result="Excluded"))</formula>
    </cfRule>
  </conditionalFormatting>
  <conditionalFormatting sqref="F43:F47">
    <cfRule type="expression" dxfId="22" priority="51">
      <formula>AND((VRLI_Result="Excluded"),(VROPS_Result="Excluded"),(VRA_Result="Excluded"))</formula>
    </cfRule>
  </conditionalFormatting>
  <conditionalFormatting sqref="F43:F54">
    <cfRule type="notContainsBlanks" dxfId="0" priority="52">
      <formula>LEN(TRIM(F43))&gt;0</formula>
    </cfRule>
  </conditionalFormatting>
  <conditionalFormatting sqref="F43:F54">
    <cfRule type="containsBlanks" dxfId="7" priority="53">
      <formula>LEN(TRIM(F43))=0</formula>
    </cfRule>
  </conditionalFormatting>
  <conditionalFormatting sqref="F43:F54">
    <cfRule type="expression" dxfId="22" priority="54">
      <formula>(VROPS_Result="Excluded")</formula>
    </cfRule>
  </conditionalFormatting>
  <conditionalFormatting sqref="F48:F54">
    <cfRule type="expression" dxfId="22" priority="55">
      <formula>AND((VRLI_Result="Excluded"),(VROPS_Result="Excluded"),(VRA_Result="Excluded"))</formula>
    </cfRule>
  </conditionalFormatting>
  <conditionalFormatting sqref="F58">
    <cfRule type="expression" dxfId="22" priority="56">
      <formula>AND((VRLI_Result="Excluded"),(VROPS_Result="Excluded"),(VRA_Result="Excluded"))</formula>
    </cfRule>
  </conditionalFormatting>
  <conditionalFormatting sqref="F58:F59">
    <cfRule type="notContainsBlanks" dxfId="0" priority="57">
      <formula>LEN(TRIM(F58))&gt;0</formula>
    </cfRule>
  </conditionalFormatting>
  <conditionalFormatting sqref="F58:F59">
    <cfRule type="containsBlanks" dxfId="7" priority="58">
      <formula>LEN(TRIM(F58))=0</formula>
    </cfRule>
  </conditionalFormatting>
  <conditionalFormatting sqref="F58:F59">
    <cfRule type="expression" dxfId="22" priority="59">
      <formula>(VROPS_Result="Excluded")</formula>
    </cfRule>
  </conditionalFormatting>
  <conditionalFormatting sqref="F59">
    <cfRule type="expression" dxfId="22" priority="60">
      <formula>AND((VRLI_Result="Excluded"),(VROPS_Result="Excluded"),(VRA_Result="Excluded"))</formula>
    </cfRule>
  </conditionalFormatting>
  <conditionalFormatting sqref="F63:F64">
    <cfRule type="notContainsBlanks" dxfId="0" priority="61">
      <formula>LEN(TRIM(F63))&gt;0</formula>
    </cfRule>
  </conditionalFormatting>
  <conditionalFormatting sqref="F63:F64">
    <cfRule type="containsBlanks" dxfId="7" priority="62">
      <formula>LEN(TRIM(F63))=0</formula>
    </cfRule>
  </conditionalFormatting>
  <conditionalFormatting sqref="F63:F64">
    <cfRule type="expression" dxfId="22" priority="63">
      <formula>(VROPS_Result="Excluded")</formula>
    </cfRule>
  </conditionalFormatting>
  <conditionalFormatting sqref="F63:F64">
    <cfRule type="expression" dxfId="22" priority="64">
      <formula>AND((VRLI_Result="Excluded"),(VROPS_Result="Excluded"),(VRA_Result="Excluded"))</formula>
    </cfRule>
  </conditionalFormatting>
  <conditionalFormatting sqref="F68">
    <cfRule type="notContainsBlanks" dxfId="0" priority="65">
      <formula>LEN(TRIM(F68))&gt;0</formula>
    </cfRule>
  </conditionalFormatting>
  <conditionalFormatting sqref="F68">
    <cfRule type="containsBlanks" dxfId="7" priority="66">
      <formula>LEN(TRIM(F68))=0</formula>
    </cfRule>
  </conditionalFormatting>
  <conditionalFormatting sqref="F68">
    <cfRule type="expression" dxfId="22" priority="67">
      <formula>(VROPS_Result="Excluded")</formula>
    </cfRule>
  </conditionalFormatting>
  <conditionalFormatting sqref="F68">
    <cfRule type="expression" dxfId="22" priority="68">
      <formula>AND((VRLI_Result="Excluded"),(VROPS_Result="Excluded"),(VRA_Result="Excluded"))</formula>
    </cfRule>
  </conditionalFormatting>
  <conditionalFormatting sqref="F70:F75">
    <cfRule type="expression" dxfId="22" priority="69">
      <formula>AND((VRLI_Result="Excluded"),(VROPS_Result="Excluded"),(VRA_Result="Excluded"))</formula>
    </cfRule>
  </conditionalFormatting>
  <conditionalFormatting sqref="F70:F76">
    <cfRule type="notContainsBlanks" dxfId="0" priority="70">
      <formula>LEN(TRIM(F70))&gt;0</formula>
    </cfRule>
  </conditionalFormatting>
  <conditionalFormatting sqref="F70:F76">
    <cfRule type="containsBlanks" dxfId="7" priority="71">
      <formula>LEN(TRIM(F70))=0</formula>
    </cfRule>
  </conditionalFormatting>
  <conditionalFormatting sqref="F70:F76">
    <cfRule type="expression" dxfId="22" priority="72">
      <formula>(VROPS_Result="Excluded")</formula>
    </cfRule>
  </conditionalFormatting>
  <conditionalFormatting sqref="C90 C114 F76 F84 F92 F96:F102">
    <cfRule type="expression" dxfId="22" priority="73">
      <formula>AND((VRLI_Result="Excluded"),(VROPS_Result="Excluded"),(VRA_Result="Excluded"))</formula>
    </cfRule>
  </conditionalFormatting>
  <conditionalFormatting sqref="F78:F83">
    <cfRule type="expression" dxfId="22" priority="74">
      <formula>AND((VRLI_Result="Excluded"),(VROPS_Result="Excluded"),(VRA_Result="Excluded"))</formula>
    </cfRule>
  </conditionalFormatting>
  <conditionalFormatting sqref="F78:F84">
    <cfRule type="notContainsBlanks" dxfId="0" priority="75">
      <formula>LEN(TRIM(F78))&gt;0</formula>
    </cfRule>
  </conditionalFormatting>
  <conditionalFormatting sqref="F78:F84">
    <cfRule type="containsBlanks" dxfId="7" priority="76">
      <formula>LEN(TRIM(F78))=0</formula>
    </cfRule>
  </conditionalFormatting>
  <conditionalFormatting sqref="F78:F84">
    <cfRule type="expression" dxfId="22" priority="77">
      <formula>(VROPS_Result="Excluded")</formula>
    </cfRule>
  </conditionalFormatting>
  <conditionalFormatting sqref="F86:F91">
    <cfRule type="expression" dxfId="22" priority="78">
      <formula>AND((VRLI_Result="Excluded"),(VROPS_Result="Excluded"),(VRA_Result="Excluded"))</formula>
    </cfRule>
  </conditionalFormatting>
  <conditionalFormatting sqref="F86:F92">
    <cfRule type="notContainsBlanks" dxfId="0" priority="79">
      <formula>LEN(TRIM(F86))&gt;0</formula>
    </cfRule>
  </conditionalFormatting>
  <conditionalFormatting sqref="F86:F92">
    <cfRule type="containsBlanks" dxfId="7" priority="80">
      <formula>LEN(TRIM(F86))=0</formula>
    </cfRule>
  </conditionalFormatting>
  <conditionalFormatting sqref="F86:F92">
    <cfRule type="expression" dxfId="22" priority="81">
      <formula>(VROPS_Result="Excluded")</formula>
    </cfRule>
  </conditionalFormatting>
  <conditionalFormatting sqref="F111:F116">
    <cfRule type="notContainsBlanks" dxfId="0" priority="82">
      <formula>LEN(TRIM(F111))&gt;0</formula>
    </cfRule>
  </conditionalFormatting>
  <conditionalFormatting sqref="F111:F116">
    <cfRule type="containsBlanks" dxfId="7" priority="83">
      <formula>LEN(TRIM(F111))=0</formula>
    </cfRule>
  </conditionalFormatting>
  <conditionalFormatting sqref="F111:F116">
    <cfRule type="expression" dxfId="22" priority="84">
      <formula>(VROPS_Result="Excluded")</formula>
    </cfRule>
  </conditionalFormatting>
  <conditionalFormatting sqref="F111:F116">
    <cfRule type="expression" dxfId="22" priority="85">
      <formula>AND((VRLI_Result="Excluded"),(VROPS_Result="Excluded"),(VRA_Result="Excluded"))</formula>
    </cfRule>
  </conditionalFormatting>
  <conditionalFormatting sqref="F122:F124">
    <cfRule type="expression" dxfId="22" priority="86">
      <formula>AND((VRLI_Result="Excluded"),(VROPS_Result="Excluded"),(VRA_Result="Excluded"))</formula>
    </cfRule>
  </conditionalFormatting>
  <conditionalFormatting sqref="F122:F126">
    <cfRule type="notContainsBlanks" dxfId="0" priority="87">
      <formula>LEN(TRIM(F122))&gt;0</formula>
    </cfRule>
  </conditionalFormatting>
  <conditionalFormatting sqref="F122:F126">
    <cfRule type="containsBlanks" dxfId="7" priority="88">
      <formula>LEN(TRIM(F122))=0</formula>
    </cfRule>
  </conditionalFormatting>
  <conditionalFormatting sqref="F122:F126">
    <cfRule type="expression" dxfId="22" priority="89">
      <formula>(VROPS_Result="Excluded")</formula>
    </cfRule>
  </conditionalFormatting>
  <conditionalFormatting sqref="F132:F137">
    <cfRule type="expression" dxfId="22" priority="90">
      <formula>(VROPS_Result="Excluded")</formula>
    </cfRule>
  </conditionalFormatting>
  <conditionalFormatting sqref="F132:F137">
    <cfRule type="expression" dxfId="22" priority="91">
      <formula>AND((VRLI_Result="Excluded"),(VROPS_Result="Excluded"),(VRA_Result="Excluded"))</formula>
    </cfRule>
  </conditionalFormatting>
  <conditionalFormatting sqref="C232:C242 C244:C251 F132:F140 L254:L262 L330:L365">
    <cfRule type="notContainsBlanks" dxfId="0" priority="92">
      <formula>LEN(TRIM(C232))&gt;0</formula>
    </cfRule>
  </conditionalFormatting>
  <conditionalFormatting sqref="C232:C242 C244:C251 F132:F140 L254:L262 L330:L365">
    <cfRule type="containsBlanks" dxfId="7" priority="93">
      <formula>LEN(TRIM(C232))=0</formula>
    </cfRule>
  </conditionalFormatting>
  <conditionalFormatting sqref="F144:F146">
    <cfRule type="expression" dxfId="22" priority="94">
      <formula>AND((VRLI_Result="Excluded"),(VROPS_Result="Excluded"),(VRA_Result="Excluded"))</formula>
    </cfRule>
  </conditionalFormatting>
  <conditionalFormatting sqref="F144:F158">
    <cfRule type="notContainsBlanks" dxfId="0" priority="95">
      <formula>LEN(TRIM(F144))&gt;0</formula>
    </cfRule>
  </conditionalFormatting>
  <conditionalFormatting sqref="F144:F158">
    <cfRule type="containsBlanks" dxfId="7" priority="96">
      <formula>LEN(TRIM(F144))=0</formula>
    </cfRule>
  </conditionalFormatting>
  <conditionalFormatting sqref="F144:F158">
    <cfRule type="expression" dxfId="22" priority="97">
      <formula>(VROPS_Result="Excluded")</formula>
    </cfRule>
  </conditionalFormatting>
  <conditionalFormatting sqref="F147">
    <cfRule type="expression" dxfId="22" priority="98">
      <formula>AND((VRLI_Result="Excluded"),(VROPS_Result="Excluded"),(VRA_Result="Excluded"))</formula>
    </cfRule>
  </conditionalFormatting>
  <conditionalFormatting sqref="F148:F152">
    <cfRule type="expression" dxfId="22" priority="99">
      <formula>AND((VRLI_Result="Excluded"),(VROPS_Result="Excluded"),(VRA_Result="Excluded"))</formula>
    </cfRule>
  </conditionalFormatting>
  <conditionalFormatting sqref="C253:C260 F160:F192">
    <cfRule type="notContainsBlanks" dxfId="0" priority="100">
      <formula>LEN(TRIM(C253))&gt;0</formula>
    </cfRule>
  </conditionalFormatting>
  <conditionalFormatting sqref="C253:C260 F160:F192">
    <cfRule type="containsBlanks" dxfId="7" priority="101">
      <formula>LEN(TRIM(C253))=0</formula>
    </cfRule>
  </conditionalFormatting>
  <conditionalFormatting sqref="F172:F192">
    <cfRule type="expression" dxfId="22" priority="102">
      <formula>(VROPS_Result="Excluded")</formula>
    </cfRule>
  </conditionalFormatting>
  <conditionalFormatting sqref="F191:F192">
    <cfRule type="expression" dxfId="22" priority="103">
      <formula>AND((VRLI_Result="Excluded"),(VROPS_Result="Excluded"),(VRA_Result="Excluded"))</formula>
    </cfRule>
  </conditionalFormatting>
  <conditionalFormatting sqref="C147:C188 I8:I10 I12:I15 I17:I24 I26:I33 I35:I42 I53:I69">
    <cfRule type="notContainsBlanks" dxfId="0" priority="104">
      <formula>LEN(TRIM(C147))&gt;0</formula>
    </cfRule>
  </conditionalFormatting>
  <conditionalFormatting sqref="C147:C188 I8:I10 I12:I15 I17:I24 I26:I33 I35:I42 I53:I69">
    <cfRule type="containsBlanks" dxfId="7" priority="105">
      <formula>LEN(TRIM(C147))=0</formula>
    </cfRule>
  </conditionalFormatting>
  <conditionalFormatting sqref="I17:I24">
    <cfRule type="notContainsBlanks" dxfId="0" priority="106">
      <formula>LEN(TRIM(I17))&gt;0</formula>
    </cfRule>
  </conditionalFormatting>
  <conditionalFormatting sqref="I17:I24">
    <cfRule type="containsBlanks" dxfId="7" priority="107">
      <formula>LEN(TRIM(I17))=0</formula>
    </cfRule>
  </conditionalFormatting>
  <conditionalFormatting sqref="I26:I33">
    <cfRule type="notContainsBlanks" dxfId="0" priority="108">
      <formula>LEN(TRIM(I26))&gt;0</formula>
    </cfRule>
  </conditionalFormatting>
  <conditionalFormatting sqref="I26:I33">
    <cfRule type="containsBlanks" dxfId="7" priority="109">
      <formula>LEN(TRIM(I26))=0</formula>
    </cfRule>
  </conditionalFormatting>
  <conditionalFormatting sqref="I35:I42">
    <cfRule type="notContainsBlanks" dxfId="0" priority="110">
      <formula>LEN(TRIM(I35))&gt;0</formula>
    </cfRule>
  </conditionalFormatting>
  <conditionalFormatting sqref="I35:I42">
    <cfRule type="containsBlanks" dxfId="7" priority="111">
      <formula>LEN(TRIM(I35))=0</formula>
    </cfRule>
  </conditionalFormatting>
  <conditionalFormatting sqref="I44:I51">
    <cfRule type="notContainsBlanks" dxfId="0" priority="112">
      <formula>LEN(TRIM(I44))&gt;0</formula>
    </cfRule>
  </conditionalFormatting>
  <conditionalFormatting sqref="I44:I51">
    <cfRule type="containsBlanks" dxfId="7" priority="113">
      <formula>LEN(TRIM(I44))=0</formula>
    </cfRule>
  </conditionalFormatting>
  <conditionalFormatting sqref="I44:I51">
    <cfRule type="notContainsBlanks" dxfId="0" priority="114">
      <formula>LEN(TRIM(I44))&gt;0</formula>
    </cfRule>
  </conditionalFormatting>
  <conditionalFormatting sqref="I44:I51">
    <cfRule type="containsBlanks" dxfId="7" priority="115">
      <formula>LEN(TRIM(I44))=0</formula>
    </cfRule>
  </conditionalFormatting>
  <conditionalFormatting sqref="I105:I125 I127:I130 I132:I135 I137:I140">
    <cfRule type="expression" dxfId="22" priority="116">
      <formula>AND((VRLI_Result="Excluded"),(VROPS_Result="Excluded"),(VRA_Result="Excluded"))</formula>
    </cfRule>
  </conditionalFormatting>
  <conditionalFormatting sqref="I127:I130 I132:I135 I137:I140">
    <cfRule type="notContainsBlanks" dxfId="0" priority="117">
      <formula>LEN(TRIM(I127))&gt;0</formula>
    </cfRule>
  </conditionalFormatting>
  <conditionalFormatting sqref="I127:I130 I132:I135 I137:I140">
    <cfRule type="containsBlanks" dxfId="7" priority="118">
      <formula>LEN(TRIM(I127))=0</formula>
    </cfRule>
  </conditionalFormatting>
  <conditionalFormatting sqref="I127:I130 I132:I135 I137:I140">
    <cfRule type="expression" dxfId="22" priority="119">
      <formula>(VROPS_Result="Excluded")</formula>
    </cfRule>
  </conditionalFormatting>
  <conditionalFormatting sqref="I142:I145 I147:I150">
    <cfRule type="notContainsBlanks" dxfId="0" priority="120">
      <formula>LEN(TRIM(I142))&gt;0</formula>
    </cfRule>
  </conditionalFormatting>
  <conditionalFormatting sqref="I142:I145 I147:I150">
    <cfRule type="containsBlanks" dxfId="7" priority="121">
      <formula>LEN(TRIM(I142))=0</formula>
    </cfRule>
  </conditionalFormatting>
  <conditionalFormatting sqref="I142:I145 I147:I150">
    <cfRule type="expression" dxfId="22" priority="122">
      <formula>(VROPS_Result="Excluded")</formula>
    </cfRule>
  </conditionalFormatting>
  <conditionalFormatting sqref="I142:I145 I147:I150">
    <cfRule type="expression" dxfId="22" priority="123">
      <formula>AND((VRLI_Result="Excluded"),(VROPS_Result="Excluded"),(VRA_Result="Excluded"))</formula>
    </cfRule>
  </conditionalFormatting>
  <conditionalFormatting sqref="I152:I155">
    <cfRule type="notContainsBlanks" dxfId="0" priority="124">
      <formula>LEN(TRIM(I152))&gt;0</formula>
    </cfRule>
  </conditionalFormatting>
  <conditionalFormatting sqref="I152:I155">
    <cfRule type="containsBlanks" dxfId="7" priority="125">
      <formula>LEN(TRIM(I152))=0</formula>
    </cfRule>
  </conditionalFormatting>
  <conditionalFormatting sqref="I152:I155">
    <cfRule type="expression" dxfId="22" priority="126">
      <formula>(VROPS_Result="Excluded")</formula>
    </cfRule>
  </conditionalFormatting>
  <conditionalFormatting sqref="I152:I155">
    <cfRule type="expression" dxfId="22" priority="127">
      <formula>AND((VRLI_Result="Excluded"),(VROPS_Result="Excluded"),(VRA_Result="Excluded"))</formula>
    </cfRule>
  </conditionalFormatting>
  <conditionalFormatting sqref="I157:I160">
    <cfRule type="expression" dxfId="22" priority="128">
      <formula>AND((VRLI_Result="Excluded"),(VROPS_Result="Excluded"),(VRA_Result="Excluded"))</formula>
    </cfRule>
  </conditionalFormatting>
  <conditionalFormatting sqref="I157:I174 L254:L260 L330:L351 L354:L365">
    <cfRule type="expression" dxfId="22" priority="129">
      <formula>(VROPS_Result="Excluded")</formula>
    </cfRule>
  </conditionalFormatting>
  <conditionalFormatting sqref="I157:I174">
    <cfRule type="notContainsBlanks" dxfId="0" priority="130">
      <formula>LEN(TRIM(I157))&gt;0</formula>
    </cfRule>
  </conditionalFormatting>
  <conditionalFormatting sqref="I157:I174">
    <cfRule type="containsBlanks" dxfId="7" priority="131">
      <formula>LEN(TRIM(I157))=0</formula>
    </cfRule>
  </conditionalFormatting>
  <conditionalFormatting sqref="I161:I174">
    <cfRule type="expression" dxfId="22" priority="132">
      <formula>AND((VRLI_Result="Excluded"),(VROPS_Result="Excluded"),(VRA_Result="Excluded"))</formula>
    </cfRule>
  </conditionalFormatting>
  <conditionalFormatting sqref="I249:I256">
    <cfRule type="notContainsBlanks" dxfId="0" priority="133">
      <formula>LEN(TRIM(I249))&gt;0</formula>
    </cfRule>
  </conditionalFormatting>
  <conditionalFormatting sqref="I249:I256">
    <cfRule type="containsBlanks" dxfId="7" priority="134">
      <formula>LEN(TRIM(I249))=0</formula>
    </cfRule>
  </conditionalFormatting>
  <conditionalFormatting sqref="I249:I312">
    <cfRule type="notContainsBlanks" dxfId="0" priority="135">
      <formula>LEN(TRIM(I249))&gt;0</formula>
    </cfRule>
  </conditionalFormatting>
  <conditionalFormatting sqref="I249:I312">
    <cfRule type="containsBlanks" dxfId="7" priority="136">
      <formula>LEN(TRIM(I249))=0</formula>
    </cfRule>
  </conditionalFormatting>
  <conditionalFormatting sqref="L39">
    <cfRule type="expression" dxfId="22" priority="137">
      <formula>AND((VRLI_Result="Excluded"),(VROPS_Result="Excluded"),(VRA_Result="Excluded"))</formula>
    </cfRule>
  </conditionalFormatting>
  <conditionalFormatting sqref="L60:L62">
    <cfRule type="expression" dxfId="28" priority="138">
      <formula>AND(VVD_Result="Excluded",ISBLANK(#REF!))</formula>
    </cfRule>
  </conditionalFormatting>
  <conditionalFormatting sqref="L66:L67">
    <cfRule type="expression" dxfId="28" priority="139">
      <formula>AND(VVD_Result="Excluded",ISBLANK(#REF!))</formula>
    </cfRule>
  </conditionalFormatting>
  <conditionalFormatting sqref="L68">
    <cfRule type="expression" dxfId="28" priority="140">
      <formula>AND(VVD_Result="Excluded",ISBLANK(#REF!))</formula>
    </cfRule>
  </conditionalFormatting>
  <conditionalFormatting sqref="L97:L98 L111:L122">
    <cfRule type="expression" dxfId="22" priority="141">
      <formula>(VVD_Result="Excluded")</formula>
    </cfRule>
  </conditionalFormatting>
  <conditionalFormatting sqref="L100">
    <cfRule type="expression" dxfId="22" priority="142">
      <formula>OR((VROPS_Result="Excluded"),(VRA_Result="Excluded"))</formula>
    </cfRule>
  </conditionalFormatting>
  <conditionalFormatting sqref="L101">
    <cfRule type="expression" dxfId="22" priority="143">
      <formula>(VRLI_Result="Excluded")</formula>
    </cfRule>
  </conditionalFormatting>
  <conditionalFormatting sqref="L102">
    <cfRule type="expression" dxfId="22" priority="144">
      <formula>OR((VRLI_Result="Excluded"),(VROPS_Result="Excluded"))</formula>
    </cfRule>
  </conditionalFormatting>
  <conditionalFormatting sqref="L107">
    <cfRule type="expression" dxfId="22" priority="145">
      <formula>OR((VROPS_Result="Excluded"),(VRA_Result="Excluded"))</formula>
    </cfRule>
  </conditionalFormatting>
  <conditionalFormatting sqref="L126:L127">
    <cfRule type="expression" dxfId="22" priority="146">
      <formula>(VVD_Result="Excluded")</formula>
    </cfRule>
  </conditionalFormatting>
  <conditionalFormatting sqref="L131:L132">
    <cfRule type="expression" dxfId="22" priority="147">
      <formula>OR((VVD_Result="Excluded"),(tanzu_result="Excluded"))</formula>
    </cfRule>
  </conditionalFormatting>
  <conditionalFormatting sqref="L103:L106 L145:L151">
    <cfRule type="expression" dxfId="22" priority="148">
      <formula>(VRA_Result="Excluded")</formula>
    </cfRule>
  </conditionalFormatting>
  <conditionalFormatting sqref="L164">
    <cfRule type="expression" dxfId="22" priority="149">
      <formula>(VVD_Result="Excluded")</formula>
    </cfRule>
  </conditionalFormatting>
  <conditionalFormatting sqref="L179">
    <cfRule type="expression" dxfId="22" priority="150">
      <formula>AND((VRLI_Result="Excluded"),(VROPS_Result="Excluded"),(VRA_Result="Excluded"))</formula>
    </cfRule>
  </conditionalFormatting>
  <conditionalFormatting sqref="L229">
    <cfRule type="notContainsBlanks" dxfId="0" priority="151">
      <formula>LEN(TRIM(L229))&gt;0</formula>
    </cfRule>
  </conditionalFormatting>
  <conditionalFormatting sqref="L229">
    <cfRule type="containsBlanks" dxfId="7" priority="152">
      <formula>LEN(TRIM(L229))=0</formula>
    </cfRule>
  </conditionalFormatting>
  <conditionalFormatting sqref="L229">
    <cfRule type="expression" dxfId="22" priority="153">
      <formula>(VROPS_Result="Excluded")</formula>
    </cfRule>
  </conditionalFormatting>
  <conditionalFormatting sqref="L234:L252">
    <cfRule type="notContainsBlanks" dxfId="0" priority="154">
      <formula>LEN(TRIM(L234))&gt;0</formula>
    </cfRule>
  </conditionalFormatting>
  <conditionalFormatting sqref="L234:L252">
    <cfRule type="containsBlanks" dxfId="7" priority="155">
      <formula>LEN(TRIM(L234))=0</formula>
    </cfRule>
  </conditionalFormatting>
  <conditionalFormatting sqref="L234:L252">
    <cfRule type="expression" dxfId="22" priority="156">
      <formula>(VROPS_Result="Excluded")</formula>
    </cfRule>
  </conditionalFormatting>
  <conditionalFormatting sqref="L269:L272">
    <cfRule type="notContainsBlanks" dxfId="0" priority="157">
      <formula>LEN(TRIM(L269))&gt;0</formula>
    </cfRule>
  </conditionalFormatting>
  <conditionalFormatting sqref="L269:L272">
    <cfRule type="containsBlanks" dxfId="7" priority="158">
      <formula>LEN(TRIM(L269))=0</formula>
    </cfRule>
  </conditionalFormatting>
  <conditionalFormatting sqref="L269:L272">
    <cfRule type="expression" dxfId="22" priority="159">
      <formula>(VROPS_Result="Excluded")</formula>
    </cfRule>
  </conditionalFormatting>
  <conditionalFormatting sqref="L274:L284">
    <cfRule type="notContainsBlanks" dxfId="0" priority="160">
      <formula>LEN(TRIM(L274))&gt;0</formula>
    </cfRule>
  </conditionalFormatting>
  <conditionalFormatting sqref="L274:L284">
    <cfRule type="containsBlanks" dxfId="7" priority="161">
      <formula>LEN(TRIM(L274))=0</formula>
    </cfRule>
  </conditionalFormatting>
  <conditionalFormatting sqref="L274:L284">
    <cfRule type="expression" dxfId="22" priority="162">
      <formula>(VROPS_Result="Excluded")</formula>
    </cfRule>
  </conditionalFormatting>
  <conditionalFormatting sqref="Q106">
    <cfRule type="expression" dxfId="22" priority="163">
      <formula>AND((VRLI_Result="Excluded"),(VROPS_Result="Excluded"),(VRA_Result="Excluded"))</formula>
    </cfRule>
  </conditionalFormatting>
  <conditionalFormatting sqref="Q112">
    <cfRule type="expression" dxfId="22" priority="164">
      <formula>AND((VRLI_Result="Excluded"),(VROPS_Result="Excluded"),(VRA_Result="Excluded"))</formula>
    </cfRule>
  </conditionalFormatting>
  <conditionalFormatting sqref="Q117">
    <cfRule type="expression" dxfId="22" priority="165">
      <formula>AND((VRLI_Result="Excluded"),(VROPS_Result="Excluded"),(VRA_Result="Excluded"))</formula>
    </cfRule>
  </conditionalFormatting>
  <conditionalFormatting sqref="Q122">
    <cfRule type="expression" dxfId="22" priority="166">
      <formula>AND((VRLI_Result="Excluded"),(VROPS_Result="Excluded"),(VRA_Result="Excluded"))</formula>
    </cfRule>
  </conditionalFormatting>
  <conditionalFormatting sqref="Q127">
    <cfRule type="expression" dxfId="22" priority="167">
      <formula>AND((VRLI_Result="Excluded"),(VROPS_Result="Excluded"),(VRA_Result="Excluded"))</formula>
    </cfRule>
  </conditionalFormatting>
  <conditionalFormatting sqref="K13 L152:L160 R8 R12 R16 T6">
    <cfRule type="expression" dxfId="22" priority="168">
      <formula>AND((VRLI_Result="Excluded"),(VROPS_Result="Excluded"),(VRA_Result="Excluded"))</formula>
    </cfRule>
  </conditionalFormatting>
  <conditionalFormatting sqref="R8">
    <cfRule type="notContainsBlanks" dxfId="0" priority="169">
      <formula>LEN(TRIM(R8))&gt;0</formula>
    </cfRule>
  </conditionalFormatting>
  <conditionalFormatting sqref="R8">
    <cfRule type="containsBlanks" dxfId="7" priority="170">
      <formula>LEN(TRIM(R8))=0</formula>
    </cfRule>
  </conditionalFormatting>
  <conditionalFormatting sqref="R8">
    <cfRule type="expression" dxfId="22" priority="171">
      <formula>(VROPS_Result="Excluded")</formula>
    </cfRule>
  </conditionalFormatting>
  <conditionalFormatting sqref="R12">
    <cfRule type="notContainsBlanks" dxfId="0" priority="172">
      <formula>LEN(TRIM(R12))&gt;0</formula>
    </cfRule>
  </conditionalFormatting>
  <conditionalFormatting sqref="R12">
    <cfRule type="containsBlanks" dxfId="7" priority="173">
      <formula>LEN(TRIM(R12))=0</formula>
    </cfRule>
  </conditionalFormatting>
  <conditionalFormatting sqref="R12">
    <cfRule type="expression" dxfId="22" priority="174">
      <formula>(VROPS_Result="Excluded")</formula>
    </cfRule>
  </conditionalFormatting>
  <conditionalFormatting sqref="R16">
    <cfRule type="notContainsBlanks" dxfId="0" priority="175">
      <formula>LEN(TRIM(R16))&gt;0</formula>
    </cfRule>
  </conditionalFormatting>
  <conditionalFormatting sqref="R16">
    <cfRule type="containsBlanks" dxfId="7" priority="176">
      <formula>LEN(TRIM(R16))=0</formula>
    </cfRule>
  </conditionalFormatting>
  <conditionalFormatting sqref="R16">
    <cfRule type="expression" dxfId="22" priority="177">
      <formula>(VROPS_Result="Excluded")</formula>
    </cfRule>
  </conditionalFormatting>
  <conditionalFormatting sqref="R38:R43">
    <cfRule type="notContainsBlanks" dxfId="0" priority="178">
      <formula>LEN(TRIM(R38))&gt;0</formula>
    </cfRule>
  </conditionalFormatting>
  <conditionalFormatting sqref="R38:R43">
    <cfRule type="containsBlanks" dxfId="7" priority="179">
      <formula>LEN(TRIM(R38))=0</formula>
    </cfRule>
  </conditionalFormatting>
  <conditionalFormatting sqref="R38:R43">
    <cfRule type="expression" dxfId="22" priority="180">
      <formula>(VROPS_Result="Excluded")</formula>
    </cfRule>
  </conditionalFormatting>
  <conditionalFormatting sqref="R38:R43">
    <cfRule type="expression" dxfId="22" priority="181">
      <formula>AND((VRLI_Result="Excluded"),(VROPS_Result="Excluded"),(VRA_Result="Excluded"))</formula>
    </cfRule>
  </conditionalFormatting>
  <conditionalFormatting sqref="R48">
    <cfRule type="notContainsBlanks" dxfId="0" priority="182">
      <formula>LEN(TRIM(R48))&gt;0</formula>
    </cfRule>
  </conditionalFormatting>
  <conditionalFormatting sqref="R48">
    <cfRule type="containsBlanks" dxfId="7" priority="183">
      <formula>LEN(TRIM(R48))=0</formula>
    </cfRule>
  </conditionalFormatting>
  <conditionalFormatting sqref="R48">
    <cfRule type="expression" dxfId="22" priority="184">
      <formula>(VROPS_Result="Excluded")</formula>
    </cfRule>
  </conditionalFormatting>
  <conditionalFormatting sqref="R48">
    <cfRule type="expression" dxfId="22" priority="185">
      <formula>AND((VRLI_Result="Excluded"),(VROPS_Result="Excluded"),(VRA_Result="Excluded"))</formula>
    </cfRule>
  </conditionalFormatting>
  <conditionalFormatting sqref="R52">
    <cfRule type="notContainsBlanks" dxfId="0" priority="186">
      <formula>LEN(TRIM(R52))&gt;0</formula>
    </cfRule>
  </conditionalFormatting>
  <conditionalFormatting sqref="R52">
    <cfRule type="containsBlanks" dxfId="7" priority="187">
      <formula>LEN(TRIM(R52))=0</formula>
    </cfRule>
  </conditionalFormatting>
  <conditionalFormatting sqref="R52">
    <cfRule type="expression" dxfId="22" priority="188">
      <formula>(VROPS_Result="Excluded")</formula>
    </cfRule>
  </conditionalFormatting>
  <conditionalFormatting sqref="R52">
    <cfRule type="expression" dxfId="22" priority="189">
      <formula>AND((VRLI_Result="Excluded"),(VROPS_Result="Excluded"),(VRA_Result="Excluded"))</formula>
    </cfRule>
  </conditionalFormatting>
  <conditionalFormatting sqref="R56:R59">
    <cfRule type="expression" dxfId="22" priority="190">
      <formula>(VRLI_Result="Excluded")</formula>
    </cfRule>
  </conditionalFormatting>
  <conditionalFormatting sqref="R63:R66">
    <cfRule type="expression" dxfId="22" priority="191">
      <formula>(VRLI_Result="Excluded")</formula>
    </cfRule>
  </conditionalFormatting>
  <conditionalFormatting sqref="R70:R73">
    <cfRule type="expression" dxfId="22" priority="192">
      <formula>(VRLI_Result="Excluded")</formula>
    </cfRule>
  </conditionalFormatting>
  <conditionalFormatting sqref="L99 R85:R88">
    <cfRule type="expression" dxfId="22" priority="193">
      <formula>(VROPS_Result="Excluded")</formula>
    </cfRule>
  </conditionalFormatting>
  <conditionalFormatting sqref="R85:R89">
    <cfRule type="notContainsBlanks" dxfId="0" priority="194">
      <formula>LEN(TRIM(R85))&gt;0</formula>
    </cfRule>
  </conditionalFormatting>
  <conditionalFormatting sqref="R85:R89">
    <cfRule type="containsBlanks" dxfId="7" priority="195">
      <formula>LEN(TRIM(R85))=0</formula>
    </cfRule>
  </conditionalFormatting>
  <conditionalFormatting sqref="R93:R97">
    <cfRule type="notContainsBlanks" dxfId="0" priority="196">
      <formula>LEN(TRIM(R93))&gt;0</formula>
    </cfRule>
  </conditionalFormatting>
  <conditionalFormatting sqref="R93:R97">
    <cfRule type="containsBlanks" dxfId="7" priority="197">
      <formula>LEN(TRIM(R93))=0</formula>
    </cfRule>
  </conditionalFormatting>
  <conditionalFormatting sqref="R134:R135">
    <cfRule type="expression" dxfId="22" priority="198">
      <formula>(VROPS_Result="Excluded")</formula>
    </cfRule>
  </conditionalFormatting>
  <conditionalFormatting sqref="R139:R140">
    <cfRule type="expression" dxfId="22" priority="199">
      <formula>(VRLI_Result="Excluded")</formula>
    </cfRule>
  </conditionalFormatting>
  <conditionalFormatting sqref="T42">
    <cfRule type="expression" dxfId="22" priority="200">
      <formula>AND((VRLI_Result="Excluded"),(VROPS_Result="Excluded"),(VRA_Result="Excluded"))</formula>
    </cfRule>
  </conditionalFormatting>
  <conditionalFormatting sqref="T50">
    <cfRule type="expression" dxfId="22" priority="201">
      <formula>AND((VRLI_Result="Excluded"),(VROPS_Result="Excluded"),(VRA_Result="Excluded"))</formula>
    </cfRule>
  </conditionalFormatting>
  <conditionalFormatting sqref="T125">
    <cfRule type="expression" dxfId="22" priority="202">
      <formula>AND((VRLI_Result="Excluded"),(VROPS_Result="Excluded"),(VRA_Result="Excluded"))</formula>
    </cfRule>
  </conditionalFormatting>
  <conditionalFormatting sqref="T155">
    <cfRule type="expression" dxfId="22" priority="203">
      <formula>AND((VRLI_Result="Excluded"),(VROPS_Result="Excluded"),(VRA_Result="Excluded"))</formula>
    </cfRule>
  </conditionalFormatting>
  <conditionalFormatting sqref="T190">
    <cfRule type="expression" dxfId="22" priority="204">
      <formula>AND((VRLI_Result="Excluded"),(VROPS_Result="Excluded"),(VRA_Result="Excluded"))</formula>
    </cfRule>
  </conditionalFormatting>
  <conditionalFormatting sqref="T62:U62">
    <cfRule type="expression" dxfId="22" priority="205">
      <formula>AND((VRLI_Result="Excluded"),(VROPS_Result="Excluded"),(VRA_Result="Excluded"))</formula>
    </cfRule>
  </conditionalFormatting>
  <conditionalFormatting sqref="T101:U101">
    <cfRule type="expression" dxfId="22" priority="206">
      <formula>AND((VRLI_Result="Excluded"),(VROPS_Result="Excluded"),(VRA_Result="Excluded"))</formula>
    </cfRule>
  </conditionalFormatting>
  <conditionalFormatting sqref="U52:U60">
    <cfRule type="expression" dxfId="22" priority="207">
      <formula>(VROPS_Result="Excluded")</formula>
    </cfRule>
  </conditionalFormatting>
  <conditionalFormatting sqref="U55:U60">
    <cfRule type="expression" dxfId="22" priority="208">
      <formula>(VROPS_Result="Excluded")</formula>
    </cfRule>
  </conditionalFormatting>
  <conditionalFormatting sqref="U64">
    <cfRule type="expression" dxfId="22" priority="209">
      <formula>(VROPS_Result="Excluded")</formula>
    </cfRule>
  </conditionalFormatting>
  <conditionalFormatting sqref="R77:R81 U64:U98 U103:U122">
    <cfRule type="expression" dxfId="22" priority="210">
      <formula>(VROPS_Result="Excluded")</formula>
    </cfRule>
  </conditionalFormatting>
  <conditionalFormatting sqref="U71:U72">
    <cfRule type="expression" dxfId="22" priority="211">
      <formula>(VROPS_Result="Excluded")</formula>
    </cfRule>
  </conditionalFormatting>
  <conditionalFormatting sqref="U79">
    <cfRule type="expression" dxfId="22" priority="212">
      <formula>(VROPS_Result="Excluded")</formula>
    </cfRule>
  </conditionalFormatting>
  <conditionalFormatting sqref="L139:L141 U80">
    <cfRule type="expression" dxfId="22" priority="213">
      <formula>(VROPS_Result="Excluded")</formula>
    </cfRule>
  </conditionalFormatting>
  <conditionalFormatting sqref="U91:U99">
    <cfRule type="expression" dxfId="22" priority="214">
      <formula>(VROPS_Result="Excluded")</formula>
    </cfRule>
  </conditionalFormatting>
  <conditionalFormatting sqref="U191:U211">
    <cfRule type="notContainsBlanks" dxfId="0" priority="215">
      <formula>LEN(TRIM(U191))&gt;0</formula>
    </cfRule>
  </conditionalFormatting>
  <conditionalFormatting sqref="U191:U211">
    <cfRule type="containsBlanks" dxfId="7" priority="216">
      <formula>LEN(TRIM(U191))=0</formula>
    </cfRule>
  </conditionalFormatting>
  <conditionalFormatting sqref="U212">
    <cfRule type="notContainsBlanks" dxfId="0" priority="217">
      <formula>LEN(TRIM(U212))&gt;0</formula>
    </cfRule>
  </conditionalFormatting>
  <conditionalFormatting sqref="U212">
    <cfRule type="containsBlanks" dxfId="7" priority="218">
      <formula>LEN(TRIM(U212))=0</formula>
    </cfRule>
  </conditionalFormatting>
  <conditionalFormatting sqref="Z6">
    <cfRule type="expression" dxfId="22" priority="219">
      <formula>AND((VRLI_Result="Excluded"),(VROPS_Result="Excluded"),(VRA_Result="Excluded"))</formula>
    </cfRule>
  </conditionalFormatting>
  <conditionalFormatting sqref="Q99 AA8:AA28">
    <cfRule type="expression" dxfId="22" priority="220">
      <formula>AND((VRLI_Result="Excluded"),(VROPS_Result="Excluded"),(VRA_Result="Excluded"))</formula>
    </cfRule>
  </conditionalFormatting>
  <conditionalFormatting sqref="AA29">
    <cfRule type="expression" dxfId="22" priority="221">
      <formula>(VRA_Result="Excluded")</formula>
    </cfRule>
  </conditionalFormatting>
  <conditionalFormatting sqref="AA30:AA32">
    <cfRule type="expression" dxfId="22" priority="222">
      <formula>AND((VRLI_Result="Excluded"),(VROPS_Result="Excluded"),(VRA_Result="Excluded"))</formula>
    </cfRule>
  </conditionalFormatting>
  <conditionalFormatting sqref="L133:L138 AA94:AA106">
    <cfRule type="expression" dxfId="22" priority="223">
      <formula>AND((VRLI_Result="Excluded"),(VROPS_Result="Excluded"),(VRA_Result="Excluded"))</formula>
    </cfRule>
  </conditionalFormatting>
  <conditionalFormatting sqref="AA107">
    <cfRule type="expression" dxfId="4" priority="224">
      <formula>(mgmt_consolidated_chosen="Exclude")</formula>
    </cfRule>
  </conditionalFormatting>
  <conditionalFormatting sqref="AA107">
    <cfRule type="expression" dxfId="5" priority="225">
      <formula>(mgmt_consolidated_chosen="Include")</formula>
    </cfRule>
  </conditionalFormatting>
  <dataValidations>
    <dataValidation type="list" allowBlank="1" showErrorMessage="1" sqref="F7">
      <formula1>"1,2,3"</formula1>
    </dataValidation>
    <dataValidation type="list" allowBlank="1" showErrorMessage="1" sqref="E10">
      <formula1>"Include,Exclude"</formula1>
    </dataValidation>
    <dataValidation type="list" allowBlank="1" showErrorMessage="1" sqref="I8">
      <formula1>"VI Workload Domain,MGMT Workload Domain"</formula1>
    </dataValidation>
  </dataValidations>
  <hyperlinks>
    <hyperlink r:id="rId1" ref="O52"/>
    <hyperlink r:id="rId2" ref="L97"/>
    <hyperlink r:id="rId3" ref="L98"/>
  </hyperlinks>
  <printOptions/>
  <pageMargins bottom="0.75" footer="0.0" header="0.0" left="0.7" right="0.7" top="0.75"/>
  <pageSetup paperSize="9" orientation="portrait"/>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51.0"/>
    <col customWidth="1" min="3" max="3" width="34.33"/>
    <col customWidth="1" min="4" max="4" width="24.11"/>
    <col customWidth="1" min="5" max="5" width="28.78"/>
    <col customWidth="1" min="6" max="6" width="23.44"/>
    <col customWidth="1" min="7" max="7" width="29.44"/>
    <col customWidth="1" min="8" max="8" width="44.33"/>
    <col customWidth="1" min="9" max="9" width="22.67"/>
    <col customWidth="1" min="10" max="10" width="23.0"/>
    <col customWidth="1" min="11" max="11" width="26.11"/>
    <col customWidth="1" min="12" max="21" width="22.78"/>
    <col customWidth="1" min="22" max="26" width="10.78"/>
  </cols>
  <sheetData>
    <row r="1" ht="15.75" customHeight="1">
      <c r="A1" s="1" t="s">
        <v>1441</v>
      </c>
      <c r="B1" s="1"/>
      <c r="C1" s="1"/>
      <c r="D1" s="1"/>
      <c r="E1" s="1"/>
      <c r="F1" s="1"/>
      <c r="G1" s="1"/>
      <c r="H1" s="1"/>
      <c r="I1" s="1"/>
      <c r="J1" s="1"/>
      <c r="K1" s="1"/>
      <c r="L1" s="1"/>
      <c r="M1" s="1"/>
      <c r="N1" s="1"/>
      <c r="O1" s="1"/>
      <c r="P1" s="1"/>
      <c r="Q1" s="1"/>
      <c r="R1" s="1"/>
      <c r="S1" s="1"/>
      <c r="T1" s="1"/>
      <c r="U1" s="1"/>
      <c r="V1" s="1"/>
      <c r="W1" s="1"/>
      <c r="X1" s="1"/>
      <c r="Y1" s="1"/>
      <c r="Z1" s="1"/>
    </row>
    <row r="2" ht="54.0" customHeight="1">
      <c r="A2" s="1"/>
      <c r="B2" s="346" t="s">
        <v>2882</v>
      </c>
      <c r="C2" s="3"/>
      <c r="D2" s="3"/>
      <c r="E2" s="3"/>
      <c r="F2" s="3"/>
      <c r="G2" s="3"/>
      <c r="H2" s="3"/>
      <c r="I2" s="3"/>
      <c r="J2" s="3"/>
      <c r="K2" s="3"/>
      <c r="L2" s="3"/>
      <c r="M2" s="3"/>
      <c r="N2" s="3"/>
      <c r="O2" s="3"/>
      <c r="P2" s="3"/>
      <c r="Q2" s="3"/>
      <c r="R2" s="3"/>
      <c r="S2" s="3"/>
      <c r="T2" s="3"/>
      <c r="U2" s="4"/>
      <c r="V2" s="1"/>
      <c r="W2" s="1"/>
      <c r="X2" s="1"/>
      <c r="Y2" s="1"/>
      <c r="Z2" s="1"/>
    </row>
    <row r="3" ht="19.5" customHeight="1">
      <c r="A3" s="1"/>
      <c r="B3" s="7" t="s">
        <v>2883</v>
      </c>
      <c r="C3" s="3"/>
      <c r="D3" s="3"/>
      <c r="E3" s="3"/>
      <c r="F3" s="3"/>
      <c r="G3" s="3"/>
      <c r="H3" s="3"/>
      <c r="I3" s="3"/>
      <c r="J3" s="3"/>
      <c r="K3" s="3"/>
      <c r="L3" s="3"/>
      <c r="M3" s="3"/>
      <c r="N3" s="3"/>
      <c r="O3" s="3"/>
      <c r="P3" s="3"/>
      <c r="Q3" s="3"/>
      <c r="R3" s="3"/>
      <c r="S3" s="3"/>
      <c r="T3" s="3"/>
      <c r="U3" s="4"/>
      <c r="V3" s="1"/>
      <c r="W3" s="1"/>
      <c r="X3" s="1"/>
      <c r="Y3" s="1"/>
      <c r="Z3" s="1"/>
    </row>
    <row r="4" ht="15.75" customHeight="1">
      <c r="A4" s="1"/>
      <c r="B4" s="1"/>
      <c r="C4" s="1"/>
      <c r="D4" s="9"/>
      <c r="E4" s="10"/>
      <c r="F4" s="1"/>
      <c r="G4" s="1"/>
      <c r="H4" s="1"/>
      <c r="I4" s="1"/>
      <c r="J4" s="1"/>
      <c r="K4" s="1"/>
      <c r="L4" s="1"/>
      <c r="M4" s="1"/>
      <c r="N4" s="1"/>
      <c r="O4" s="1"/>
      <c r="P4" s="1"/>
      <c r="Q4" s="1"/>
      <c r="R4" s="1"/>
      <c r="S4" s="1"/>
      <c r="T4" s="1"/>
      <c r="U4" s="1"/>
      <c r="V4" s="1"/>
      <c r="W4" s="1"/>
      <c r="X4" s="1"/>
      <c r="Y4" s="1"/>
      <c r="Z4" s="1"/>
    </row>
    <row r="5" ht="15.75" customHeight="1">
      <c r="A5" s="1"/>
      <c r="B5" s="1"/>
      <c r="C5" s="1"/>
      <c r="D5" s="9"/>
      <c r="E5" s="10"/>
      <c r="F5" s="1"/>
      <c r="G5" s="1"/>
      <c r="H5" s="1"/>
      <c r="I5" s="1"/>
      <c r="J5" s="1"/>
      <c r="K5" s="1"/>
      <c r="L5" s="1"/>
      <c r="M5" s="1"/>
      <c r="N5" s="1"/>
      <c r="O5" s="1"/>
      <c r="P5" s="1"/>
      <c r="Q5" s="1"/>
      <c r="R5" s="1"/>
      <c r="S5" s="1"/>
      <c r="T5" s="1"/>
      <c r="U5" s="1"/>
      <c r="V5" s="1"/>
      <c r="W5" s="1"/>
      <c r="X5" s="1"/>
      <c r="Y5" s="1"/>
      <c r="Z5" s="1"/>
    </row>
    <row r="6" ht="33.75" customHeight="1">
      <c r="A6" s="11"/>
      <c r="B6" s="332" t="s">
        <v>2884</v>
      </c>
      <c r="C6" s="14"/>
      <c r="D6" s="9"/>
      <c r="E6" s="347" t="s">
        <v>2885</v>
      </c>
      <c r="F6" s="1"/>
      <c r="G6" s="11"/>
      <c r="H6" s="11"/>
      <c r="I6" s="11"/>
      <c r="J6" s="11"/>
      <c r="K6" s="11"/>
      <c r="L6" s="348" t="s">
        <v>2886</v>
      </c>
      <c r="M6" s="13"/>
      <c r="N6" s="13"/>
      <c r="O6" s="13"/>
      <c r="P6" s="14"/>
      <c r="Q6" s="11"/>
      <c r="R6" s="11"/>
      <c r="S6" s="11"/>
      <c r="T6" s="11"/>
      <c r="U6" s="11"/>
      <c r="V6" s="11"/>
      <c r="W6" s="11"/>
      <c r="X6" s="11"/>
      <c r="Y6" s="11"/>
      <c r="Z6" s="11"/>
    </row>
    <row r="7" ht="19.5" customHeight="1">
      <c r="A7" s="1"/>
      <c r="B7" s="337" t="s">
        <v>2887</v>
      </c>
      <c r="C7" s="337" t="s">
        <v>137</v>
      </c>
      <c r="D7" s="9"/>
      <c r="E7" s="18" t="s">
        <v>673</v>
      </c>
      <c r="F7" s="1"/>
      <c r="G7" s="1"/>
      <c r="H7" s="1"/>
      <c r="I7" s="1"/>
      <c r="J7" s="1"/>
      <c r="K7" s="1"/>
      <c r="L7" s="349" t="s">
        <v>2888</v>
      </c>
      <c r="M7" s="350" t="s">
        <v>2889</v>
      </c>
      <c r="N7" s="45"/>
      <c r="O7" s="45"/>
      <c r="P7" s="26"/>
      <c r="Q7" s="1"/>
      <c r="R7" s="1"/>
      <c r="S7" s="1"/>
      <c r="T7" s="1"/>
      <c r="U7" s="1"/>
      <c r="V7" s="1"/>
      <c r="W7" s="1"/>
      <c r="X7" s="1"/>
      <c r="Y7" s="1"/>
      <c r="Z7" s="1"/>
    </row>
    <row r="8" ht="19.5" customHeight="1">
      <c r="A8" s="1"/>
      <c r="B8" s="31" t="s">
        <v>2890</v>
      </c>
      <c r="C8" s="31" t="s">
        <v>2891</v>
      </c>
      <c r="D8" s="9"/>
      <c r="E8" s="18" t="s">
        <v>184</v>
      </c>
      <c r="F8" s="1" t="s">
        <v>215</v>
      </c>
      <c r="G8" s="1"/>
      <c r="H8" s="1"/>
      <c r="I8" s="1"/>
      <c r="J8" s="1"/>
      <c r="K8" s="1"/>
      <c r="L8" s="351"/>
      <c r="M8" s="27"/>
      <c r="P8" s="28"/>
      <c r="Q8" s="1"/>
      <c r="R8" s="1"/>
      <c r="S8" s="1"/>
      <c r="T8" s="1"/>
      <c r="U8" s="1"/>
      <c r="V8" s="1"/>
      <c r="W8" s="1"/>
      <c r="X8" s="1"/>
      <c r="Y8" s="1"/>
      <c r="Z8" s="1"/>
    </row>
    <row r="9" ht="15.75" customHeight="1">
      <c r="A9" s="1"/>
      <c r="B9" s="31" t="s">
        <v>2890</v>
      </c>
      <c r="C9" s="31" t="s">
        <v>352</v>
      </c>
      <c r="D9" s="9"/>
      <c r="E9" s="10"/>
      <c r="F9" s="1"/>
      <c r="G9" s="1"/>
      <c r="H9" s="1"/>
      <c r="I9" s="1"/>
      <c r="J9" s="1"/>
      <c r="K9" s="1"/>
      <c r="L9" s="351"/>
      <c r="M9" s="27"/>
      <c r="P9" s="28"/>
      <c r="Q9" s="1"/>
      <c r="R9" s="1"/>
      <c r="S9" s="1"/>
      <c r="T9" s="1"/>
      <c r="U9" s="1"/>
      <c r="V9" s="1"/>
      <c r="W9" s="1"/>
      <c r="X9" s="1"/>
      <c r="Y9" s="1"/>
      <c r="Z9" s="1"/>
    </row>
    <row r="10" ht="15.75" customHeight="1">
      <c r="A10" s="1"/>
      <c r="B10" s="31" t="s">
        <v>2890</v>
      </c>
      <c r="C10" s="31" t="s">
        <v>212</v>
      </c>
      <c r="D10" s="9"/>
      <c r="E10" s="347" t="s">
        <v>2892</v>
      </c>
      <c r="F10" s="347" t="s">
        <v>2893</v>
      </c>
      <c r="G10" s="347" t="s">
        <v>2894</v>
      </c>
      <c r="H10" s="347" t="s">
        <v>128</v>
      </c>
      <c r="I10" s="1"/>
      <c r="J10" s="1"/>
      <c r="K10" s="1"/>
      <c r="L10" s="351"/>
      <c r="M10" s="27"/>
      <c r="P10" s="28"/>
      <c r="Q10" s="1"/>
      <c r="R10" s="1"/>
      <c r="S10" s="1"/>
      <c r="T10" s="1"/>
      <c r="U10" s="1"/>
      <c r="V10" s="1"/>
      <c r="W10" s="1"/>
      <c r="X10" s="1"/>
      <c r="Y10" s="1"/>
      <c r="Z10" s="1"/>
    </row>
    <row r="11" ht="15.75" customHeight="1">
      <c r="A11" s="1"/>
      <c r="B11" s="31" t="s">
        <v>2890</v>
      </c>
      <c r="C11" s="31" t="s">
        <v>225</v>
      </c>
      <c r="D11" s="9"/>
      <c r="E11" s="31" t="s">
        <v>2895</v>
      </c>
      <c r="F11" s="31" t="s">
        <v>2894</v>
      </c>
      <c r="G11" s="31" t="s">
        <v>303</v>
      </c>
      <c r="H11" s="191" t="s">
        <v>130</v>
      </c>
      <c r="I11" s="1" t="s">
        <v>2896</v>
      </c>
      <c r="J11" s="1"/>
      <c r="K11" s="1"/>
      <c r="L11" s="351"/>
      <c r="M11" s="27"/>
      <c r="P11" s="28"/>
      <c r="Q11" s="1"/>
      <c r="R11" s="1"/>
      <c r="S11" s="1"/>
      <c r="T11" s="1"/>
      <c r="U11" s="1"/>
      <c r="V11" s="1"/>
      <c r="W11" s="1"/>
      <c r="X11" s="1"/>
      <c r="Y11" s="1"/>
      <c r="Z11" s="1"/>
    </row>
    <row r="12" ht="15.75" customHeight="1">
      <c r="A12" s="1"/>
      <c r="B12" s="31" t="s">
        <v>2890</v>
      </c>
      <c r="C12" s="31" t="s">
        <v>2897</v>
      </c>
      <c r="D12" s="9"/>
      <c r="E12" s="31" t="s">
        <v>594</v>
      </c>
      <c r="F12" s="31" t="s">
        <v>128</v>
      </c>
      <c r="G12" s="31" t="s">
        <v>2898</v>
      </c>
      <c r="H12" s="191" t="s">
        <v>2898</v>
      </c>
      <c r="I12" s="1"/>
      <c r="J12" s="1"/>
      <c r="K12" s="1"/>
      <c r="L12" s="351"/>
      <c r="M12" s="27"/>
      <c r="P12" s="28"/>
      <c r="Q12" s="1"/>
      <c r="R12" s="1"/>
      <c r="S12" s="1"/>
      <c r="T12" s="1"/>
      <c r="U12" s="1"/>
      <c r="V12" s="1"/>
      <c r="W12" s="1"/>
      <c r="X12" s="1"/>
      <c r="Y12" s="1"/>
      <c r="Z12" s="1"/>
    </row>
    <row r="13" ht="15.75" customHeight="1">
      <c r="A13" s="1"/>
      <c r="B13" s="31" t="s">
        <v>2899</v>
      </c>
      <c r="C13" s="31" t="s">
        <v>213</v>
      </c>
      <c r="D13" s="9"/>
      <c r="E13" s="10"/>
      <c r="F13" s="1"/>
      <c r="G13" s="31" t="s">
        <v>2900</v>
      </c>
      <c r="H13" s="191" t="s">
        <v>2900</v>
      </c>
      <c r="I13" s="1"/>
      <c r="J13" s="1"/>
      <c r="K13" s="1"/>
      <c r="L13" s="351"/>
      <c r="M13" s="27"/>
      <c r="P13" s="28"/>
      <c r="Q13" s="1"/>
      <c r="R13" s="1"/>
      <c r="S13" s="1"/>
      <c r="T13" s="1"/>
      <c r="U13" s="1"/>
      <c r="V13" s="1"/>
      <c r="W13" s="1"/>
      <c r="X13" s="1"/>
      <c r="Y13" s="1"/>
      <c r="Z13" s="1"/>
    </row>
    <row r="14" ht="15.75" customHeight="1">
      <c r="A14" s="1"/>
      <c r="B14" s="31" t="s">
        <v>2899</v>
      </c>
      <c r="C14" s="31" t="s">
        <v>225</v>
      </c>
      <c r="D14" s="9"/>
      <c r="E14" s="352" t="s">
        <v>122</v>
      </c>
      <c r="F14" s="1"/>
      <c r="G14" s="31" t="s">
        <v>11</v>
      </c>
      <c r="H14" s="191" t="s">
        <v>11</v>
      </c>
      <c r="I14" s="1"/>
      <c r="J14" s="1"/>
      <c r="K14" s="1"/>
      <c r="L14" s="351"/>
      <c r="M14" s="27"/>
      <c r="P14" s="28"/>
      <c r="Q14" s="1"/>
      <c r="R14" s="1"/>
      <c r="S14" s="1"/>
      <c r="T14" s="1"/>
      <c r="U14" s="1"/>
      <c r="V14" s="1"/>
      <c r="W14" s="1"/>
      <c r="X14" s="1"/>
      <c r="Y14" s="1"/>
      <c r="Z14" s="1"/>
    </row>
    <row r="15" ht="15.75" customHeight="1">
      <c r="A15" s="1"/>
      <c r="B15" s="31" t="s">
        <v>2899</v>
      </c>
      <c r="C15" s="31" t="s">
        <v>2897</v>
      </c>
      <c r="D15" s="9"/>
      <c r="E15" s="31" t="s">
        <v>2901</v>
      </c>
      <c r="F15" s="1"/>
      <c r="G15" s="31" t="s">
        <v>2902</v>
      </c>
      <c r="H15" s="191" t="s">
        <v>2902</v>
      </c>
      <c r="I15" s="1"/>
      <c r="J15" s="1"/>
      <c r="K15" s="1"/>
      <c r="L15" s="351"/>
      <c r="M15" s="27"/>
      <c r="P15" s="28"/>
      <c r="Q15" s="1"/>
      <c r="R15" s="1"/>
      <c r="S15" s="1"/>
      <c r="T15" s="1"/>
      <c r="U15" s="1"/>
      <c r="V15" s="1"/>
      <c r="W15" s="1"/>
      <c r="X15" s="1"/>
      <c r="Y15" s="1"/>
      <c r="Z15" s="1"/>
    </row>
    <row r="16" ht="15.75" customHeight="1">
      <c r="A16" s="1"/>
      <c r="B16" s="31" t="s">
        <v>2903</v>
      </c>
      <c r="C16" s="31" t="s">
        <v>2904</v>
      </c>
      <c r="D16" s="9"/>
      <c r="E16" s="31" t="s">
        <v>2905</v>
      </c>
      <c r="F16" s="1"/>
      <c r="G16" s="1"/>
      <c r="H16" s="1"/>
      <c r="I16" s="1"/>
      <c r="J16" s="1"/>
      <c r="K16" s="1"/>
      <c r="L16" s="351"/>
      <c r="M16" s="27"/>
      <c r="P16" s="28"/>
      <c r="Q16" s="1"/>
      <c r="R16" s="1"/>
      <c r="S16" s="1"/>
      <c r="T16" s="1"/>
      <c r="U16" s="1"/>
      <c r="V16" s="1"/>
      <c r="W16" s="1"/>
      <c r="X16" s="1"/>
      <c r="Y16" s="1"/>
      <c r="Z16" s="1"/>
    </row>
    <row r="17" ht="15.75" customHeight="1">
      <c r="A17" s="1"/>
      <c r="B17" s="31" t="s">
        <v>2903</v>
      </c>
      <c r="C17" s="31" t="s">
        <v>352</v>
      </c>
      <c r="D17" s="9"/>
      <c r="E17" s="31" t="s">
        <v>2906</v>
      </c>
      <c r="F17" s="1"/>
      <c r="G17" s="1"/>
      <c r="H17" s="1"/>
      <c r="I17" s="1"/>
      <c r="J17" s="1"/>
      <c r="K17" s="1"/>
      <c r="L17" s="351"/>
      <c r="M17" s="27"/>
      <c r="P17" s="28"/>
      <c r="Q17" s="1"/>
      <c r="R17" s="1"/>
      <c r="S17" s="1"/>
      <c r="T17" s="1"/>
      <c r="U17" s="1"/>
      <c r="V17" s="1"/>
      <c r="W17" s="1"/>
      <c r="X17" s="1"/>
      <c r="Y17" s="1"/>
      <c r="Z17" s="1"/>
    </row>
    <row r="18" ht="15.75" customHeight="1">
      <c r="A18" s="1"/>
      <c r="B18" s="31" t="s">
        <v>2903</v>
      </c>
      <c r="C18" s="31" t="s">
        <v>212</v>
      </c>
      <c r="D18" s="9"/>
      <c r="E18" s="31" t="s">
        <v>1178</v>
      </c>
      <c r="F18" s="1"/>
      <c r="G18" s="1"/>
      <c r="H18" s="1"/>
      <c r="I18" s="1"/>
      <c r="J18" s="1"/>
      <c r="K18" s="1"/>
      <c r="L18" s="351"/>
      <c r="M18" s="27"/>
      <c r="P18" s="28"/>
      <c r="Q18" s="1"/>
      <c r="R18" s="1"/>
      <c r="S18" s="1"/>
      <c r="T18" s="1"/>
      <c r="U18" s="1"/>
      <c r="V18" s="1"/>
      <c r="W18" s="1"/>
      <c r="X18" s="1"/>
      <c r="Y18" s="1"/>
      <c r="Z18" s="1"/>
    </row>
    <row r="19" ht="15.75" customHeight="1">
      <c r="A19" s="1"/>
      <c r="B19" s="31" t="s">
        <v>2903</v>
      </c>
      <c r="C19" s="31" t="s">
        <v>225</v>
      </c>
      <c r="D19" s="9"/>
      <c r="E19" s="31" t="s">
        <v>2902</v>
      </c>
      <c r="F19" s="1"/>
      <c r="G19" s="1"/>
      <c r="H19" s="1"/>
      <c r="I19" s="1"/>
      <c r="J19" s="1"/>
      <c r="K19" s="1"/>
      <c r="L19" s="351"/>
      <c r="M19" s="27"/>
      <c r="P19" s="28"/>
      <c r="Q19" s="1"/>
      <c r="R19" s="1"/>
      <c r="S19" s="1"/>
      <c r="T19" s="1"/>
      <c r="U19" s="1"/>
      <c r="V19" s="1"/>
      <c r="W19" s="1"/>
      <c r="X19" s="1"/>
      <c r="Y19" s="1"/>
      <c r="Z19" s="1"/>
    </row>
    <row r="20" ht="15.75" customHeight="1">
      <c r="A20" s="1"/>
      <c r="B20" s="31" t="s">
        <v>2903</v>
      </c>
      <c r="C20" s="31" t="s">
        <v>2897</v>
      </c>
      <c r="D20" s="9"/>
      <c r="E20" s="10"/>
      <c r="F20" s="1"/>
      <c r="G20" s="1"/>
      <c r="H20" s="1"/>
      <c r="I20" s="1"/>
      <c r="J20" s="1"/>
      <c r="K20" s="1"/>
      <c r="L20" s="351"/>
      <c r="M20" s="27"/>
      <c r="P20" s="28"/>
      <c r="Q20" s="1"/>
      <c r="R20" s="1"/>
      <c r="S20" s="1"/>
      <c r="T20" s="1"/>
      <c r="U20" s="1"/>
      <c r="V20" s="1"/>
      <c r="W20" s="1"/>
      <c r="X20" s="1"/>
      <c r="Y20" s="1"/>
      <c r="Z20" s="1"/>
    </row>
    <row r="21" ht="15.75" customHeight="1">
      <c r="A21" s="1"/>
      <c r="B21" s="31" t="s">
        <v>2907</v>
      </c>
      <c r="C21" s="31" t="s">
        <v>215</v>
      </c>
      <c r="D21" s="9"/>
      <c r="E21" s="347" t="s">
        <v>122</v>
      </c>
      <c r="F21" s="1"/>
      <c r="G21" s="1"/>
      <c r="H21" s="1"/>
      <c r="I21" s="1"/>
      <c r="J21" s="1"/>
      <c r="K21" s="1"/>
      <c r="L21" s="351"/>
      <c r="M21" s="27"/>
      <c r="P21" s="28"/>
      <c r="Q21" s="1"/>
      <c r="R21" s="1"/>
      <c r="S21" s="1"/>
      <c r="T21" s="1"/>
      <c r="U21" s="1"/>
      <c r="V21" s="1"/>
      <c r="W21" s="1"/>
      <c r="X21" s="1"/>
      <c r="Y21" s="1"/>
      <c r="Z21" s="1"/>
    </row>
    <row r="22" ht="15.75" customHeight="1">
      <c r="A22" s="1"/>
      <c r="B22" s="31" t="s">
        <v>2907</v>
      </c>
      <c r="C22" s="31" t="s">
        <v>352</v>
      </c>
      <c r="D22" s="9"/>
      <c r="E22" s="31" t="s">
        <v>2905</v>
      </c>
      <c r="F22" s="1"/>
      <c r="G22" s="1"/>
      <c r="H22" s="1"/>
      <c r="I22" s="1"/>
      <c r="J22" s="1"/>
      <c r="K22" s="1"/>
      <c r="L22" s="351"/>
      <c r="M22" s="27"/>
      <c r="P22" s="28"/>
      <c r="Q22" s="1"/>
      <c r="R22" s="1"/>
      <c r="S22" s="1"/>
      <c r="T22" s="1"/>
      <c r="U22" s="1"/>
      <c r="V22" s="1"/>
      <c r="W22" s="1"/>
      <c r="X22" s="1"/>
      <c r="Y22" s="1"/>
      <c r="Z22" s="1"/>
    </row>
    <row r="23" ht="15.75" customHeight="1">
      <c r="A23" s="1"/>
      <c r="B23" s="31" t="s">
        <v>2907</v>
      </c>
      <c r="C23" s="31" t="s">
        <v>212</v>
      </c>
      <c r="D23" s="9"/>
      <c r="E23" s="31" t="s">
        <v>2901</v>
      </c>
      <c r="F23" s="1"/>
      <c r="G23" s="1"/>
      <c r="H23" s="1"/>
      <c r="I23" s="1"/>
      <c r="J23" s="1"/>
      <c r="K23" s="1"/>
      <c r="L23" s="351"/>
      <c r="M23" s="27"/>
      <c r="P23" s="28"/>
      <c r="Q23" s="1"/>
      <c r="R23" s="1"/>
      <c r="S23" s="1"/>
      <c r="T23" s="1"/>
      <c r="U23" s="1"/>
      <c r="V23" s="1"/>
      <c r="W23" s="1"/>
      <c r="X23" s="1"/>
      <c r="Y23" s="1"/>
      <c r="Z23" s="1"/>
    </row>
    <row r="24" ht="15.75" customHeight="1">
      <c r="A24" s="1"/>
      <c r="B24" s="31" t="s">
        <v>2907</v>
      </c>
      <c r="C24" s="31" t="s">
        <v>225</v>
      </c>
      <c r="D24" s="9"/>
      <c r="E24" s="31" t="s">
        <v>1178</v>
      </c>
      <c r="F24" s="1"/>
      <c r="G24" s="1"/>
      <c r="H24" s="1"/>
      <c r="I24" s="1"/>
      <c r="J24" s="1"/>
      <c r="K24" s="1"/>
      <c r="L24" s="351"/>
      <c r="M24" s="27"/>
      <c r="P24" s="28"/>
      <c r="Q24" s="1"/>
      <c r="R24" s="1"/>
      <c r="S24" s="1"/>
      <c r="T24" s="1"/>
      <c r="U24" s="1"/>
      <c r="V24" s="1"/>
      <c r="W24" s="1"/>
      <c r="X24" s="1"/>
      <c r="Y24" s="1"/>
      <c r="Z24" s="1"/>
    </row>
    <row r="25" ht="19.5" customHeight="1">
      <c r="A25" s="1"/>
      <c r="B25" s="31" t="s">
        <v>2907</v>
      </c>
      <c r="C25" s="31" t="s">
        <v>2897</v>
      </c>
      <c r="D25" s="9"/>
      <c r="E25" s="10"/>
      <c r="F25" s="353"/>
      <c r="G25" s="59"/>
      <c r="H25" s="1"/>
      <c r="I25" s="1"/>
      <c r="J25" s="1"/>
      <c r="K25" s="1"/>
      <c r="L25" s="351"/>
      <c r="M25" s="27"/>
      <c r="P25" s="28"/>
      <c r="Q25" s="1"/>
      <c r="R25" s="1"/>
      <c r="S25" s="1"/>
      <c r="T25" s="1"/>
      <c r="U25" s="1"/>
      <c r="V25" s="1"/>
      <c r="W25" s="1"/>
      <c r="X25" s="1"/>
      <c r="Y25" s="1"/>
      <c r="Z25" s="1"/>
    </row>
    <row r="26" ht="15.75" customHeight="1">
      <c r="A26" s="1"/>
      <c r="B26" s="31" t="s">
        <v>2907</v>
      </c>
      <c r="C26" s="31" t="s">
        <v>2908</v>
      </c>
      <c r="D26" s="10"/>
      <c r="E26" s="347" t="s">
        <v>2909</v>
      </c>
      <c r="F26" s="354" t="s">
        <v>2910</v>
      </c>
      <c r="G26" s="38"/>
      <c r="H26" s="1"/>
      <c r="I26" s="1"/>
      <c r="J26" s="1"/>
      <c r="K26" s="1"/>
      <c r="L26" s="351"/>
      <c r="M26" s="27"/>
      <c r="P26" s="28"/>
      <c r="Q26" s="1"/>
      <c r="R26" s="1"/>
      <c r="S26" s="1"/>
      <c r="T26" s="1"/>
      <c r="U26" s="1"/>
      <c r="V26" s="1"/>
      <c r="W26" s="1"/>
      <c r="X26" s="1"/>
      <c r="Y26" s="1"/>
      <c r="Z26" s="1"/>
    </row>
    <row r="27" ht="15.75" customHeight="1">
      <c r="A27" s="1"/>
      <c r="B27" s="10"/>
      <c r="C27" s="10"/>
      <c r="D27" s="10"/>
      <c r="E27" s="18" t="s">
        <v>2891</v>
      </c>
      <c r="F27" s="355" t="s">
        <v>2911</v>
      </c>
      <c r="G27" s="14"/>
      <c r="H27" s="1"/>
      <c r="I27" s="1"/>
      <c r="J27" s="1"/>
      <c r="K27" s="1"/>
      <c r="L27" s="351"/>
      <c r="M27" s="27"/>
      <c r="P27" s="28"/>
      <c r="Q27" s="1"/>
      <c r="R27" s="1"/>
      <c r="S27" s="1"/>
      <c r="T27" s="1"/>
      <c r="U27" s="1"/>
      <c r="V27" s="1"/>
      <c r="W27" s="1"/>
      <c r="X27" s="1"/>
      <c r="Y27" s="1"/>
      <c r="Z27" s="1"/>
    </row>
    <row r="28" ht="15.75" customHeight="1">
      <c r="A28" s="1"/>
      <c r="B28" s="332" t="s">
        <v>2912</v>
      </c>
      <c r="C28" s="14"/>
      <c r="D28" s="10"/>
      <c r="E28" s="18" t="s">
        <v>352</v>
      </c>
      <c r="F28" s="355" t="s">
        <v>2913</v>
      </c>
      <c r="G28" s="14"/>
      <c r="H28" s="1"/>
      <c r="I28" s="1"/>
      <c r="J28" s="1"/>
      <c r="K28" s="1"/>
      <c r="L28" s="351"/>
      <c r="M28" s="27"/>
      <c r="P28" s="28"/>
      <c r="Q28" s="1"/>
      <c r="R28" s="1"/>
      <c r="S28" s="1"/>
      <c r="T28" s="1"/>
      <c r="U28" s="1"/>
      <c r="V28" s="1"/>
      <c r="W28" s="1"/>
      <c r="X28" s="1"/>
      <c r="Y28" s="1"/>
      <c r="Z28" s="1"/>
    </row>
    <row r="29" ht="15.75" customHeight="1">
      <c r="A29" s="1"/>
      <c r="B29" s="347" t="s">
        <v>146</v>
      </c>
      <c r="C29" s="337" t="s">
        <v>137</v>
      </c>
      <c r="D29" s="10"/>
      <c r="E29" s="18" t="s">
        <v>212</v>
      </c>
      <c r="F29" s="355" t="s">
        <v>2914</v>
      </c>
      <c r="G29" s="14"/>
      <c r="H29" s="1"/>
      <c r="I29" s="1"/>
      <c r="J29" s="1"/>
      <c r="K29" s="1"/>
      <c r="L29" s="351"/>
      <c r="M29" s="27"/>
      <c r="P29" s="28"/>
      <c r="Q29" s="1"/>
      <c r="R29" s="1"/>
      <c r="S29" s="1"/>
      <c r="T29" s="1"/>
      <c r="U29" s="1"/>
      <c r="V29" s="1"/>
      <c r="W29" s="1"/>
      <c r="X29" s="1"/>
      <c r="Y29" s="1"/>
      <c r="Z29" s="1"/>
    </row>
    <row r="30" ht="15.75" customHeight="1">
      <c r="A30" s="1"/>
      <c r="B30" s="31" t="s">
        <v>9</v>
      </c>
      <c r="C30" s="18">
        <v>4.0</v>
      </c>
      <c r="D30" s="10"/>
      <c r="E30" s="18" t="s">
        <v>225</v>
      </c>
      <c r="F30" s="355" t="s">
        <v>2915</v>
      </c>
      <c r="G30" s="14"/>
      <c r="H30" s="1"/>
      <c r="I30" s="1"/>
      <c r="J30" s="1"/>
      <c r="K30" s="1"/>
      <c r="L30" s="351"/>
      <c r="M30" s="27"/>
      <c r="P30" s="28"/>
      <c r="Q30" s="1"/>
      <c r="R30" s="1"/>
      <c r="S30" s="1"/>
      <c r="T30" s="1"/>
      <c r="U30" s="1"/>
      <c r="V30" s="1"/>
      <c r="W30" s="1"/>
      <c r="X30" s="1"/>
      <c r="Y30" s="1"/>
      <c r="Z30" s="1"/>
    </row>
    <row r="31" ht="15.75" customHeight="1">
      <c r="A31" s="1"/>
      <c r="B31" s="31" t="s">
        <v>2916</v>
      </c>
      <c r="C31" s="18">
        <v>16.0</v>
      </c>
      <c r="D31" s="10"/>
      <c r="E31" s="18" t="s">
        <v>2897</v>
      </c>
      <c r="F31" s="355" t="s">
        <v>2917</v>
      </c>
      <c r="G31" s="14"/>
      <c r="H31" s="1"/>
      <c r="I31" s="1"/>
      <c r="J31" s="1"/>
      <c r="K31" s="1"/>
      <c r="L31" s="351"/>
      <c r="M31" s="27"/>
      <c r="P31" s="28"/>
      <c r="Q31" s="1"/>
      <c r="R31" s="1"/>
      <c r="S31" s="1"/>
      <c r="T31" s="1"/>
      <c r="U31" s="1"/>
      <c r="V31" s="1"/>
      <c r="W31" s="1"/>
      <c r="X31" s="1"/>
      <c r="Y31" s="1"/>
      <c r="Z31" s="1"/>
    </row>
    <row r="32" ht="15.75" customHeight="1">
      <c r="A32" s="1"/>
      <c r="B32" s="31" t="s">
        <v>2918</v>
      </c>
      <c r="C32" s="18">
        <v>914.0</v>
      </c>
      <c r="D32" s="10"/>
      <c r="E32" s="1"/>
      <c r="F32" s="1"/>
      <c r="G32" s="1"/>
      <c r="H32" s="1"/>
      <c r="I32" s="1"/>
      <c r="J32" s="1"/>
      <c r="K32" s="1"/>
      <c r="L32" s="351"/>
      <c r="M32" s="27"/>
      <c r="P32" s="28"/>
      <c r="Q32" s="1"/>
      <c r="R32" s="1"/>
      <c r="S32" s="1"/>
      <c r="T32" s="1"/>
      <c r="U32" s="1"/>
      <c r="V32" s="1"/>
      <c r="W32" s="1"/>
      <c r="X32" s="1"/>
      <c r="Y32" s="1"/>
      <c r="Z32" s="1"/>
    </row>
    <row r="33" ht="15.75" customHeight="1">
      <c r="A33" s="1"/>
      <c r="B33" s="337" t="s">
        <v>2919</v>
      </c>
      <c r="C33" s="337" t="s">
        <v>137</v>
      </c>
      <c r="D33" s="10"/>
      <c r="E33" s="347" t="s">
        <v>2920</v>
      </c>
      <c r="F33" s="356" t="s">
        <v>2910</v>
      </c>
      <c r="G33" s="14"/>
      <c r="H33" s="1"/>
      <c r="I33" s="1"/>
      <c r="J33" s="1"/>
      <c r="K33" s="1"/>
      <c r="L33" s="351"/>
      <c r="M33" s="27"/>
      <c r="P33" s="28"/>
      <c r="Q33" s="1"/>
      <c r="R33" s="1"/>
      <c r="S33" s="1"/>
      <c r="T33" s="1"/>
      <c r="U33" s="1"/>
      <c r="V33" s="1"/>
      <c r="W33" s="1"/>
      <c r="X33" s="1"/>
      <c r="Y33" s="1"/>
      <c r="Z33" s="1"/>
    </row>
    <row r="34" ht="15.75" customHeight="1">
      <c r="A34" s="1"/>
      <c r="B34" s="31" t="s">
        <v>2891</v>
      </c>
      <c r="C34" s="31">
        <v>2.0</v>
      </c>
      <c r="D34" s="10"/>
      <c r="E34" s="18" t="s">
        <v>2904</v>
      </c>
      <c r="F34" s="18" t="s">
        <v>2921</v>
      </c>
      <c r="G34" s="18"/>
      <c r="H34" s="1"/>
      <c r="I34" s="1"/>
      <c r="J34" s="1"/>
      <c r="K34" s="1"/>
      <c r="L34" s="351"/>
      <c r="M34" s="27"/>
      <c r="P34" s="28"/>
      <c r="Q34" s="1"/>
      <c r="R34" s="1"/>
      <c r="S34" s="1"/>
      <c r="T34" s="1"/>
      <c r="U34" s="1"/>
      <c r="V34" s="1"/>
      <c r="W34" s="1"/>
      <c r="X34" s="1"/>
      <c r="Y34" s="1"/>
      <c r="Z34" s="1"/>
    </row>
    <row r="35" ht="15.75" customHeight="1">
      <c r="A35" s="1"/>
      <c r="B35" s="31" t="s">
        <v>352</v>
      </c>
      <c r="C35" s="31">
        <v>4.0</v>
      </c>
      <c r="D35" s="10"/>
      <c r="E35" s="18" t="s">
        <v>352</v>
      </c>
      <c r="F35" s="32" t="s">
        <v>2922</v>
      </c>
      <c r="G35" s="14"/>
      <c r="H35" s="1"/>
      <c r="I35" s="1"/>
      <c r="J35" s="1"/>
      <c r="K35" s="1"/>
      <c r="L35" s="351"/>
      <c r="M35" s="27"/>
      <c r="P35" s="28"/>
      <c r="Q35" s="1"/>
      <c r="R35" s="1"/>
      <c r="S35" s="1"/>
      <c r="T35" s="1"/>
      <c r="U35" s="1"/>
      <c r="V35" s="1"/>
      <c r="W35" s="1"/>
      <c r="X35" s="1"/>
      <c r="Y35" s="1"/>
      <c r="Z35" s="1"/>
    </row>
    <row r="36" ht="15.75" customHeight="1">
      <c r="A36" s="1"/>
      <c r="B36" s="31" t="s">
        <v>212</v>
      </c>
      <c r="C36" s="31">
        <v>8.0</v>
      </c>
      <c r="D36" s="10"/>
      <c r="E36" s="18" t="s">
        <v>212</v>
      </c>
      <c r="F36" s="18" t="s">
        <v>2923</v>
      </c>
      <c r="G36" s="18"/>
      <c r="H36" s="1"/>
      <c r="I36" s="1"/>
      <c r="J36" s="1"/>
      <c r="K36" s="1"/>
      <c r="L36" s="351"/>
      <c r="M36" s="27"/>
      <c r="P36" s="28"/>
      <c r="Q36" s="1"/>
      <c r="R36" s="1"/>
      <c r="S36" s="1"/>
      <c r="T36" s="1"/>
      <c r="U36" s="1"/>
      <c r="V36" s="1"/>
      <c r="W36" s="1"/>
      <c r="X36" s="1"/>
      <c r="Y36" s="1"/>
      <c r="Z36" s="1"/>
    </row>
    <row r="37" ht="15.75" customHeight="1">
      <c r="A37" s="1"/>
      <c r="B37" s="31" t="s">
        <v>225</v>
      </c>
      <c r="C37" s="31">
        <v>16.0</v>
      </c>
      <c r="D37" s="10"/>
      <c r="E37" s="18" t="s">
        <v>225</v>
      </c>
      <c r="F37" s="18" t="s">
        <v>2924</v>
      </c>
      <c r="G37" s="18"/>
      <c r="H37" s="1"/>
      <c r="I37" s="1"/>
      <c r="J37" s="1"/>
      <c r="K37" s="1"/>
      <c r="L37" s="351"/>
      <c r="M37" s="27"/>
      <c r="P37" s="28"/>
      <c r="Q37" s="1"/>
      <c r="R37" s="1"/>
      <c r="S37" s="1"/>
      <c r="T37" s="1"/>
      <c r="U37" s="1"/>
      <c r="V37" s="1"/>
      <c r="W37" s="1"/>
      <c r="X37" s="1"/>
      <c r="Y37" s="1"/>
      <c r="Z37" s="1"/>
    </row>
    <row r="38" ht="15.75" customHeight="1">
      <c r="A38" s="1"/>
      <c r="B38" s="31" t="s">
        <v>2897</v>
      </c>
      <c r="C38" s="31">
        <v>24.0</v>
      </c>
      <c r="D38" s="10"/>
      <c r="E38" s="18" t="s">
        <v>2897</v>
      </c>
      <c r="F38" s="18" t="s">
        <v>2925</v>
      </c>
      <c r="G38" s="18"/>
      <c r="H38" s="1"/>
      <c r="I38" s="1"/>
      <c r="J38" s="1"/>
      <c r="K38" s="1"/>
      <c r="L38" s="351"/>
      <c r="M38" s="27"/>
      <c r="P38" s="28"/>
      <c r="Q38" s="1"/>
      <c r="R38" s="1"/>
      <c r="S38" s="1"/>
      <c r="T38" s="1"/>
      <c r="U38" s="1"/>
      <c r="V38" s="1"/>
      <c r="W38" s="1"/>
      <c r="X38" s="1"/>
      <c r="Y38" s="1"/>
      <c r="Z38" s="1"/>
    </row>
    <row r="39" ht="15.75" customHeight="1">
      <c r="A39" s="1"/>
      <c r="B39" s="337" t="s">
        <v>2926</v>
      </c>
      <c r="C39" s="337" t="s">
        <v>137</v>
      </c>
      <c r="D39" s="9"/>
      <c r="E39" s="10"/>
      <c r="F39" s="1"/>
      <c r="G39" s="1"/>
      <c r="H39" s="1"/>
      <c r="I39" s="1"/>
      <c r="J39" s="1"/>
      <c r="K39" s="1"/>
      <c r="L39" s="351"/>
      <c r="M39" s="27"/>
      <c r="P39" s="28"/>
      <c r="Q39" s="1"/>
      <c r="R39" s="1"/>
      <c r="S39" s="1"/>
      <c r="T39" s="1"/>
      <c r="U39" s="1"/>
      <c r="V39" s="1"/>
      <c r="W39" s="1"/>
      <c r="X39" s="1"/>
      <c r="Y39" s="1"/>
      <c r="Z39" s="1"/>
    </row>
    <row r="40" ht="15.75" customHeight="1">
      <c r="A40" s="1"/>
      <c r="B40" s="31" t="s">
        <v>2891</v>
      </c>
      <c r="C40" s="31">
        <v>14.0</v>
      </c>
      <c r="D40" s="9"/>
      <c r="E40" s="10"/>
      <c r="F40" s="1"/>
      <c r="G40" s="1"/>
      <c r="H40" s="1"/>
      <c r="I40" s="1"/>
      <c r="J40" s="1"/>
      <c r="K40" s="1"/>
      <c r="L40" s="351"/>
      <c r="M40" s="27"/>
      <c r="P40" s="28"/>
      <c r="Q40" s="1"/>
      <c r="R40" s="1"/>
      <c r="S40" s="1"/>
      <c r="T40" s="1"/>
      <c r="U40" s="1"/>
      <c r="V40" s="1"/>
      <c r="W40" s="1"/>
      <c r="X40" s="1"/>
      <c r="Y40" s="1"/>
      <c r="Z40" s="1"/>
    </row>
    <row r="41" ht="15.75" customHeight="1">
      <c r="A41" s="1"/>
      <c r="B41" s="31" t="s">
        <v>352</v>
      </c>
      <c r="C41" s="31">
        <v>21.0</v>
      </c>
      <c r="D41" s="9"/>
      <c r="E41" s="10"/>
      <c r="F41" s="1"/>
      <c r="G41" s="1"/>
      <c r="H41" s="1"/>
      <c r="I41" s="1"/>
      <c r="J41" s="1"/>
      <c r="K41" s="1"/>
      <c r="L41" s="351"/>
      <c r="M41" s="27"/>
      <c r="P41" s="28"/>
      <c r="Q41" s="1"/>
      <c r="R41" s="1"/>
      <c r="S41" s="1"/>
      <c r="T41" s="1"/>
      <c r="U41" s="1"/>
      <c r="V41" s="1"/>
      <c r="W41" s="1"/>
      <c r="X41" s="1"/>
      <c r="Y41" s="1"/>
      <c r="Z41" s="1"/>
    </row>
    <row r="42" ht="15.75" customHeight="1">
      <c r="A42" s="1"/>
      <c r="B42" s="31" t="s">
        <v>212</v>
      </c>
      <c r="C42" s="31">
        <v>30.0</v>
      </c>
      <c r="D42" s="9"/>
      <c r="E42" s="10"/>
      <c r="F42" s="1"/>
      <c r="G42" s="1"/>
      <c r="H42" s="1"/>
      <c r="I42" s="1"/>
      <c r="J42" s="1"/>
      <c r="K42" s="1"/>
      <c r="L42" s="351"/>
      <c r="M42" s="27"/>
      <c r="P42" s="28"/>
      <c r="Q42" s="1"/>
      <c r="R42" s="1"/>
      <c r="S42" s="1"/>
      <c r="T42" s="1"/>
      <c r="U42" s="1"/>
      <c r="V42" s="1"/>
      <c r="W42" s="1"/>
      <c r="X42" s="1"/>
      <c r="Y42" s="1"/>
      <c r="Z42" s="1"/>
    </row>
    <row r="43" ht="15.75" customHeight="1">
      <c r="A43" s="1"/>
      <c r="B43" s="31" t="s">
        <v>225</v>
      </c>
      <c r="C43" s="31">
        <v>39.0</v>
      </c>
      <c r="D43" s="9"/>
      <c r="E43" s="347" t="s">
        <v>2927</v>
      </c>
      <c r="F43" s="347" t="s">
        <v>2928</v>
      </c>
      <c r="G43" s="347" t="s">
        <v>2929</v>
      </c>
      <c r="H43" s="1"/>
      <c r="I43" s="1"/>
      <c r="J43" s="1"/>
      <c r="K43" s="1"/>
      <c r="L43" s="351"/>
      <c r="M43" s="27"/>
      <c r="P43" s="28"/>
      <c r="Q43" s="1"/>
      <c r="R43" s="1"/>
      <c r="S43" s="1"/>
      <c r="T43" s="1"/>
      <c r="U43" s="1"/>
      <c r="V43" s="1"/>
      <c r="W43" s="1"/>
      <c r="X43" s="1"/>
      <c r="Y43" s="1"/>
      <c r="Z43" s="1"/>
    </row>
    <row r="44" ht="15.75" customHeight="1">
      <c r="A44" s="1"/>
      <c r="B44" s="31" t="s">
        <v>2897</v>
      </c>
      <c r="C44" s="31">
        <v>58.0</v>
      </c>
      <c r="D44" s="9"/>
      <c r="E44" s="18" t="s">
        <v>2930</v>
      </c>
      <c r="F44" s="18" t="s">
        <v>213</v>
      </c>
      <c r="G44" s="18" t="s">
        <v>213</v>
      </c>
      <c r="H44" s="1"/>
      <c r="I44" s="1"/>
      <c r="J44" s="1"/>
      <c r="K44" s="1"/>
      <c r="L44" s="351"/>
      <c r="M44" s="27"/>
      <c r="P44" s="28"/>
      <c r="Q44" s="1"/>
      <c r="R44" s="1"/>
      <c r="S44" s="1"/>
      <c r="T44" s="1"/>
      <c r="U44" s="1"/>
      <c r="V44" s="1"/>
      <c r="W44" s="1"/>
      <c r="X44" s="1"/>
      <c r="Y44" s="1"/>
      <c r="Z44" s="1"/>
    </row>
    <row r="45" ht="15.75" customHeight="1">
      <c r="A45" s="1"/>
      <c r="B45" s="337" t="s">
        <v>2931</v>
      </c>
      <c r="C45" s="337" t="s">
        <v>137</v>
      </c>
      <c r="D45" s="9"/>
      <c r="E45" s="18" t="s">
        <v>2932</v>
      </c>
      <c r="F45" s="18" t="s">
        <v>419</v>
      </c>
      <c r="G45" s="18" t="s">
        <v>419</v>
      </c>
      <c r="H45" s="1"/>
      <c r="I45" s="1"/>
      <c r="J45" s="1"/>
      <c r="K45" s="1"/>
      <c r="L45" s="351"/>
      <c r="M45" s="27"/>
      <c r="P45" s="28"/>
      <c r="Q45" s="1"/>
      <c r="R45" s="1"/>
      <c r="S45" s="1"/>
      <c r="T45" s="1"/>
      <c r="U45" s="1"/>
      <c r="V45" s="1"/>
      <c r="W45" s="1"/>
      <c r="X45" s="1"/>
      <c r="Y45" s="1"/>
      <c r="Z45" s="1"/>
    </row>
    <row r="46" ht="15.75" customHeight="1">
      <c r="A46" s="1"/>
      <c r="B46" s="31" t="s">
        <v>2933</v>
      </c>
      <c r="C46" s="31">
        <v>579.0</v>
      </c>
      <c r="D46" s="9"/>
      <c r="E46" s="18"/>
      <c r="F46" s="18" t="s">
        <v>2934</v>
      </c>
      <c r="G46" s="18" t="s">
        <v>2935</v>
      </c>
      <c r="H46" s="1"/>
      <c r="I46" s="1"/>
      <c r="J46" s="1"/>
      <c r="K46" s="1"/>
      <c r="L46" s="351"/>
      <c r="M46" s="27"/>
      <c r="P46" s="28"/>
      <c r="Q46" s="1"/>
      <c r="R46" s="1"/>
      <c r="S46" s="1"/>
      <c r="T46" s="1"/>
      <c r="U46" s="1"/>
      <c r="V46" s="1"/>
      <c r="W46" s="1"/>
      <c r="X46" s="1"/>
      <c r="Y46" s="1"/>
      <c r="Z46" s="1"/>
    </row>
    <row r="47" ht="15.75" customHeight="1">
      <c r="A47" s="1"/>
      <c r="B47" s="31" t="s">
        <v>2936</v>
      </c>
      <c r="C47" s="31">
        <v>2019.0</v>
      </c>
      <c r="D47" s="9"/>
      <c r="E47" s="18"/>
      <c r="F47" s="18" t="s">
        <v>2937</v>
      </c>
      <c r="G47" s="18"/>
      <c r="H47" s="1"/>
      <c r="I47" s="1"/>
      <c r="J47" s="1"/>
      <c r="K47" s="1"/>
      <c r="L47" s="351"/>
      <c r="M47" s="27"/>
      <c r="P47" s="28"/>
      <c r="Q47" s="1"/>
      <c r="R47" s="1"/>
      <c r="S47" s="1"/>
      <c r="T47" s="1"/>
      <c r="U47" s="1"/>
      <c r="V47" s="1"/>
      <c r="W47" s="1"/>
      <c r="X47" s="1"/>
      <c r="Y47" s="1"/>
      <c r="Z47" s="1"/>
    </row>
    <row r="48" ht="15.75" customHeight="1">
      <c r="A48" s="1"/>
      <c r="B48" s="31" t="s">
        <v>2938</v>
      </c>
      <c r="C48" s="31">
        <v>4279.0</v>
      </c>
      <c r="D48" s="9"/>
      <c r="E48" s="18"/>
      <c r="F48" s="18" t="s">
        <v>2935</v>
      </c>
      <c r="G48" s="18"/>
      <c r="H48" s="1"/>
      <c r="I48" s="1"/>
      <c r="J48" s="1"/>
      <c r="K48" s="1"/>
      <c r="L48" s="351"/>
      <c r="M48" s="27"/>
      <c r="P48" s="28"/>
      <c r="Q48" s="1"/>
      <c r="R48" s="1"/>
      <c r="S48" s="1"/>
      <c r="T48" s="1"/>
      <c r="U48" s="1"/>
      <c r="V48" s="1"/>
      <c r="W48" s="1"/>
      <c r="X48" s="1"/>
      <c r="Y48" s="1"/>
      <c r="Z48" s="1"/>
    </row>
    <row r="49" ht="15.75" customHeight="1">
      <c r="A49" s="1"/>
      <c r="B49" s="31" t="s">
        <v>2939</v>
      </c>
      <c r="C49" s="31">
        <v>694.0</v>
      </c>
      <c r="D49" s="9"/>
      <c r="E49" s="10"/>
      <c r="F49" s="1"/>
      <c r="G49" s="1"/>
      <c r="H49" s="1"/>
      <c r="I49" s="1"/>
      <c r="J49" s="1"/>
      <c r="K49" s="1"/>
      <c r="L49" s="351"/>
      <c r="M49" s="27"/>
      <c r="P49" s="28"/>
      <c r="Q49" s="1"/>
      <c r="R49" s="1"/>
      <c r="S49" s="1"/>
      <c r="T49" s="1"/>
      <c r="U49" s="1"/>
      <c r="V49" s="1"/>
      <c r="W49" s="1"/>
      <c r="X49" s="1"/>
      <c r="Y49" s="1"/>
      <c r="Z49" s="1"/>
    </row>
    <row r="50" ht="15.75" customHeight="1">
      <c r="A50" s="1"/>
      <c r="B50" s="31" t="s">
        <v>2940</v>
      </c>
      <c r="C50" s="31">
        <v>2044.0</v>
      </c>
      <c r="D50" s="9"/>
      <c r="E50" s="10"/>
      <c r="F50" s="1"/>
      <c r="G50" s="1"/>
      <c r="H50" s="1"/>
      <c r="I50" s="1"/>
      <c r="J50" s="1"/>
      <c r="K50" s="1"/>
      <c r="L50" s="351"/>
      <c r="M50" s="27"/>
      <c r="P50" s="28"/>
      <c r="Q50" s="1"/>
      <c r="R50" s="1"/>
      <c r="S50" s="1"/>
      <c r="T50" s="1"/>
      <c r="U50" s="1"/>
      <c r="V50" s="1"/>
      <c r="W50" s="1"/>
      <c r="X50" s="1"/>
      <c r="Y50" s="1"/>
      <c r="Z50" s="1"/>
    </row>
    <row r="51" ht="15.75" customHeight="1">
      <c r="A51" s="1"/>
      <c r="B51" s="31" t="s">
        <v>2941</v>
      </c>
      <c r="C51" s="31">
        <v>4304.0</v>
      </c>
      <c r="D51" s="9"/>
      <c r="E51" s="10"/>
      <c r="F51" s="1"/>
      <c r="G51" s="1"/>
      <c r="H51" s="1"/>
      <c r="I51" s="1"/>
      <c r="J51" s="1"/>
      <c r="K51" s="1"/>
      <c r="L51" s="351"/>
      <c r="M51" s="27"/>
      <c r="P51" s="28"/>
      <c r="Q51" s="1"/>
      <c r="R51" s="1"/>
      <c r="S51" s="1"/>
      <c r="T51" s="1"/>
      <c r="U51" s="1"/>
      <c r="V51" s="1"/>
      <c r="W51" s="1"/>
      <c r="X51" s="1"/>
      <c r="Y51" s="1"/>
      <c r="Z51" s="1"/>
    </row>
    <row r="52" ht="15.75" customHeight="1">
      <c r="A52" s="1"/>
      <c r="B52" s="31" t="s">
        <v>2942</v>
      </c>
      <c r="C52" s="31">
        <v>908.0</v>
      </c>
      <c r="D52" s="9"/>
      <c r="E52" s="31"/>
      <c r="F52" s="31"/>
      <c r="G52" s="1"/>
      <c r="H52" s="1"/>
      <c r="I52" s="1"/>
      <c r="J52" s="1"/>
      <c r="K52" s="1"/>
      <c r="L52" s="351"/>
      <c r="M52" s="27"/>
      <c r="P52" s="28"/>
      <c r="Q52" s="1"/>
      <c r="R52" s="1"/>
      <c r="S52" s="1"/>
      <c r="T52" s="1"/>
      <c r="U52" s="1"/>
      <c r="V52" s="1"/>
      <c r="W52" s="1"/>
      <c r="X52" s="1"/>
      <c r="Y52" s="1"/>
      <c r="Z52" s="1"/>
    </row>
    <row r="53" ht="15.75" customHeight="1">
      <c r="A53" s="1"/>
      <c r="B53" s="31" t="s">
        <v>2943</v>
      </c>
      <c r="C53" s="31">
        <v>2208.0</v>
      </c>
      <c r="D53" s="9"/>
      <c r="E53" s="31"/>
      <c r="F53" s="31"/>
      <c r="G53" s="1" t="s">
        <v>2944</v>
      </c>
      <c r="H53" s="1"/>
      <c r="I53" s="1"/>
      <c r="J53" s="1"/>
      <c r="K53" s="1"/>
      <c r="L53" s="351"/>
      <c r="M53" s="27"/>
      <c r="P53" s="28"/>
      <c r="Q53" s="1"/>
      <c r="R53" s="1"/>
      <c r="S53" s="1"/>
      <c r="T53" s="1"/>
      <c r="U53" s="1"/>
      <c r="V53" s="1"/>
      <c r="W53" s="1"/>
      <c r="X53" s="1"/>
      <c r="Y53" s="1"/>
      <c r="Z53" s="1"/>
    </row>
    <row r="54" ht="15.75" customHeight="1">
      <c r="A54" s="1"/>
      <c r="B54" s="31" t="s">
        <v>2945</v>
      </c>
      <c r="C54" s="31">
        <v>4468.0</v>
      </c>
      <c r="D54" s="9"/>
      <c r="E54" s="31" t="s">
        <v>2944</v>
      </c>
      <c r="F54" s="1"/>
      <c r="G54" s="1"/>
      <c r="H54" s="1"/>
      <c r="I54" s="1"/>
      <c r="J54" s="1"/>
      <c r="K54" s="1"/>
      <c r="L54" s="351"/>
      <c r="M54" s="27"/>
      <c r="P54" s="28"/>
      <c r="Q54" s="1"/>
      <c r="R54" s="1"/>
      <c r="S54" s="1"/>
      <c r="T54" s="1"/>
      <c r="U54" s="1"/>
      <c r="V54" s="1"/>
      <c r="W54" s="1"/>
      <c r="X54" s="1"/>
      <c r="Y54" s="1"/>
      <c r="Z54" s="1"/>
    </row>
    <row r="55" ht="15.75" customHeight="1">
      <c r="A55" s="1"/>
      <c r="B55" s="31" t="s">
        <v>2946</v>
      </c>
      <c r="C55" s="31">
        <v>1358.0</v>
      </c>
      <c r="D55" s="9"/>
      <c r="E55" s="10"/>
      <c r="F55" s="1"/>
      <c r="G55" s="1"/>
      <c r="H55" s="1"/>
      <c r="I55" s="1"/>
      <c r="J55" s="1"/>
      <c r="K55" s="1"/>
      <c r="L55" s="351"/>
      <c r="M55" s="27"/>
      <c r="P55" s="28"/>
      <c r="Q55" s="1"/>
      <c r="R55" s="1"/>
      <c r="S55" s="1"/>
      <c r="T55" s="1"/>
      <c r="U55" s="1"/>
      <c r="V55" s="1"/>
      <c r="W55" s="1"/>
      <c r="X55" s="1"/>
      <c r="Y55" s="1"/>
      <c r="Z55" s="1"/>
    </row>
    <row r="56" ht="15.75" customHeight="1">
      <c r="A56" s="1"/>
      <c r="B56" s="31" t="s">
        <v>2947</v>
      </c>
      <c r="C56" s="31">
        <v>2258.0</v>
      </c>
      <c r="D56" s="9"/>
      <c r="E56" s="10"/>
      <c r="F56" s="1"/>
      <c r="G56" s="1"/>
      <c r="H56" s="1"/>
      <c r="I56" s="1"/>
      <c r="J56" s="1"/>
      <c r="K56" s="1"/>
      <c r="L56" s="351"/>
      <c r="M56" s="27"/>
      <c r="P56" s="28"/>
      <c r="Q56" s="1"/>
      <c r="R56" s="1"/>
      <c r="S56" s="1"/>
      <c r="T56" s="1"/>
      <c r="U56" s="1"/>
      <c r="V56" s="1"/>
      <c r="W56" s="1"/>
      <c r="X56" s="1"/>
      <c r="Y56" s="1"/>
      <c r="Z56" s="1"/>
    </row>
    <row r="57" ht="15.75" customHeight="1">
      <c r="A57" s="1"/>
      <c r="B57" s="31" t="s">
        <v>2948</v>
      </c>
      <c r="C57" s="31">
        <v>4518.0</v>
      </c>
      <c r="D57" s="9"/>
      <c r="E57" s="10"/>
      <c r="F57" s="1"/>
      <c r="G57" s="1"/>
      <c r="H57" s="1"/>
      <c r="I57" s="1"/>
      <c r="J57" s="1"/>
      <c r="K57" s="1"/>
      <c r="L57" s="351"/>
      <c r="M57" s="27"/>
      <c r="P57" s="28"/>
      <c r="Q57" s="1"/>
      <c r="R57" s="1"/>
      <c r="S57" s="1"/>
      <c r="T57" s="1"/>
      <c r="U57" s="1"/>
      <c r="V57" s="1"/>
      <c r="W57" s="1"/>
      <c r="X57" s="1"/>
      <c r="Y57" s="1"/>
      <c r="Z57" s="1"/>
    </row>
    <row r="58" ht="15.75" customHeight="1">
      <c r="A58" s="1"/>
      <c r="B58" s="31" t="s">
        <v>2949</v>
      </c>
      <c r="C58" s="31">
        <v>2283.0</v>
      </c>
      <c r="D58" s="9"/>
      <c r="E58" s="10"/>
      <c r="F58" s="1"/>
      <c r="G58" s="1"/>
      <c r="H58" s="1"/>
      <c r="I58" s="1"/>
      <c r="J58" s="1"/>
      <c r="K58" s="1"/>
      <c r="L58" s="351"/>
      <c r="M58" s="27"/>
      <c r="P58" s="28"/>
      <c r="Q58" s="1"/>
      <c r="R58" s="1"/>
      <c r="S58" s="1"/>
      <c r="T58" s="1"/>
      <c r="U58" s="1"/>
      <c r="V58" s="1"/>
      <c r="W58" s="1"/>
      <c r="X58" s="1"/>
      <c r="Y58" s="1"/>
      <c r="Z58" s="1"/>
    </row>
    <row r="59" ht="15.75" customHeight="1">
      <c r="A59" s="1"/>
      <c r="B59" s="31" t="s">
        <v>2950</v>
      </c>
      <c r="C59" s="31">
        <v>2383.0</v>
      </c>
      <c r="D59" s="9"/>
      <c r="E59" s="10"/>
      <c r="F59" s="1"/>
      <c r="G59" s="1"/>
      <c r="H59" s="1"/>
      <c r="I59" s="1"/>
      <c r="J59" s="1"/>
      <c r="K59" s="1"/>
      <c r="L59" s="351"/>
      <c r="M59" s="27"/>
      <c r="P59" s="28"/>
      <c r="Q59" s="1"/>
      <c r="R59" s="1"/>
      <c r="S59" s="1"/>
      <c r="T59" s="1"/>
      <c r="U59" s="1"/>
      <c r="V59" s="1"/>
      <c r="W59" s="1"/>
      <c r="X59" s="1"/>
      <c r="Y59" s="1"/>
      <c r="Z59" s="1"/>
    </row>
    <row r="60" ht="15.75" customHeight="1">
      <c r="A60" s="1"/>
      <c r="B60" s="31" t="s">
        <v>2951</v>
      </c>
      <c r="C60" s="31">
        <v>4643.0</v>
      </c>
      <c r="D60" s="9"/>
      <c r="E60" s="10"/>
      <c r="F60" s="1"/>
      <c r="G60" s="1"/>
      <c r="H60" s="1"/>
      <c r="I60" s="1"/>
      <c r="J60" s="1"/>
      <c r="K60" s="1"/>
      <c r="L60" s="351"/>
      <c r="M60" s="27"/>
      <c r="P60" s="28"/>
      <c r="Q60" s="1"/>
      <c r="R60" s="1"/>
      <c r="S60" s="1"/>
      <c r="T60" s="1"/>
      <c r="U60" s="1"/>
      <c r="V60" s="1"/>
      <c r="W60" s="1"/>
      <c r="X60" s="1"/>
      <c r="Y60" s="1"/>
      <c r="Z60" s="1"/>
    </row>
    <row r="61" ht="15.75" customHeight="1">
      <c r="A61" s="1"/>
      <c r="B61" s="337" t="s">
        <v>2952</v>
      </c>
      <c r="C61" s="337" t="s">
        <v>137</v>
      </c>
      <c r="D61" s="9"/>
      <c r="E61" s="10"/>
      <c r="F61" s="1"/>
      <c r="G61" s="1"/>
      <c r="H61" s="1"/>
      <c r="I61" s="1"/>
      <c r="J61" s="1"/>
      <c r="K61" s="1"/>
      <c r="L61" s="351"/>
      <c r="M61" s="27"/>
      <c r="P61" s="28"/>
      <c r="Q61" s="1"/>
      <c r="R61" s="1"/>
      <c r="S61" s="1"/>
      <c r="T61" s="1"/>
      <c r="U61" s="1"/>
      <c r="V61" s="1"/>
      <c r="W61" s="1"/>
      <c r="X61" s="1"/>
      <c r="Y61" s="1"/>
      <c r="Z61" s="1"/>
    </row>
    <row r="62" ht="15.75" customHeight="1">
      <c r="A62" s="1"/>
      <c r="B62" s="31" t="s">
        <v>2904</v>
      </c>
      <c r="C62" s="31">
        <v>2.0</v>
      </c>
      <c r="D62" s="9"/>
      <c r="E62" s="10"/>
      <c r="F62" s="1"/>
      <c r="G62" s="1"/>
      <c r="H62" s="1"/>
      <c r="I62" s="1"/>
      <c r="J62" s="1"/>
      <c r="K62" s="1"/>
      <c r="L62" s="351"/>
      <c r="M62" s="27"/>
      <c r="P62" s="28"/>
      <c r="Q62" s="1"/>
      <c r="R62" s="1"/>
      <c r="S62" s="1"/>
      <c r="T62" s="1"/>
      <c r="U62" s="1"/>
      <c r="V62" s="1"/>
      <c r="W62" s="1"/>
      <c r="X62" s="1"/>
      <c r="Y62" s="1"/>
      <c r="Z62" s="1"/>
    </row>
    <row r="63" ht="15.75" customHeight="1">
      <c r="A63" s="1"/>
      <c r="B63" s="31" t="s">
        <v>352</v>
      </c>
      <c r="C63" s="31">
        <v>4.0</v>
      </c>
      <c r="D63" s="9"/>
      <c r="E63" s="10"/>
      <c r="F63" s="1"/>
      <c r="G63" s="1"/>
      <c r="H63" s="1"/>
      <c r="I63" s="1"/>
      <c r="J63" s="1"/>
      <c r="K63" s="1"/>
      <c r="L63" s="351"/>
      <c r="M63" s="27"/>
      <c r="P63" s="28"/>
      <c r="Q63" s="1"/>
      <c r="R63" s="1"/>
      <c r="S63" s="1"/>
      <c r="T63" s="1"/>
      <c r="U63" s="1"/>
      <c r="V63" s="1"/>
      <c r="W63" s="1"/>
      <c r="X63" s="1"/>
      <c r="Y63" s="1"/>
      <c r="Z63" s="1"/>
    </row>
    <row r="64" ht="15.75" customHeight="1">
      <c r="A64" s="1"/>
      <c r="B64" s="31" t="s">
        <v>212</v>
      </c>
      <c r="C64" s="31">
        <v>6.0</v>
      </c>
      <c r="D64" s="9"/>
      <c r="E64" s="10"/>
      <c r="F64" s="1"/>
      <c r="G64" s="1"/>
      <c r="H64" s="1"/>
      <c r="I64" s="1"/>
      <c r="J64" s="1"/>
      <c r="K64" s="1"/>
      <c r="L64" s="351"/>
      <c r="M64" s="27"/>
      <c r="P64" s="28"/>
      <c r="Q64" s="1"/>
      <c r="R64" s="1"/>
      <c r="S64" s="1"/>
      <c r="T64" s="1"/>
      <c r="U64" s="1"/>
      <c r="V64" s="1"/>
      <c r="W64" s="1"/>
      <c r="X64" s="1"/>
      <c r="Y64" s="1"/>
      <c r="Z64" s="1"/>
    </row>
    <row r="65" ht="15.75" customHeight="1">
      <c r="A65" s="1"/>
      <c r="B65" s="31" t="s">
        <v>225</v>
      </c>
      <c r="C65" s="31">
        <v>12.0</v>
      </c>
      <c r="D65" s="9"/>
      <c r="E65" s="10"/>
      <c r="F65" s="1"/>
      <c r="G65" s="1"/>
      <c r="H65" s="1"/>
      <c r="I65" s="1"/>
      <c r="J65" s="1"/>
      <c r="K65" s="1"/>
      <c r="L65" s="351"/>
      <c r="M65" s="27"/>
      <c r="P65" s="28"/>
      <c r="Q65" s="1"/>
      <c r="R65" s="1"/>
      <c r="S65" s="1"/>
      <c r="T65" s="1"/>
      <c r="U65" s="1"/>
      <c r="V65" s="1"/>
      <c r="W65" s="1"/>
      <c r="X65" s="1"/>
      <c r="Y65" s="1"/>
      <c r="Z65" s="1"/>
    </row>
    <row r="66" ht="15.75" customHeight="1">
      <c r="A66" s="1"/>
      <c r="B66" s="31" t="s">
        <v>2897</v>
      </c>
      <c r="C66" s="31">
        <v>24.0</v>
      </c>
      <c r="D66" s="9"/>
      <c r="E66" s="10"/>
      <c r="F66" s="1"/>
      <c r="G66" s="1"/>
      <c r="H66" s="1"/>
      <c r="I66" s="1"/>
      <c r="J66" s="1"/>
      <c r="K66" s="1"/>
      <c r="L66" s="351"/>
      <c r="M66" s="27"/>
      <c r="P66" s="28"/>
      <c r="Q66" s="1"/>
      <c r="R66" s="1"/>
      <c r="S66" s="1"/>
      <c r="T66" s="1"/>
      <c r="U66" s="1"/>
      <c r="V66" s="1"/>
      <c r="W66" s="1"/>
      <c r="X66" s="1"/>
      <c r="Y66" s="1"/>
      <c r="Z66" s="1"/>
    </row>
    <row r="67" ht="15.75" customHeight="1">
      <c r="A67" s="1"/>
      <c r="B67" s="337" t="s">
        <v>2953</v>
      </c>
      <c r="C67" s="337" t="s">
        <v>137</v>
      </c>
      <c r="D67" s="9"/>
      <c r="E67" s="10"/>
      <c r="F67" s="1"/>
      <c r="G67" s="1"/>
      <c r="H67" s="1"/>
      <c r="I67" s="1"/>
      <c r="J67" s="1"/>
      <c r="K67" s="1"/>
      <c r="L67" s="351"/>
      <c r="M67" s="27"/>
      <c r="P67" s="28"/>
      <c r="Q67" s="1"/>
      <c r="R67" s="1"/>
      <c r="S67" s="1"/>
      <c r="T67" s="1"/>
      <c r="U67" s="1"/>
      <c r="V67" s="1"/>
      <c r="W67" s="1"/>
      <c r="X67" s="1"/>
      <c r="Y67" s="1"/>
      <c r="Z67" s="1"/>
    </row>
    <row r="68" ht="15.75" customHeight="1">
      <c r="A68" s="1"/>
      <c r="B68" s="31" t="s">
        <v>2904</v>
      </c>
      <c r="C68" s="31">
        <v>8.0</v>
      </c>
      <c r="D68" s="9"/>
      <c r="E68" s="10"/>
      <c r="F68" s="1"/>
      <c r="G68" s="1"/>
      <c r="H68" s="1"/>
      <c r="I68" s="1"/>
      <c r="J68" s="1"/>
      <c r="K68" s="1"/>
      <c r="L68" s="30"/>
      <c r="M68" s="46"/>
      <c r="N68" s="47"/>
      <c r="O68" s="47"/>
      <c r="P68" s="48"/>
      <c r="Q68" s="1"/>
      <c r="R68" s="1"/>
      <c r="S68" s="1"/>
      <c r="T68" s="1"/>
      <c r="U68" s="1"/>
      <c r="V68" s="1"/>
      <c r="W68" s="1"/>
      <c r="X68" s="1"/>
      <c r="Y68" s="1"/>
      <c r="Z68" s="1"/>
    </row>
    <row r="69" ht="15.75" customHeight="1">
      <c r="A69" s="1"/>
      <c r="B69" s="31" t="s">
        <v>352</v>
      </c>
      <c r="C69" s="31">
        <v>16.0</v>
      </c>
      <c r="D69" s="9"/>
      <c r="E69" s="10"/>
      <c r="F69" s="1"/>
      <c r="G69" s="1"/>
      <c r="H69" s="1"/>
      <c r="I69" s="1"/>
      <c r="J69" s="1"/>
      <c r="K69" s="1"/>
      <c r="L69" s="1"/>
      <c r="M69" s="1"/>
      <c r="N69" s="1"/>
      <c r="O69" s="1"/>
      <c r="P69" s="1"/>
      <c r="Q69" s="1"/>
      <c r="R69" s="1"/>
      <c r="S69" s="1"/>
      <c r="T69" s="1"/>
      <c r="U69" s="1"/>
      <c r="V69" s="1"/>
      <c r="W69" s="1"/>
      <c r="X69" s="1"/>
      <c r="Y69" s="1"/>
      <c r="Z69" s="1"/>
    </row>
    <row r="70" ht="15.75" customHeight="1">
      <c r="A70" s="1"/>
      <c r="B70" s="31" t="s">
        <v>212</v>
      </c>
      <c r="C70" s="31">
        <v>24.0</v>
      </c>
      <c r="D70" s="9"/>
      <c r="E70" s="10"/>
      <c r="F70" s="1"/>
      <c r="G70" s="1"/>
      <c r="H70" s="1"/>
      <c r="I70" s="1"/>
      <c r="J70" s="1"/>
      <c r="K70" s="1"/>
      <c r="L70" s="1"/>
      <c r="M70" s="1"/>
      <c r="N70" s="1"/>
      <c r="O70" s="1"/>
      <c r="P70" s="1"/>
      <c r="Q70" s="1"/>
      <c r="R70" s="1"/>
      <c r="S70" s="1"/>
      <c r="T70" s="1"/>
      <c r="U70" s="1"/>
      <c r="V70" s="1"/>
      <c r="W70" s="1"/>
      <c r="X70" s="1"/>
      <c r="Y70" s="1"/>
      <c r="Z70" s="1"/>
    </row>
    <row r="71" ht="15.75" customHeight="1">
      <c r="A71" s="1"/>
      <c r="B71" s="31" t="s">
        <v>225</v>
      </c>
      <c r="C71" s="31">
        <v>48.0</v>
      </c>
      <c r="D71" s="10"/>
      <c r="E71" s="10"/>
      <c r="F71" s="1"/>
      <c r="G71" s="1"/>
      <c r="H71" s="1"/>
      <c r="I71" s="1"/>
      <c r="J71" s="1"/>
      <c r="K71" s="1"/>
      <c r="L71" s="1"/>
      <c r="M71" s="1"/>
      <c r="N71" s="1"/>
      <c r="O71" s="1"/>
      <c r="P71" s="1"/>
      <c r="Q71" s="1"/>
      <c r="R71" s="1"/>
      <c r="S71" s="1"/>
      <c r="T71" s="1"/>
      <c r="U71" s="1"/>
      <c r="V71" s="1"/>
      <c r="W71" s="1"/>
      <c r="X71" s="1"/>
      <c r="Y71" s="1"/>
      <c r="Z71" s="1"/>
    </row>
    <row r="72" ht="15.75" customHeight="1">
      <c r="A72" s="1"/>
      <c r="B72" s="31" t="s">
        <v>2897</v>
      </c>
      <c r="C72" s="31">
        <v>96.0</v>
      </c>
      <c r="D72" s="1"/>
      <c r="E72" s="10"/>
      <c r="F72" s="1"/>
      <c r="G72" s="1"/>
      <c r="H72" s="1"/>
      <c r="I72" s="1"/>
      <c r="J72" s="1"/>
      <c r="K72" s="1"/>
      <c r="L72" s="1"/>
      <c r="M72" s="1"/>
      <c r="N72" s="1"/>
      <c r="O72" s="1"/>
      <c r="P72" s="1"/>
      <c r="Q72" s="1"/>
      <c r="R72" s="1"/>
      <c r="S72" s="1"/>
      <c r="T72" s="1"/>
      <c r="U72" s="1"/>
      <c r="V72" s="1"/>
      <c r="W72" s="1"/>
      <c r="X72" s="1"/>
      <c r="Y72" s="1"/>
      <c r="Z72" s="1"/>
    </row>
    <row r="73" ht="15.75" customHeight="1">
      <c r="A73" s="1"/>
      <c r="B73" s="337" t="s">
        <v>2954</v>
      </c>
      <c r="C73" s="337" t="s">
        <v>137</v>
      </c>
      <c r="D73" s="1"/>
      <c r="E73" s="10"/>
      <c r="F73" s="1"/>
      <c r="G73" s="1"/>
      <c r="H73" s="1"/>
      <c r="I73" s="1"/>
      <c r="J73" s="1"/>
      <c r="K73" s="1"/>
      <c r="L73" s="1"/>
      <c r="M73" s="1"/>
      <c r="N73" s="1"/>
      <c r="O73" s="1"/>
      <c r="P73" s="1"/>
      <c r="Q73" s="1"/>
      <c r="R73" s="1"/>
      <c r="S73" s="1"/>
      <c r="T73" s="1"/>
      <c r="U73" s="1"/>
      <c r="V73" s="1"/>
      <c r="W73" s="1"/>
      <c r="X73" s="1"/>
      <c r="Y73" s="1"/>
      <c r="Z73" s="1"/>
    </row>
    <row r="74" ht="15.75" customHeight="1">
      <c r="A74" s="1"/>
      <c r="B74" s="31" t="s">
        <v>2904</v>
      </c>
      <c r="C74" s="31">
        <v>300.0</v>
      </c>
      <c r="D74" s="9"/>
      <c r="E74" s="10"/>
      <c r="F74" s="1"/>
      <c r="G74" s="1"/>
      <c r="H74" s="1"/>
      <c r="I74" s="1"/>
      <c r="J74" s="1"/>
      <c r="K74" s="1"/>
      <c r="L74" s="1"/>
      <c r="M74" s="1"/>
      <c r="N74" s="1"/>
      <c r="O74" s="1"/>
      <c r="P74" s="1"/>
      <c r="Q74" s="1"/>
      <c r="R74" s="1"/>
      <c r="S74" s="1"/>
      <c r="T74" s="1"/>
      <c r="U74" s="1"/>
      <c r="V74" s="1"/>
      <c r="W74" s="1"/>
      <c r="X74" s="1"/>
      <c r="Y74" s="1"/>
      <c r="Z74" s="1"/>
    </row>
    <row r="75" ht="15.75" customHeight="1">
      <c r="A75" s="1"/>
      <c r="B75" s="31" t="s">
        <v>352</v>
      </c>
      <c r="C75" s="31">
        <v>300.0</v>
      </c>
      <c r="D75" s="9"/>
      <c r="E75" s="10"/>
      <c r="F75" s="1"/>
      <c r="G75" s="1"/>
      <c r="H75" s="1"/>
      <c r="I75" s="1"/>
      <c r="J75" s="1"/>
      <c r="K75" s="1"/>
      <c r="L75" s="1"/>
      <c r="M75" s="1"/>
      <c r="N75" s="1"/>
      <c r="O75" s="1"/>
      <c r="P75" s="1"/>
      <c r="Q75" s="1"/>
      <c r="R75" s="1"/>
      <c r="S75" s="1"/>
      <c r="T75" s="1"/>
      <c r="U75" s="1"/>
      <c r="V75" s="1"/>
      <c r="W75" s="1"/>
      <c r="X75" s="1"/>
      <c r="Y75" s="1"/>
      <c r="Z75" s="1"/>
    </row>
    <row r="76" ht="15.75" customHeight="1">
      <c r="A76" s="1"/>
      <c r="B76" s="31" t="s">
        <v>212</v>
      </c>
      <c r="C76" s="31">
        <v>300.0</v>
      </c>
      <c r="D76" s="9"/>
      <c r="E76" s="10"/>
      <c r="F76" s="1"/>
      <c r="G76" s="1"/>
      <c r="H76" s="1"/>
      <c r="I76" s="1"/>
      <c r="J76" s="1"/>
      <c r="K76" s="1"/>
      <c r="L76" s="1"/>
      <c r="M76" s="1"/>
      <c r="N76" s="1"/>
      <c r="O76" s="1"/>
      <c r="P76" s="1"/>
      <c r="Q76" s="1"/>
      <c r="R76" s="1"/>
      <c r="S76" s="1"/>
      <c r="T76" s="1"/>
      <c r="U76" s="1"/>
      <c r="V76" s="1"/>
      <c r="W76" s="1"/>
      <c r="X76" s="1"/>
      <c r="Y76" s="1"/>
      <c r="Z76" s="1"/>
    </row>
    <row r="77" ht="15.75" customHeight="1">
      <c r="A77" s="1"/>
      <c r="B77" s="31" t="s">
        <v>225</v>
      </c>
      <c r="C77" s="31">
        <v>300.0</v>
      </c>
      <c r="D77" s="9"/>
      <c r="E77" s="10"/>
      <c r="F77" s="1"/>
      <c r="G77" s="1"/>
      <c r="H77" s="1"/>
      <c r="I77" s="1"/>
      <c r="J77" s="1"/>
      <c r="K77" s="1"/>
      <c r="L77" s="1"/>
      <c r="M77" s="1"/>
      <c r="N77" s="1"/>
      <c r="O77" s="1"/>
      <c r="P77" s="1"/>
      <c r="Q77" s="1"/>
      <c r="R77" s="1"/>
      <c r="S77" s="1"/>
      <c r="T77" s="1"/>
      <c r="U77" s="1"/>
      <c r="V77" s="1"/>
      <c r="W77" s="1"/>
      <c r="X77" s="1"/>
      <c r="Y77" s="1"/>
      <c r="Z77" s="1"/>
    </row>
    <row r="78" ht="15.75" customHeight="1">
      <c r="A78" s="1"/>
      <c r="B78" s="31" t="s">
        <v>2897</v>
      </c>
      <c r="C78" s="31">
        <v>400.0</v>
      </c>
      <c r="D78" s="9"/>
      <c r="E78" s="10"/>
      <c r="F78" s="1"/>
      <c r="G78" s="1"/>
      <c r="H78" s="1"/>
      <c r="I78" s="1"/>
      <c r="J78" s="1"/>
      <c r="K78" s="1"/>
      <c r="L78" s="1"/>
      <c r="M78" s="1"/>
      <c r="N78" s="1"/>
      <c r="O78" s="1"/>
      <c r="P78" s="1"/>
      <c r="Q78" s="1"/>
      <c r="R78" s="1"/>
      <c r="S78" s="1"/>
      <c r="T78" s="1"/>
      <c r="U78" s="1"/>
      <c r="V78" s="1"/>
      <c r="W78" s="1"/>
      <c r="X78" s="1"/>
      <c r="Y78" s="1"/>
      <c r="Z78" s="1"/>
    </row>
    <row r="79" ht="15.75" customHeight="1">
      <c r="A79" s="1"/>
      <c r="B79" s="337" t="s">
        <v>2955</v>
      </c>
      <c r="C79" s="337" t="s">
        <v>137</v>
      </c>
      <c r="D79" s="9"/>
      <c r="E79" s="10"/>
      <c r="F79" s="1"/>
      <c r="G79" s="1"/>
      <c r="H79" s="1"/>
      <c r="I79" s="1"/>
      <c r="J79" s="1"/>
      <c r="K79" s="1"/>
      <c r="L79" s="1"/>
      <c r="M79" s="1"/>
      <c r="N79" s="1"/>
      <c r="O79" s="1"/>
      <c r="P79" s="1"/>
      <c r="Q79" s="1"/>
      <c r="R79" s="1"/>
      <c r="S79" s="1"/>
      <c r="T79" s="1"/>
      <c r="U79" s="1"/>
      <c r="V79" s="1"/>
      <c r="W79" s="1"/>
      <c r="X79" s="1"/>
      <c r="Y79" s="1"/>
      <c r="Z79" s="1"/>
    </row>
    <row r="80" ht="15.75" customHeight="1">
      <c r="A80" s="1"/>
      <c r="B80" s="31" t="s">
        <v>352</v>
      </c>
      <c r="C80" s="31">
        <v>2.0</v>
      </c>
      <c r="D80" s="9"/>
      <c r="E80" s="10"/>
      <c r="F80" s="1"/>
      <c r="G80" s="1"/>
      <c r="H80" s="1"/>
      <c r="I80" s="1"/>
      <c r="J80" s="1"/>
      <c r="K80" s="1"/>
      <c r="L80" s="1"/>
      <c r="M80" s="1"/>
      <c r="N80" s="1"/>
      <c r="O80" s="1"/>
      <c r="P80" s="1"/>
      <c r="Q80" s="1"/>
      <c r="R80" s="1"/>
      <c r="S80" s="1"/>
      <c r="T80" s="1"/>
      <c r="U80" s="1"/>
      <c r="V80" s="1"/>
      <c r="W80" s="1"/>
      <c r="X80" s="1"/>
      <c r="Y80" s="1"/>
      <c r="Z80" s="1"/>
    </row>
    <row r="81" ht="15.75" customHeight="1">
      <c r="A81" s="1"/>
      <c r="B81" s="31" t="s">
        <v>212</v>
      </c>
      <c r="C81" s="31">
        <v>4.0</v>
      </c>
      <c r="D81" s="9"/>
      <c r="E81" s="10"/>
      <c r="F81" s="1"/>
      <c r="G81" s="1"/>
      <c r="H81" s="1"/>
      <c r="I81" s="1"/>
      <c r="J81" s="1"/>
      <c r="K81" s="1"/>
      <c r="L81" s="1"/>
      <c r="M81" s="1"/>
      <c r="N81" s="1"/>
      <c r="O81" s="1"/>
      <c r="P81" s="1"/>
      <c r="Q81" s="1"/>
      <c r="R81" s="1"/>
      <c r="S81" s="1"/>
      <c r="T81" s="1"/>
      <c r="U81" s="1"/>
      <c r="V81" s="1"/>
      <c r="W81" s="1"/>
      <c r="X81" s="1"/>
      <c r="Y81" s="1"/>
      <c r="Z81" s="1"/>
    </row>
    <row r="82" ht="15.75" customHeight="1">
      <c r="A82" s="1"/>
      <c r="B82" s="31" t="s">
        <v>225</v>
      </c>
      <c r="C82" s="31">
        <v>8.0</v>
      </c>
      <c r="D82" s="9"/>
      <c r="E82" s="10"/>
      <c r="F82" s="1"/>
      <c r="G82" s="1"/>
      <c r="H82" s="1"/>
      <c r="I82" s="1"/>
      <c r="J82" s="1"/>
      <c r="K82" s="1"/>
      <c r="L82" s="1"/>
      <c r="M82" s="1"/>
      <c r="N82" s="1"/>
      <c r="O82" s="1"/>
      <c r="P82" s="1"/>
      <c r="Q82" s="1"/>
      <c r="R82" s="1"/>
      <c r="S82" s="1"/>
      <c r="T82" s="1"/>
      <c r="U82" s="1"/>
      <c r="V82" s="1"/>
      <c r="W82" s="1"/>
      <c r="X82" s="1"/>
      <c r="Y82" s="1"/>
      <c r="Z82" s="1"/>
    </row>
    <row r="83" ht="15.75" customHeight="1">
      <c r="A83" s="1"/>
      <c r="B83" s="31" t="s">
        <v>2897</v>
      </c>
      <c r="C83" s="31">
        <v>16.0</v>
      </c>
      <c r="D83" s="9"/>
      <c r="E83" s="10"/>
      <c r="F83" s="1"/>
      <c r="G83" s="1"/>
      <c r="H83" s="1"/>
      <c r="I83" s="1"/>
      <c r="J83" s="1"/>
      <c r="K83" s="1"/>
      <c r="L83" s="1"/>
      <c r="M83" s="1"/>
      <c r="N83" s="1"/>
      <c r="O83" s="1"/>
      <c r="P83" s="1"/>
      <c r="Q83" s="1"/>
      <c r="R83" s="1"/>
      <c r="S83" s="1"/>
      <c r="T83" s="1"/>
      <c r="U83" s="1"/>
      <c r="V83" s="1"/>
      <c r="W83" s="1"/>
      <c r="X83" s="1"/>
      <c r="Y83" s="1"/>
      <c r="Z83" s="1"/>
    </row>
    <row r="84" ht="15.75" customHeight="1">
      <c r="A84" s="1"/>
      <c r="B84" s="31" t="s">
        <v>2908</v>
      </c>
      <c r="C84" s="31"/>
      <c r="D84" s="9"/>
      <c r="E84" s="10"/>
      <c r="F84" s="1"/>
      <c r="G84" s="1"/>
      <c r="H84" s="1"/>
      <c r="I84" s="1"/>
      <c r="J84" s="1"/>
      <c r="K84" s="1"/>
      <c r="L84" s="1"/>
      <c r="M84" s="1"/>
      <c r="N84" s="1"/>
      <c r="O84" s="1"/>
      <c r="P84" s="1"/>
      <c r="Q84" s="1"/>
      <c r="R84" s="1"/>
      <c r="S84" s="1"/>
      <c r="T84" s="1"/>
      <c r="U84" s="1"/>
      <c r="V84" s="1"/>
      <c r="W84" s="1"/>
      <c r="X84" s="1"/>
      <c r="Y84" s="1"/>
      <c r="Z84" s="1"/>
    </row>
    <row r="85" ht="15.75" customHeight="1">
      <c r="A85" s="1"/>
      <c r="B85" s="337" t="s">
        <v>2956</v>
      </c>
      <c r="C85" s="337" t="s">
        <v>137</v>
      </c>
      <c r="D85" s="9"/>
      <c r="E85" s="10"/>
      <c r="F85" s="1"/>
      <c r="G85" s="1"/>
      <c r="H85" s="1"/>
      <c r="I85" s="1"/>
      <c r="J85" s="1"/>
      <c r="K85" s="1"/>
      <c r="L85" s="1"/>
      <c r="M85" s="1"/>
      <c r="N85" s="1"/>
      <c r="O85" s="1"/>
      <c r="P85" s="1"/>
      <c r="Q85" s="1"/>
      <c r="R85" s="1"/>
      <c r="S85" s="1"/>
      <c r="T85" s="1"/>
      <c r="U85" s="1"/>
      <c r="V85" s="1"/>
      <c r="W85" s="1"/>
      <c r="X85" s="1"/>
      <c r="Y85" s="1"/>
      <c r="Z85" s="1"/>
    </row>
    <row r="86" ht="15.75" customHeight="1">
      <c r="A86" s="1"/>
      <c r="B86" s="31" t="s">
        <v>352</v>
      </c>
      <c r="C86" s="31">
        <v>4.0</v>
      </c>
      <c r="D86" s="9"/>
      <c r="E86" s="10"/>
      <c r="F86" s="1"/>
      <c r="G86" s="1"/>
      <c r="H86" s="1"/>
      <c r="I86" s="1"/>
      <c r="J86" s="1"/>
      <c r="K86" s="1"/>
      <c r="L86" s="1"/>
      <c r="M86" s="1"/>
      <c r="N86" s="1"/>
      <c r="O86" s="1"/>
      <c r="P86" s="1"/>
      <c r="Q86" s="1"/>
      <c r="R86" s="1"/>
      <c r="S86" s="1"/>
      <c r="T86" s="1"/>
      <c r="U86" s="1"/>
      <c r="V86" s="1"/>
      <c r="W86" s="1"/>
      <c r="X86" s="1"/>
      <c r="Y86" s="1"/>
      <c r="Z86" s="1"/>
    </row>
    <row r="87" ht="15.75" customHeight="1">
      <c r="A87" s="1"/>
      <c r="B87" s="31" t="s">
        <v>212</v>
      </c>
      <c r="C87" s="31">
        <v>8.0</v>
      </c>
      <c r="D87" s="9"/>
      <c r="E87" s="10"/>
      <c r="F87" s="1"/>
      <c r="G87" s="1"/>
      <c r="H87" s="1"/>
      <c r="I87" s="1"/>
      <c r="J87" s="1"/>
      <c r="K87" s="1"/>
      <c r="L87" s="1"/>
      <c r="M87" s="1"/>
      <c r="N87" s="1"/>
      <c r="O87" s="1"/>
      <c r="P87" s="1"/>
      <c r="Q87" s="1"/>
      <c r="R87" s="1"/>
      <c r="S87" s="1"/>
      <c r="T87" s="1"/>
      <c r="U87" s="1"/>
      <c r="V87" s="1"/>
      <c r="W87" s="1"/>
      <c r="X87" s="1"/>
      <c r="Y87" s="1"/>
      <c r="Z87" s="1"/>
    </row>
    <row r="88" ht="15.75" customHeight="1">
      <c r="A88" s="1"/>
      <c r="B88" s="31" t="s">
        <v>225</v>
      </c>
      <c r="C88" s="31">
        <v>32.0</v>
      </c>
      <c r="D88" s="9"/>
      <c r="E88" s="10"/>
      <c r="F88" s="1"/>
      <c r="G88" s="1"/>
      <c r="H88" s="1"/>
      <c r="I88" s="1"/>
      <c r="J88" s="1"/>
      <c r="K88" s="1"/>
      <c r="L88" s="1"/>
      <c r="M88" s="1"/>
      <c r="N88" s="1"/>
      <c r="O88" s="1"/>
      <c r="P88" s="1"/>
      <c r="Q88" s="1"/>
      <c r="R88" s="1"/>
      <c r="S88" s="1"/>
      <c r="T88" s="1"/>
      <c r="U88" s="1"/>
      <c r="V88" s="1"/>
      <c r="W88" s="1"/>
      <c r="X88" s="1"/>
      <c r="Y88" s="1"/>
      <c r="Z88" s="1"/>
    </row>
    <row r="89" ht="15.75" customHeight="1">
      <c r="A89" s="1"/>
      <c r="B89" s="31" t="s">
        <v>2897</v>
      </c>
      <c r="C89" s="31">
        <v>64.0</v>
      </c>
      <c r="D89" s="9"/>
      <c r="E89" s="10"/>
      <c r="F89" s="1"/>
      <c r="G89" s="1"/>
      <c r="H89" s="1"/>
      <c r="I89" s="1"/>
      <c r="J89" s="1"/>
      <c r="K89" s="1"/>
      <c r="L89" s="1"/>
      <c r="M89" s="1"/>
      <c r="N89" s="1"/>
      <c r="O89" s="1"/>
      <c r="P89" s="1"/>
      <c r="Q89" s="1"/>
      <c r="R89" s="1"/>
      <c r="S89" s="1"/>
      <c r="T89" s="1"/>
      <c r="U89" s="1"/>
      <c r="V89" s="1"/>
      <c r="W89" s="1"/>
      <c r="X89" s="1"/>
      <c r="Y89" s="1"/>
      <c r="Z89" s="1"/>
    </row>
    <row r="90" ht="15.75" customHeight="1">
      <c r="A90" s="1"/>
      <c r="B90" s="31" t="s">
        <v>2908</v>
      </c>
      <c r="C90" s="31"/>
      <c r="D90" s="9"/>
      <c r="E90" s="10"/>
      <c r="F90" s="1"/>
      <c r="G90" s="1"/>
      <c r="H90" s="1"/>
      <c r="I90" s="1"/>
      <c r="J90" s="1"/>
      <c r="K90" s="1"/>
      <c r="L90" s="1"/>
      <c r="M90" s="1"/>
      <c r="N90" s="1"/>
      <c r="O90" s="1"/>
      <c r="P90" s="1"/>
      <c r="Q90" s="1"/>
      <c r="R90" s="1"/>
      <c r="S90" s="1"/>
      <c r="T90" s="1"/>
      <c r="U90" s="1"/>
      <c r="V90" s="1"/>
      <c r="W90" s="1"/>
      <c r="X90" s="1"/>
      <c r="Y90" s="1"/>
      <c r="Z90" s="1"/>
    </row>
    <row r="91" ht="15.75" customHeight="1">
      <c r="A91" s="1"/>
      <c r="B91" s="337" t="s">
        <v>2957</v>
      </c>
      <c r="C91" s="337" t="s">
        <v>137</v>
      </c>
      <c r="D91" s="9"/>
      <c r="E91" s="10"/>
      <c r="F91" s="1"/>
      <c r="G91" s="1"/>
      <c r="H91" s="1"/>
      <c r="I91" s="1"/>
      <c r="J91" s="1"/>
      <c r="K91" s="1"/>
      <c r="L91" s="1"/>
      <c r="M91" s="1"/>
      <c r="N91" s="1"/>
      <c r="O91" s="1"/>
      <c r="P91" s="1"/>
      <c r="Q91" s="1"/>
      <c r="R91" s="1"/>
      <c r="S91" s="1"/>
      <c r="T91" s="1"/>
      <c r="U91" s="1"/>
      <c r="V91" s="1"/>
      <c r="W91" s="1"/>
      <c r="X91" s="1"/>
      <c r="Y91" s="1"/>
      <c r="Z91" s="1"/>
    </row>
    <row r="92" ht="15.75" customHeight="1">
      <c r="A92" s="1"/>
      <c r="B92" s="31" t="s">
        <v>352</v>
      </c>
      <c r="C92" s="31">
        <v>200.0</v>
      </c>
      <c r="D92" s="9"/>
      <c r="E92" s="10"/>
      <c r="F92" s="1"/>
      <c r="G92" s="1"/>
      <c r="H92" s="1"/>
      <c r="I92" s="1"/>
      <c r="J92" s="1"/>
      <c r="K92" s="1"/>
      <c r="L92" s="1"/>
      <c r="M92" s="1"/>
      <c r="N92" s="1"/>
      <c r="O92" s="1"/>
      <c r="P92" s="1"/>
      <c r="Q92" s="1"/>
      <c r="R92" s="1"/>
      <c r="S92" s="1"/>
      <c r="T92" s="1"/>
      <c r="U92" s="1"/>
      <c r="V92" s="1"/>
      <c r="W92" s="1"/>
      <c r="X92" s="1"/>
      <c r="Y92" s="1"/>
      <c r="Z92" s="1"/>
    </row>
    <row r="93" ht="15.75" customHeight="1">
      <c r="A93" s="1"/>
      <c r="B93" s="31" t="s">
        <v>212</v>
      </c>
      <c r="C93" s="31">
        <v>200.0</v>
      </c>
      <c r="D93" s="9"/>
      <c r="E93" s="10"/>
      <c r="F93" s="1"/>
      <c r="G93" s="1"/>
      <c r="H93" s="1"/>
      <c r="I93" s="1"/>
      <c r="J93" s="1"/>
      <c r="K93" s="1"/>
      <c r="L93" s="1"/>
      <c r="M93" s="1"/>
      <c r="N93" s="1"/>
      <c r="O93" s="1"/>
      <c r="P93" s="1"/>
      <c r="Q93" s="1"/>
      <c r="R93" s="1"/>
      <c r="S93" s="1"/>
      <c r="T93" s="1"/>
      <c r="U93" s="1"/>
      <c r="V93" s="1"/>
      <c r="W93" s="1"/>
      <c r="X93" s="1"/>
      <c r="Y93" s="1"/>
      <c r="Z93" s="1"/>
    </row>
    <row r="94" ht="15.75" customHeight="1">
      <c r="A94" s="1"/>
      <c r="B94" s="31" t="s">
        <v>225</v>
      </c>
      <c r="C94" s="31">
        <v>200.0</v>
      </c>
      <c r="D94" s="9"/>
      <c r="E94" s="10"/>
      <c r="F94" s="1"/>
      <c r="G94" s="1"/>
      <c r="H94" s="1"/>
      <c r="I94" s="1"/>
      <c r="J94" s="1"/>
      <c r="K94" s="1"/>
      <c r="L94" s="1"/>
      <c r="M94" s="1"/>
      <c r="N94" s="1"/>
      <c r="O94" s="1"/>
      <c r="P94" s="1"/>
      <c r="Q94" s="1"/>
      <c r="R94" s="1"/>
      <c r="S94" s="1"/>
      <c r="T94" s="1"/>
      <c r="U94" s="1"/>
      <c r="V94" s="1"/>
      <c r="W94" s="1"/>
      <c r="X94" s="1"/>
      <c r="Y94" s="1"/>
      <c r="Z94" s="1"/>
    </row>
    <row r="95" ht="15.75" customHeight="1">
      <c r="A95" s="1"/>
      <c r="B95" s="31" t="s">
        <v>2897</v>
      </c>
      <c r="C95" s="31">
        <v>200.0</v>
      </c>
      <c r="D95" s="9"/>
      <c r="E95" s="10"/>
      <c r="F95" s="1"/>
      <c r="G95" s="1"/>
      <c r="H95" s="1"/>
      <c r="I95" s="1"/>
      <c r="J95" s="1"/>
      <c r="K95" s="1"/>
      <c r="L95" s="1"/>
      <c r="M95" s="1"/>
      <c r="N95" s="1"/>
      <c r="O95" s="1"/>
      <c r="P95" s="1"/>
      <c r="Q95" s="1"/>
      <c r="R95" s="1"/>
      <c r="S95" s="1"/>
      <c r="T95" s="1"/>
      <c r="U95" s="1"/>
      <c r="V95" s="1"/>
      <c r="W95" s="1"/>
      <c r="X95" s="1"/>
      <c r="Y95" s="1"/>
      <c r="Z95" s="1"/>
    </row>
    <row r="96" ht="15.75" customHeight="1">
      <c r="A96" s="1"/>
      <c r="B96" s="31" t="s">
        <v>2908</v>
      </c>
      <c r="C96" s="31"/>
      <c r="D96" s="9"/>
      <c r="E96" s="10"/>
      <c r="F96" s="1"/>
      <c r="G96" s="1"/>
      <c r="H96" s="1"/>
      <c r="I96" s="1"/>
      <c r="J96" s="1"/>
      <c r="K96" s="1"/>
      <c r="L96" s="1"/>
      <c r="M96" s="1"/>
      <c r="N96" s="1"/>
      <c r="O96" s="1"/>
      <c r="P96" s="1"/>
      <c r="Q96" s="1"/>
      <c r="R96" s="1"/>
      <c r="S96" s="1"/>
      <c r="T96" s="1"/>
      <c r="U96" s="1"/>
      <c r="V96" s="1"/>
      <c r="W96" s="1"/>
      <c r="X96" s="1"/>
      <c r="Y96" s="1"/>
      <c r="Z96" s="1"/>
    </row>
    <row r="97" ht="15.75" customHeight="1">
      <c r="A97" s="1"/>
      <c r="B97" s="337" t="s">
        <v>2958</v>
      </c>
      <c r="C97" s="337" t="s">
        <v>137</v>
      </c>
      <c r="D97" s="9"/>
      <c r="E97" s="10"/>
      <c r="F97" s="1"/>
      <c r="G97" s="1"/>
      <c r="H97" s="1"/>
      <c r="I97" s="1"/>
      <c r="J97" s="1"/>
      <c r="K97" s="1"/>
      <c r="L97" s="1"/>
      <c r="M97" s="1"/>
      <c r="N97" s="1"/>
      <c r="O97" s="1"/>
      <c r="P97" s="1"/>
      <c r="Q97" s="1"/>
      <c r="R97" s="1"/>
      <c r="S97" s="1"/>
      <c r="T97" s="1"/>
      <c r="U97" s="1"/>
      <c r="V97" s="1"/>
      <c r="W97" s="1"/>
      <c r="X97" s="1"/>
      <c r="Y97" s="1"/>
      <c r="Z97" s="1"/>
    </row>
    <row r="98" ht="15.75" customHeight="1">
      <c r="A98" s="1"/>
      <c r="B98" s="31" t="s">
        <v>9</v>
      </c>
      <c r="C98" s="18">
        <v>4.0</v>
      </c>
      <c r="D98" s="9"/>
      <c r="E98" s="10"/>
      <c r="F98" s="1"/>
      <c r="G98" s="1"/>
      <c r="H98" s="1"/>
      <c r="I98" s="1"/>
      <c r="J98" s="1"/>
      <c r="K98" s="1"/>
      <c r="L98" s="1"/>
      <c r="M98" s="1"/>
      <c r="N98" s="1"/>
      <c r="O98" s="1"/>
      <c r="P98" s="1"/>
      <c r="Q98" s="1"/>
      <c r="R98" s="1"/>
      <c r="S98" s="1"/>
      <c r="T98" s="1"/>
      <c r="U98" s="1"/>
      <c r="V98" s="1"/>
      <c r="W98" s="1"/>
      <c r="X98" s="1"/>
      <c r="Y98" s="1"/>
      <c r="Z98" s="1"/>
    </row>
    <row r="99" ht="15.75" customHeight="1">
      <c r="A99" s="1"/>
      <c r="B99" s="31" t="s">
        <v>2916</v>
      </c>
      <c r="C99" s="18">
        <v>12.0</v>
      </c>
      <c r="D99" s="9"/>
      <c r="E99" s="10"/>
      <c r="F99" s="1"/>
      <c r="G99" s="1"/>
      <c r="H99" s="1"/>
      <c r="I99" s="1"/>
      <c r="J99" s="1"/>
      <c r="K99" s="1"/>
      <c r="L99" s="1"/>
      <c r="M99" s="1"/>
      <c r="N99" s="1"/>
      <c r="O99" s="1"/>
      <c r="P99" s="1"/>
      <c r="Q99" s="1"/>
      <c r="R99" s="1"/>
      <c r="S99" s="1"/>
      <c r="T99" s="1"/>
      <c r="U99" s="1"/>
      <c r="V99" s="1"/>
      <c r="W99" s="1"/>
      <c r="X99" s="1"/>
      <c r="Y99" s="1"/>
      <c r="Z99" s="1"/>
    </row>
    <row r="100" ht="15.75" customHeight="1">
      <c r="A100" s="1"/>
      <c r="B100" s="31" t="s">
        <v>2918</v>
      </c>
      <c r="C100" s="18">
        <v>194.0</v>
      </c>
      <c r="D100" s="9"/>
      <c r="E100" s="10"/>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347" t="s">
        <v>2959</v>
      </c>
      <c r="C101" s="337" t="s">
        <v>137</v>
      </c>
      <c r="D101" s="9"/>
      <c r="E101" s="10"/>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31" t="s">
        <v>9</v>
      </c>
      <c r="C102" s="18">
        <v>1.0</v>
      </c>
      <c r="D102" s="9"/>
      <c r="E102" s="10"/>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31" t="s">
        <v>2916</v>
      </c>
      <c r="C103" s="18">
        <v>0.125</v>
      </c>
      <c r="D103" s="9"/>
      <c r="E103" s="10"/>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31" t="s">
        <v>2918</v>
      </c>
      <c r="C104" s="18">
        <v>2.0</v>
      </c>
      <c r="D104" s="9"/>
      <c r="E104" s="10"/>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347" t="s">
        <v>2960</v>
      </c>
      <c r="C105" s="337" t="s">
        <v>137</v>
      </c>
      <c r="D105" s="9"/>
      <c r="E105" s="10"/>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8" t="s">
        <v>2961</v>
      </c>
      <c r="C106" s="18">
        <v>4.0</v>
      </c>
      <c r="D106" s="9"/>
      <c r="E106" s="10"/>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8" t="s">
        <v>352</v>
      </c>
      <c r="C107" s="18">
        <v>8.0</v>
      </c>
      <c r="D107" s="9"/>
      <c r="E107" s="10"/>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8" t="s">
        <v>212</v>
      </c>
      <c r="C108" s="18">
        <v>8.0</v>
      </c>
      <c r="D108" s="9"/>
      <c r="E108" s="10"/>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8" t="s">
        <v>225</v>
      </c>
      <c r="C109" s="18">
        <v>10.0</v>
      </c>
      <c r="D109" s="9"/>
      <c r="E109" s="10"/>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8" t="s">
        <v>2962</v>
      </c>
      <c r="C110" s="18">
        <v>12.0</v>
      </c>
      <c r="D110" s="9"/>
      <c r="E110" s="10"/>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8" t="s">
        <v>2963</v>
      </c>
      <c r="C111" s="18">
        <v>14.0</v>
      </c>
      <c r="D111" s="9"/>
      <c r="E111" s="10"/>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347" t="s">
        <v>2964</v>
      </c>
      <c r="C112" s="337" t="s">
        <v>137</v>
      </c>
      <c r="D112" s="9"/>
      <c r="E112" s="10"/>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8" t="s">
        <v>2961</v>
      </c>
      <c r="C113" s="18">
        <v>8.0</v>
      </c>
      <c r="D113" s="9"/>
      <c r="E113" s="10"/>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8" t="s">
        <v>352</v>
      </c>
      <c r="C114" s="18">
        <v>16.0</v>
      </c>
      <c r="D114" s="9"/>
      <c r="E114" s="10"/>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8" t="s">
        <v>212</v>
      </c>
      <c r="C115" s="18">
        <v>16.0</v>
      </c>
      <c r="D115" s="9"/>
      <c r="E115" s="10"/>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8" t="s">
        <v>225</v>
      </c>
      <c r="C116" s="18">
        <v>16.0</v>
      </c>
      <c r="D116" s="9"/>
      <c r="E116" s="10"/>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8" t="s">
        <v>2962</v>
      </c>
      <c r="C117" s="18">
        <v>32.0</v>
      </c>
      <c r="D117" s="9"/>
      <c r="E117" s="10"/>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8" t="s">
        <v>2963</v>
      </c>
      <c r="C118" s="18">
        <v>48.0</v>
      </c>
      <c r="D118" s="9"/>
      <c r="E118" s="10"/>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347" t="s">
        <v>2965</v>
      </c>
      <c r="C119" s="337" t="s">
        <v>137</v>
      </c>
      <c r="D119" s="9"/>
      <c r="E119" s="10"/>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8" t="s">
        <v>2961</v>
      </c>
      <c r="C120" s="18">
        <v>100.0</v>
      </c>
      <c r="D120" s="9"/>
      <c r="E120" s="10"/>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8" t="s">
        <v>352</v>
      </c>
      <c r="C121" s="18">
        <v>290.0</v>
      </c>
      <c r="D121" s="9"/>
      <c r="E121" s="10"/>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8" t="s">
        <v>212</v>
      </c>
      <c r="C122" s="18">
        <v>220.0</v>
      </c>
      <c r="D122" s="9"/>
      <c r="E122" s="10"/>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8" t="s">
        <v>225</v>
      </c>
      <c r="C123" s="18">
        <v>100.0</v>
      </c>
      <c r="D123" s="9"/>
      <c r="E123" s="10"/>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8" t="s">
        <v>2962</v>
      </c>
      <c r="C124" s="18">
        <v>100.0</v>
      </c>
      <c r="D124" s="9"/>
      <c r="E124" s="10"/>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8" t="s">
        <v>2963</v>
      </c>
      <c r="C125" s="18">
        <v>100.0</v>
      </c>
      <c r="D125" s="9"/>
      <c r="E125" s="10"/>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347" t="s">
        <v>2966</v>
      </c>
      <c r="C126" s="337" t="s">
        <v>137</v>
      </c>
      <c r="D126" s="9"/>
      <c r="E126" s="10"/>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8" t="s">
        <v>352</v>
      </c>
      <c r="C127" s="18">
        <v>24.0</v>
      </c>
      <c r="D127" s="9"/>
      <c r="E127" s="10"/>
      <c r="F127" s="1"/>
      <c r="G127" s="1"/>
      <c r="H127" s="1"/>
      <c r="I127" s="1"/>
      <c r="J127" s="1"/>
      <c r="K127" s="1"/>
      <c r="L127" s="1"/>
      <c r="M127" s="1"/>
      <c r="N127" s="1"/>
      <c r="O127" s="1"/>
      <c r="P127" s="1"/>
      <c r="Q127" s="1"/>
      <c r="R127" s="1"/>
      <c r="S127" s="1"/>
      <c r="T127" s="1"/>
      <c r="U127" s="1"/>
      <c r="V127" s="1"/>
      <c r="W127" s="1"/>
      <c r="X127" s="1"/>
      <c r="Y127" s="1"/>
      <c r="Z127" s="1"/>
    </row>
    <row r="128" ht="16.5" customHeight="1">
      <c r="A128" s="1"/>
      <c r="B128" s="18" t="s">
        <v>212</v>
      </c>
      <c r="C128" s="18">
        <v>24.0</v>
      </c>
      <c r="D128" s="9"/>
      <c r="E128" s="10"/>
      <c r="F128" s="1"/>
      <c r="G128" s="1"/>
      <c r="H128" s="1"/>
      <c r="I128" s="1"/>
      <c r="J128" s="1"/>
      <c r="K128" s="1"/>
      <c r="L128" s="1"/>
      <c r="M128" s="1"/>
      <c r="N128" s="1"/>
      <c r="O128" s="1"/>
      <c r="P128" s="1"/>
      <c r="Q128" s="1"/>
      <c r="R128" s="1"/>
      <c r="S128" s="1"/>
      <c r="T128" s="1"/>
      <c r="U128" s="1"/>
      <c r="V128" s="1"/>
      <c r="W128" s="1"/>
      <c r="X128" s="1"/>
      <c r="Y128" s="1"/>
      <c r="Z128" s="1"/>
    </row>
    <row r="129" ht="16.5" customHeight="1">
      <c r="A129" s="1"/>
      <c r="B129" s="18" t="s">
        <v>225</v>
      </c>
      <c r="C129" s="18">
        <v>32.0</v>
      </c>
      <c r="D129" s="9"/>
      <c r="E129" s="10"/>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347" t="s">
        <v>2967</v>
      </c>
      <c r="C130" s="337" t="s">
        <v>137</v>
      </c>
      <c r="D130" s="9"/>
      <c r="E130" s="10"/>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8" t="s">
        <v>352</v>
      </c>
      <c r="C131" s="18">
        <v>96.0</v>
      </c>
      <c r="D131" s="9"/>
      <c r="E131" s="10"/>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8" t="s">
        <v>212</v>
      </c>
      <c r="C132" s="18">
        <v>96.0</v>
      </c>
      <c r="D132" s="9"/>
      <c r="E132" s="10"/>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8" t="s">
        <v>225</v>
      </c>
      <c r="C133" s="18">
        <v>128.0</v>
      </c>
      <c r="D133" s="9"/>
      <c r="E133" s="10"/>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347" t="s">
        <v>2968</v>
      </c>
      <c r="C134" s="337" t="s">
        <v>137</v>
      </c>
      <c r="D134" s="9"/>
      <c r="E134" s="10"/>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8" t="s">
        <v>352</v>
      </c>
      <c r="C135" s="18">
        <v>455.0</v>
      </c>
      <c r="D135" s="9"/>
      <c r="E135" s="10"/>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8" t="s">
        <v>212</v>
      </c>
      <c r="C136" s="18">
        <v>334.0</v>
      </c>
      <c r="D136" s="9"/>
      <c r="E136" s="10"/>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8" t="s">
        <v>225</v>
      </c>
      <c r="C137" s="18">
        <v>430.0</v>
      </c>
      <c r="D137" s="9"/>
      <c r="E137" s="10"/>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347" t="s">
        <v>2969</v>
      </c>
      <c r="C138" s="337" t="s">
        <v>137</v>
      </c>
      <c r="D138" s="9"/>
      <c r="E138" s="10"/>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8" t="s">
        <v>352</v>
      </c>
      <c r="C139" s="18">
        <v>4.0</v>
      </c>
      <c r="D139" s="9"/>
      <c r="E139" s="10"/>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8" t="s">
        <v>212</v>
      </c>
      <c r="C140" s="18">
        <v>8.0</v>
      </c>
      <c r="D140" s="9"/>
      <c r="E140" s="10"/>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8" t="s">
        <v>225</v>
      </c>
      <c r="C141" s="18">
        <v>16.0</v>
      </c>
      <c r="D141" s="9"/>
      <c r="E141" s="10"/>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347" t="s">
        <v>2970</v>
      </c>
      <c r="C142" s="337" t="s">
        <v>137</v>
      </c>
      <c r="D142" s="9"/>
      <c r="E142" s="10"/>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8" t="s">
        <v>352</v>
      </c>
      <c r="C143" s="18">
        <v>8.0</v>
      </c>
      <c r="D143" s="9"/>
      <c r="E143" s="10"/>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8" t="s">
        <v>212</v>
      </c>
      <c r="C144" s="18">
        <v>16.0</v>
      </c>
      <c r="D144" s="9"/>
      <c r="E144" s="10"/>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8" t="s">
        <v>225</v>
      </c>
      <c r="C145" s="18">
        <v>32.0</v>
      </c>
      <c r="D145" s="9"/>
      <c r="E145" s="10"/>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347" t="s">
        <v>2971</v>
      </c>
      <c r="C146" s="337" t="s">
        <v>137</v>
      </c>
      <c r="D146" s="9"/>
      <c r="E146" s="10"/>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8" t="s">
        <v>352</v>
      </c>
      <c r="C147" s="18">
        <v>530.0</v>
      </c>
      <c r="D147" s="9"/>
      <c r="E147" s="10"/>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8" t="s">
        <v>212</v>
      </c>
      <c r="C148" s="18">
        <v>530.0</v>
      </c>
      <c r="D148" s="9"/>
      <c r="E148" s="10"/>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8" t="s">
        <v>225</v>
      </c>
      <c r="C149" s="18">
        <v>530.0</v>
      </c>
      <c r="D149" s="9"/>
      <c r="E149" s="10"/>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347" t="s">
        <v>2972</v>
      </c>
      <c r="C150" s="337" t="s">
        <v>137</v>
      </c>
      <c r="D150" s="9"/>
      <c r="E150" s="10"/>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8" t="s">
        <v>2961</v>
      </c>
      <c r="C151" s="18">
        <v>2.0</v>
      </c>
      <c r="D151" s="9"/>
      <c r="E151" s="10"/>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8" t="s">
        <v>352</v>
      </c>
      <c r="C152" s="18">
        <v>4.0</v>
      </c>
      <c r="D152" s="9"/>
      <c r="E152" s="10"/>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8" t="s">
        <v>212</v>
      </c>
      <c r="C153" s="18">
        <v>8.0</v>
      </c>
      <c r="D153" s="9"/>
      <c r="E153" s="10"/>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8" t="s">
        <v>225</v>
      </c>
      <c r="C154" s="18">
        <v>16.0</v>
      </c>
      <c r="D154" s="9"/>
      <c r="E154" s="10"/>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8" t="s">
        <v>2962</v>
      </c>
      <c r="C155" s="18">
        <v>24.0</v>
      </c>
      <c r="D155" s="9"/>
      <c r="E155" s="10"/>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347" t="s">
        <v>2973</v>
      </c>
      <c r="C156" s="337" t="s">
        <v>137</v>
      </c>
      <c r="D156" s="9"/>
      <c r="E156" s="10"/>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8" t="s">
        <v>2961</v>
      </c>
      <c r="C157" s="18">
        <v>8.0</v>
      </c>
      <c r="D157" s="9"/>
      <c r="E157" s="10"/>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8" t="s">
        <v>352</v>
      </c>
      <c r="C158" s="18">
        <v>16.0</v>
      </c>
      <c r="D158" s="9"/>
      <c r="E158" s="10"/>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8" t="s">
        <v>212</v>
      </c>
      <c r="C159" s="18">
        <v>32.0</v>
      </c>
      <c r="D159" s="9"/>
      <c r="E159" s="10"/>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8" t="s">
        <v>225</v>
      </c>
      <c r="C160" s="18">
        <v>48.0</v>
      </c>
      <c r="D160" s="9"/>
      <c r="E160" s="10"/>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8" t="s">
        <v>2962</v>
      </c>
      <c r="C161" s="18">
        <v>128.0</v>
      </c>
      <c r="D161" s="9"/>
      <c r="E161" s="10"/>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347" t="s">
        <v>2974</v>
      </c>
      <c r="C162" s="337" t="s">
        <v>137</v>
      </c>
      <c r="D162" s="9"/>
      <c r="E162" s="10"/>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8" t="s">
        <v>2961</v>
      </c>
      <c r="C163" s="18">
        <v>274.0</v>
      </c>
      <c r="D163" s="9"/>
      <c r="E163" s="10"/>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8" t="s">
        <v>352</v>
      </c>
      <c r="C164" s="18">
        <v>274.0</v>
      </c>
      <c r="D164" s="9"/>
      <c r="E164" s="10"/>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8" t="s">
        <v>212</v>
      </c>
      <c r="C165" s="18">
        <v>274.0</v>
      </c>
      <c r="D165" s="9"/>
      <c r="E165" s="10"/>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8" t="s">
        <v>225</v>
      </c>
      <c r="C166" s="18">
        <v>274.0</v>
      </c>
      <c r="D166" s="9"/>
      <c r="E166" s="10"/>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8" t="s">
        <v>2962</v>
      </c>
      <c r="C167" s="18">
        <v>274.0</v>
      </c>
      <c r="D167" s="9"/>
      <c r="E167" s="10"/>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347" t="s">
        <v>2975</v>
      </c>
      <c r="C168" s="337" t="s">
        <v>137</v>
      </c>
      <c r="D168" s="9"/>
      <c r="E168" s="10"/>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8" t="s">
        <v>352</v>
      </c>
      <c r="C169" s="18">
        <v>4.0</v>
      </c>
      <c r="D169" s="9"/>
      <c r="E169" s="10"/>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8" t="s">
        <v>264</v>
      </c>
      <c r="C170" s="18">
        <v>8.0</v>
      </c>
      <c r="D170" s="9"/>
      <c r="E170" s="10"/>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347" t="s">
        <v>2976</v>
      </c>
      <c r="C171" s="337" t="s">
        <v>137</v>
      </c>
      <c r="D171" s="9"/>
      <c r="E171" s="10"/>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8" t="s">
        <v>352</v>
      </c>
      <c r="C172" s="18">
        <v>16.0</v>
      </c>
      <c r="D172" s="9"/>
      <c r="E172" s="10"/>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8" t="s">
        <v>264</v>
      </c>
      <c r="C173" s="18">
        <v>48.0</v>
      </c>
      <c r="D173" s="9"/>
      <c r="E173" s="10"/>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347" t="s">
        <v>2977</v>
      </c>
      <c r="C174" s="337" t="s">
        <v>137</v>
      </c>
      <c r="D174" s="9"/>
      <c r="E174" s="10"/>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8" t="s">
        <v>352</v>
      </c>
      <c r="C175" s="18">
        <v>264.0</v>
      </c>
      <c r="D175" s="9"/>
      <c r="E175" s="10"/>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8" t="s">
        <v>264</v>
      </c>
      <c r="C176" s="18">
        <v>264.0</v>
      </c>
      <c r="D176" s="9"/>
      <c r="E176" s="10"/>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347" t="s">
        <v>2978</v>
      </c>
      <c r="C177" s="337" t="s">
        <v>137</v>
      </c>
      <c r="D177" s="9"/>
      <c r="E177" s="10"/>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8" t="s">
        <v>2979</v>
      </c>
      <c r="C178" s="18">
        <v>2.0</v>
      </c>
      <c r="D178" s="9"/>
      <c r="E178" s="10"/>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8" t="s">
        <v>264</v>
      </c>
      <c r="C179" s="18">
        <v>4.0</v>
      </c>
      <c r="D179" s="9"/>
      <c r="E179" s="10"/>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347" t="s">
        <v>2980</v>
      </c>
      <c r="C180" s="337" t="s">
        <v>137</v>
      </c>
      <c r="D180" s="9"/>
      <c r="E180" s="10"/>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8" t="s">
        <v>2979</v>
      </c>
      <c r="C181" s="18">
        <v>8.0</v>
      </c>
      <c r="D181" s="9"/>
      <c r="E181" s="10"/>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8" t="s">
        <v>264</v>
      </c>
      <c r="C182" s="18">
        <v>8.0</v>
      </c>
      <c r="D182" s="9"/>
      <c r="E182" s="10"/>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347" t="s">
        <v>2981</v>
      </c>
      <c r="C183" s="337" t="s">
        <v>137</v>
      </c>
      <c r="D183" s="9"/>
      <c r="E183" s="10"/>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8" t="s">
        <v>2979</v>
      </c>
      <c r="C184" s="18">
        <v>33.0</v>
      </c>
      <c r="D184" s="9"/>
      <c r="E184" s="10"/>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8" t="s">
        <v>264</v>
      </c>
      <c r="C185" s="18">
        <v>33.0</v>
      </c>
      <c r="D185" s="9"/>
      <c r="E185" s="10"/>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347" t="s">
        <v>2982</v>
      </c>
      <c r="C186" s="337" t="s">
        <v>137</v>
      </c>
      <c r="D186" s="9"/>
      <c r="E186" s="10"/>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8" t="s">
        <v>2979</v>
      </c>
      <c r="C187" s="18">
        <v>2.0</v>
      </c>
      <c r="D187" s="9"/>
      <c r="E187" s="10"/>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8" t="s">
        <v>264</v>
      </c>
      <c r="C188" s="18">
        <v>8.0</v>
      </c>
      <c r="D188" s="9"/>
      <c r="E188" s="10"/>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347" t="s">
        <v>2983</v>
      </c>
      <c r="C189" s="337" t="s">
        <v>137</v>
      </c>
      <c r="D189" s="9"/>
      <c r="E189" s="10"/>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8" t="s">
        <v>2979</v>
      </c>
      <c r="C190" s="18">
        <v>8.0</v>
      </c>
      <c r="D190" s="9"/>
      <c r="E190" s="10"/>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8" t="s">
        <v>264</v>
      </c>
      <c r="C191" s="18">
        <v>24.0</v>
      </c>
      <c r="D191" s="9"/>
      <c r="E191" s="10"/>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347" t="s">
        <v>2984</v>
      </c>
      <c r="C192" s="337" t="s">
        <v>137</v>
      </c>
      <c r="D192" s="9"/>
      <c r="E192" s="10"/>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8" t="s">
        <v>2979</v>
      </c>
      <c r="C193" s="18">
        <v>20.0</v>
      </c>
      <c r="D193" s="9"/>
      <c r="E193" s="10"/>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8" t="s">
        <v>264</v>
      </c>
      <c r="C194" s="18">
        <v>800.0</v>
      </c>
      <c r="D194" s="9"/>
      <c r="E194" s="10"/>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347" t="s">
        <v>2985</v>
      </c>
      <c r="C195" s="337" t="s">
        <v>137</v>
      </c>
      <c r="D195" s="9"/>
      <c r="E195" s="10"/>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31" t="s">
        <v>9</v>
      </c>
      <c r="C196" s="18">
        <v>2.0</v>
      </c>
      <c r="D196" s="9"/>
      <c r="E196" s="10"/>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31" t="s">
        <v>2916</v>
      </c>
      <c r="C197" s="18">
        <v>8.0</v>
      </c>
      <c r="D197" s="9"/>
      <c r="E197" s="10"/>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31" t="s">
        <v>2918</v>
      </c>
      <c r="C198" s="18">
        <v>20.0</v>
      </c>
      <c r="D198" s="9"/>
      <c r="E198" s="10"/>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347" t="s">
        <v>2986</v>
      </c>
      <c r="C199" s="337" t="s">
        <v>137</v>
      </c>
      <c r="D199" s="9"/>
      <c r="E199" s="10"/>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31" t="s">
        <v>352</v>
      </c>
      <c r="C200" s="18">
        <v>4.0</v>
      </c>
      <c r="D200" s="9"/>
      <c r="E200" s="10"/>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31" t="s">
        <v>212</v>
      </c>
      <c r="C201" s="18">
        <v>8.0</v>
      </c>
      <c r="D201" s="9"/>
      <c r="E201" s="10"/>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31" t="s">
        <v>225</v>
      </c>
      <c r="C202" s="18">
        <v>12.0</v>
      </c>
      <c r="D202" s="9"/>
      <c r="E202" s="10"/>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31" t="s">
        <v>2962</v>
      </c>
      <c r="C203" s="18">
        <v>16.0</v>
      </c>
      <c r="D203" s="9"/>
      <c r="E203" s="10"/>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31" t="s">
        <v>2963</v>
      </c>
      <c r="C204" s="18">
        <v>24.0</v>
      </c>
      <c r="D204" s="9"/>
      <c r="E204" s="10"/>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347" t="s">
        <v>2987</v>
      </c>
      <c r="C205" s="337" t="s">
        <v>137</v>
      </c>
      <c r="D205" s="9"/>
      <c r="E205" s="10"/>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31" t="s">
        <v>352</v>
      </c>
      <c r="C206" s="18">
        <v>16.0</v>
      </c>
      <c r="D206" s="9"/>
      <c r="E206" s="10"/>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31" t="s">
        <v>212</v>
      </c>
      <c r="C207" s="18">
        <v>32.0</v>
      </c>
      <c r="D207" s="9"/>
      <c r="E207" s="10"/>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31" t="s">
        <v>225</v>
      </c>
      <c r="C208" s="18">
        <v>48.0</v>
      </c>
      <c r="D208" s="9"/>
      <c r="E208" s="10"/>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31" t="s">
        <v>2962</v>
      </c>
      <c r="C209" s="18">
        <v>64.0</v>
      </c>
      <c r="D209" s="9"/>
      <c r="E209" s="10"/>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31" t="s">
        <v>2963</v>
      </c>
      <c r="C210" s="18">
        <v>128.0</v>
      </c>
      <c r="D210" s="9"/>
      <c r="E210" s="10"/>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347" t="s">
        <v>2988</v>
      </c>
      <c r="C211" s="337" t="s">
        <v>137</v>
      </c>
      <c r="D211" s="9"/>
      <c r="E211" s="10"/>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31" t="s">
        <v>352</v>
      </c>
      <c r="C212" s="18">
        <v>1024.0</v>
      </c>
      <c r="D212" s="9"/>
      <c r="E212" s="10"/>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31" t="s">
        <v>212</v>
      </c>
      <c r="C213" s="18">
        <v>1024.0</v>
      </c>
      <c r="D213" s="9"/>
      <c r="E213" s="10"/>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31" t="s">
        <v>225</v>
      </c>
      <c r="C214" s="18">
        <v>1024.0</v>
      </c>
      <c r="D214" s="9"/>
      <c r="E214" s="10"/>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31" t="s">
        <v>2962</v>
      </c>
      <c r="C215" s="18">
        <v>1024.0</v>
      </c>
      <c r="D215" s="9"/>
      <c r="E215" s="10"/>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31" t="s">
        <v>2963</v>
      </c>
      <c r="C216" s="18">
        <v>1024.0</v>
      </c>
      <c r="D216" s="9"/>
      <c r="E216" s="10"/>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347" t="s">
        <v>2989</v>
      </c>
      <c r="C217" s="337" t="s">
        <v>137</v>
      </c>
      <c r="D217" s="9"/>
      <c r="E217" s="10"/>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31" t="s">
        <v>352</v>
      </c>
      <c r="C218" s="31">
        <v>2.0</v>
      </c>
      <c r="D218" s="9"/>
      <c r="E218" s="10"/>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31" t="s">
        <v>212</v>
      </c>
      <c r="C219" s="18">
        <v>4.0</v>
      </c>
      <c r="D219" s="9"/>
      <c r="E219" s="10"/>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31" t="s">
        <v>225</v>
      </c>
      <c r="C220" s="18">
        <v>8.0</v>
      </c>
      <c r="D220" s="9"/>
      <c r="E220" s="10"/>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31" t="s">
        <v>2962</v>
      </c>
      <c r="C221" s="18">
        <v>8.0</v>
      </c>
      <c r="D221" s="9"/>
      <c r="E221" s="10"/>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31" t="s">
        <v>2963</v>
      </c>
      <c r="C222" s="18">
        <v>16.0</v>
      </c>
      <c r="D222" s="9"/>
      <c r="E222" s="10"/>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347" t="s">
        <v>2990</v>
      </c>
      <c r="C223" s="337" t="s">
        <v>137</v>
      </c>
      <c r="D223" s="9"/>
      <c r="E223" s="10"/>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31" t="s">
        <v>352</v>
      </c>
      <c r="C224" s="31">
        <v>4.0</v>
      </c>
      <c r="D224" s="9"/>
      <c r="E224" s="10"/>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31" t="s">
        <v>212</v>
      </c>
      <c r="C225" s="18">
        <v>12.0</v>
      </c>
      <c r="D225" s="9"/>
      <c r="E225" s="10"/>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31" t="s">
        <v>225</v>
      </c>
      <c r="C226" s="18">
        <v>16.0</v>
      </c>
      <c r="D226" s="9"/>
      <c r="E226" s="10"/>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31" t="s">
        <v>2962</v>
      </c>
      <c r="C227" s="18">
        <v>24.0</v>
      </c>
      <c r="D227" s="9"/>
      <c r="E227" s="10"/>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31" t="s">
        <v>2963</v>
      </c>
      <c r="C228" s="18">
        <v>48.0</v>
      </c>
      <c r="D228" s="9"/>
      <c r="E228" s="10"/>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347" t="s">
        <v>2991</v>
      </c>
      <c r="C229" s="337" t="s">
        <v>137</v>
      </c>
      <c r="D229" s="9"/>
      <c r="E229" s="10"/>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31" t="s">
        <v>352</v>
      </c>
      <c r="C230" s="18">
        <v>250.0</v>
      </c>
      <c r="D230" s="9"/>
      <c r="E230" s="10"/>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31" t="s">
        <v>212</v>
      </c>
      <c r="C231" s="18">
        <v>250.0</v>
      </c>
      <c r="D231" s="9"/>
      <c r="E231" s="10"/>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31" t="s">
        <v>225</v>
      </c>
      <c r="C232" s="18">
        <v>250.0</v>
      </c>
      <c r="D232" s="9"/>
      <c r="E232" s="10"/>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31" t="s">
        <v>2962</v>
      </c>
      <c r="C233" s="18">
        <v>250.0</v>
      </c>
      <c r="D233" s="9"/>
      <c r="E233" s="10"/>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31" t="s">
        <v>2963</v>
      </c>
      <c r="C234" s="18">
        <v>250.0</v>
      </c>
      <c r="D234" s="9"/>
      <c r="E234" s="10"/>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347" t="s">
        <v>2992</v>
      </c>
      <c r="C235" s="337" t="s">
        <v>137</v>
      </c>
      <c r="D235" s="9"/>
      <c r="E235" s="10"/>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31" t="s">
        <v>9</v>
      </c>
      <c r="C236" s="154">
        <v>8.0</v>
      </c>
      <c r="D236" s="9"/>
      <c r="E236" s="10"/>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31" t="s">
        <v>2916</v>
      </c>
      <c r="C237" s="300">
        <v>12.0</v>
      </c>
      <c r="D237" s="9"/>
      <c r="E237" s="10"/>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31" t="s">
        <v>2918</v>
      </c>
      <c r="C238" s="300">
        <v>100.0</v>
      </c>
      <c r="D238" s="9"/>
      <c r="E238" s="10"/>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347" t="s">
        <v>2993</v>
      </c>
      <c r="C239" s="337" t="s">
        <v>137</v>
      </c>
      <c r="D239" s="9"/>
      <c r="E239" s="10"/>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357" t="s">
        <v>9</v>
      </c>
      <c r="C240" s="18">
        <v>4.0</v>
      </c>
      <c r="D240" s="9"/>
      <c r="E240" s="10"/>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358" t="s">
        <v>2916</v>
      </c>
      <c r="C241" s="18">
        <v>12.0</v>
      </c>
      <c r="D241" s="9"/>
      <c r="E241" s="10"/>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358" t="s">
        <v>2918</v>
      </c>
      <c r="C242" s="18">
        <v>65.0</v>
      </c>
      <c r="D242" s="9"/>
      <c r="E242" s="10"/>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347" t="s">
        <v>2994</v>
      </c>
      <c r="C243" s="337" t="s">
        <v>137</v>
      </c>
      <c r="D243" s="9"/>
      <c r="E243" s="10"/>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358" t="s">
        <v>352</v>
      </c>
      <c r="C244" s="18">
        <v>6.0</v>
      </c>
      <c r="D244" s="9"/>
      <c r="E244" s="10"/>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358" t="s">
        <v>225</v>
      </c>
      <c r="C245" s="18">
        <v>16.0</v>
      </c>
      <c r="D245" s="9"/>
      <c r="E245" s="10"/>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358" t="s">
        <v>2995</v>
      </c>
      <c r="C246" s="18">
        <v>16.0</v>
      </c>
      <c r="D246" s="9"/>
      <c r="E246" s="10"/>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347" t="s">
        <v>2996</v>
      </c>
      <c r="C247" s="337" t="s">
        <v>137</v>
      </c>
      <c r="D247" s="9"/>
      <c r="E247" s="10"/>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358" t="s">
        <v>352</v>
      </c>
      <c r="C248" s="18">
        <v>32.0</v>
      </c>
      <c r="D248" s="9"/>
      <c r="E248" s="10"/>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358" t="s">
        <v>225</v>
      </c>
      <c r="C249" s="18">
        <v>48.0</v>
      </c>
      <c r="D249" s="9"/>
      <c r="E249" s="10"/>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358" t="s">
        <v>2995</v>
      </c>
      <c r="C250" s="18">
        <v>64.0</v>
      </c>
      <c r="D250" s="9"/>
      <c r="E250" s="10"/>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347" t="s">
        <v>2997</v>
      </c>
      <c r="C251" s="337" t="s">
        <v>137</v>
      </c>
      <c r="D251" s="9"/>
      <c r="E251" s="10"/>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358" t="s">
        <v>352</v>
      </c>
      <c r="C252" s="18">
        <v>512.0</v>
      </c>
      <c r="D252" s="9"/>
      <c r="E252" s="10"/>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358" t="s">
        <v>225</v>
      </c>
      <c r="C253" s="18">
        <v>1400.0</v>
      </c>
      <c r="D253" s="9"/>
      <c r="E253" s="10"/>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358" t="s">
        <v>2995</v>
      </c>
      <c r="C254" s="18">
        <v>1750.0</v>
      </c>
      <c r="D254" s="9"/>
      <c r="E254" s="10"/>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347" t="s">
        <v>2998</v>
      </c>
      <c r="C255" s="337" t="s">
        <v>137</v>
      </c>
      <c r="D255" s="9"/>
      <c r="E255" s="10"/>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359" t="s">
        <v>215</v>
      </c>
      <c r="C256" s="337"/>
      <c r="D256" s="9"/>
      <c r="E256" s="10"/>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358" t="s">
        <v>212</v>
      </c>
      <c r="C257" s="18">
        <v>112.0</v>
      </c>
      <c r="D257" s="9"/>
      <c r="E257" s="10"/>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358" t="s">
        <v>225</v>
      </c>
      <c r="C258" s="18">
        <v>160.0</v>
      </c>
      <c r="D258" s="9"/>
      <c r="E258" s="10"/>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358" t="s">
        <v>2995</v>
      </c>
      <c r="C259" s="18">
        <v>192.0</v>
      </c>
      <c r="D259" s="9"/>
      <c r="E259" s="10"/>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347" t="s">
        <v>2999</v>
      </c>
      <c r="C260" s="337" t="s">
        <v>137</v>
      </c>
      <c r="D260" s="9"/>
      <c r="E260" s="10"/>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358" t="s">
        <v>212</v>
      </c>
      <c r="C261" s="18">
        <v>414.0</v>
      </c>
      <c r="D261" s="9"/>
      <c r="E261" s="10"/>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358" t="s">
        <v>225</v>
      </c>
      <c r="C262" s="18">
        <v>606.0</v>
      </c>
      <c r="D262" s="9"/>
      <c r="E262" s="10"/>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358" t="s">
        <v>2995</v>
      </c>
      <c r="C263" s="18">
        <v>734.0</v>
      </c>
      <c r="D263" s="9"/>
      <c r="E263" s="10"/>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347" t="s">
        <v>3000</v>
      </c>
      <c r="C264" s="337" t="s">
        <v>137</v>
      </c>
      <c r="D264" s="9"/>
      <c r="E264" s="10"/>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358" t="s">
        <v>212</v>
      </c>
      <c r="C265" s="18">
        <v>4096.0</v>
      </c>
      <c r="D265" s="9"/>
      <c r="E265" s="10"/>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358" t="s">
        <v>225</v>
      </c>
      <c r="C266" s="18">
        <v>5120.0</v>
      </c>
      <c r="D266" s="9"/>
      <c r="E266" s="10"/>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358" t="s">
        <v>2995</v>
      </c>
      <c r="C267" s="18">
        <v>6656.0</v>
      </c>
      <c r="D267" s="9"/>
      <c r="E267" s="10"/>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347" t="s">
        <v>464</v>
      </c>
      <c r="C268" s="347" t="s">
        <v>3001</v>
      </c>
      <c r="D268" s="347" t="s">
        <v>464</v>
      </c>
      <c r="E268" s="10"/>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238">
        <v>32.0</v>
      </c>
      <c r="C269" s="238" t="s">
        <v>3002</v>
      </c>
      <c r="D269" s="238">
        <v>32.0</v>
      </c>
      <c r="E269" s="10"/>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238">
        <v>31.0</v>
      </c>
      <c r="C270" s="238" t="s">
        <v>3003</v>
      </c>
      <c r="D270" s="238">
        <v>31.0</v>
      </c>
      <c r="E270" s="10"/>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238">
        <v>30.0</v>
      </c>
      <c r="C271" s="238" t="s">
        <v>3004</v>
      </c>
      <c r="D271" s="238">
        <v>30.0</v>
      </c>
      <c r="E271" s="10"/>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238">
        <v>29.0</v>
      </c>
      <c r="C272" s="238" t="s">
        <v>3005</v>
      </c>
      <c r="D272" s="238">
        <v>29.0</v>
      </c>
      <c r="E272" s="10"/>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238">
        <v>28.0</v>
      </c>
      <c r="C273" s="238" t="s">
        <v>3006</v>
      </c>
      <c r="D273" s="238">
        <v>28.0</v>
      </c>
      <c r="E273" s="10"/>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238">
        <v>27.0</v>
      </c>
      <c r="C274" s="238" t="s">
        <v>3007</v>
      </c>
      <c r="D274" s="238">
        <v>27.0</v>
      </c>
      <c r="E274" s="10"/>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238">
        <v>26.0</v>
      </c>
      <c r="C275" s="238" t="s">
        <v>3008</v>
      </c>
      <c r="D275" s="238">
        <v>26.0</v>
      </c>
      <c r="E275" s="10"/>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238">
        <v>25.0</v>
      </c>
      <c r="C276" s="238" t="s">
        <v>3009</v>
      </c>
      <c r="D276" s="238">
        <v>25.0</v>
      </c>
      <c r="E276" s="10"/>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238">
        <v>24.0</v>
      </c>
      <c r="C277" s="238" t="s">
        <v>622</v>
      </c>
      <c r="D277" s="238">
        <v>24.0</v>
      </c>
      <c r="E277" s="10"/>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238">
        <v>23.0</v>
      </c>
      <c r="C278" s="238" t="s">
        <v>3010</v>
      </c>
      <c r="D278" s="238">
        <v>23.0</v>
      </c>
      <c r="E278" s="10"/>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238">
        <v>22.0</v>
      </c>
      <c r="C279" s="238" t="s">
        <v>3011</v>
      </c>
      <c r="D279" s="238">
        <v>22.0</v>
      </c>
      <c r="E279" s="10"/>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238">
        <v>21.0</v>
      </c>
      <c r="C280" s="238" t="s">
        <v>3012</v>
      </c>
      <c r="D280" s="238">
        <v>21.0</v>
      </c>
      <c r="E280" s="10"/>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238">
        <v>20.0</v>
      </c>
      <c r="C281" s="238" t="s">
        <v>3013</v>
      </c>
      <c r="D281" s="238">
        <v>20.0</v>
      </c>
      <c r="E281" s="10"/>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238">
        <v>19.0</v>
      </c>
      <c r="C282" s="238" t="s">
        <v>3014</v>
      </c>
      <c r="D282" s="238">
        <v>19.0</v>
      </c>
      <c r="E282" s="10"/>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238">
        <v>18.0</v>
      </c>
      <c r="C283" s="238" t="s">
        <v>3015</v>
      </c>
      <c r="D283" s="238">
        <v>18.0</v>
      </c>
      <c r="E283" s="10"/>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238">
        <v>17.0</v>
      </c>
      <c r="C284" s="238" t="s">
        <v>3016</v>
      </c>
      <c r="D284" s="238">
        <v>17.0</v>
      </c>
      <c r="E284" s="10"/>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238">
        <v>16.0</v>
      </c>
      <c r="C285" s="238" t="s">
        <v>3017</v>
      </c>
      <c r="D285" s="238">
        <v>16.0</v>
      </c>
      <c r="E285" s="10"/>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238">
        <v>15.0</v>
      </c>
      <c r="C286" s="238" t="s">
        <v>3018</v>
      </c>
      <c r="D286" s="238">
        <v>15.0</v>
      </c>
      <c r="E286" s="10"/>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238">
        <v>14.0</v>
      </c>
      <c r="C287" s="238" t="s">
        <v>3019</v>
      </c>
      <c r="D287" s="238">
        <v>14.0</v>
      </c>
      <c r="E287" s="10"/>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238">
        <v>13.0</v>
      </c>
      <c r="C288" s="238" t="s">
        <v>3020</v>
      </c>
      <c r="D288" s="238">
        <v>13.0</v>
      </c>
      <c r="E288" s="10"/>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238">
        <v>12.0</v>
      </c>
      <c r="C289" s="238" t="s">
        <v>3021</v>
      </c>
      <c r="D289" s="238">
        <v>12.0</v>
      </c>
      <c r="E289" s="10"/>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238">
        <v>11.0</v>
      </c>
      <c r="C290" s="238" t="s">
        <v>3022</v>
      </c>
      <c r="D290" s="238">
        <v>11.0</v>
      </c>
      <c r="E290" s="10"/>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238">
        <v>10.0</v>
      </c>
      <c r="C291" s="238" t="s">
        <v>3023</v>
      </c>
      <c r="D291" s="238">
        <v>10.0</v>
      </c>
      <c r="E291" s="10"/>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238">
        <v>9.0</v>
      </c>
      <c r="C292" s="238" t="s">
        <v>3024</v>
      </c>
      <c r="D292" s="238">
        <v>9.0</v>
      </c>
      <c r="E292" s="10"/>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238">
        <v>8.0</v>
      </c>
      <c r="C293" s="238" t="s">
        <v>3025</v>
      </c>
      <c r="D293" s="238">
        <v>8.0</v>
      </c>
      <c r="E293" s="10"/>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238">
        <v>7.0</v>
      </c>
      <c r="C294" s="238" t="s">
        <v>3026</v>
      </c>
      <c r="D294" s="238">
        <v>7.0</v>
      </c>
      <c r="E294" s="10"/>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238">
        <v>6.0</v>
      </c>
      <c r="C295" s="238" t="s">
        <v>3027</v>
      </c>
      <c r="D295" s="238">
        <v>6.0</v>
      </c>
      <c r="E295" s="10"/>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238">
        <v>5.0</v>
      </c>
      <c r="C296" s="238" t="s">
        <v>3028</v>
      </c>
      <c r="D296" s="238">
        <v>5.0</v>
      </c>
      <c r="E296" s="10"/>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238">
        <v>4.0</v>
      </c>
      <c r="C297" s="238" t="s">
        <v>3029</v>
      </c>
      <c r="D297" s="238">
        <v>4.0</v>
      </c>
      <c r="E297" s="10"/>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238">
        <v>3.0</v>
      </c>
      <c r="C298" s="238" t="s">
        <v>3030</v>
      </c>
      <c r="D298" s="238">
        <v>3.0</v>
      </c>
      <c r="E298" s="10"/>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238">
        <v>2.0</v>
      </c>
      <c r="C299" s="238" t="s">
        <v>3031</v>
      </c>
      <c r="D299" s="238">
        <v>2.0</v>
      </c>
      <c r="E299" s="10"/>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238">
        <v>1.0</v>
      </c>
      <c r="C300" s="238" t="s">
        <v>3032</v>
      </c>
      <c r="D300" s="238">
        <v>1.0</v>
      </c>
      <c r="E300" s="10"/>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238">
        <v>0.0</v>
      </c>
      <c r="C301" s="238" t="s">
        <v>3033</v>
      </c>
      <c r="D301" s="238">
        <v>0.0</v>
      </c>
      <c r="E301" s="10"/>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347" t="s">
        <v>3034</v>
      </c>
      <c r="C302" s="347" t="s">
        <v>3034</v>
      </c>
      <c r="D302" s="9"/>
      <c r="E302" s="10"/>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8"/>
      <c r="C303" s="18" t="s">
        <v>3035</v>
      </c>
      <c r="D303" s="9"/>
      <c r="E303" s="10"/>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8"/>
      <c r="C304" s="18" t="s">
        <v>3036</v>
      </c>
      <c r="D304" s="9"/>
      <c r="E304" s="10"/>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8"/>
      <c r="C305" s="18" t="s">
        <v>227</v>
      </c>
      <c r="D305" s="9"/>
      <c r="E305" s="10"/>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347"/>
      <c r="C306" s="347" t="s">
        <v>3037</v>
      </c>
      <c r="D306" s="9"/>
      <c r="E306" s="10"/>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8" t="s">
        <v>502</v>
      </c>
      <c r="C307" s="1"/>
      <c r="D307" s="9"/>
      <c r="E307" s="10"/>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8" t="s">
        <v>3038</v>
      </c>
      <c r="C308" s="1"/>
      <c r="D308" s="9"/>
      <c r="E308" s="10"/>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8" t="s">
        <v>3039</v>
      </c>
      <c r="C309" s="1"/>
      <c r="D309" s="9"/>
      <c r="E309" s="10"/>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8" t="s">
        <v>3040</v>
      </c>
      <c r="C310" s="1"/>
      <c r="D310" s="9"/>
      <c r="E310" s="10"/>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8" t="s">
        <v>3041</v>
      </c>
      <c r="C311" s="1"/>
      <c r="D311" s="9"/>
      <c r="E311" s="10"/>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8" t="s">
        <v>3042</v>
      </c>
      <c r="C312" s="1"/>
      <c r="D312" s="9"/>
      <c r="E312" s="10"/>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8" t="s">
        <v>3043</v>
      </c>
      <c r="C313" s="1"/>
      <c r="D313" s="9"/>
      <c r="E313" s="10"/>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8" t="s">
        <v>3044</v>
      </c>
      <c r="C314" s="1"/>
      <c r="D314" s="9"/>
      <c r="E314" s="10"/>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8" t="s">
        <v>3045</v>
      </c>
      <c r="C315" s="1"/>
      <c r="D315" s="9"/>
      <c r="E315" s="10"/>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8" t="s">
        <v>3046</v>
      </c>
      <c r="C316" s="1"/>
      <c r="D316" s="9"/>
      <c r="E316" s="10"/>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8" t="s">
        <v>3047</v>
      </c>
      <c r="C317" s="1"/>
      <c r="D317" s="9"/>
      <c r="E317" s="10"/>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8" t="s">
        <v>3048</v>
      </c>
      <c r="C318" s="1"/>
      <c r="D318" s="9"/>
      <c r="E318" s="10"/>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8" t="s">
        <v>3049</v>
      </c>
      <c r="C319" s="1"/>
      <c r="D319" s="9"/>
      <c r="E319" s="10"/>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8" t="s">
        <v>3050</v>
      </c>
      <c r="C320" s="1"/>
      <c r="D320" s="9"/>
      <c r="E320" s="10"/>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8" t="s">
        <v>3051</v>
      </c>
      <c r="C321" s="1"/>
      <c r="D321" s="9"/>
      <c r="E321" s="10"/>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8" t="s">
        <v>3052</v>
      </c>
      <c r="C322" s="1"/>
      <c r="D322" s="9"/>
      <c r="E322" s="10"/>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8" t="s">
        <v>3053</v>
      </c>
      <c r="C323" s="1"/>
      <c r="D323" s="9"/>
      <c r="E323" s="10"/>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8" t="s">
        <v>3054</v>
      </c>
      <c r="C324" s="1"/>
      <c r="D324" s="9"/>
      <c r="E324" s="10"/>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8" t="s">
        <v>3055</v>
      </c>
      <c r="C325" s="1"/>
      <c r="D325" s="9"/>
      <c r="E325" s="10"/>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8" t="s">
        <v>3056</v>
      </c>
      <c r="C326" s="1"/>
      <c r="D326" s="9"/>
      <c r="E326" s="10"/>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8" t="s">
        <v>3057</v>
      </c>
      <c r="C327" s="1"/>
      <c r="D327" s="9"/>
      <c r="E327" s="10"/>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8" t="s">
        <v>3058</v>
      </c>
      <c r="C328" s="1"/>
      <c r="D328" s="9"/>
      <c r="E328" s="10"/>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8" t="s">
        <v>3059</v>
      </c>
      <c r="C329" s="1"/>
      <c r="D329" s="9"/>
      <c r="E329" s="10"/>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8" t="s">
        <v>3060</v>
      </c>
      <c r="C330" s="1"/>
      <c r="D330" s="9"/>
      <c r="E330" s="10"/>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347" t="s">
        <v>3061</v>
      </c>
      <c r="C331" s="1"/>
      <c r="D331" s="9"/>
      <c r="E331" s="10"/>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8" t="s">
        <v>370</v>
      </c>
      <c r="C332" s="1"/>
      <c r="D332" s="9"/>
      <c r="E332" s="10"/>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8" t="s">
        <v>3062</v>
      </c>
      <c r="C333" s="1"/>
      <c r="D333" s="9"/>
      <c r="E333" s="10"/>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347" t="s">
        <v>3063</v>
      </c>
      <c r="C334" s="1"/>
      <c r="D334" s="9"/>
      <c r="E334" s="10"/>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8" t="s">
        <v>370</v>
      </c>
      <c r="C335" s="18" t="s">
        <v>370</v>
      </c>
      <c r="D335" s="9"/>
      <c r="E335" s="10"/>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8" t="s">
        <v>3062</v>
      </c>
      <c r="C336" s="18" t="s">
        <v>3062</v>
      </c>
      <c r="D336" s="9"/>
      <c r="E336" s="10"/>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8" t="s">
        <v>3064</v>
      </c>
      <c r="C337" s="18" t="s">
        <v>3065</v>
      </c>
      <c r="D337" s="9"/>
      <c r="E337" s="10"/>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8" t="s">
        <v>371</v>
      </c>
      <c r="C338" s="18" t="s">
        <v>3064</v>
      </c>
      <c r="D338" s="9"/>
      <c r="E338" s="10"/>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8" t="s">
        <v>3066</v>
      </c>
      <c r="C339" s="18" t="s">
        <v>371</v>
      </c>
      <c r="D339" s="9"/>
      <c r="E339" s="10"/>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8"/>
      <c r="C340" s="18" t="s">
        <v>3066</v>
      </c>
      <c r="D340" s="9"/>
      <c r="E340" s="10"/>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347" t="s">
        <v>3067</v>
      </c>
      <c r="C341" s="1"/>
      <c r="D341" s="9"/>
      <c r="E341" s="10"/>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8" t="s">
        <v>3068</v>
      </c>
      <c r="C342" s="1"/>
      <c r="D342" s="9"/>
      <c r="E342" s="10"/>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8" t="s">
        <v>3069</v>
      </c>
      <c r="C343" s="1"/>
      <c r="D343" s="9"/>
      <c r="E343" s="10"/>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347" t="s">
        <v>3070</v>
      </c>
      <c r="C344" s="1"/>
      <c r="D344" s="9"/>
      <c r="E344" s="10"/>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8" t="s">
        <v>3068</v>
      </c>
      <c r="C345" s="1"/>
      <c r="D345" s="9"/>
      <c r="E345" s="10"/>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347" t="s">
        <v>3071</v>
      </c>
      <c r="C346" s="1"/>
      <c r="D346" s="9"/>
      <c r="E346" s="10"/>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8" t="s">
        <v>3072</v>
      </c>
      <c r="C347" s="1"/>
      <c r="D347" s="9"/>
      <c r="E347" s="10"/>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8" t="s">
        <v>3073</v>
      </c>
      <c r="C348" s="1"/>
      <c r="D348" s="9"/>
      <c r="E348" s="10"/>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8" t="s">
        <v>3074</v>
      </c>
      <c r="C349" s="1"/>
      <c r="D349" s="9"/>
      <c r="E349" s="10"/>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8" t="s">
        <v>3075</v>
      </c>
      <c r="C350" s="1"/>
      <c r="D350" s="9"/>
      <c r="E350" s="10"/>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8" t="s">
        <v>3076</v>
      </c>
      <c r="C351" s="1"/>
      <c r="D351" s="9"/>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8" t="s">
        <v>3077</v>
      </c>
      <c r="C352" s="1"/>
      <c r="D352" s="9"/>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8" t="s">
        <v>3078</v>
      </c>
      <c r="C353" s="1"/>
      <c r="D353" s="10"/>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8" t="s">
        <v>3079</v>
      </c>
      <c r="C354" s="1"/>
      <c r="D354" s="10"/>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8" t="s">
        <v>3080</v>
      </c>
      <c r="C355" s="1"/>
      <c r="D355" s="10"/>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8" t="s">
        <v>3081</v>
      </c>
      <c r="C356" s="1"/>
      <c r="D356" s="10"/>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8" t="s">
        <v>3082</v>
      </c>
      <c r="C357" s="1"/>
      <c r="D357" s="10"/>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8" t="s">
        <v>3083</v>
      </c>
      <c r="C358" s="1"/>
      <c r="D358" s="10"/>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8" t="s">
        <v>3084</v>
      </c>
      <c r="C359" s="1"/>
      <c r="D359" s="10"/>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8" t="s">
        <v>3085</v>
      </c>
      <c r="C360" s="1"/>
      <c r="D360" s="10"/>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8" t="s">
        <v>3086</v>
      </c>
      <c r="C361" s="1"/>
      <c r="D361" s="10"/>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8" t="s">
        <v>3087</v>
      </c>
      <c r="C362" s="1"/>
      <c r="D362" s="10"/>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8" t="s">
        <v>3088</v>
      </c>
      <c r="C363" s="1"/>
      <c r="D363" s="10"/>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8" t="s">
        <v>3089</v>
      </c>
      <c r="C364" s="1"/>
      <c r="D364" s="10"/>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8" t="s">
        <v>3090</v>
      </c>
      <c r="C365" s="1"/>
      <c r="D365" s="10"/>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8" t="s">
        <v>3091</v>
      </c>
      <c r="C366" s="1"/>
      <c r="D366" s="10"/>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8" t="s">
        <v>3092</v>
      </c>
      <c r="C367" s="1"/>
      <c r="D367" s="10"/>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8" t="s">
        <v>3093</v>
      </c>
      <c r="C368" s="1"/>
      <c r="D368" s="10"/>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8" t="s">
        <v>3094</v>
      </c>
      <c r="C369" s="1"/>
      <c r="D369" s="10"/>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8" t="s">
        <v>3095</v>
      </c>
      <c r="C370" s="1"/>
      <c r="D370" s="10"/>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8" t="s">
        <v>3096</v>
      </c>
      <c r="C371" s="1"/>
      <c r="D371" s="10"/>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8" t="s">
        <v>3097</v>
      </c>
      <c r="C372" s="1"/>
      <c r="D372" s="10"/>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8" t="s">
        <v>3098</v>
      </c>
      <c r="C373" s="1"/>
      <c r="D373" s="10"/>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8" t="s">
        <v>3099</v>
      </c>
      <c r="C374" s="1"/>
      <c r="D374" s="10"/>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347" t="s">
        <v>3100</v>
      </c>
      <c r="C375" s="10"/>
      <c r="D375" s="10"/>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8">
        <v>1.0</v>
      </c>
      <c r="C376" s="10"/>
      <c r="D376" s="10"/>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8">
        <v>2.0</v>
      </c>
      <c r="C377" s="10"/>
      <c r="D377" s="10"/>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8">
        <v>3.0</v>
      </c>
      <c r="C378" s="10"/>
      <c r="D378" s="10"/>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21" t="s">
        <v>3101</v>
      </c>
      <c r="C379" s="10"/>
      <c r="D379" s="10"/>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360" t="s">
        <v>3102</v>
      </c>
      <c r="C380" s="10"/>
      <c r="D380" s="10"/>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21" t="s">
        <v>3103</v>
      </c>
      <c r="C381" s="10"/>
      <c r="D381" s="10"/>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21" t="s">
        <v>3104</v>
      </c>
      <c r="C382" s="1"/>
      <c r="D382" s="10"/>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21" t="s">
        <v>3105</v>
      </c>
      <c r="C383" s="1"/>
      <c r="D383" s="10"/>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347" t="s">
        <v>3106</v>
      </c>
      <c r="C384" s="1"/>
      <c r="D384" s="9"/>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8" t="s">
        <v>673</v>
      </c>
      <c r="C385" s="1"/>
      <c r="D385" s="9"/>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8" t="s">
        <v>184</v>
      </c>
      <c r="C386" s="1"/>
      <c r="D386" s="9"/>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347" t="s">
        <v>427</v>
      </c>
      <c r="C387" s="1"/>
      <c r="D387" s="9"/>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8" t="s">
        <v>3107</v>
      </c>
      <c r="C388" s="1"/>
      <c r="D388" s="9"/>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8" t="s">
        <v>3108</v>
      </c>
      <c r="C389" s="1"/>
      <c r="D389" s="9"/>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8" t="s">
        <v>3109</v>
      </c>
      <c r="C390" s="1"/>
      <c r="D390" s="9"/>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8" t="s">
        <v>3110</v>
      </c>
      <c r="C391" s="1"/>
      <c r="D391" s="9"/>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8" t="s">
        <v>3111</v>
      </c>
      <c r="C392" s="1"/>
      <c r="D392" s="9"/>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8" t="s">
        <v>3112</v>
      </c>
      <c r="C393" s="1"/>
      <c r="D393" s="9"/>
      <c r="E393" s="10"/>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8" t="s">
        <v>3113</v>
      </c>
      <c r="C394" s="1"/>
      <c r="D394" s="9"/>
      <c r="E394" s="10"/>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8" t="s">
        <v>3114</v>
      </c>
      <c r="C395" s="1"/>
      <c r="D395" s="9"/>
      <c r="E395" s="10"/>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8" t="s">
        <v>3115</v>
      </c>
      <c r="C396" s="1"/>
      <c r="D396" s="9"/>
      <c r="E396" s="10"/>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8" t="s">
        <v>3116</v>
      </c>
      <c r="C397" s="1"/>
      <c r="D397" s="9"/>
      <c r="E397" s="10"/>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8" t="s">
        <v>3117</v>
      </c>
      <c r="C398" s="1"/>
      <c r="D398" s="9"/>
      <c r="E398" s="10"/>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8" t="s">
        <v>3118</v>
      </c>
      <c r="C399" s="1"/>
      <c r="D399" s="9"/>
      <c r="E399" s="10"/>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8" t="s">
        <v>3119</v>
      </c>
      <c r="C400" s="1"/>
      <c r="D400" s="9"/>
      <c r="E400" s="10"/>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8" t="s">
        <v>3120</v>
      </c>
      <c r="C401" s="1"/>
      <c r="D401" s="9"/>
      <c r="E401" s="10"/>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8" t="s">
        <v>428</v>
      </c>
      <c r="C402" s="1"/>
      <c r="D402" s="9"/>
      <c r="E402" s="10"/>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8" t="s">
        <v>3121</v>
      </c>
      <c r="C403" s="1"/>
      <c r="D403" s="9"/>
      <c r="E403" s="10"/>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8" t="s">
        <v>3122</v>
      </c>
      <c r="C404" s="1"/>
      <c r="D404" s="9"/>
      <c r="E404" s="10"/>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8" t="s">
        <v>3123</v>
      </c>
      <c r="C405" s="1"/>
      <c r="D405" s="9"/>
      <c r="E405" s="10"/>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8" t="s">
        <v>3124</v>
      </c>
      <c r="C406" s="1"/>
      <c r="D406" s="9"/>
      <c r="E406" s="10"/>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8" t="s">
        <v>3125</v>
      </c>
      <c r="C407" s="1"/>
      <c r="D407" s="9"/>
      <c r="E407" s="10"/>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9"/>
      <c r="E408" s="10"/>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9"/>
      <c r="E409" s="10"/>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9"/>
      <c r="E410" s="10"/>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9"/>
      <c r="E411" s="10"/>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9"/>
      <c r="E412" s="10"/>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9"/>
      <c r="E413" s="10"/>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9"/>
      <c r="E414" s="10"/>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9"/>
      <c r="E415" s="10"/>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9"/>
      <c r="E416" s="10"/>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9"/>
      <c r="E417" s="10"/>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9"/>
      <c r="E418" s="10"/>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9"/>
      <c r="E419" s="10"/>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9"/>
      <c r="E420" s="10"/>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9"/>
      <c r="E421" s="10"/>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9"/>
      <c r="E422" s="10"/>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9"/>
      <c r="E423" s="10"/>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9"/>
      <c r="E424" s="10"/>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9"/>
      <c r="E425" s="10"/>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9"/>
      <c r="E426" s="10"/>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9"/>
      <c r="E427" s="10"/>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9"/>
      <c r="E428" s="10"/>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9"/>
      <c r="E429" s="10"/>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9"/>
      <c r="E430" s="10"/>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9"/>
      <c r="E431" s="10"/>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9"/>
      <c r="E432" s="10"/>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9"/>
      <c r="E433" s="10"/>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9"/>
      <c r="E434" s="10"/>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9"/>
      <c r="E435" s="10"/>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9"/>
      <c r="E436" s="10"/>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9"/>
      <c r="E437" s="10"/>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9"/>
      <c r="E438" s="10"/>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9"/>
      <c r="E439" s="10"/>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9"/>
      <c r="E440" s="10"/>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9"/>
      <c r="E441" s="10"/>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9"/>
      <c r="E442" s="10"/>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9"/>
      <c r="E443" s="10"/>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9"/>
      <c r="E444" s="10"/>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9"/>
      <c r="E445" s="10"/>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9"/>
      <c r="E446" s="10"/>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9"/>
      <c r="E447" s="10"/>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9"/>
      <c r="E448" s="10"/>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9"/>
      <c r="E449" s="10"/>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9"/>
      <c r="E450" s="10"/>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9"/>
      <c r="E451" s="10"/>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9"/>
      <c r="E452" s="10"/>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9"/>
      <c r="E453" s="10"/>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9"/>
      <c r="E454" s="10"/>
      <c r="F454" s="1"/>
      <c r="G454" s="1"/>
      <c r="H454" s="1"/>
      <c r="I454" s="1"/>
      <c r="J454" s="1"/>
      <c r="K454" s="1"/>
      <c r="L454" s="1"/>
      <c r="M454" s="1"/>
      <c r="N454" s="1"/>
      <c r="O454" s="1"/>
      <c r="P454" s="1"/>
      <c r="Q454" s="1"/>
      <c r="R454" s="1"/>
      <c r="S454" s="1"/>
      <c r="T454" s="1"/>
      <c r="U454" s="1"/>
      <c r="V454" s="1"/>
      <c r="W454" s="1"/>
      <c r="X454" s="1"/>
      <c r="Y454" s="1"/>
      <c r="Z454" s="1"/>
    </row>
    <row r="455" ht="19.5" customHeight="1">
      <c r="A455" s="1"/>
      <c r="B455" s="1"/>
      <c r="C455" s="1"/>
      <c r="D455" s="9"/>
      <c r="E455" s="10"/>
      <c r="F455" s="1"/>
      <c r="G455" s="1"/>
      <c r="H455" s="1"/>
      <c r="I455" s="1"/>
      <c r="J455" s="1"/>
      <c r="K455" s="1"/>
      <c r="L455" s="1"/>
      <c r="M455" s="1"/>
      <c r="N455" s="1"/>
      <c r="O455" s="1"/>
      <c r="P455" s="1"/>
      <c r="Q455" s="1"/>
      <c r="R455" s="1"/>
      <c r="S455" s="1"/>
      <c r="T455" s="1"/>
      <c r="U455" s="1"/>
      <c r="V455" s="1"/>
      <c r="W455" s="1"/>
      <c r="X455" s="1"/>
      <c r="Y455" s="1"/>
      <c r="Z455" s="1"/>
    </row>
    <row r="456" ht="19.5" customHeight="1">
      <c r="A456" s="1"/>
      <c r="B456" s="1"/>
      <c r="C456" s="1"/>
      <c r="D456" s="9"/>
      <c r="E456" s="10"/>
      <c r="F456" s="1"/>
      <c r="G456" s="1"/>
      <c r="H456" s="1"/>
      <c r="I456" s="1"/>
      <c r="J456" s="1"/>
      <c r="K456" s="1"/>
      <c r="L456" s="1"/>
      <c r="M456" s="1"/>
      <c r="N456" s="1"/>
      <c r="O456" s="1"/>
      <c r="P456" s="1"/>
      <c r="Q456" s="1"/>
      <c r="R456" s="1"/>
      <c r="S456" s="1"/>
      <c r="T456" s="1"/>
      <c r="U456" s="1"/>
      <c r="V456" s="1"/>
      <c r="W456" s="1"/>
      <c r="X456" s="1"/>
      <c r="Y456" s="1"/>
      <c r="Z456" s="1"/>
    </row>
    <row r="457" ht="19.5" customHeight="1">
      <c r="A457" s="1"/>
      <c r="B457" s="1"/>
      <c r="C457" s="1"/>
      <c r="D457" s="9"/>
      <c r="E457" s="10"/>
      <c r="F457" s="1"/>
      <c r="G457" s="1"/>
      <c r="H457" s="1"/>
      <c r="I457" s="1"/>
      <c r="J457" s="1"/>
      <c r="K457" s="1"/>
      <c r="L457" s="1"/>
      <c r="M457" s="1"/>
      <c r="N457" s="1"/>
      <c r="O457" s="1"/>
      <c r="P457" s="1"/>
      <c r="Q457" s="1"/>
      <c r="R457" s="1"/>
      <c r="S457" s="1"/>
      <c r="T457" s="1"/>
      <c r="U457" s="1"/>
      <c r="V457" s="1"/>
      <c r="W457" s="1"/>
      <c r="X457" s="1"/>
      <c r="Y457" s="1"/>
      <c r="Z457" s="1"/>
    </row>
    <row r="458" ht="19.5" customHeight="1">
      <c r="A458" s="1"/>
      <c r="B458" s="1"/>
      <c r="C458" s="1"/>
      <c r="D458" s="9"/>
      <c r="E458" s="10"/>
      <c r="F458" s="1"/>
      <c r="G458" s="1"/>
      <c r="H458" s="1"/>
      <c r="I458" s="1"/>
      <c r="J458" s="1"/>
      <c r="K458" s="1"/>
      <c r="L458" s="1"/>
      <c r="M458" s="1"/>
      <c r="N458" s="1"/>
      <c r="O458" s="1"/>
      <c r="P458" s="1"/>
      <c r="Q458" s="1"/>
      <c r="R458" s="1"/>
      <c r="S458" s="1"/>
      <c r="T458" s="1"/>
      <c r="U458" s="1"/>
      <c r="V458" s="1"/>
      <c r="W458" s="1"/>
      <c r="X458" s="1"/>
      <c r="Y458" s="1"/>
      <c r="Z458" s="1"/>
    </row>
    <row r="459" ht="19.5" customHeight="1">
      <c r="A459" s="1"/>
      <c r="B459" s="1"/>
      <c r="C459" s="1"/>
      <c r="D459" s="9"/>
      <c r="E459" s="10"/>
      <c r="F459" s="1"/>
      <c r="G459" s="1"/>
      <c r="H459" s="1"/>
      <c r="I459" s="1"/>
      <c r="J459" s="1"/>
      <c r="K459" s="1"/>
      <c r="L459" s="1"/>
      <c r="M459" s="1"/>
      <c r="N459" s="1"/>
      <c r="O459" s="1"/>
      <c r="P459" s="1"/>
      <c r="Q459" s="1"/>
      <c r="R459" s="1"/>
      <c r="S459" s="1"/>
      <c r="T459" s="1"/>
      <c r="U459" s="1"/>
      <c r="V459" s="1"/>
      <c r="W459" s="1"/>
      <c r="X459" s="1"/>
      <c r="Y459" s="1"/>
      <c r="Z459" s="1"/>
    </row>
    <row r="460" ht="19.5" customHeight="1">
      <c r="A460" s="1"/>
      <c r="B460" s="1"/>
      <c r="C460" s="1"/>
      <c r="D460" s="9"/>
      <c r="E460" s="10"/>
      <c r="F460" s="1"/>
      <c r="G460" s="1"/>
      <c r="H460" s="1"/>
      <c r="I460" s="1"/>
      <c r="J460" s="1"/>
      <c r="K460" s="1"/>
      <c r="L460" s="1"/>
      <c r="M460" s="1"/>
      <c r="N460" s="1"/>
      <c r="O460" s="1"/>
      <c r="P460" s="1"/>
      <c r="Q460" s="1"/>
      <c r="R460" s="1"/>
      <c r="S460" s="1"/>
      <c r="T460" s="1"/>
      <c r="U460" s="1"/>
      <c r="V460" s="1"/>
      <c r="W460" s="1"/>
      <c r="X460" s="1"/>
      <c r="Y460" s="1"/>
      <c r="Z460" s="1"/>
    </row>
    <row r="461" ht="19.5" customHeight="1">
      <c r="A461" s="1"/>
      <c r="B461" s="1"/>
      <c r="C461" s="1"/>
      <c r="D461" s="9"/>
      <c r="E461" s="10"/>
      <c r="F461" s="1"/>
      <c r="G461" s="1"/>
      <c r="H461" s="1"/>
      <c r="I461" s="1"/>
      <c r="J461" s="1"/>
      <c r="K461" s="1"/>
      <c r="L461" s="1"/>
      <c r="M461" s="1"/>
      <c r="N461" s="1"/>
      <c r="O461" s="1"/>
      <c r="P461" s="1"/>
      <c r="Q461" s="1"/>
      <c r="R461" s="1"/>
      <c r="S461" s="1"/>
      <c r="T461" s="1"/>
      <c r="U461" s="1"/>
      <c r="V461" s="1"/>
      <c r="W461" s="1"/>
      <c r="X461" s="1"/>
      <c r="Y461" s="1"/>
      <c r="Z461" s="1"/>
    </row>
    <row r="462" ht="19.5" customHeight="1">
      <c r="A462" s="1"/>
      <c r="B462" s="1"/>
      <c r="C462" s="1"/>
      <c r="D462" s="9"/>
      <c r="E462" s="10"/>
      <c r="F462" s="1"/>
      <c r="G462" s="1"/>
      <c r="H462" s="1"/>
      <c r="I462" s="1"/>
      <c r="J462" s="1"/>
      <c r="K462" s="1"/>
      <c r="L462" s="1"/>
      <c r="M462" s="1"/>
      <c r="N462" s="1"/>
      <c r="O462" s="1"/>
      <c r="P462" s="1"/>
      <c r="Q462" s="1"/>
      <c r="R462" s="1"/>
      <c r="S462" s="1"/>
      <c r="T462" s="1"/>
      <c r="U462" s="1"/>
      <c r="V462" s="1"/>
      <c r="W462" s="1"/>
      <c r="X462" s="1"/>
      <c r="Y462" s="1"/>
      <c r="Z462" s="1"/>
    </row>
    <row r="463" ht="19.5" customHeight="1">
      <c r="A463" s="1"/>
      <c r="B463" s="1"/>
      <c r="C463" s="1"/>
      <c r="D463" s="9"/>
      <c r="E463" s="10"/>
      <c r="F463" s="1"/>
      <c r="G463" s="1"/>
      <c r="H463" s="1"/>
      <c r="I463" s="1"/>
      <c r="J463" s="1"/>
      <c r="K463" s="1"/>
      <c r="L463" s="1"/>
      <c r="M463" s="1"/>
      <c r="N463" s="1"/>
      <c r="O463" s="1"/>
      <c r="P463" s="1"/>
      <c r="Q463" s="1"/>
      <c r="R463" s="1"/>
      <c r="S463" s="1"/>
      <c r="T463" s="1"/>
      <c r="U463" s="1"/>
      <c r="V463" s="1"/>
      <c r="W463" s="1"/>
      <c r="X463" s="1"/>
      <c r="Y463" s="1"/>
      <c r="Z463" s="1"/>
    </row>
    <row r="464" ht="19.5" customHeight="1">
      <c r="A464" s="1"/>
      <c r="B464" s="1"/>
      <c r="C464" s="1"/>
      <c r="D464" s="9"/>
      <c r="E464" s="10"/>
      <c r="F464" s="1"/>
      <c r="G464" s="1"/>
      <c r="H464" s="1"/>
      <c r="I464" s="1"/>
      <c r="J464" s="1"/>
      <c r="K464" s="1"/>
      <c r="L464" s="1"/>
      <c r="M464" s="1"/>
      <c r="N464" s="1"/>
      <c r="O464" s="1"/>
      <c r="P464" s="1"/>
      <c r="Q464" s="1"/>
      <c r="R464" s="1"/>
      <c r="S464" s="1"/>
      <c r="T464" s="1"/>
      <c r="U464" s="1"/>
      <c r="V464" s="1"/>
      <c r="W464" s="1"/>
      <c r="X464" s="1"/>
      <c r="Y464" s="1"/>
      <c r="Z464" s="1"/>
    </row>
    <row r="465" ht="19.5" customHeight="1">
      <c r="A465" s="1"/>
      <c r="B465" s="1"/>
      <c r="C465" s="1"/>
      <c r="D465" s="9"/>
      <c r="E465" s="10"/>
      <c r="F465" s="1"/>
      <c r="G465" s="1"/>
      <c r="H465" s="1"/>
      <c r="I465" s="1"/>
      <c r="J465" s="1"/>
      <c r="K465" s="1"/>
      <c r="L465" s="1"/>
      <c r="M465" s="1"/>
      <c r="N465" s="1"/>
      <c r="O465" s="1"/>
      <c r="P465" s="1"/>
      <c r="Q465" s="1"/>
      <c r="R465" s="1"/>
      <c r="S465" s="1"/>
      <c r="T465" s="1"/>
      <c r="U465" s="1"/>
      <c r="V465" s="1"/>
      <c r="W465" s="1"/>
      <c r="X465" s="1"/>
      <c r="Y465" s="1"/>
      <c r="Z465" s="1"/>
    </row>
    <row r="466" ht="19.5" customHeight="1">
      <c r="A466" s="1"/>
      <c r="B466" s="1"/>
      <c r="C466" s="1"/>
      <c r="D466" s="9"/>
      <c r="E466" s="10"/>
      <c r="F466" s="1"/>
      <c r="G466" s="1"/>
      <c r="H466" s="1"/>
      <c r="I466" s="1"/>
      <c r="J466" s="1"/>
      <c r="K466" s="1"/>
      <c r="L466" s="1"/>
      <c r="M466" s="1"/>
      <c r="N466" s="1"/>
      <c r="O466" s="1"/>
      <c r="P466" s="1"/>
      <c r="Q466" s="1"/>
      <c r="R466" s="1"/>
      <c r="S466" s="1"/>
      <c r="T466" s="1"/>
      <c r="U466" s="1"/>
      <c r="V466" s="1"/>
      <c r="W466" s="1"/>
      <c r="X466" s="1"/>
      <c r="Y466" s="1"/>
      <c r="Z466" s="1"/>
    </row>
    <row r="467" ht="19.5" customHeight="1">
      <c r="A467" s="1"/>
      <c r="B467" s="1"/>
      <c r="C467" s="1"/>
      <c r="D467" s="9"/>
      <c r="E467" s="10"/>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9"/>
      <c r="E468" s="10"/>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9"/>
      <c r="E469" s="10"/>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9"/>
      <c r="E470" s="10"/>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9"/>
      <c r="E471" s="10"/>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9"/>
      <c r="E472" s="10"/>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9"/>
      <c r="E473" s="10"/>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9"/>
      <c r="E474" s="10"/>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9"/>
      <c r="E475" s="10"/>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9"/>
      <c r="E476" s="10"/>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9"/>
      <c r="E477" s="10"/>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9"/>
      <c r="E478" s="10"/>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9"/>
      <c r="E479" s="10"/>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9"/>
      <c r="E480" s="10"/>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9"/>
      <c r="E481" s="10"/>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9"/>
      <c r="E482" s="10"/>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9"/>
      <c r="E483" s="10"/>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9"/>
      <c r="E484" s="10"/>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9"/>
      <c r="E485" s="10"/>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9"/>
      <c r="E486" s="10"/>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9"/>
      <c r="E487" s="10"/>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9"/>
      <c r="E488" s="10"/>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9"/>
      <c r="E489" s="10"/>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9"/>
      <c r="E490" s="10"/>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9"/>
      <c r="E491" s="10"/>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9"/>
      <c r="E492" s="10"/>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9"/>
      <c r="E493" s="10"/>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9"/>
      <c r="E494" s="10"/>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9"/>
      <c r="E495" s="10"/>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9"/>
      <c r="E496" s="10"/>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9"/>
      <c r="E497" s="10"/>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9"/>
      <c r="E498" s="10"/>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9"/>
      <c r="E499" s="10"/>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9"/>
      <c r="E500" s="10"/>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9"/>
      <c r="E501" s="10"/>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9"/>
      <c r="E502" s="10"/>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9"/>
      <c r="E503" s="10"/>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9"/>
      <c r="E504" s="10"/>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9"/>
      <c r="E505" s="10"/>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9"/>
      <c r="E506" s="10"/>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9"/>
      <c r="E507" s="10"/>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9"/>
      <c r="E508" s="10"/>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9"/>
      <c r="E509" s="10"/>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9"/>
      <c r="E510" s="10"/>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9"/>
      <c r="E511" s="10"/>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9"/>
      <c r="E512" s="10"/>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9"/>
      <c r="E513" s="10"/>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9"/>
      <c r="E514" s="10"/>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9"/>
      <c r="E515" s="10"/>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9"/>
      <c r="E516" s="10"/>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9"/>
      <c r="E517" s="10"/>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9"/>
      <c r="E518" s="10"/>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9"/>
      <c r="E519" s="10"/>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9"/>
      <c r="E520" s="10"/>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9"/>
      <c r="E521" s="10"/>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9"/>
      <c r="E522" s="10"/>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9"/>
      <c r="E523" s="10"/>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9"/>
      <c r="E524" s="10"/>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9"/>
      <c r="E525" s="10"/>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9"/>
      <c r="E526" s="10"/>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9"/>
      <c r="E527" s="10"/>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9"/>
      <c r="E528" s="10"/>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9"/>
      <c r="E529" s="10"/>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9"/>
      <c r="E530" s="10"/>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9"/>
      <c r="E531" s="10"/>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9"/>
      <c r="E532" s="10"/>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9"/>
      <c r="E533" s="10"/>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9"/>
      <c r="E534" s="10"/>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9"/>
      <c r="E535" s="10"/>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9"/>
      <c r="E536" s="10"/>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9"/>
      <c r="E537" s="10"/>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9"/>
      <c r="E538" s="10"/>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9"/>
      <c r="E539" s="10"/>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9"/>
      <c r="E540" s="10"/>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9"/>
      <c r="E541" s="10"/>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9"/>
      <c r="E542" s="10"/>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9"/>
      <c r="E543" s="10"/>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9"/>
      <c r="E544" s="10"/>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9"/>
      <c r="E545" s="10"/>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9"/>
      <c r="E546" s="10"/>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9"/>
      <c r="E547" s="10"/>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9"/>
      <c r="E548" s="10"/>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9"/>
      <c r="E549" s="10"/>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9"/>
      <c r="E550" s="10"/>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9"/>
      <c r="E551" s="10"/>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9"/>
      <c r="E552" s="10"/>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9"/>
      <c r="E553" s="10"/>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9"/>
      <c r="E554" s="10"/>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9"/>
      <c r="E555" s="10"/>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9"/>
      <c r="E556" s="10"/>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9"/>
      <c r="E557" s="10"/>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9"/>
      <c r="E558" s="10"/>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9"/>
      <c r="E559" s="10"/>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9"/>
      <c r="E560" s="10"/>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9"/>
      <c r="E561" s="10"/>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9"/>
      <c r="E562" s="10"/>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9"/>
      <c r="E563" s="10"/>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9"/>
      <c r="E564" s="10"/>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9"/>
      <c r="E565" s="10"/>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9"/>
      <c r="E566" s="10"/>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9"/>
      <c r="E567" s="10"/>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9"/>
      <c r="E568" s="10"/>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9"/>
      <c r="E569" s="10"/>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9"/>
      <c r="E570" s="10"/>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9"/>
      <c r="E571" s="10"/>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9"/>
      <c r="E572" s="10"/>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9"/>
      <c r="E573" s="10"/>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9"/>
      <c r="E574" s="10"/>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9"/>
      <c r="E575" s="10"/>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9"/>
      <c r="E576" s="10"/>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9"/>
      <c r="E577" s="10"/>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9"/>
      <c r="E578" s="10"/>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9"/>
      <c r="E579" s="10"/>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9"/>
      <c r="E580" s="10"/>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9"/>
      <c r="E581" s="10"/>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9"/>
      <c r="E582" s="10"/>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9"/>
      <c r="E583" s="10"/>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9"/>
      <c r="E584" s="10"/>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9"/>
      <c r="E585" s="10"/>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9"/>
      <c r="E586" s="10"/>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9"/>
      <c r="E587" s="10"/>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9"/>
      <c r="E588" s="10"/>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9"/>
      <c r="E589" s="10"/>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9"/>
      <c r="E590" s="10"/>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9"/>
      <c r="E591" s="10"/>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9"/>
      <c r="E592" s="10"/>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9"/>
      <c r="E593" s="10"/>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9"/>
      <c r="E594" s="10"/>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9"/>
      <c r="E595" s="10"/>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9"/>
      <c r="E596" s="10"/>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9"/>
      <c r="E597" s="10"/>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9"/>
      <c r="E598" s="10"/>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9"/>
      <c r="E599" s="10"/>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9"/>
      <c r="E600" s="10"/>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9"/>
      <c r="E601" s="10"/>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9"/>
      <c r="E602" s="10"/>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9"/>
      <c r="E603" s="10"/>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9"/>
      <c r="E604" s="10"/>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9"/>
      <c r="E605" s="10"/>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9"/>
      <c r="E606" s="10"/>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9"/>
      <c r="E607" s="10"/>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9"/>
      <c r="E608" s="10"/>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9"/>
      <c r="E609" s="10"/>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9"/>
      <c r="E610" s="10"/>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9"/>
      <c r="E611" s="10"/>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9"/>
      <c r="E612" s="10"/>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9"/>
      <c r="E613" s="10"/>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9"/>
      <c r="E614" s="10"/>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9"/>
      <c r="E615" s="10"/>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9"/>
      <c r="E616" s="10"/>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9"/>
      <c r="E617" s="10"/>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9"/>
      <c r="E618" s="10"/>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9"/>
      <c r="E619" s="10"/>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9"/>
      <c r="E620" s="10"/>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9"/>
      <c r="E621" s="10"/>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9"/>
      <c r="E622" s="10"/>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9"/>
      <c r="E623" s="10"/>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9"/>
      <c r="E624" s="10"/>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9"/>
      <c r="E625" s="10"/>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9"/>
      <c r="E626" s="10"/>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9"/>
      <c r="E627" s="10"/>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9"/>
      <c r="E628" s="10"/>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9"/>
      <c r="E629" s="10"/>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9"/>
      <c r="E630" s="10"/>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9"/>
      <c r="E631" s="10"/>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9"/>
      <c r="E632" s="10"/>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9"/>
      <c r="E633" s="10"/>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9"/>
      <c r="E634" s="10"/>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9"/>
      <c r="E635" s="10"/>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9"/>
      <c r="E636" s="10"/>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9"/>
      <c r="E637" s="10"/>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9"/>
      <c r="E638" s="10"/>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9"/>
      <c r="E639" s="10"/>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9"/>
      <c r="E640" s="10"/>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9"/>
      <c r="E641" s="10"/>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9"/>
      <c r="E642" s="10"/>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9"/>
      <c r="E643" s="10"/>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9"/>
      <c r="E644" s="10"/>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9"/>
      <c r="E645" s="10"/>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9"/>
      <c r="E646" s="10"/>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9"/>
      <c r="E647" s="10"/>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9"/>
      <c r="E648" s="10"/>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9"/>
      <c r="E649" s="10"/>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9"/>
      <c r="E650" s="10"/>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9"/>
      <c r="E651" s="10"/>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9"/>
      <c r="E652" s="10"/>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9"/>
      <c r="E653" s="10"/>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9"/>
      <c r="E654" s="10"/>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9"/>
      <c r="E655" s="10"/>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9"/>
      <c r="E656" s="10"/>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9"/>
      <c r="E657" s="10"/>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9"/>
      <c r="E658" s="10"/>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9"/>
      <c r="E659" s="10"/>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9"/>
      <c r="E660" s="10"/>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9"/>
      <c r="E661" s="10"/>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9"/>
      <c r="E662" s="10"/>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9"/>
      <c r="E663" s="10"/>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9"/>
      <c r="E664" s="10"/>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9"/>
      <c r="E665" s="10"/>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9"/>
      <c r="E666" s="10"/>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9"/>
      <c r="E667" s="10"/>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9"/>
      <c r="E668" s="10"/>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9"/>
      <c r="E669" s="10"/>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9"/>
      <c r="E670" s="10"/>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9"/>
      <c r="E671" s="10"/>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9"/>
      <c r="E672" s="10"/>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9"/>
      <c r="E673" s="10"/>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9"/>
      <c r="E674" s="10"/>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9"/>
      <c r="E675" s="10"/>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9"/>
      <c r="E676" s="10"/>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9"/>
      <c r="E677" s="10"/>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9"/>
      <c r="E678" s="10"/>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9"/>
      <c r="E679" s="10"/>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9"/>
      <c r="E680" s="10"/>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9"/>
      <c r="E681" s="10"/>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9"/>
      <c r="E682" s="10"/>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9"/>
      <c r="E683" s="10"/>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9"/>
      <c r="E684" s="10"/>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9"/>
      <c r="E685" s="10"/>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9"/>
      <c r="E686" s="10"/>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9"/>
      <c r="E687" s="10"/>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9"/>
      <c r="E688" s="10"/>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9"/>
      <c r="E689" s="10"/>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9"/>
      <c r="E690" s="10"/>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9"/>
      <c r="E691" s="10"/>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9"/>
      <c r="E692" s="10"/>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9"/>
      <c r="E693" s="10"/>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9"/>
      <c r="E694" s="10"/>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9"/>
      <c r="E695" s="10"/>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9"/>
      <c r="E696" s="10"/>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9"/>
      <c r="E697" s="10"/>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9"/>
      <c r="E698" s="10"/>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9"/>
      <c r="E699" s="10"/>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9"/>
      <c r="E700" s="10"/>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9"/>
      <c r="E701" s="10"/>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9"/>
      <c r="E702" s="10"/>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9"/>
      <c r="E703" s="10"/>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9"/>
      <c r="E704" s="10"/>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9"/>
      <c r="E705" s="10"/>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9"/>
      <c r="E706" s="10"/>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9"/>
      <c r="E707" s="10"/>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9"/>
      <c r="E708" s="10"/>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9"/>
      <c r="E709" s="10"/>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9"/>
      <c r="E710" s="10"/>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9"/>
      <c r="E711" s="10"/>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9"/>
      <c r="E712" s="10"/>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9"/>
      <c r="E713" s="10"/>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9"/>
      <c r="E714" s="10"/>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9"/>
      <c r="E715" s="10"/>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9"/>
      <c r="E716" s="10"/>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9"/>
      <c r="E717" s="10"/>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9"/>
      <c r="E718" s="10"/>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9"/>
      <c r="E719" s="10"/>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9"/>
      <c r="E720" s="10"/>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9"/>
      <c r="E721" s="10"/>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9"/>
      <c r="E722" s="10"/>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9"/>
      <c r="E723" s="10"/>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9"/>
      <c r="E724" s="10"/>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9"/>
      <c r="E725" s="10"/>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9"/>
      <c r="E726" s="10"/>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9"/>
      <c r="E727" s="10"/>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9"/>
      <c r="E728" s="10"/>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9"/>
      <c r="E729" s="10"/>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9"/>
      <c r="E730" s="10"/>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9"/>
      <c r="E731" s="10"/>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9"/>
      <c r="E732" s="10"/>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9"/>
      <c r="E733" s="10"/>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9"/>
      <c r="E734" s="10"/>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9"/>
      <c r="E735" s="10"/>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9"/>
      <c r="E736" s="10"/>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9"/>
      <c r="E737" s="10"/>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9"/>
      <c r="E738" s="10"/>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9"/>
      <c r="E739" s="10"/>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9"/>
      <c r="E740" s="10"/>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9"/>
      <c r="E741" s="10"/>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9"/>
      <c r="E742" s="10"/>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9"/>
      <c r="E743" s="10"/>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9"/>
      <c r="E744" s="10"/>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9"/>
      <c r="E745" s="10"/>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9"/>
      <c r="E746" s="10"/>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9"/>
      <c r="E747" s="10"/>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9"/>
      <c r="E748" s="10"/>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9"/>
      <c r="E749" s="10"/>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9"/>
      <c r="E750" s="10"/>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9"/>
      <c r="E751" s="10"/>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9"/>
      <c r="E752" s="10"/>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9"/>
      <c r="E753" s="10"/>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9"/>
      <c r="E754" s="10"/>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9"/>
      <c r="E755" s="10"/>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9"/>
      <c r="E756" s="10"/>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9"/>
      <c r="E757" s="10"/>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9"/>
      <c r="E758" s="10"/>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9"/>
      <c r="E759" s="10"/>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9"/>
      <c r="E760" s="10"/>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9"/>
      <c r="E761" s="10"/>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9"/>
      <c r="E762" s="10"/>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9"/>
      <c r="E763" s="10"/>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9"/>
      <c r="E764" s="10"/>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9"/>
      <c r="E765" s="10"/>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9"/>
      <c r="E766" s="10"/>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9"/>
      <c r="E767" s="10"/>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9"/>
      <c r="E768" s="10"/>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9"/>
      <c r="E769" s="10"/>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9"/>
      <c r="E770" s="10"/>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9"/>
      <c r="E771" s="10"/>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9"/>
      <c r="E772" s="10"/>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9"/>
      <c r="E773" s="10"/>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9"/>
      <c r="E774" s="10"/>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9"/>
      <c r="E775" s="10"/>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9"/>
      <c r="E776" s="10"/>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9"/>
      <c r="E777" s="10"/>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9"/>
      <c r="E778" s="10"/>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9"/>
      <c r="E779" s="10"/>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9"/>
      <c r="E780" s="10"/>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9"/>
      <c r="E781" s="10"/>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9"/>
      <c r="E782" s="10"/>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9"/>
      <c r="E783" s="10"/>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9"/>
      <c r="E784" s="10"/>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9"/>
      <c r="E785" s="10"/>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9"/>
      <c r="E786" s="10"/>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9"/>
      <c r="E787" s="10"/>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9"/>
      <c r="E788" s="10"/>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9"/>
      <c r="E789" s="10"/>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9"/>
      <c r="E790" s="10"/>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9"/>
      <c r="E791" s="10"/>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9"/>
      <c r="E792" s="10"/>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9"/>
      <c r="E793" s="10"/>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9"/>
      <c r="E794" s="10"/>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9"/>
      <c r="E795" s="10"/>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9"/>
      <c r="E796" s="10"/>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9"/>
      <c r="E797" s="10"/>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9"/>
      <c r="E798" s="10"/>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9"/>
      <c r="E799" s="10"/>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9"/>
      <c r="E800" s="10"/>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9"/>
      <c r="E801" s="10"/>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9"/>
      <c r="E802" s="10"/>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9"/>
      <c r="E803" s="10"/>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9"/>
      <c r="E804" s="10"/>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9"/>
      <c r="E805" s="10"/>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9"/>
      <c r="E806" s="10"/>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9"/>
      <c r="E807" s="10"/>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9"/>
      <c r="E808" s="10"/>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9"/>
      <c r="E809" s="10"/>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9"/>
      <c r="E810" s="10"/>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9"/>
      <c r="E811" s="10"/>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9"/>
      <c r="E812" s="10"/>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9"/>
      <c r="E813" s="10"/>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9"/>
      <c r="E814" s="10"/>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9"/>
      <c r="E815" s="10"/>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9"/>
      <c r="E816" s="10"/>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9"/>
      <c r="E817" s="10"/>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9"/>
      <c r="E818" s="10"/>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9"/>
      <c r="E819" s="10"/>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9"/>
      <c r="E820" s="10"/>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9"/>
      <c r="E821" s="10"/>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9"/>
      <c r="E822" s="10"/>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9"/>
      <c r="E823" s="10"/>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9"/>
      <c r="E824" s="10"/>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9"/>
      <c r="E825" s="10"/>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9"/>
      <c r="E826" s="10"/>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9"/>
      <c r="E827" s="10"/>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9"/>
      <c r="E828" s="10"/>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9"/>
      <c r="E829" s="10"/>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9"/>
      <c r="E830" s="10"/>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9"/>
      <c r="E831" s="10"/>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9"/>
      <c r="E832" s="10"/>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9"/>
      <c r="E833" s="10"/>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9"/>
      <c r="E834" s="10"/>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9"/>
      <c r="E835" s="10"/>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9"/>
      <c r="E836" s="10"/>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9"/>
      <c r="E837" s="10"/>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9"/>
      <c r="E838" s="10"/>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9"/>
      <c r="E839" s="10"/>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9"/>
      <c r="E840" s="10"/>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9"/>
      <c r="E841" s="10"/>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9"/>
      <c r="E842" s="10"/>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9"/>
      <c r="E843" s="10"/>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9"/>
      <c r="E844" s="10"/>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9"/>
      <c r="E845" s="10"/>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9"/>
      <c r="E846" s="10"/>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9"/>
      <c r="E847" s="10"/>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9"/>
      <c r="E848" s="10"/>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9"/>
      <c r="E849" s="10"/>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9"/>
      <c r="E850" s="10"/>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9"/>
      <c r="E851" s="10"/>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9"/>
      <c r="E852" s="10"/>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9"/>
      <c r="E853" s="10"/>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9"/>
      <c r="E854" s="10"/>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9"/>
      <c r="E855" s="10"/>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9"/>
      <c r="E856" s="10"/>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9"/>
      <c r="E857" s="10"/>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9"/>
      <c r="E858" s="10"/>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9"/>
      <c r="E859" s="10"/>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9"/>
      <c r="E860" s="10"/>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9"/>
      <c r="E861" s="10"/>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9"/>
      <c r="E862" s="10"/>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9"/>
      <c r="E863" s="10"/>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9"/>
      <c r="E864" s="10"/>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9"/>
      <c r="E865" s="10"/>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9"/>
      <c r="E866" s="10"/>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9"/>
      <c r="E867" s="10"/>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9"/>
      <c r="E868" s="10"/>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9"/>
      <c r="E869" s="10"/>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9"/>
      <c r="E870" s="10"/>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9"/>
      <c r="E871" s="10"/>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9"/>
      <c r="E872" s="10"/>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9"/>
      <c r="E873" s="10"/>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9"/>
      <c r="E874" s="10"/>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9"/>
      <c r="E875" s="10"/>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9"/>
      <c r="E876" s="10"/>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9"/>
      <c r="E877" s="10"/>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9"/>
      <c r="E878" s="10"/>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9"/>
      <c r="E879" s="10"/>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9"/>
      <c r="E880" s="10"/>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9"/>
      <c r="E881" s="10"/>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9"/>
      <c r="E882" s="10"/>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9"/>
      <c r="E883" s="10"/>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9"/>
      <c r="E884" s="10"/>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9"/>
      <c r="E885" s="10"/>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9"/>
      <c r="E886" s="10"/>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9"/>
      <c r="E887" s="10"/>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9"/>
      <c r="E888" s="10"/>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9"/>
      <c r="E889" s="10"/>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9"/>
      <c r="E890" s="10"/>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9"/>
      <c r="E891" s="10"/>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9"/>
      <c r="E892" s="10"/>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9"/>
      <c r="E893" s="10"/>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9"/>
      <c r="E894" s="10"/>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9"/>
      <c r="E895" s="10"/>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9"/>
      <c r="E896" s="10"/>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9"/>
      <c r="E897" s="10"/>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9"/>
      <c r="E898" s="10"/>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9"/>
      <c r="E899" s="10"/>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9"/>
      <c r="E900" s="10"/>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9"/>
      <c r="E901" s="10"/>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9"/>
      <c r="E902" s="10"/>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9"/>
      <c r="E903" s="10"/>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9"/>
      <c r="E904" s="10"/>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9"/>
      <c r="E905" s="10"/>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9"/>
      <c r="E906" s="10"/>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9"/>
      <c r="E907" s="10"/>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9"/>
      <c r="E908" s="10"/>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9"/>
      <c r="E909" s="10"/>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9"/>
      <c r="E910" s="10"/>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9"/>
      <c r="E911" s="10"/>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9"/>
      <c r="E912" s="10"/>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9"/>
      <c r="E913" s="10"/>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9"/>
      <c r="E914" s="10"/>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9"/>
      <c r="E915" s="10"/>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9"/>
      <c r="E916" s="10"/>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9"/>
      <c r="E917" s="10"/>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9"/>
      <c r="E918" s="10"/>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9"/>
      <c r="E919" s="10"/>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9"/>
      <c r="E920" s="10"/>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9"/>
      <c r="E921" s="10"/>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9"/>
      <c r="E922" s="10"/>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9"/>
      <c r="E923" s="10"/>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9"/>
      <c r="E924" s="10"/>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9"/>
      <c r="E925" s="10"/>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9"/>
      <c r="E926" s="10"/>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9"/>
      <c r="E927" s="10"/>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9"/>
      <c r="E928" s="10"/>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9"/>
      <c r="E929" s="10"/>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9"/>
      <c r="E930" s="10"/>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9"/>
      <c r="E931" s="10"/>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9"/>
      <c r="E932" s="10"/>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9"/>
      <c r="E933" s="10"/>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9"/>
      <c r="E934" s="10"/>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9"/>
      <c r="E935" s="10"/>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9"/>
      <c r="E936" s="10"/>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9"/>
      <c r="E937" s="10"/>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9"/>
      <c r="E938" s="10"/>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9"/>
      <c r="E939" s="10"/>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9"/>
      <c r="E940" s="10"/>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9"/>
      <c r="E941" s="10"/>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9"/>
      <c r="E942" s="10"/>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9"/>
      <c r="E943" s="10"/>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9"/>
      <c r="E944" s="10"/>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9"/>
      <c r="E945" s="10"/>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9"/>
      <c r="E946" s="10"/>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9"/>
      <c r="E947" s="10"/>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9"/>
      <c r="E948" s="10"/>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9"/>
      <c r="E949" s="10"/>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9"/>
      <c r="E950" s="10"/>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9"/>
      <c r="E951" s="10"/>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9"/>
      <c r="E952" s="10"/>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9"/>
      <c r="E953" s="10"/>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9"/>
      <c r="E954" s="10"/>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9"/>
      <c r="E955" s="10"/>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9"/>
      <c r="E956" s="10"/>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9"/>
      <c r="E957" s="10"/>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9"/>
      <c r="E958" s="10"/>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9"/>
      <c r="E959" s="10"/>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9"/>
      <c r="E960" s="10"/>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9"/>
      <c r="E961" s="10"/>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9"/>
      <c r="E962" s="10"/>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9"/>
      <c r="E963" s="10"/>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9"/>
      <c r="E964" s="10"/>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9"/>
      <c r="E965" s="10"/>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9"/>
      <c r="E966" s="10"/>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9"/>
      <c r="E967" s="10"/>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9"/>
      <c r="E968" s="10"/>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9"/>
      <c r="E969" s="10"/>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9"/>
      <c r="E970" s="10"/>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9"/>
      <c r="E971" s="10"/>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9"/>
      <c r="E972" s="10"/>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9"/>
      <c r="E973" s="10"/>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9"/>
      <c r="E974" s="10"/>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9"/>
      <c r="E975" s="10"/>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9"/>
      <c r="E976" s="10"/>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9"/>
      <c r="E977" s="10"/>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9"/>
      <c r="E978" s="10"/>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9"/>
      <c r="E979" s="10"/>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9"/>
      <c r="E980" s="10"/>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9"/>
      <c r="E981" s="10"/>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9"/>
      <c r="E982" s="10"/>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9"/>
      <c r="E983" s="10"/>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9"/>
      <c r="E984" s="10"/>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9"/>
      <c r="E985" s="10"/>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9"/>
      <c r="E986" s="10"/>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9"/>
      <c r="E987" s="10"/>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9"/>
      <c r="E988" s="10"/>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9"/>
      <c r="E989" s="10"/>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9"/>
      <c r="E990" s="10"/>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9"/>
      <c r="E991" s="10"/>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9"/>
      <c r="E992" s="10"/>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9"/>
      <c r="E993" s="10"/>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9"/>
      <c r="E994" s="10"/>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9"/>
      <c r="E995" s="10"/>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9"/>
      <c r="E996" s="10"/>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9"/>
      <c r="E997" s="10"/>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9"/>
      <c r="E998" s="10"/>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9"/>
      <c r="E999" s="10"/>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9"/>
      <c r="E1000" s="10"/>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F26:G26"/>
    <mergeCell ref="F27:G27"/>
    <mergeCell ref="B28:C28"/>
    <mergeCell ref="F28:G28"/>
    <mergeCell ref="F29:G29"/>
    <mergeCell ref="F30:G30"/>
    <mergeCell ref="F31:G31"/>
    <mergeCell ref="F33:G33"/>
    <mergeCell ref="B2:U2"/>
    <mergeCell ref="B3:U3"/>
    <mergeCell ref="B6:C6"/>
    <mergeCell ref="L6:P6"/>
    <mergeCell ref="L7:L68"/>
    <mergeCell ref="M7:P68"/>
    <mergeCell ref="F25:G25"/>
    <mergeCell ref="F35:G35"/>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71.33"/>
    <col customWidth="1" min="3" max="3" width="38.11"/>
    <col customWidth="1" min="4" max="4" width="24.11"/>
    <col customWidth="1" min="5" max="5" width="73.11"/>
    <col customWidth="1" min="6" max="6" width="24.0"/>
    <col customWidth="1" min="7" max="7" width="18.33"/>
    <col customWidth="1" min="8" max="26" width="11.0"/>
  </cols>
  <sheetData>
    <row r="1" ht="30.0" customHeight="1">
      <c r="A1" s="1"/>
      <c r="B1" s="12" t="s">
        <v>3126</v>
      </c>
      <c r="C1" s="13"/>
      <c r="D1" s="13"/>
      <c r="E1" s="13"/>
      <c r="F1" s="13"/>
      <c r="G1" s="13"/>
      <c r="H1" s="13"/>
      <c r="I1" s="13"/>
      <c r="J1" s="14"/>
      <c r="K1" s="1"/>
      <c r="L1" s="1"/>
      <c r="M1" s="1"/>
      <c r="N1" s="1"/>
      <c r="O1" s="1"/>
      <c r="P1" s="1"/>
      <c r="Q1" s="1"/>
      <c r="R1" s="1"/>
      <c r="S1" s="1"/>
      <c r="T1" s="1"/>
      <c r="U1" s="1"/>
      <c r="V1" s="1"/>
      <c r="W1" s="1"/>
      <c r="X1" s="1"/>
      <c r="Y1" s="1"/>
      <c r="Z1" s="1"/>
    </row>
    <row r="2" ht="19.5" customHeight="1">
      <c r="A2" s="11"/>
      <c r="B2" s="103" t="s">
        <v>199</v>
      </c>
      <c r="C2" s="13"/>
      <c r="D2" s="13"/>
      <c r="E2" s="13"/>
      <c r="F2" s="13"/>
      <c r="G2" s="13"/>
      <c r="H2" s="13"/>
      <c r="I2" s="13"/>
      <c r="J2" s="14"/>
      <c r="K2" s="1"/>
      <c r="L2" s="11"/>
      <c r="M2" s="11"/>
      <c r="N2" s="11"/>
      <c r="O2" s="11"/>
      <c r="P2" s="11"/>
      <c r="Q2" s="11"/>
      <c r="R2" s="11"/>
      <c r="S2" s="11"/>
      <c r="T2" s="11"/>
      <c r="U2" s="11"/>
      <c r="V2" s="11"/>
      <c r="W2" s="11"/>
      <c r="X2" s="11"/>
      <c r="Y2" s="11"/>
      <c r="Z2" s="11"/>
    </row>
    <row r="3" ht="19.5" customHeight="1">
      <c r="A3" s="1"/>
      <c r="B3" s="49" t="s">
        <v>3127</v>
      </c>
      <c r="C3" s="49" t="s">
        <v>200</v>
      </c>
      <c r="D3" s="49" t="s">
        <v>3128</v>
      </c>
      <c r="E3" s="49" t="s">
        <v>3129</v>
      </c>
      <c r="F3" s="49" t="s">
        <v>475</v>
      </c>
      <c r="G3" s="49" t="s">
        <v>476</v>
      </c>
      <c r="H3" s="43" t="s">
        <v>5</v>
      </c>
      <c r="I3" s="13"/>
      <c r="J3" s="14"/>
      <c r="K3" s="1"/>
      <c r="L3" s="1"/>
      <c r="M3" s="1"/>
      <c r="N3" s="1"/>
      <c r="O3" s="1"/>
      <c r="P3" s="1"/>
      <c r="Q3" s="1"/>
      <c r="R3" s="1"/>
      <c r="S3" s="1"/>
      <c r="T3" s="1"/>
      <c r="U3" s="1"/>
      <c r="V3" s="1"/>
      <c r="W3" s="1"/>
      <c r="X3" s="1"/>
      <c r="Y3" s="1"/>
      <c r="Z3" s="1"/>
    </row>
    <row r="4" ht="19.5" customHeight="1">
      <c r="A4" s="41"/>
      <c r="B4" s="85" t="s">
        <v>1726</v>
      </c>
      <c r="C4" s="196" t="s">
        <v>2326</v>
      </c>
      <c r="D4" s="163" t="str">
        <f>CONCATENATE(this_instance,"-m01-vrms01")</f>
        <v>lax-m01-vrms01</v>
      </c>
      <c r="E4" s="18"/>
      <c r="F4" s="41"/>
      <c r="G4" s="41"/>
      <c r="H4" s="41"/>
      <c r="I4" s="41"/>
      <c r="J4" s="41"/>
      <c r="K4" s="41"/>
      <c r="L4" s="41"/>
      <c r="M4" s="41"/>
      <c r="N4" s="41"/>
      <c r="O4" s="41"/>
      <c r="P4" s="41"/>
      <c r="Q4" s="41"/>
      <c r="R4" s="41"/>
      <c r="S4" s="41"/>
      <c r="T4" s="41"/>
      <c r="U4" s="41"/>
      <c r="V4" s="41"/>
      <c r="W4" s="41"/>
      <c r="X4" s="41"/>
      <c r="Y4" s="41"/>
      <c r="Z4" s="41"/>
    </row>
    <row r="5" ht="19.5" customHeight="1">
      <c r="A5" s="1"/>
      <c r="B5" s="85"/>
      <c r="C5" s="196" t="s">
        <v>478</v>
      </c>
      <c r="D5" s="163" t="s">
        <v>478</v>
      </c>
      <c r="E5" s="361" t="s">
        <v>478</v>
      </c>
      <c r="F5" s="163" t="str">
        <f>CONCATENATE(prefix_mgmt_az1_cidr,"16.125")</f>
        <v>10.21.16.125</v>
      </c>
      <c r="G5" s="18"/>
      <c r="H5" s="97" t="s">
        <v>3130</v>
      </c>
      <c r="I5" s="13"/>
      <c r="J5" s="14"/>
      <c r="K5" s="1"/>
      <c r="L5" s="1"/>
      <c r="M5" s="1"/>
      <c r="N5" s="1"/>
      <c r="O5" s="1"/>
      <c r="P5" s="1"/>
      <c r="Q5" s="1"/>
      <c r="R5" s="1"/>
      <c r="S5" s="1"/>
      <c r="T5" s="1"/>
      <c r="U5" s="1"/>
      <c r="V5" s="1"/>
      <c r="W5" s="1"/>
      <c r="X5" s="1"/>
      <c r="Y5" s="1"/>
      <c r="Z5" s="1"/>
    </row>
    <row r="6" ht="19.5" customHeight="1">
      <c r="A6" s="1"/>
      <c r="B6" s="85" t="s">
        <v>2523</v>
      </c>
      <c r="C6" s="196" t="s">
        <v>2326</v>
      </c>
      <c r="D6" s="1"/>
      <c r="E6" s="1"/>
      <c r="F6" s="163" t="str">
        <f>IF(mgmt_dpg_reuse_result="Included",CONCATENATE(prefix_mgmt_az1_cidr,"10.126"),CONCATENATE(prefix_mgmt_az1_cidr,"11.126"))</f>
        <v>10.21.10.126</v>
      </c>
      <c r="G6" s="18"/>
      <c r="H6" s="97" t="s">
        <v>3131</v>
      </c>
      <c r="I6" s="13"/>
      <c r="J6" s="14"/>
      <c r="K6" s="1"/>
      <c r="L6" s="1"/>
      <c r="M6" s="1"/>
      <c r="N6" s="1"/>
      <c r="O6" s="1"/>
      <c r="P6" s="1"/>
      <c r="Q6" s="1"/>
      <c r="R6" s="1"/>
      <c r="S6" s="1"/>
      <c r="T6" s="1"/>
      <c r="U6" s="1"/>
      <c r="V6" s="1"/>
      <c r="W6" s="1"/>
      <c r="X6" s="1"/>
      <c r="Y6" s="1"/>
      <c r="Z6" s="1"/>
    </row>
    <row r="7" ht="19.5" customHeight="1">
      <c r="A7" s="1"/>
      <c r="B7" s="85" t="s">
        <v>3132</v>
      </c>
      <c r="C7" s="196"/>
      <c r="D7" s="163" t="s">
        <v>478</v>
      </c>
      <c r="E7" s="361" t="s">
        <v>478</v>
      </c>
      <c r="F7" s="163" t="str">
        <f>IF(mgmt_vns_chosen="VLAN-Backed",CONCATENATE(prefix_mgmt_az1_cidr,"99.3"),CONCATENATE(prefix_xreg_cidr,".3"))</f>
        <v>192.168.12.3</v>
      </c>
      <c r="G7" s="18"/>
      <c r="H7" s="97"/>
      <c r="I7" s="13"/>
      <c r="J7" s="14"/>
      <c r="K7" s="1"/>
      <c r="L7" s="1"/>
      <c r="M7" s="1"/>
      <c r="N7" s="1"/>
      <c r="O7" s="1"/>
      <c r="P7" s="1"/>
      <c r="Q7" s="84" t="s">
        <v>501</v>
      </c>
      <c r="R7" s="196" t="s">
        <v>502</v>
      </c>
      <c r="S7" s="18"/>
      <c r="T7" s="18"/>
      <c r="U7" s="1"/>
      <c r="V7" s="1"/>
      <c r="W7" s="1"/>
      <c r="X7" s="1"/>
      <c r="Y7" s="1"/>
      <c r="Z7" s="1"/>
    </row>
    <row r="8" ht="19.5" customHeight="1">
      <c r="A8" s="1"/>
      <c r="B8" s="103" t="s">
        <v>2042</v>
      </c>
      <c r="C8" s="13"/>
      <c r="D8" s="13"/>
      <c r="E8" s="13"/>
      <c r="F8" s="13"/>
      <c r="G8" s="13"/>
      <c r="H8" s="13"/>
      <c r="I8" s="13"/>
      <c r="J8" s="14"/>
      <c r="K8" s="1"/>
      <c r="L8" s="1"/>
      <c r="M8" s="1"/>
      <c r="N8" s="1"/>
      <c r="O8" s="1"/>
      <c r="P8" s="1"/>
      <c r="Q8" s="1"/>
      <c r="R8" s="1"/>
      <c r="S8" s="1"/>
      <c r="T8" s="1"/>
      <c r="U8" s="1"/>
      <c r="V8" s="1"/>
      <c r="W8" s="1"/>
      <c r="X8" s="1"/>
      <c r="Y8" s="1"/>
      <c r="Z8" s="1"/>
    </row>
    <row r="9" ht="19.5" customHeight="1">
      <c r="A9" s="1"/>
      <c r="B9" s="49" t="s">
        <v>3127</v>
      </c>
      <c r="C9" s="49" t="s">
        <v>200</v>
      </c>
      <c r="D9" s="49" t="s">
        <v>3128</v>
      </c>
      <c r="E9" s="49" t="s">
        <v>3129</v>
      </c>
      <c r="F9" s="49" t="s">
        <v>475</v>
      </c>
      <c r="G9" s="49" t="s">
        <v>476</v>
      </c>
      <c r="H9" s="43" t="s">
        <v>5</v>
      </c>
      <c r="I9" s="13"/>
      <c r="J9" s="14"/>
      <c r="K9" s="1"/>
      <c r="L9" s="1"/>
      <c r="M9" s="1"/>
      <c r="N9" s="1"/>
      <c r="O9" s="1"/>
      <c r="P9" s="1"/>
      <c r="Q9" s="1"/>
      <c r="R9" s="1"/>
      <c r="S9" s="1"/>
      <c r="T9" s="1"/>
      <c r="U9" s="1"/>
      <c r="V9" s="1"/>
      <c r="W9" s="1"/>
      <c r="X9" s="1"/>
      <c r="Y9" s="1"/>
      <c r="Z9" s="1"/>
    </row>
    <row r="10" ht="19.5" customHeight="1">
      <c r="A10" s="1"/>
      <c r="B10" s="85" t="s">
        <v>1726</v>
      </c>
      <c r="C10" s="196" t="s">
        <v>2326</v>
      </c>
      <c r="D10" s="163" t="str">
        <f>CONCATENATE(this_instance,"-w0",wld_domain_number_chosen,"-vrms01")</f>
        <v>lax-w01-vrms01</v>
      </c>
      <c r="E10" s="18"/>
      <c r="F10" s="163" t="str">
        <f>IF(mgmt_dpg_reuse_result="Included",CONCATENATE(prefix_wld_az1_cidr,"10.125"),CONCATENATE(prefix_wld_az1_cidr,"11.125"))</f>
        <v>10.23.10.125</v>
      </c>
      <c r="G10" s="18"/>
      <c r="H10" s="97" t="s">
        <v>3133</v>
      </c>
      <c r="I10" s="13"/>
      <c r="J10" s="14"/>
      <c r="K10" s="1"/>
      <c r="L10" s="1"/>
      <c r="M10" s="1"/>
      <c r="N10" s="1"/>
      <c r="O10" s="1"/>
      <c r="P10" s="1"/>
      <c r="Q10" s="1"/>
      <c r="R10" s="1"/>
      <c r="S10" s="1"/>
      <c r="T10" s="1"/>
      <c r="U10" s="1"/>
      <c r="V10" s="1"/>
      <c r="W10" s="1"/>
      <c r="X10" s="1"/>
      <c r="Y10" s="1"/>
      <c r="Z10" s="1"/>
    </row>
    <row r="11" ht="15.75" customHeight="1">
      <c r="A11" s="1"/>
      <c r="B11" s="85"/>
      <c r="C11" s="196" t="s">
        <v>478</v>
      </c>
      <c r="D11" s="163" t="s">
        <v>478</v>
      </c>
      <c r="E11" s="361" t="s">
        <v>478</v>
      </c>
      <c r="F11" s="163" t="str">
        <f>CONCATENATE(prefix_wld_az1_cidr,"16.125")</f>
        <v>10.23.16.125</v>
      </c>
      <c r="G11" s="18"/>
      <c r="H11" s="97" t="s">
        <v>3134</v>
      </c>
      <c r="I11" s="13"/>
      <c r="J11" s="14"/>
      <c r="K11" s="1"/>
      <c r="L11" s="1"/>
      <c r="M11" s="1"/>
      <c r="N11" s="1"/>
      <c r="O11" s="1"/>
      <c r="P11" s="1"/>
      <c r="Q11" s="1"/>
      <c r="R11" s="1"/>
      <c r="S11" s="1"/>
      <c r="T11" s="1"/>
      <c r="U11" s="1"/>
      <c r="V11" s="1"/>
      <c r="W11" s="1"/>
      <c r="X11" s="1"/>
      <c r="Y11" s="1"/>
      <c r="Z11" s="1"/>
    </row>
    <row r="12" ht="30.0" customHeight="1">
      <c r="A12" s="41"/>
      <c r="B12" s="85" t="s">
        <v>2523</v>
      </c>
      <c r="C12" s="196" t="s">
        <v>2326</v>
      </c>
      <c r="D12" s="163" t="str">
        <f>CONCATENATE(this_instance,"-w0",wld_domain_number_chosen,"-srm01")</f>
        <v>lax-w01-srm01</v>
      </c>
      <c r="E12" s="18"/>
      <c r="F12" s="163" t="str">
        <f>IF(mgmt_dpg_reuse_result="Included",CONCATENATE(prefix_mgmt_az1_cidr,"10.",(127 + (30*(wld_domain_number_chosen - 1)))),CONCATENATE(prefix_mgmt_az1_cidr,"11.",(127 + (30*(wld_domain_number_chosen - 1)))))</f>
        <v>10.21.10.127</v>
      </c>
      <c r="G12" s="18"/>
      <c r="H12" s="97" t="s">
        <v>3135</v>
      </c>
      <c r="I12" s="13"/>
      <c r="J12" s="14"/>
      <c r="K12" s="41"/>
      <c r="L12" s="41"/>
      <c r="M12" s="41"/>
      <c r="N12" s="41"/>
      <c r="O12" s="41"/>
      <c r="P12" s="41"/>
      <c r="Q12" s="41"/>
      <c r="R12" s="41"/>
      <c r="S12" s="41"/>
      <c r="T12" s="41"/>
      <c r="U12" s="41"/>
      <c r="V12" s="41"/>
      <c r="W12" s="41"/>
      <c r="X12" s="41"/>
      <c r="Y12" s="41"/>
      <c r="Z12" s="41"/>
    </row>
    <row r="13" ht="30.0" customHeight="1">
      <c r="A13" s="41"/>
      <c r="B13" s="1"/>
      <c r="C13" s="1"/>
      <c r="D13" s="1"/>
      <c r="E13" s="1"/>
      <c r="F13" s="1"/>
      <c r="G13" s="1"/>
      <c r="H13" s="1"/>
      <c r="I13" s="1"/>
      <c r="J13" s="1"/>
      <c r="K13" s="1"/>
      <c r="L13" s="1"/>
      <c r="M13" s="41"/>
      <c r="N13" s="41"/>
      <c r="O13" s="41"/>
      <c r="P13" s="41"/>
      <c r="Q13" s="41"/>
      <c r="R13" s="41"/>
      <c r="S13" s="41"/>
      <c r="T13" s="41"/>
      <c r="U13" s="41"/>
      <c r="V13" s="41"/>
      <c r="W13" s="41"/>
      <c r="X13" s="41"/>
      <c r="Y13" s="41"/>
      <c r="Z13" s="41"/>
    </row>
    <row r="14" ht="19.5" customHeight="1">
      <c r="A14" s="1"/>
      <c r="B14" s="332" t="s">
        <v>3136</v>
      </c>
      <c r="C14" s="13"/>
      <c r="D14" s="13"/>
      <c r="E14" s="14"/>
      <c r="F14" s="1"/>
      <c r="G14" s="1"/>
      <c r="H14" s="1"/>
      <c r="I14" s="1"/>
      <c r="J14" s="1"/>
      <c r="K14" s="1"/>
      <c r="L14" s="1"/>
      <c r="M14" s="1"/>
      <c r="N14" s="1"/>
      <c r="O14" s="1"/>
      <c r="P14" s="1"/>
      <c r="Q14" s="1"/>
      <c r="R14" s="1"/>
      <c r="S14" s="1"/>
      <c r="T14" s="1"/>
      <c r="U14" s="1"/>
      <c r="V14" s="1"/>
      <c r="W14" s="1"/>
      <c r="X14" s="1"/>
      <c r="Y14" s="1"/>
      <c r="Z14" s="1"/>
    </row>
    <row r="15" ht="19.5" customHeight="1">
      <c r="A15" s="11"/>
      <c r="B15" s="337" t="s">
        <v>256</v>
      </c>
      <c r="C15" s="337" t="s">
        <v>722</v>
      </c>
      <c r="D15" s="338" t="s">
        <v>274</v>
      </c>
      <c r="E15" s="337" t="s">
        <v>5</v>
      </c>
      <c r="F15" s="1"/>
      <c r="G15" s="1"/>
      <c r="H15" s="1"/>
      <c r="I15" s="1"/>
      <c r="J15" s="1"/>
      <c r="K15" s="1"/>
      <c r="L15" s="1"/>
      <c r="M15" s="1"/>
      <c r="N15" s="1"/>
      <c r="O15" s="1"/>
      <c r="P15" s="1"/>
      <c r="Q15" s="1"/>
      <c r="R15" s="1"/>
      <c r="S15" s="1"/>
      <c r="T15" s="1"/>
      <c r="U15" s="1"/>
      <c r="V15" s="1"/>
      <c r="W15" s="1"/>
      <c r="X15" s="1"/>
      <c r="Y15" s="1"/>
      <c r="Z15" s="1"/>
    </row>
    <row r="16" ht="19.5" customHeight="1">
      <c r="A16" s="1"/>
      <c r="B16" s="362" t="s">
        <v>3137</v>
      </c>
      <c r="C16" s="13"/>
      <c r="D16" s="13"/>
      <c r="E16" s="14"/>
      <c r="F16" s="1"/>
      <c r="G16" s="1"/>
      <c r="H16" s="1"/>
      <c r="I16" s="1"/>
      <c r="J16" s="1"/>
      <c r="K16" s="1"/>
      <c r="L16" s="1"/>
      <c r="M16" s="1"/>
      <c r="N16" s="1"/>
      <c r="O16" s="1"/>
      <c r="P16" s="1"/>
      <c r="Q16" s="1"/>
      <c r="R16" s="1"/>
      <c r="S16" s="1"/>
      <c r="T16" s="1"/>
      <c r="U16" s="1"/>
      <c r="V16" s="1"/>
      <c r="W16" s="1"/>
      <c r="X16" s="1"/>
      <c r="Y16" s="1"/>
      <c r="Z16" s="1"/>
    </row>
    <row r="17" ht="19.5" customHeight="1">
      <c r="A17" s="41"/>
      <c r="B17" s="84" t="s">
        <v>2267</v>
      </c>
      <c r="C17" s="363" t="str">
        <f>CONCATENATE(other_instance,"-vcf01.",other_instance,".",sample_parent_dns_zone)</f>
        <v>sfo-vcf01.sfo.rainpole.io</v>
      </c>
      <c r="D17" s="18"/>
      <c r="E17" s="18"/>
      <c r="F17" s="41"/>
      <c r="G17" s="41"/>
      <c r="H17" s="41"/>
      <c r="I17" s="41"/>
      <c r="J17" s="1"/>
      <c r="K17" s="1"/>
      <c r="L17" s="1"/>
      <c r="M17" s="1"/>
      <c r="N17" s="1"/>
      <c r="O17" s="1"/>
      <c r="P17" s="1"/>
      <c r="Q17" s="1"/>
      <c r="R17" s="1"/>
      <c r="S17" s="1"/>
      <c r="T17" s="1"/>
      <c r="U17" s="1"/>
      <c r="V17" s="1"/>
      <c r="W17" s="1"/>
      <c r="X17" s="1"/>
      <c r="Y17" s="1"/>
      <c r="Z17" s="1"/>
    </row>
    <row r="18" ht="19.5" customHeight="1">
      <c r="A18" s="1"/>
      <c r="B18" s="84" t="s">
        <v>2272</v>
      </c>
      <c r="C18" s="196" t="s">
        <v>359</v>
      </c>
      <c r="D18" s="18"/>
      <c r="E18" s="18"/>
      <c r="F18" s="1"/>
      <c r="G18" s="1"/>
      <c r="H18" s="1"/>
      <c r="I18" s="1"/>
      <c r="J18" s="1"/>
      <c r="K18" s="1"/>
      <c r="L18" s="1"/>
      <c r="M18" s="1"/>
      <c r="N18" s="1"/>
      <c r="O18" s="1"/>
      <c r="P18" s="1"/>
      <c r="Q18" s="1"/>
      <c r="R18" s="1"/>
      <c r="S18" s="1"/>
      <c r="T18" s="1"/>
      <c r="U18" s="1"/>
      <c r="V18" s="1"/>
      <c r="W18" s="1"/>
      <c r="X18" s="1"/>
      <c r="Y18" s="1"/>
      <c r="Z18" s="1"/>
    </row>
    <row r="19" ht="19.5" customHeight="1">
      <c r="A19" s="1"/>
      <c r="B19" s="84" t="s">
        <v>2277</v>
      </c>
      <c r="C19" s="196" t="s">
        <v>382</v>
      </c>
      <c r="D19" s="18"/>
      <c r="E19" s="18"/>
      <c r="F19" s="1"/>
      <c r="G19" s="1"/>
      <c r="H19" s="1"/>
      <c r="I19" s="1"/>
      <c r="J19" s="1"/>
      <c r="K19" s="1"/>
      <c r="L19" s="1"/>
      <c r="M19" s="1"/>
      <c r="N19" s="1"/>
      <c r="O19" s="1"/>
      <c r="P19" s="1"/>
      <c r="Q19" s="1"/>
      <c r="R19" s="1"/>
      <c r="S19" s="1"/>
      <c r="T19" s="1"/>
      <c r="U19" s="1"/>
      <c r="V19" s="1"/>
      <c r="W19" s="1"/>
      <c r="X19" s="1"/>
      <c r="Y19" s="1"/>
      <c r="Z19" s="1"/>
    </row>
    <row r="20" ht="19.5" customHeight="1">
      <c r="A20" s="1"/>
      <c r="B20" s="84" t="s">
        <v>2289</v>
      </c>
      <c r="C20" s="1"/>
      <c r="D20" s="1"/>
      <c r="E20" s="18"/>
      <c r="F20" s="1"/>
      <c r="G20" s="1"/>
      <c r="H20" s="1"/>
      <c r="I20" s="1"/>
      <c r="J20" s="1"/>
      <c r="K20" s="1"/>
      <c r="L20" s="1"/>
      <c r="M20" s="1"/>
      <c r="N20" s="1"/>
      <c r="O20" s="1"/>
      <c r="P20" s="1"/>
      <c r="Q20" s="1"/>
      <c r="R20" s="1"/>
      <c r="S20" s="1"/>
      <c r="T20" s="1"/>
      <c r="U20" s="1"/>
      <c r="V20" s="1"/>
      <c r="W20" s="1"/>
      <c r="X20" s="1"/>
      <c r="Y20" s="1"/>
      <c r="Z20" s="1"/>
    </row>
    <row r="21" ht="19.5" customHeight="1">
      <c r="A21" s="1"/>
      <c r="B21" s="84" t="s">
        <v>2293</v>
      </c>
      <c r="C21" s="41"/>
      <c r="D21" s="41"/>
      <c r="E21" s="18"/>
      <c r="F21" s="1"/>
      <c r="G21" s="1"/>
      <c r="H21" s="1"/>
      <c r="I21" s="1"/>
      <c r="J21" s="41"/>
      <c r="K21" s="41"/>
      <c r="L21" s="41"/>
      <c r="M21" s="41"/>
      <c r="N21" s="41"/>
      <c r="O21" s="41"/>
      <c r="P21" s="41"/>
      <c r="Q21" s="41"/>
      <c r="R21" s="41"/>
      <c r="S21" s="41"/>
      <c r="T21" s="41"/>
      <c r="U21" s="41"/>
      <c r="V21" s="41"/>
      <c r="W21" s="41"/>
      <c r="X21" s="41"/>
      <c r="Y21" s="41"/>
      <c r="Z21" s="41"/>
    </row>
    <row r="22" ht="19.5" customHeight="1">
      <c r="A22" s="1"/>
      <c r="B22" s="84" t="s">
        <v>2298</v>
      </c>
      <c r="C22" s="1"/>
      <c r="D22" s="1"/>
      <c r="E22" s="18"/>
      <c r="F22" s="1"/>
      <c r="G22" s="1"/>
      <c r="H22" s="1"/>
      <c r="I22" s="1"/>
      <c r="J22" s="1"/>
      <c r="K22" s="1"/>
      <c r="L22" s="1"/>
      <c r="M22" s="1"/>
      <c r="N22" s="1"/>
      <c r="O22" s="1"/>
      <c r="P22" s="1"/>
      <c r="Q22" s="1"/>
      <c r="R22" s="1"/>
      <c r="S22" s="1"/>
      <c r="T22" s="1"/>
      <c r="U22" s="1"/>
      <c r="V22" s="1"/>
      <c r="W22" s="1"/>
      <c r="X22" s="1"/>
      <c r="Y22" s="1"/>
      <c r="Z22" s="1"/>
    </row>
    <row r="23" ht="19.5" customHeight="1">
      <c r="A23" s="1"/>
      <c r="B23" s="84" t="s">
        <v>2300</v>
      </c>
      <c r="C23" s="1"/>
      <c r="D23" s="1"/>
      <c r="E23" s="18"/>
      <c r="F23" s="1"/>
      <c r="G23" s="1"/>
      <c r="H23" s="1"/>
      <c r="I23" s="1"/>
      <c r="J23" s="1"/>
      <c r="K23" s="1"/>
      <c r="L23" s="1"/>
      <c r="M23" s="1"/>
      <c r="N23" s="1"/>
      <c r="O23" s="1"/>
      <c r="P23" s="1"/>
      <c r="Q23" s="1"/>
      <c r="R23" s="1"/>
      <c r="S23" s="1"/>
      <c r="T23" s="1"/>
      <c r="U23" s="1"/>
      <c r="V23" s="1"/>
      <c r="W23" s="1"/>
      <c r="X23" s="1"/>
      <c r="Y23" s="1"/>
      <c r="Z23" s="1"/>
    </row>
    <row r="24" ht="19.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9.5" customHeight="1">
      <c r="A25" s="41"/>
      <c r="B25" s="332" t="s">
        <v>3138</v>
      </c>
      <c r="C25" s="13"/>
      <c r="D25" s="13"/>
      <c r="E25" s="14"/>
      <c r="F25" s="41"/>
      <c r="G25" s="41"/>
      <c r="H25" s="41"/>
      <c r="I25" s="41"/>
      <c r="J25" s="1"/>
      <c r="K25" s="1"/>
      <c r="L25" s="1"/>
      <c r="M25" s="1"/>
      <c r="N25" s="1"/>
      <c r="O25" s="1"/>
      <c r="P25" s="1"/>
      <c r="Q25" s="1"/>
      <c r="R25" s="1"/>
      <c r="S25" s="1"/>
      <c r="T25" s="1"/>
      <c r="U25" s="1"/>
      <c r="V25" s="1"/>
      <c r="W25" s="1"/>
      <c r="X25" s="1"/>
      <c r="Y25" s="1"/>
      <c r="Z25" s="1"/>
    </row>
    <row r="26" ht="19.5" customHeight="1">
      <c r="A26" s="1"/>
      <c r="B26" s="337" t="s">
        <v>256</v>
      </c>
      <c r="C26" s="337" t="s">
        <v>722</v>
      </c>
      <c r="D26" s="338" t="s">
        <v>274</v>
      </c>
      <c r="E26" s="337" t="s">
        <v>5</v>
      </c>
      <c r="F26" s="1"/>
      <c r="G26" s="1"/>
      <c r="H26" s="1"/>
      <c r="I26" s="1"/>
      <c r="J26" s="1"/>
      <c r="K26" s="1"/>
      <c r="L26" s="1"/>
      <c r="M26" s="1"/>
      <c r="N26" s="1"/>
      <c r="O26" s="1"/>
      <c r="P26" s="1"/>
      <c r="Q26" s="1"/>
      <c r="R26" s="1"/>
      <c r="S26" s="1"/>
      <c r="T26" s="1"/>
      <c r="U26" s="1"/>
      <c r="V26" s="1"/>
      <c r="W26" s="1"/>
      <c r="X26" s="1"/>
      <c r="Y26" s="1"/>
      <c r="Z26" s="1"/>
    </row>
    <row r="27" ht="19.5" customHeight="1">
      <c r="A27" s="1"/>
      <c r="B27" s="362" t="s">
        <v>3139</v>
      </c>
      <c r="C27" s="13"/>
      <c r="D27" s="13"/>
      <c r="E27" s="14"/>
      <c r="F27" s="1"/>
      <c r="G27" s="1"/>
      <c r="H27" s="1"/>
      <c r="I27" s="1"/>
      <c r="J27" s="1"/>
      <c r="K27" s="1"/>
      <c r="L27" s="1"/>
      <c r="M27" s="1"/>
      <c r="N27" s="1"/>
      <c r="O27" s="1"/>
      <c r="P27" s="1"/>
      <c r="Q27" s="1"/>
      <c r="R27" s="1"/>
      <c r="S27" s="1"/>
      <c r="T27" s="1"/>
      <c r="U27" s="1"/>
      <c r="V27" s="1"/>
      <c r="W27" s="1"/>
      <c r="X27" s="1"/>
      <c r="Y27" s="1"/>
      <c r="Z27" s="1"/>
    </row>
    <row r="28" ht="19.5" customHeight="1">
      <c r="A28" s="1"/>
      <c r="B28" s="84" t="s">
        <v>3140</v>
      </c>
      <c r="C28" s="196" t="str">
        <f>CONCATENATE(this_instance,"-m01-fd-vrms")</f>
        <v>lax-m01-fd-vrms</v>
      </c>
      <c r="D28" s="18"/>
      <c r="E28" s="18"/>
      <c r="F28" s="1"/>
      <c r="G28" s="1"/>
      <c r="H28" s="1"/>
      <c r="I28" s="1"/>
      <c r="J28" s="1"/>
      <c r="K28" s="1"/>
      <c r="L28" s="1"/>
      <c r="M28" s="1"/>
      <c r="N28" s="1"/>
      <c r="O28" s="1"/>
      <c r="P28" s="1"/>
      <c r="Q28" s="1"/>
      <c r="R28" s="1"/>
      <c r="S28" s="1"/>
      <c r="T28" s="1"/>
      <c r="U28" s="1"/>
      <c r="V28" s="1"/>
      <c r="W28" s="1"/>
      <c r="X28" s="1"/>
      <c r="Y28" s="1"/>
      <c r="Z28" s="1"/>
    </row>
    <row r="29" ht="19.5" customHeight="1">
      <c r="A29" s="1"/>
      <c r="B29" s="84" t="s">
        <v>3141</v>
      </c>
      <c r="C29" s="196" t="s">
        <v>382</v>
      </c>
      <c r="D29" s="18"/>
      <c r="E29" s="18"/>
      <c r="F29" s="1"/>
      <c r="G29" s="1"/>
      <c r="H29" s="1"/>
      <c r="I29" s="1"/>
      <c r="J29" s="1"/>
      <c r="K29" s="1"/>
      <c r="L29" s="1"/>
      <c r="M29" s="1"/>
      <c r="N29" s="1"/>
      <c r="O29" s="1"/>
      <c r="P29" s="1"/>
      <c r="Q29" s="1"/>
      <c r="R29" s="1"/>
      <c r="S29" s="1"/>
      <c r="T29" s="1"/>
      <c r="U29" s="1"/>
      <c r="V29" s="1"/>
      <c r="W29" s="1"/>
      <c r="X29" s="1"/>
      <c r="Y29" s="1"/>
      <c r="Z29" s="1"/>
    </row>
    <row r="30" ht="19.5" customHeight="1">
      <c r="A30" s="1"/>
      <c r="B30" s="84" t="s">
        <v>3142</v>
      </c>
      <c r="C30" s="196" t="s">
        <v>382</v>
      </c>
      <c r="D30" s="18"/>
      <c r="E30" s="18"/>
      <c r="F30" s="1"/>
      <c r="G30" s="1"/>
      <c r="H30" s="1"/>
      <c r="I30" s="1"/>
      <c r="J30" s="1"/>
      <c r="K30" s="1"/>
      <c r="L30" s="1"/>
      <c r="M30" s="1"/>
      <c r="N30" s="1"/>
      <c r="O30" s="1"/>
      <c r="P30" s="1"/>
      <c r="Q30" s="1"/>
      <c r="R30" s="1"/>
      <c r="S30" s="1"/>
      <c r="T30" s="1"/>
      <c r="U30" s="1"/>
      <c r="V30" s="1"/>
      <c r="W30" s="1"/>
      <c r="X30" s="1"/>
      <c r="Y30" s="1"/>
      <c r="Z30" s="1"/>
    </row>
    <row r="31" ht="19.5" customHeight="1">
      <c r="A31" s="1"/>
      <c r="B31" s="84" t="s">
        <v>3143</v>
      </c>
      <c r="C31" s="1"/>
      <c r="D31" s="1"/>
      <c r="E31" s="18"/>
      <c r="F31" s="1"/>
      <c r="G31" s="1"/>
      <c r="H31" s="1"/>
      <c r="I31" s="1"/>
      <c r="J31" s="1"/>
      <c r="K31" s="1"/>
      <c r="L31" s="1"/>
      <c r="M31" s="1"/>
      <c r="N31" s="1"/>
      <c r="O31" s="1"/>
      <c r="P31" s="1"/>
      <c r="Q31" s="1"/>
      <c r="R31" s="1"/>
      <c r="S31" s="1"/>
      <c r="T31" s="1"/>
      <c r="U31" s="1"/>
      <c r="V31" s="1"/>
      <c r="W31" s="1"/>
      <c r="X31" s="1"/>
      <c r="Y31" s="1"/>
      <c r="Z31" s="1"/>
    </row>
    <row r="32" ht="19.5" customHeight="1">
      <c r="A32" s="1"/>
      <c r="B32" s="84" t="s">
        <v>3144</v>
      </c>
      <c r="C32" s="1"/>
      <c r="D32" s="1"/>
      <c r="E32" s="18"/>
      <c r="F32" s="1"/>
      <c r="G32" s="1"/>
      <c r="H32" s="1"/>
      <c r="I32" s="1"/>
      <c r="J32" s="1"/>
      <c r="K32" s="1"/>
      <c r="L32" s="1"/>
      <c r="M32" s="1"/>
      <c r="N32" s="1"/>
      <c r="O32" s="1"/>
      <c r="P32" s="1"/>
      <c r="Q32" s="1"/>
      <c r="R32" s="1"/>
      <c r="S32" s="1"/>
      <c r="T32" s="1"/>
      <c r="U32" s="1"/>
      <c r="V32" s="1"/>
      <c r="W32" s="1"/>
      <c r="X32" s="1"/>
      <c r="Y32" s="1"/>
      <c r="Z32" s="1"/>
    </row>
    <row r="33" ht="19.5" customHeight="1">
      <c r="A33" s="41"/>
      <c r="B33" s="84" t="s">
        <v>3145</v>
      </c>
      <c r="C33" s="1"/>
      <c r="D33" s="1"/>
      <c r="E33" s="18"/>
      <c r="F33" s="41"/>
      <c r="G33" s="41"/>
      <c r="H33" s="41"/>
      <c r="I33" s="41"/>
      <c r="J33" s="1"/>
      <c r="K33" s="1"/>
      <c r="L33" s="1"/>
      <c r="M33" s="1"/>
      <c r="N33" s="1"/>
      <c r="O33" s="1"/>
      <c r="P33" s="1"/>
      <c r="Q33" s="1"/>
      <c r="R33" s="1"/>
      <c r="S33" s="1"/>
      <c r="T33" s="1"/>
      <c r="U33" s="1"/>
      <c r="V33" s="1"/>
      <c r="W33" s="1"/>
      <c r="X33" s="1"/>
      <c r="Y33" s="1"/>
      <c r="Z33" s="1"/>
    </row>
    <row r="34" ht="19.5" customHeight="1">
      <c r="A34" s="1"/>
      <c r="B34" s="84" t="s">
        <v>3146</v>
      </c>
      <c r="C34" s="196" t="s">
        <v>382</v>
      </c>
      <c r="D34" s="18"/>
      <c r="E34" s="18"/>
      <c r="F34" s="1"/>
      <c r="G34" s="1"/>
      <c r="H34" s="1"/>
      <c r="I34" s="1"/>
      <c r="J34" s="1"/>
      <c r="K34" s="1"/>
      <c r="L34" s="1"/>
      <c r="M34" s="1"/>
      <c r="N34" s="1"/>
      <c r="O34" s="1"/>
      <c r="P34" s="1"/>
      <c r="Q34" s="1"/>
      <c r="R34" s="1"/>
      <c r="S34" s="1"/>
      <c r="T34" s="1"/>
      <c r="U34" s="1"/>
      <c r="V34" s="1"/>
      <c r="W34" s="1"/>
      <c r="X34" s="1"/>
      <c r="Y34" s="1"/>
      <c r="Z34" s="1"/>
    </row>
    <row r="35" ht="19.5" customHeight="1">
      <c r="A35" s="1"/>
      <c r="B35" s="362" t="s">
        <v>2523</v>
      </c>
      <c r="C35" s="13"/>
      <c r="D35" s="13"/>
      <c r="E35" s="14"/>
      <c r="F35" s="1"/>
      <c r="G35" s="1"/>
      <c r="H35" s="1"/>
      <c r="I35" s="1"/>
      <c r="J35" s="1"/>
      <c r="K35" s="1"/>
      <c r="L35" s="1"/>
      <c r="M35" s="1"/>
      <c r="N35" s="1"/>
      <c r="O35" s="1"/>
      <c r="P35" s="1"/>
      <c r="Q35" s="1"/>
      <c r="R35" s="1"/>
      <c r="S35" s="1"/>
      <c r="T35" s="1"/>
      <c r="U35" s="1"/>
      <c r="V35" s="1"/>
      <c r="W35" s="1"/>
      <c r="X35" s="1"/>
      <c r="Y35" s="1"/>
      <c r="Z35" s="1"/>
    </row>
    <row r="36" ht="19.5" customHeight="1">
      <c r="A36" s="1"/>
      <c r="B36" s="84" t="s">
        <v>3140</v>
      </c>
      <c r="C36" s="196" t="str">
        <f>CONCATENATE(this_instance,"-m01-fd-srm")</f>
        <v>lax-m01-fd-srm</v>
      </c>
      <c r="D36" s="18"/>
      <c r="E36" s="18"/>
      <c r="F36" s="1"/>
      <c r="G36" s="1"/>
      <c r="H36" s="1"/>
      <c r="I36" s="1"/>
      <c r="J36" s="1"/>
      <c r="K36" s="1"/>
      <c r="L36" s="1"/>
      <c r="M36" s="1"/>
      <c r="N36" s="1"/>
      <c r="O36" s="1"/>
      <c r="P36" s="1"/>
      <c r="Q36" s="1"/>
      <c r="R36" s="1"/>
      <c r="S36" s="1"/>
      <c r="T36" s="1"/>
      <c r="U36" s="1"/>
      <c r="V36" s="1"/>
      <c r="W36" s="1"/>
      <c r="X36" s="1"/>
      <c r="Y36" s="1"/>
      <c r="Z36" s="1"/>
    </row>
    <row r="37" ht="19.5" customHeight="1">
      <c r="A37" s="1"/>
      <c r="B37" s="84" t="s">
        <v>3141</v>
      </c>
      <c r="C37" s="364" t="s">
        <v>297</v>
      </c>
      <c r="D37" s="18"/>
      <c r="E37" s="18"/>
      <c r="F37" s="1"/>
      <c r="G37" s="1"/>
      <c r="H37" s="1"/>
      <c r="I37" s="1"/>
      <c r="J37" s="1"/>
      <c r="K37" s="1"/>
      <c r="L37" s="1"/>
      <c r="M37" s="1"/>
      <c r="N37" s="1"/>
      <c r="O37" s="1"/>
      <c r="P37" s="1"/>
      <c r="Q37" s="1"/>
      <c r="R37" s="1"/>
      <c r="S37" s="1"/>
      <c r="T37" s="1"/>
      <c r="U37" s="1"/>
      <c r="V37" s="1"/>
      <c r="W37" s="1"/>
      <c r="X37" s="1"/>
      <c r="Y37" s="1"/>
      <c r="Z37" s="1"/>
    </row>
    <row r="38" ht="19.5" customHeight="1">
      <c r="A38" s="1"/>
      <c r="B38" s="84" t="s">
        <v>3142</v>
      </c>
      <c r="C38" s="364" t="s">
        <v>382</v>
      </c>
      <c r="D38" s="18"/>
      <c r="E38" s="18"/>
      <c r="F38" s="1"/>
      <c r="G38" s="1"/>
      <c r="H38" s="1"/>
      <c r="I38" s="1"/>
      <c r="J38" s="1"/>
      <c r="K38" s="1"/>
      <c r="L38" s="1"/>
      <c r="M38" s="1"/>
      <c r="N38" s="1"/>
      <c r="O38" s="1"/>
      <c r="P38" s="1"/>
      <c r="Q38" s="1"/>
      <c r="R38" s="1"/>
      <c r="S38" s="1"/>
      <c r="T38" s="1"/>
      <c r="U38" s="1"/>
      <c r="V38" s="1"/>
      <c r="W38" s="1"/>
      <c r="X38" s="1"/>
      <c r="Y38" s="1"/>
      <c r="Z38" s="1"/>
    </row>
    <row r="39" ht="19.5" customHeight="1">
      <c r="A39" s="1"/>
      <c r="B39" s="84" t="s">
        <v>3147</v>
      </c>
      <c r="C39" s="196" t="s">
        <v>382</v>
      </c>
      <c r="D39" s="18"/>
      <c r="E39" s="18"/>
      <c r="F39" s="1"/>
      <c r="G39" s="1"/>
      <c r="H39" s="1"/>
      <c r="I39" s="1"/>
      <c r="J39" s="1"/>
      <c r="K39" s="1"/>
      <c r="L39" s="1"/>
      <c r="M39" s="1"/>
      <c r="N39" s="1"/>
      <c r="O39" s="1"/>
      <c r="P39" s="1"/>
      <c r="Q39" s="1"/>
      <c r="R39" s="1"/>
      <c r="S39" s="1"/>
      <c r="T39" s="1"/>
      <c r="U39" s="1"/>
      <c r="V39" s="1"/>
      <c r="W39" s="1"/>
      <c r="X39" s="1"/>
      <c r="Y39" s="1"/>
      <c r="Z39" s="1"/>
    </row>
    <row r="40" ht="19.5" customHeight="1">
      <c r="A40" s="1"/>
      <c r="B40" s="84" t="s">
        <v>3143</v>
      </c>
      <c r="C40" s="196" t="str">
        <f>UPPER(sample_mgmt_sddc_domain)</f>
        <v>LAX-M01</v>
      </c>
      <c r="D40" s="18"/>
      <c r="E40" s="18"/>
      <c r="F40" s="1"/>
      <c r="G40" s="1"/>
      <c r="H40" s="1"/>
      <c r="I40" s="1"/>
      <c r="J40" s="1"/>
      <c r="K40" s="1"/>
      <c r="L40" s="1"/>
      <c r="M40" s="1"/>
      <c r="N40" s="1"/>
      <c r="O40" s="1"/>
      <c r="P40" s="1"/>
      <c r="Q40" s="1"/>
      <c r="R40" s="1"/>
      <c r="S40" s="1"/>
      <c r="T40" s="1"/>
      <c r="U40" s="1"/>
      <c r="V40" s="1"/>
      <c r="W40" s="1"/>
      <c r="X40" s="1"/>
      <c r="Y40" s="1"/>
      <c r="Z40" s="1"/>
    </row>
    <row r="41" ht="19.5" customHeight="1">
      <c r="A41" s="1"/>
      <c r="B41" s="84" t="s">
        <v>3144</v>
      </c>
      <c r="C41" s="196" t="str">
        <f>CONCATENATE("srm-administrator@",sample_parent_dns_zone)</f>
        <v>srm-administrator@rainpole.io</v>
      </c>
      <c r="D41" s="18"/>
      <c r="E41" s="18"/>
      <c r="F41" s="1"/>
      <c r="G41" s="1"/>
      <c r="H41" s="1"/>
      <c r="I41" s="1"/>
      <c r="J41" s="1"/>
      <c r="K41" s="1"/>
      <c r="L41" s="1"/>
      <c r="M41" s="1"/>
      <c r="N41" s="1"/>
      <c r="O41" s="1"/>
      <c r="P41" s="1"/>
      <c r="Q41" s="1"/>
      <c r="R41" s="1"/>
      <c r="S41" s="1"/>
      <c r="T41" s="1"/>
      <c r="U41" s="1"/>
      <c r="V41" s="1"/>
      <c r="W41" s="1"/>
      <c r="X41" s="1"/>
      <c r="Y41" s="1"/>
      <c r="Z41" s="1"/>
    </row>
    <row r="42" ht="19.5" customHeight="1">
      <c r="A42" s="1"/>
      <c r="B42" s="84" t="s">
        <v>3146</v>
      </c>
      <c r="C42" s="196" t="s">
        <v>382</v>
      </c>
      <c r="D42" s="18"/>
      <c r="E42" s="18"/>
      <c r="F42" s="1"/>
      <c r="G42" s="1"/>
      <c r="H42" s="1"/>
      <c r="I42" s="1"/>
      <c r="J42" s="1"/>
      <c r="K42" s="1"/>
      <c r="L42" s="1"/>
      <c r="M42" s="1"/>
      <c r="N42" s="1"/>
      <c r="O42" s="1"/>
      <c r="P42" s="1"/>
      <c r="Q42" s="1"/>
      <c r="R42" s="1"/>
      <c r="S42" s="1"/>
      <c r="T42" s="1"/>
      <c r="U42" s="1"/>
      <c r="V42" s="1"/>
      <c r="W42" s="1"/>
      <c r="X42" s="1"/>
      <c r="Y42" s="1"/>
      <c r="Z42" s="1"/>
    </row>
    <row r="43" ht="19.5" customHeight="1">
      <c r="A43" s="1"/>
      <c r="B43" s="84" t="s">
        <v>2388</v>
      </c>
      <c r="C43" s="1"/>
      <c r="D43" s="1"/>
      <c r="E43" s="18"/>
      <c r="F43" s="1"/>
      <c r="G43" s="1"/>
      <c r="H43" s="1"/>
      <c r="I43" s="1"/>
      <c r="J43" s="1"/>
      <c r="K43" s="1"/>
      <c r="L43" s="1"/>
      <c r="M43" s="1"/>
      <c r="N43" s="1"/>
      <c r="O43" s="1"/>
      <c r="P43" s="1"/>
      <c r="Q43" s="1"/>
      <c r="R43" s="1"/>
      <c r="S43" s="1"/>
      <c r="T43" s="1"/>
      <c r="U43" s="1"/>
      <c r="V43" s="1"/>
      <c r="W43" s="1"/>
      <c r="X43" s="1"/>
      <c r="Y43" s="1"/>
      <c r="Z43" s="1"/>
    </row>
    <row r="44" ht="19.5" customHeight="1">
      <c r="A44" s="1"/>
      <c r="B44" s="84" t="s">
        <v>2392</v>
      </c>
      <c r="C44" s="1"/>
      <c r="D44" s="1"/>
      <c r="E44" s="18"/>
      <c r="F44" s="1"/>
      <c r="G44" s="1"/>
      <c r="H44" s="1"/>
      <c r="I44" s="1"/>
      <c r="J44" s="1"/>
      <c r="K44" s="1"/>
      <c r="L44" s="1"/>
      <c r="M44" s="1"/>
      <c r="N44" s="1"/>
      <c r="O44" s="1"/>
      <c r="P44" s="1"/>
      <c r="Q44" s="1"/>
      <c r="R44" s="1"/>
      <c r="S44" s="1"/>
      <c r="T44" s="1"/>
      <c r="U44" s="1"/>
      <c r="V44" s="1"/>
      <c r="W44" s="1"/>
      <c r="X44" s="1"/>
      <c r="Y44" s="1"/>
      <c r="Z44" s="1"/>
    </row>
    <row r="45" ht="19.5" customHeight="1">
      <c r="A45" s="1"/>
      <c r="B45" s="84" t="s">
        <v>2398</v>
      </c>
      <c r="C45" s="1"/>
      <c r="D45" s="1"/>
      <c r="E45" s="18"/>
      <c r="F45" s="1"/>
      <c r="G45" s="1"/>
      <c r="H45" s="1"/>
      <c r="I45" s="1"/>
      <c r="J45" s="1"/>
      <c r="K45" s="1"/>
      <c r="L45" s="1"/>
      <c r="M45" s="1"/>
      <c r="N45" s="1"/>
      <c r="O45" s="1"/>
      <c r="P45" s="1"/>
      <c r="Q45" s="1"/>
      <c r="R45" s="1"/>
      <c r="S45" s="1"/>
      <c r="T45" s="1"/>
      <c r="U45" s="1"/>
      <c r="V45" s="1"/>
      <c r="W45" s="1"/>
      <c r="X45" s="1"/>
      <c r="Y45" s="1"/>
      <c r="Z45" s="1"/>
    </row>
    <row r="46" ht="19.5" customHeight="1">
      <c r="A46" s="1"/>
      <c r="B46" s="84" t="s">
        <v>3148</v>
      </c>
      <c r="C46" s="196" t="s">
        <v>3149</v>
      </c>
      <c r="D46" s="18"/>
      <c r="E46" s="18"/>
      <c r="F46" s="1"/>
      <c r="G46" s="1"/>
      <c r="H46" s="1"/>
      <c r="I46" s="1"/>
      <c r="J46" s="1"/>
      <c r="K46" s="1"/>
      <c r="L46" s="1"/>
      <c r="M46" s="1"/>
      <c r="N46" s="1"/>
      <c r="O46" s="1"/>
      <c r="P46" s="1"/>
      <c r="Q46" s="1"/>
      <c r="R46" s="1"/>
      <c r="S46" s="1"/>
      <c r="T46" s="1"/>
      <c r="U46" s="1"/>
      <c r="V46" s="1"/>
      <c r="W46" s="1"/>
      <c r="X46" s="1"/>
      <c r="Y46" s="1"/>
      <c r="Z46" s="1"/>
    </row>
    <row r="47" ht="19.5" customHeight="1">
      <c r="A47" s="1"/>
      <c r="B47" s="84" t="s">
        <v>3150</v>
      </c>
      <c r="C47" s="196" t="s">
        <v>3151</v>
      </c>
      <c r="D47" s="18"/>
      <c r="E47" s="18"/>
      <c r="F47" s="1"/>
      <c r="G47" s="1"/>
      <c r="H47" s="1"/>
      <c r="I47" s="1"/>
      <c r="J47" s="1"/>
      <c r="K47" s="1"/>
      <c r="L47" s="1"/>
      <c r="M47" s="1"/>
      <c r="N47" s="1"/>
      <c r="O47" s="1"/>
      <c r="P47" s="1"/>
      <c r="Q47" s="1"/>
      <c r="R47" s="1"/>
      <c r="S47" s="1"/>
      <c r="T47" s="1"/>
      <c r="U47" s="1"/>
      <c r="V47" s="1"/>
      <c r="W47" s="1"/>
      <c r="X47" s="1"/>
      <c r="Y47" s="1"/>
      <c r="Z47" s="1"/>
    </row>
    <row r="48" ht="19.5" customHeight="1">
      <c r="A48" s="1"/>
      <c r="B48" s="84" t="s">
        <v>2409</v>
      </c>
      <c r="C48" s="1"/>
      <c r="D48" s="1"/>
      <c r="E48" s="18"/>
      <c r="F48" s="1"/>
      <c r="G48" s="1"/>
      <c r="H48" s="1"/>
      <c r="I48" s="1"/>
      <c r="J48" s="1"/>
      <c r="K48" s="1"/>
      <c r="L48" s="1"/>
      <c r="M48" s="1"/>
      <c r="N48" s="1"/>
      <c r="O48" s="1"/>
      <c r="P48" s="1"/>
      <c r="Q48" s="1"/>
      <c r="R48" s="1"/>
      <c r="S48" s="1"/>
      <c r="T48" s="1"/>
      <c r="U48" s="1"/>
      <c r="V48" s="1"/>
      <c r="W48" s="1"/>
      <c r="X48" s="1"/>
      <c r="Y48" s="1"/>
      <c r="Z48" s="1"/>
    </row>
    <row r="49" ht="19.5" customHeight="1">
      <c r="A49" s="1"/>
      <c r="B49" s="84" t="s">
        <v>2413</v>
      </c>
      <c r="C49" s="1"/>
      <c r="D49" s="1"/>
      <c r="E49" s="18"/>
      <c r="F49" s="1"/>
      <c r="G49" s="1"/>
      <c r="H49" s="1"/>
      <c r="I49" s="1"/>
      <c r="J49" s="1"/>
      <c r="K49" s="1"/>
      <c r="L49" s="1"/>
      <c r="M49" s="1"/>
      <c r="N49" s="1"/>
      <c r="O49" s="1"/>
      <c r="P49" s="1"/>
      <c r="Q49" s="1"/>
      <c r="R49" s="1"/>
      <c r="S49" s="1"/>
      <c r="T49" s="1"/>
      <c r="U49" s="1"/>
      <c r="V49" s="1"/>
      <c r="W49" s="1"/>
      <c r="X49" s="1"/>
      <c r="Y49" s="1"/>
      <c r="Z49" s="1"/>
    </row>
    <row r="50" ht="19.5" customHeight="1">
      <c r="A50" s="1"/>
      <c r="B50" s="84" t="s">
        <v>2418</v>
      </c>
      <c r="C50" s="196" t="s">
        <v>3152</v>
      </c>
      <c r="D50" s="18"/>
      <c r="E50" s="18"/>
      <c r="F50" s="1"/>
      <c r="G50" s="1"/>
      <c r="H50" s="1"/>
      <c r="I50" s="1"/>
      <c r="J50" s="1"/>
      <c r="K50" s="1"/>
      <c r="L50" s="1"/>
      <c r="M50" s="1"/>
      <c r="N50" s="1"/>
      <c r="O50" s="1"/>
      <c r="P50" s="1"/>
      <c r="Q50" s="1"/>
      <c r="R50" s="1"/>
      <c r="S50" s="1"/>
      <c r="T50" s="1"/>
      <c r="U50" s="1"/>
      <c r="V50" s="1"/>
      <c r="W50" s="1"/>
      <c r="X50" s="1"/>
      <c r="Y50" s="1"/>
      <c r="Z50" s="1"/>
    </row>
    <row r="51" ht="19.5" customHeight="1">
      <c r="A51" s="1"/>
      <c r="B51" s="84" t="s">
        <v>2422</v>
      </c>
      <c r="C51" s="196" t="s">
        <v>3153</v>
      </c>
      <c r="D51" s="18"/>
      <c r="E51" s="18"/>
      <c r="F51" s="1"/>
      <c r="G51" s="1"/>
      <c r="H51" s="1"/>
      <c r="I51" s="1"/>
      <c r="J51" s="1"/>
      <c r="K51" s="1"/>
      <c r="L51" s="1"/>
      <c r="M51" s="1"/>
      <c r="N51" s="1"/>
      <c r="O51" s="1"/>
      <c r="P51" s="1"/>
      <c r="Q51" s="1"/>
      <c r="R51" s="1"/>
      <c r="S51" s="1"/>
      <c r="T51" s="1"/>
      <c r="U51" s="1"/>
      <c r="V51" s="1"/>
      <c r="W51" s="1"/>
      <c r="X51" s="1"/>
      <c r="Y51" s="1"/>
      <c r="Z51" s="1"/>
    </row>
    <row r="52" ht="19.5" customHeight="1">
      <c r="A52" s="1"/>
      <c r="B52" s="362" t="s">
        <v>332</v>
      </c>
      <c r="C52" s="13"/>
      <c r="D52" s="13"/>
      <c r="E52" s="14"/>
      <c r="F52" s="1"/>
      <c r="G52" s="1"/>
      <c r="H52" s="1"/>
      <c r="I52" s="1"/>
      <c r="J52" s="1"/>
      <c r="K52" s="1"/>
      <c r="L52" s="1"/>
      <c r="M52" s="1"/>
      <c r="N52" s="1"/>
      <c r="O52" s="1"/>
      <c r="P52" s="1"/>
      <c r="Q52" s="1"/>
      <c r="R52" s="1"/>
      <c r="S52" s="1"/>
      <c r="T52" s="1"/>
      <c r="U52" s="1"/>
      <c r="V52" s="1"/>
      <c r="W52" s="1"/>
      <c r="X52" s="1"/>
      <c r="Y52" s="1"/>
      <c r="Z52" s="1"/>
    </row>
    <row r="53" ht="15.75" customHeight="1">
      <c r="A53" s="1"/>
      <c r="B53" s="84" t="s">
        <v>3154</v>
      </c>
      <c r="C53" s="196" t="s">
        <v>3155</v>
      </c>
      <c r="D53" s="18"/>
      <c r="E53" s="18" t="s">
        <v>3156</v>
      </c>
      <c r="F53" s="1"/>
      <c r="G53" s="1"/>
      <c r="H53" s="1"/>
      <c r="I53" s="1"/>
      <c r="J53" s="1"/>
      <c r="K53" s="1"/>
      <c r="L53" s="1"/>
      <c r="M53" s="1"/>
      <c r="N53" s="1"/>
      <c r="O53" s="1"/>
      <c r="P53" s="1"/>
      <c r="Q53" s="1"/>
      <c r="R53" s="1"/>
      <c r="S53" s="1"/>
      <c r="T53" s="1"/>
      <c r="U53" s="1"/>
      <c r="V53" s="1"/>
      <c r="W53" s="1"/>
      <c r="X53" s="1"/>
      <c r="Y53" s="1"/>
      <c r="Z53" s="1"/>
    </row>
    <row r="54" ht="30.0" customHeight="1">
      <c r="A54" s="1"/>
      <c r="B54" s="362" t="s">
        <v>3137</v>
      </c>
      <c r="C54" s="13"/>
      <c r="D54" s="13"/>
      <c r="E54" s="14"/>
      <c r="F54" s="1"/>
      <c r="G54" s="1"/>
      <c r="H54" s="1"/>
      <c r="I54" s="1"/>
      <c r="J54" s="1"/>
      <c r="K54" s="1"/>
      <c r="L54" s="1"/>
      <c r="M54" s="1"/>
      <c r="N54" s="1"/>
      <c r="O54" s="1"/>
      <c r="P54" s="1"/>
      <c r="Q54" s="1"/>
      <c r="R54" s="1"/>
      <c r="S54" s="1"/>
      <c r="T54" s="1"/>
      <c r="U54" s="1"/>
      <c r="V54" s="1"/>
      <c r="W54" s="1"/>
      <c r="X54" s="1"/>
      <c r="Y54" s="1"/>
      <c r="Z54" s="1"/>
    </row>
    <row r="55" ht="19.5" customHeight="1">
      <c r="A55" s="1"/>
      <c r="B55" s="84" t="s">
        <v>2428</v>
      </c>
      <c r="C55" s="1"/>
      <c r="D55" s="1"/>
      <c r="E55" s="18"/>
      <c r="F55" s="1"/>
      <c r="G55" s="1"/>
      <c r="H55" s="1"/>
      <c r="I55" s="1"/>
      <c r="J55" s="1"/>
      <c r="K55" s="1"/>
      <c r="L55" s="1"/>
      <c r="M55" s="1"/>
      <c r="N55" s="1"/>
      <c r="O55" s="1"/>
      <c r="P55" s="1"/>
      <c r="Q55" s="1"/>
      <c r="R55" s="1"/>
      <c r="S55" s="1"/>
      <c r="T55" s="1"/>
      <c r="U55" s="1"/>
      <c r="V55" s="1"/>
      <c r="W55" s="1"/>
      <c r="X55" s="1"/>
      <c r="Y55" s="1"/>
      <c r="Z55" s="1"/>
    </row>
    <row r="56" ht="19.5" customHeight="1">
      <c r="A56" s="1"/>
      <c r="B56" s="84" t="s">
        <v>2431</v>
      </c>
      <c r="C56" s="1"/>
      <c r="D56" s="1"/>
      <c r="E56" s="18"/>
      <c r="F56" s="1"/>
      <c r="G56" s="1"/>
      <c r="H56" s="1"/>
      <c r="I56" s="1"/>
      <c r="J56" s="1"/>
      <c r="K56" s="1"/>
      <c r="L56" s="1"/>
      <c r="M56" s="1"/>
      <c r="N56" s="1"/>
      <c r="O56" s="1"/>
      <c r="P56" s="1"/>
      <c r="Q56" s="1"/>
      <c r="R56" s="1"/>
      <c r="S56" s="1"/>
      <c r="T56" s="1"/>
      <c r="U56" s="1"/>
      <c r="V56" s="1"/>
      <c r="W56" s="1"/>
      <c r="X56" s="1"/>
      <c r="Y56" s="1"/>
      <c r="Z56" s="1"/>
    </row>
    <row r="57" ht="19.5" customHeight="1">
      <c r="A57" s="1"/>
      <c r="B57" s="84" t="s">
        <v>2433</v>
      </c>
      <c r="C57" s="1"/>
      <c r="D57" s="1"/>
      <c r="E57" s="18"/>
      <c r="F57" s="1"/>
      <c r="G57" s="1"/>
      <c r="H57" s="1"/>
      <c r="I57" s="1"/>
      <c r="J57" s="1"/>
      <c r="K57" s="1"/>
      <c r="L57" s="1"/>
      <c r="M57" s="1"/>
      <c r="N57" s="1"/>
      <c r="O57" s="1"/>
      <c r="P57" s="1"/>
      <c r="Q57" s="1"/>
      <c r="R57" s="1"/>
      <c r="S57" s="1"/>
      <c r="T57" s="1"/>
      <c r="U57" s="1"/>
      <c r="V57" s="1"/>
      <c r="W57" s="1"/>
      <c r="X57" s="1"/>
      <c r="Y57" s="1"/>
      <c r="Z57" s="1"/>
    </row>
    <row r="58" ht="19.5" customHeight="1">
      <c r="A58" s="1"/>
      <c r="B58" s="84" t="s">
        <v>2437</v>
      </c>
      <c r="C58" s="196" t="str">
        <f>CONCATENATE(other_instance,"-m01")</f>
        <v>sfo-m01</v>
      </c>
      <c r="D58" s="18"/>
      <c r="E58" s="18"/>
      <c r="F58" s="1"/>
      <c r="G58" s="1"/>
      <c r="H58" s="1"/>
      <c r="I58" s="1"/>
      <c r="J58" s="1"/>
      <c r="K58" s="1"/>
      <c r="L58" s="1"/>
      <c r="M58" s="1"/>
      <c r="N58" s="1"/>
      <c r="O58" s="1"/>
      <c r="P58" s="1"/>
      <c r="Q58" s="1"/>
      <c r="R58" s="1"/>
      <c r="S58" s="1"/>
      <c r="T58" s="1"/>
      <c r="U58" s="1"/>
      <c r="V58" s="1"/>
      <c r="W58" s="1"/>
      <c r="X58" s="1"/>
      <c r="Y58" s="1"/>
      <c r="Z58" s="1"/>
    </row>
    <row r="59" ht="19.5" customHeight="1">
      <c r="A59" s="1"/>
      <c r="B59" s="84" t="s">
        <v>2442</v>
      </c>
      <c r="C59" s="196" t="str">
        <f>CONCATENATE(other_instance,"-m01")</f>
        <v>sfo-m01</v>
      </c>
      <c r="D59" s="18"/>
      <c r="E59" s="18"/>
      <c r="F59" s="1"/>
      <c r="G59" s="1"/>
      <c r="H59" s="1"/>
      <c r="I59" s="1"/>
      <c r="J59" s="1"/>
      <c r="K59" s="1"/>
      <c r="L59" s="1"/>
      <c r="M59" s="1"/>
      <c r="N59" s="1"/>
      <c r="O59" s="1"/>
      <c r="P59" s="1"/>
      <c r="Q59" s="1"/>
      <c r="R59" s="1"/>
      <c r="S59" s="1"/>
      <c r="T59" s="1"/>
      <c r="U59" s="1"/>
      <c r="V59" s="1"/>
      <c r="W59" s="1"/>
      <c r="X59" s="1"/>
      <c r="Y59" s="1"/>
      <c r="Z59" s="1"/>
    </row>
    <row r="60" ht="19.5" customHeight="1">
      <c r="A60" s="1"/>
      <c r="B60" s="84" t="s">
        <v>2446</v>
      </c>
      <c r="C60" s="196" t="str">
        <f>CONCATENATE(other_instance,"-m01-ec01")</f>
        <v>sfo-m01-ec01</v>
      </c>
      <c r="D60" s="18"/>
      <c r="E60" s="18"/>
      <c r="F60" s="1"/>
      <c r="G60" s="1"/>
      <c r="H60" s="1"/>
      <c r="I60" s="1"/>
      <c r="J60" s="1"/>
      <c r="K60" s="1"/>
      <c r="L60" s="1"/>
      <c r="M60" s="1"/>
      <c r="N60" s="1"/>
      <c r="O60" s="1"/>
      <c r="P60" s="1"/>
      <c r="Q60" s="1"/>
      <c r="R60" s="1"/>
      <c r="S60" s="1"/>
      <c r="T60" s="1"/>
      <c r="U60" s="1"/>
      <c r="V60" s="1"/>
      <c r="W60" s="1"/>
      <c r="X60" s="1"/>
      <c r="Y60" s="1"/>
      <c r="Z60" s="1"/>
    </row>
    <row r="61" ht="19.5" customHeight="1">
      <c r="A61" s="1"/>
      <c r="B61" s="84" t="s">
        <v>2450</v>
      </c>
      <c r="C61" s="1"/>
      <c r="D61" s="1"/>
      <c r="E61" s="18"/>
      <c r="F61" s="1"/>
      <c r="G61" s="1"/>
      <c r="H61" s="1"/>
      <c r="I61" s="1"/>
      <c r="J61" s="1"/>
      <c r="K61" s="1"/>
      <c r="L61" s="1"/>
      <c r="M61" s="1"/>
      <c r="N61" s="1"/>
      <c r="O61" s="1"/>
      <c r="P61" s="1"/>
      <c r="Q61" s="1"/>
      <c r="R61" s="1"/>
      <c r="S61" s="1"/>
      <c r="T61" s="1"/>
      <c r="U61" s="1"/>
      <c r="V61" s="1"/>
      <c r="W61" s="1"/>
      <c r="X61" s="1"/>
      <c r="Y61" s="1"/>
      <c r="Z61" s="1"/>
    </row>
    <row r="62" ht="19.5" customHeight="1">
      <c r="A62" s="1"/>
      <c r="B62" s="84" t="s">
        <v>2455</v>
      </c>
      <c r="C62" s="1"/>
      <c r="D62" s="1"/>
      <c r="E62" s="18"/>
      <c r="F62" s="1"/>
      <c r="G62" s="1"/>
      <c r="H62" s="1"/>
      <c r="I62" s="1"/>
      <c r="J62" s="1"/>
      <c r="K62" s="1"/>
      <c r="L62" s="1"/>
      <c r="M62" s="1"/>
      <c r="N62" s="1"/>
      <c r="O62" s="1"/>
      <c r="P62" s="1"/>
      <c r="Q62" s="1"/>
      <c r="R62" s="1"/>
      <c r="S62" s="1"/>
      <c r="T62" s="1"/>
      <c r="U62" s="1"/>
      <c r="V62" s="1"/>
      <c r="W62" s="1"/>
      <c r="X62" s="1"/>
      <c r="Y62" s="1"/>
      <c r="Z62" s="1"/>
    </row>
    <row r="63" ht="19.5" customHeight="1">
      <c r="A63" s="1"/>
      <c r="B63" s="84" t="s">
        <v>2459</v>
      </c>
      <c r="C63" s="196" t="str">
        <f>CONCATENATE(prefix_other_region_az1_cidr,"16.0/24")</f>
        <v>10.11.16.0/24</v>
      </c>
      <c r="D63" s="18"/>
      <c r="E63" s="18"/>
      <c r="F63" s="1"/>
      <c r="G63" s="1"/>
      <c r="H63" s="1"/>
      <c r="I63" s="1"/>
      <c r="J63" s="1"/>
      <c r="K63" s="1"/>
      <c r="L63" s="1"/>
      <c r="M63" s="1"/>
      <c r="N63" s="1"/>
      <c r="O63" s="1"/>
      <c r="P63" s="1"/>
      <c r="Q63" s="1"/>
      <c r="R63" s="1"/>
      <c r="S63" s="1"/>
      <c r="T63" s="1"/>
      <c r="U63" s="1"/>
      <c r="V63" s="1"/>
      <c r="W63" s="1"/>
      <c r="X63" s="1"/>
      <c r="Y63" s="1"/>
      <c r="Z63" s="1"/>
    </row>
    <row r="64" ht="19.5" customHeight="1">
      <c r="A64" s="1"/>
      <c r="B64" s="84" t="s">
        <v>3157</v>
      </c>
      <c r="C64" s="196" t="s">
        <v>3158</v>
      </c>
      <c r="D64" s="18"/>
      <c r="E64" s="18"/>
      <c r="F64" s="1"/>
      <c r="G64" s="1"/>
      <c r="H64" s="1"/>
      <c r="I64" s="1"/>
      <c r="J64" s="1"/>
      <c r="K64" s="1"/>
      <c r="L64" s="1"/>
      <c r="M64" s="1"/>
      <c r="N64" s="1"/>
      <c r="O64" s="1"/>
      <c r="P64" s="1"/>
      <c r="Q64" s="1"/>
      <c r="R64" s="1"/>
      <c r="S64" s="1"/>
      <c r="T64" s="1"/>
      <c r="U64" s="1"/>
      <c r="V64" s="1"/>
      <c r="W64" s="1"/>
      <c r="X64" s="1"/>
      <c r="Y64" s="1"/>
      <c r="Z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9.5" customHeight="1">
      <c r="A66" s="1"/>
      <c r="B66" s="332" t="s">
        <v>3159</v>
      </c>
      <c r="C66" s="13"/>
      <c r="D66" s="13"/>
      <c r="E66" s="14"/>
      <c r="F66" s="1"/>
      <c r="G66" s="1"/>
      <c r="H66" s="1"/>
      <c r="I66" s="1"/>
      <c r="J66" s="1"/>
      <c r="K66" s="1"/>
      <c r="L66" s="1"/>
      <c r="M66" s="1"/>
      <c r="N66" s="1"/>
      <c r="O66" s="1"/>
      <c r="P66" s="1"/>
      <c r="Q66" s="1"/>
      <c r="R66" s="1"/>
      <c r="S66" s="1"/>
      <c r="T66" s="1"/>
      <c r="U66" s="1"/>
      <c r="V66" s="1"/>
      <c r="W66" s="1"/>
      <c r="X66" s="1"/>
      <c r="Y66" s="1"/>
      <c r="Z66" s="1"/>
    </row>
    <row r="67" ht="19.5" customHeight="1">
      <c r="A67" s="1"/>
      <c r="B67" s="337" t="s">
        <v>256</v>
      </c>
      <c r="C67" s="337" t="s">
        <v>1441</v>
      </c>
      <c r="D67" s="338" t="s">
        <v>274</v>
      </c>
      <c r="E67" s="337" t="s">
        <v>5</v>
      </c>
      <c r="F67" s="1"/>
      <c r="G67" s="1"/>
      <c r="H67" s="1"/>
      <c r="I67" s="1"/>
      <c r="J67" s="1"/>
      <c r="K67" s="1"/>
      <c r="L67" s="1"/>
      <c r="M67" s="1"/>
      <c r="N67" s="1"/>
      <c r="O67" s="1"/>
      <c r="P67" s="1"/>
      <c r="Q67" s="1"/>
      <c r="R67" s="1"/>
      <c r="S67" s="1"/>
      <c r="T67" s="1"/>
      <c r="U67" s="1"/>
      <c r="V67" s="1"/>
      <c r="W67" s="1"/>
      <c r="X67" s="1"/>
      <c r="Y67" s="1"/>
      <c r="Z67" s="1"/>
    </row>
    <row r="68" ht="19.5" customHeight="1">
      <c r="A68" s="1"/>
      <c r="B68" s="362" t="s">
        <v>3139</v>
      </c>
      <c r="C68" s="13"/>
      <c r="D68" s="13"/>
      <c r="E68" s="14"/>
      <c r="F68" s="1"/>
      <c r="G68" s="1"/>
      <c r="H68" s="1"/>
      <c r="I68" s="1"/>
      <c r="J68" s="1"/>
      <c r="K68" s="1"/>
      <c r="L68" s="1"/>
      <c r="M68" s="1"/>
      <c r="N68" s="1"/>
      <c r="O68" s="1"/>
      <c r="P68" s="1"/>
      <c r="Q68" s="1"/>
      <c r="R68" s="1"/>
      <c r="S68" s="1"/>
      <c r="T68" s="1"/>
      <c r="U68" s="1"/>
      <c r="V68" s="1"/>
      <c r="W68" s="1"/>
      <c r="X68" s="1"/>
      <c r="Y68" s="1"/>
      <c r="Z68" s="1"/>
    </row>
    <row r="69" ht="19.5" customHeight="1">
      <c r="A69" s="1"/>
      <c r="B69" s="84" t="s">
        <v>3140</v>
      </c>
      <c r="C69" s="196" t="str">
        <f>CONCATENATE(this_instance,"-w0",wld_domain_number_chosen,"-fd-vrms")</f>
        <v>lax-w01-fd-vrms</v>
      </c>
      <c r="D69" s="18"/>
      <c r="E69" s="18"/>
      <c r="F69" s="1"/>
      <c r="G69" s="1"/>
      <c r="H69" s="1"/>
      <c r="I69" s="1"/>
      <c r="J69" s="1"/>
      <c r="K69" s="1"/>
      <c r="L69" s="1"/>
      <c r="M69" s="1"/>
      <c r="N69" s="1"/>
      <c r="O69" s="1"/>
      <c r="P69" s="1"/>
      <c r="Q69" s="1"/>
      <c r="R69" s="1"/>
      <c r="S69" s="1"/>
      <c r="T69" s="1"/>
      <c r="U69" s="1"/>
      <c r="V69" s="1"/>
      <c r="W69" s="1"/>
      <c r="X69" s="1"/>
      <c r="Y69" s="1"/>
      <c r="Z69" s="1"/>
    </row>
    <row r="70" ht="19.5" customHeight="1">
      <c r="A70" s="1"/>
      <c r="B70" s="84" t="s">
        <v>3141</v>
      </c>
      <c r="C70" s="196" t="s">
        <v>382</v>
      </c>
      <c r="D70" s="18"/>
      <c r="E70" s="18"/>
      <c r="F70" s="1"/>
      <c r="G70" s="1"/>
      <c r="H70" s="1"/>
      <c r="I70" s="1"/>
      <c r="J70" s="1"/>
      <c r="K70" s="1"/>
      <c r="L70" s="1"/>
      <c r="M70" s="1"/>
      <c r="N70" s="1"/>
      <c r="O70" s="1"/>
      <c r="P70" s="1"/>
      <c r="Q70" s="1"/>
      <c r="R70" s="1"/>
      <c r="S70" s="1"/>
      <c r="T70" s="1"/>
      <c r="U70" s="1"/>
      <c r="V70" s="1"/>
      <c r="W70" s="1"/>
      <c r="X70" s="1"/>
      <c r="Y70" s="1"/>
      <c r="Z70" s="1"/>
    </row>
    <row r="71" ht="19.5" customHeight="1">
      <c r="A71" s="1"/>
      <c r="B71" s="84" t="s">
        <v>3142</v>
      </c>
      <c r="C71" s="196" t="s">
        <v>382</v>
      </c>
      <c r="D71" s="18"/>
      <c r="E71" s="18"/>
      <c r="F71" s="1"/>
      <c r="G71" s="1"/>
      <c r="H71" s="1"/>
      <c r="I71" s="1"/>
      <c r="J71" s="1"/>
      <c r="K71" s="1"/>
      <c r="L71" s="1"/>
      <c r="M71" s="1"/>
      <c r="N71" s="1"/>
      <c r="O71" s="1"/>
      <c r="P71" s="1"/>
      <c r="Q71" s="1"/>
      <c r="R71" s="1"/>
      <c r="S71" s="1"/>
      <c r="T71" s="1"/>
      <c r="U71" s="1"/>
      <c r="V71" s="1"/>
      <c r="W71" s="1"/>
      <c r="X71" s="1"/>
      <c r="Y71" s="1"/>
      <c r="Z71" s="1"/>
    </row>
    <row r="72" ht="19.5" customHeight="1">
      <c r="A72" s="1"/>
      <c r="B72" s="84" t="s">
        <v>3143</v>
      </c>
      <c r="C72" s="196" t="str">
        <f>UPPER(sample_wld_sddc_domain)</f>
        <v>LAX-W01</v>
      </c>
      <c r="D72" s="18"/>
      <c r="E72" s="18"/>
      <c r="F72" s="1"/>
      <c r="G72" s="1"/>
      <c r="H72" s="1"/>
      <c r="I72" s="1"/>
      <c r="J72" s="1"/>
      <c r="K72" s="1"/>
      <c r="L72" s="1"/>
      <c r="M72" s="1"/>
      <c r="N72" s="1"/>
      <c r="O72" s="1"/>
      <c r="P72" s="1"/>
      <c r="Q72" s="1"/>
      <c r="R72" s="1"/>
      <c r="S72" s="1"/>
      <c r="T72" s="1"/>
      <c r="U72" s="1"/>
      <c r="V72" s="1"/>
      <c r="W72" s="1"/>
      <c r="X72" s="1"/>
      <c r="Y72" s="1"/>
      <c r="Z72" s="1"/>
    </row>
    <row r="73" ht="19.5" customHeight="1">
      <c r="A73" s="1"/>
      <c r="B73" s="84" t="s">
        <v>3144</v>
      </c>
      <c r="C73" s="196" t="str">
        <f>CONCATENATE("vrms-administrator@",sample_parent_dns_zone)</f>
        <v>vrms-administrator@rainpole.io</v>
      </c>
      <c r="D73" s="18"/>
      <c r="E73" s="18"/>
      <c r="F73" s="1"/>
      <c r="G73" s="1"/>
      <c r="H73" s="1"/>
      <c r="I73" s="1"/>
      <c r="J73" s="1"/>
      <c r="K73" s="1"/>
      <c r="L73" s="1"/>
      <c r="M73" s="1"/>
      <c r="N73" s="1"/>
      <c r="O73" s="1"/>
      <c r="P73" s="1"/>
      <c r="Q73" s="1"/>
      <c r="R73" s="1"/>
      <c r="S73" s="1"/>
      <c r="T73" s="1"/>
      <c r="U73" s="1"/>
      <c r="V73" s="1"/>
      <c r="W73" s="1"/>
      <c r="X73" s="1"/>
      <c r="Y73" s="1"/>
      <c r="Z73" s="1"/>
    </row>
    <row r="74" ht="19.5" customHeight="1">
      <c r="A74" s="1"/>
      <c r="B74" s="84" t="s">
        <v>3145</v>
      </c>
      <c r="C74" s="196" t="str">
        <f>CONCATENATE(this_instance,"-w01-cl01-vds01-pg-vrms")</f>
        <v>lax-w01-cl01-vds01-pg-vrms</v>
      </c>
      <c r="D74" s="18"/>
      <c r="E74" s="18"/>
      <c r="F74" s="1"/>
      <c r="G74" s="1"/>
      <c r="H74" s="1"/>
      <c r="I74" s="1"/>
      <c r="J74" s="1"/>
      <c r="K74" s="1"/>
      <c r="L74" s="1"/>
      <c r="M74" s="1"/>
      <c r="N74" s="1"/>
      <c r="O74" s="1"/>
      <c r="P74" s="1"/>
      <c r="Q74" s="1"/>
      <c r="R74" s="1"/>
      <c r="S74" s="1"/>
      <c r="T74" s="1"/>
      <c r="U74" s="1"/>
      <c r="V74" s="1"/>
      <c r="W74" s="1"/>
      <c r="X74" s="1"/>
      <c r="Y74" s="1"/>
      <c r="Z74" s="1"/>
    </row>
    <row r="75" ht="19.5" customHeight="1">
      <c r="A75" s="1"/>
      <c r="B75" s="84" t="s">
        <v>3146</v>
      </c>
      <c r="C75" s="196" t="s">
        <v>382</v>
      </c>
      <c r="D75" s="18"/>
      <c r="E75" s="18"/>
      <c r="F75" s="1"/>
      <c r="G75" s="1"/>
      <c r="H75" s="1"/>
      <c r="I75" s="1"/>
      <c r="J75" s="1"/>
      <c r="K75" s="1"/>
      <c r="L75" s="1"/>
      <c r="M75" s="1"/>
      <c r="N75" s="1"/>
      <c r="O75" s="1"/>
      <c r="P75" s="1"/>
      <c r="Q75" s="1"/>
      <c r="R75" s="1"/>
      <c r="S75" s="1"/>
      <c r="T75" s="1"/>
      <c r="U75" s="1"/>
      <c r="V75" s="1"/>
      <c r="W75" s="1"/>
      <c r="X75" s="1"/>
      <c r="Y75" s="1"/>
      <c r="Z75" s="1"/>
    </row>
    <row r="76" ht="19.5" customHeight="1">
      <c r="A76" s="1"/>
      <c r="B76" s="362" t="s">
        <v>2523</v>
      </c>
      <c r="C76" s="13"/>
      <c r="D76" s="13"/>
      <c r="E76" s="14"/>
      <c r="F76" s="1"/>
      <c r="G76" s="1"/>
      <c r="H76" s="1"/>
      <c r="I76" s="1"/>
      <c r="J76" s="1"/>
      <c r="K76" s="1"/>
      <c r="L76" s="1"/>
      <c r="M76" s="1"/>
      <c r="N76" s="1"/>
      <c r="O76" s="1"/>
      <c r="P76" s="1"/>
      <c r="Q76" s="1"/>
      <c r="R76" s="1"/>
      <c r="S76" s="1"/>
      <c r="T76" s="1"/>
      <c r="U76" s="1"/>
      <c r="V76" s="1"/>
      <c r="W76" s="1"/>
      <c r="X76" s="1"/>
      <c r="Y76" s="1"/>
      <c r="Z76" s="1"/>
    </row>
    <row r="77" ht="19.5" customHeight="1">
      <c r="A77" s="1"/>
      <c r="B77" s="84" t="s">
        <v>3140</v>
      </c>
      <c r="C77" s="196" t="str">
        <f>CONCATENATE(this_instance,"-w0",wld_domain_number_chosen,"-fd-srm")</f>
        <v>lax-w01-fd-srm</v>
      </c>
      <c r="D77" s="18"/>
      <c r="E77" s="18"/>
      <c r="F77" s="1"/>
      <c r="G77" s="1"/>
      <c r="H77" s="1"/>
      <c r="I77" s="1"/>
      <c r="J77" s="1"/>
      <c r="K77" s="1"/>
      <c r="L77" s="1"/>
      <c r="M77" s="1"/>
      <c r="N77" s="1"/>
      <c r="O77" s="1"/>
      <c r="P77" s="1"/>
      <c r="Q77" s="1"/>
      <c r="R77" s="1"/>
      <c r="S77" s="1"/>
      <c r="T77" s="1"/>
      <c r="U77" s="1"/>
      <c r="V77" s="1"/>
      <c r="W77" s="1"/>
      <c r="X77" s="1"/>
      <c r="Y77" s="1"/>
      <c r="Z77" s="1"/>
    </row>
    <row r="78" ht="15.75" customHeight="1">
      <c r="A78" s="1"/>
      <c r="B78" s="84" t="s">
        <v>3141</v>
      </c>
      <c r="C78" s="196" t="s">
        <v>382</v>
      </c>
      <c r="D78" s="18"/>
      <c r="E78" s="18"/>
      <c r="F78" s="1"/>
      <c r="G78" s="1"/>
      <c r="H78" s="1"/>
      <c r="I78" s="1"/>
      <c r="J78" s="41"/>
      <c r="K78" s="41"/>
      <c r="L78" s="41"/>
      <c r="M78" s="41"/>
      <c r="N78" s="41"/>
      <c r="O78" s="41"/>
      <c r="P78" s="41"/>
      <c r="Q78" s="41"/>
      <c r="R78" s="41"/>
      <c r="S78" s="41"/>
      <c r="T78" s="41"/>
      <c r="U78" s="41"/>
      <c r="V78" s="41"/>
      <c r="W78" s="41"/>
      <c r="X78" s="41"/>
      <c r="Y78" s="41"/>
      <c r="Z78" s="41"/>
    </row>
    <row r="79" ht="33.75" customHeight="1">
      <c r="A79" s="1"/>
      <c r="B79" s="84" t="s">
        <v>3142</v>
      </c>
      <c r="C79" s="196" t="s">
        <v>382</v>
      </c>
      <c r="D79" s="18"/>
      <c r="E79" s="18"/>
      <c r="F79" s="1"/>
      <c r="G79" s="1"/>
      <c r="H79" s="1"/>
      <c r="I79" s="1"/>
      <c r="J79" s="41"/>
      <c r="K79" s="41"/>
      <c r="L79" s="41"/>
      <c r="M79" s="41"/>
      <c r="N79" s="41"/>
      <c r="O79" s="41"/>
      <c r="P79" s="41"/>
      <c r="Q79" s="41"/>
      <c r="R79" s="41"/>
      <c r="S79" s="41"/>
      <c r="T79" s="41"/>
      <c r="U79" s="41"/>
      <c r="V79" s="41"/>
      <c r="W79" s="41"/>
      <c r="X79" s="41"/>
      <c r="Y79" s="41"/>
      <c r="Z79" s="41"/>
    </row>
    <row r="80" ht="15.75" customHeight="1">
      <c r="A80" s="1"/>
      <c r="B80" s="84" t="s">
        <v>3147</v>
      </c>
      <c r="C80" s="196" t="s">
        <v>382</v>
      </c>
      <c r="D80" s="18"/>
      <c r="E80" s="18"/>
      <c r="F80" s="1"/>
      <c r="G80" s="1"/>
      <c r="H80" s="1"/>
      <c r="I80" s="1"/>
      <c r="J80" s="41"/>
      <c r="K80" s="41"/>
      <c r="L80" s="41"/>
      <c r="M80" s="41"/>
      <c r="N80" s="41"/>
      <c r="O80" s="41"/>
      <c r="P80" s="41"/>
      <c r="Q80" s="41"/>
      <c r="R80" s="41"/>
      <c r="S80" s="41"/>
      <c r="T80" s="41"/>
      <c r="U80" s="41"/>
      <c r="V80" s="41"/>
      <c r="W80" s="41"/>
      <c r="X80" s="41"/>
      <c r="Y80" s="41"/>
      <c r="Z80" s="41"/>
    </row>
    <row r="81" ht="33.75" customHeight="1">
      <c r="A81" s="1"/>
      <c r="B81" s="84" t="s">
        <v>3143</v>
      </c>
      <c r="C81" s="196" t="str">
        <f>UPPER(sample_wld_sddc_domain)</f>
        <v>LAX-W01</v>
      </c>
      <c r="D81" s="18"/>
      <c r="E81" s="18"/>
      <c r="F81" s="1"/>
      <c r="G81" s="1"/>
      <c r="H81" s="1"/>
      <c r="I81" s="1"/>
      <c r="J81" s="41"/>
      <c r="K81" s="41"/>
      <c r="L81" s="41"/>
      <c r="M81" s="41"/>
      <c r="N81" s="41"/>
      <c r="O81" s="41"/>
      <c r="P81" s="41"/>
      <c r="Q81" s="41"/>
      <c r="R81" s="41"/>
      <c r="S81" s="41"/>
      <c r="T81" s="41"/>
      <c r="U81" s="41"/>
      <c r="V81" s="41"/>
      <c r="W81" s="41"/>
      <c r="X81" s="41"/>
      <c r="Y81" s="41"/>
      <c r="Z81" s="41"/>
    </row>
    <row r="82" ht="15.75" customHeight="1">
      <c r="A82" s="1"/>
      <c r="B82" s="84" t="s">
        <v>3144</v>
      </c>
      <c r="C82" s="196" t="str">
        <f>CONCATENATE("srm-administrator@",sample_parent_dns_zone)</f>
        <v>srm-administrator@rainpole.io</v>
      </c>
      <c r="D82" s="18"/>
      <c r="E82" s="18"/>
      <c r="F82" s="1"/>
      <c r="G82" s="1"/>
      <c r="H82" s="1"/>
      <c r="I82" s="1"/>
      <c r="J82" s="41"/>
      <c r="K82" s="41"/>
      <c r="L82" s="41"/>
      <c r="M82" s="41"/>
      <c r="N82" s="41"/>
      <c r="O82" s="41"/>
      <c r="P82" s="41"/>
      <c r="Q82" s="41"/>
      <c r="R82" s="41"/>
      <c r="S82" s="41"/>
      <c r="T82" s="41"/>
      <c r="U82" s="41"/>
      <c r="V82" s="41"/>
      <c r="W82" s="41"/>
      <c r="X82" s="41"/>
      <c r="Y82" s="41"/>
      <c r="Z82" s="41"/>
    </row>
    <row r="83" ht="33.75" customHeight="1">
      <c r="A83" s="1"/>
      <c r="B83" s="84" t="s">
        <v>3146</v>
      </c>
      <c r="C83" s="196" t="s">
        <v>382</v>
      </c>
      <c r="D83" s="18"/>
      <c r="E83" s="18"/>
      <c r="F83" s="1"/>
      <c r="G83" s="1"/>
      <c r="H83" s="1"/>
      <c r="I83" s="1"/>
      <c r="J83" s="41"/>
      <c r="K83" s="41"/>
      <c r="L83" s="41"/>
      <c r="M83" s="41"/>
      <c r="N83" s="41"/>
      <c r="O83" s="41"/>
      <c r="P83" s="41"/>
      <c r="Q83" s="41"/>
      <c r="R83" s="41"/>
      <c r="S83" s="41"/>
      <c r="T83" s="41"/>
      <c r="U83" s="41"/>
      <c r="V83" s="41"/>
      <c r="W83" s="41"/>
      <c r="X83" s="41"/>
      <c r="Y83" s="41"/>
      <c r="Z83" s="41"/>
    </row>
    <row r="84" ht="19.5" customHeight="1">
      <c r="A84" s="1"/>
      <c r="B84" s="362" t="s">
        <v>3137</v>
      </c>
      <c r="C84" s="13"/>
      <c r="D84" s="13"/>
      <c r="E84" s="14"/>
      <c r="F84" s="1"/>
      <c r="G84" s="1"/>
      <c r="H84" s="1"/>
      <c r="I84" s="1"/>
      <c r="J84" s="41"/>
      <c r="K84" s="41"/>
      <c r="L84" s="41"/>
      <c r="M84" s="41"/>
      <c r="N84" s="41"/>
      <c r="O84" s="41"/>
      <c r="P84" s="41"/>
      <c r="Q84" s="41"/>
      <c r="R84" s="41"/>
      <c r="S84" s="41"/>
      <c r="T84" s="41"/>
      <c r="U84" s="41"/>
      <c r="V84" s="41"/>
      <c r="W84" s="41"/>
      <c r="X84" s="41"/>
      <c r="Y84" s="41"/>
      <c r="Z84" s="41"/>
    </row>
    <row r="85" ht="19.5" customHeight="1">
      <c r="A85" s="1"/>
      <c r="B85" s="84" t="s">
        <v>2428</v>
      </c>
      <c r="C85" s="363" t="str">
        <f>CONCATENATE(other_instance,"-w01-vc01.",other_instance,".",sample_parent_dns_zone)</f>
        <v>sfo-w01-vc01.sfo.rainpole.io</v>
      </c>
      <c r="D85" s="18"/>
      <c r="E85" s="18"/>
      <c r="F85" s="1"/>
      <c r="G85" s="1"/>
      <c r="H85" s="1"/>
      <c r="I85" s="1"/>
      <c r="J85" s="41"/>
      <c r="K85" s="41"/>
      <c r="L85" s="41"/>
      <c r="M85" s="41"/>
      <c r="N85" s="41"/>
      <c r="O85" s="41"/>
      <c r="P85" s="41"/>
      <c r="Q85" s="41"/>
      <c r="R85" s="41"/>
      <c r="S85" s="41"/>
      <c r="T85" s="41"/>
      <c r="U85" s="41"/>
      <c r="V85" s="41"/>
      <c r="W85" s="41"/>
      <c r="X85" s="41"/>
      <c r="Y85" s="41"/>
      <c r="Z85" s="41"/>
    </row>
    <row r="86" ht="19.5" customHeight="1">
      <c r="A86" s="1"/>
      <c r="B86" s="84" t="s">
        <v>2431</v>
      </c>
      <c r="C86" s="196" t="s">
        <v>359</v>
      </c>
      <c r="D86" s="18"/>
      <c r="E86" s="18"/>
      <c r="F86" s="1"/>
      <c r="G86" s="1"/>
      <c r="H86" s="1"/>
      <c r="I86" s="1"/>
      <c r="J86" s="41"/>
      <c r="K86" s="41"/>
      <c r="L86" s="41"/>
      <c r="M86" s="41"/>
      <c r="N86" s="41"/>
      <c r="O86" s="41"/>
      <c r="P86" s="41"/>
      <c r="Q86" s="41"/>
      <c r="R86" s="41"/>
      <c r="S86" s="41"/>
      <c r="T86" s="41"/>
      <c r="U86" s="41"/>
      <c r="V86" s="41"/>
      <c r="W86" s="41"/>
      <c r="X86" s="41"/>
      <c r="Y86" s="41"/>
      <c r="Z86" s="41"/>
    </row>
    <row r="87" ht="19.5" customHeight="1">
      <c r="A87" s="1"/>
      <c r="B87" s="84" t="s">
        <v>2433</v>
      </c>
      <c r="C87" s="196" t="s">
        <v>382</v>
      </c>
      <c r="D87" s="18"/>
      <c r="E87" s="18"/>
      <c r="F87" s="1"/>
      <c r="G87" s="1"/>
      <c r="H87" s="1"/>
      <c r="I87" s="1"/>
      <c r="J87" s="41"/>
      <c r="K87" s="41"/>
      <c r="L87" s="41"/>
      <c r="M87" s="41"/>
      <c r="N87" s="41"/>
      <c r="O87" s="41"/>
      <c r="P87" s="41"/>
      <c r="Q87" s="41"/>
      <c r="R87" s="41"/>
      <c r="S87" s="41"/>
      <c r="T87" s="41"/>
      <c r="U87" s="41"/>
      <c r="V87" s="41"/>
      <c r="W87" s="41"/>
      <c r="X87" s="41"/>
      <c r="Y87" s="41"/>
      <c r="Z87" s="41"/>
    </row>
    <row r="88" ht="15.75" customHeight="1">
      <c r="A88" s="1"/>
      <c r="B88" s="84" t="s">
        <v>2459</v>
      </c>
      <c r="C88" s="196" t="str">
        <f>CONCATENATE(prefix_other_region_az1_cidr,"9.0/24")</f>
        <v>10.11.9.0/24</v>
      </c>
      <c r="D88" s="18"/>
      <c r="E88" s="18"/>
      <c r="F88" s="1"/>
      <c r="G88" s="1"/>
      <c r="H88" s="1"/>
      <c r="I88" s="1"/>
      <c r="J88" s="41"/>
      <c r="K88" s="41"/>
      <c r="L88" s="41"/>
      <c r="M88" s="41"/>
      <c r="N88" s="41"/>
      <c r="O88" s="41"/>
      <c r="P88" s="41"/>
      <c r="Q88" s="41"/>
      <c r="R88" s="41"/>
      <c r="S88" s="41"/>
      <c r="T88" s="41"/>
      <c r="U88" s="41"/>
      <c r="V88" s="41"/>
      <c r="W88" s="41"/>
      <c r="X88" s="41"/>
      <c r="Y88" s="41"/>
      <c r="Z88" s="41"/>
    </row>
    <row r="89" ht="33.75" customHeight="1">
      <c r="A89" s="1"/>
      <c r="B89" s="84" t="s">
        <v>3157</v>
      </c>
      <c r="C89" s="196" t="s">
        <v>3158</v>
      </c>
      <c r="D89" s="18"/>
      <c r="E89" s="18"/>
      <c r="F89" s="1"/>
      <c r="G89" s="1"/>
      <c r="H89" s="1"/>
      <c r="I89" s="1"/>
      <c r="J89" s="41"/>
      <c r="K89" s="41"/>
      <c r="L89" s="41"/>
      <c r="M89" s="41"/>
      <c r="N89" s="41"/>
      <c r="O89" s="41"/>
      <c r="P89" s="41"/>
      <c r="Q89" s="41"/>
      <c r="R89" s="41"/>
      <c r="S89" s="41"/>
      <c r="T89" s="41"/>
      <c r="U89" s="41"/>
      <c r="V89" s="41"/>
      <c r="W89" s="41"/>
      <c r="X89" s="41"/>
      <c r="Y89" s="41"/>
      <c r="Z89" s="41"/>
    </row>
    <row r="90" ht="15.75" customHeight="1"/>
    <row r="91" ht="15.75" customHeight="1"/>
    <row r="92" ht="15.75" customHeight="1"/>
    <row r="93" ht="19.5" customHeight="1">
      <c r="A93" s="41"/>
      <c r="B93" s="184" t="s">
        <v>3160</v>
      </c>
      <c r="C93" s="13"/>
      <c r="D93" s="13"/>
      <c r="E93" s="14"/>
      <c r="F93" s="41"/>
      <c r="G93" s="41"/>
      <c r="H93" s="41"/>
      <c r="I93" s="41"/>
      <c r="J93" s="41"/>
      <c r="K93" s="41"/>
      <c r="L93" s="41"/>
      <c r="M93" s="41"/>
      <c r="N93" s="41"/>
      <c r="O93" s="41"/>
      <c r="P93" s="41"/>
      <c r="Q93" s="41"/>
      <c r="R93" s="41"/>
      <c r="S93" s="41"/>
      <c r="T93" s="41"/>
      <c r="U93" s="41"/>
      <c r="V93" s="41"/>
      <c r="W93" s="41"/>
      <c r="X93" s="41"/>
      <c r="Y93" s="41"/>
      <c r="Z93" s="41"/>
    </row>
    <row r="94" ht="19.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9.5" customHeight="1">
      <c r="A95" s="41"/>
      <c r="B95" s="197" t="s">
        <v>3161</v>
      </c>
      <c r="C95" s="13"/>
      <c r="D95" s="13"/>
      <c r="E95" s="14"/>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108" t="s">
        <v>256</v>
      </c>
      <c r="C96" s="108" t="s">
        <v>722</v>
      </c>
      <c r="D96" s="108" t="s">
        <v>274</v>
      </c>
      <c r="E96" s="108" t="s">
        <v>5</v>
      </c>
      <c r="F96" s="41"/>
      <c r="G96" s="41"/>
      <c r="H96" s="41"/>
      <c r="I96" s="41"/>
      <c r="J96" s="41"/>
      <c r="K96" s="41"/>
      <c r="L96" s="41"/>
      <c r="M96" s="41"/>
      <c r="N96" s="41"/>
      <c r="O96" s="41"/>
      <c r="P96" s="41"/>
      <c r="Q96" s="41"/>
      <c r="R96" s="41"/>
      <c r="S96" s="41"/>
      <c r="T96" s="41"/>
      <c r="U96" s="41"/>
      <c r="V96" s="41"/>
      <c r="W96" s="41"/>
      <c r="X96" s="41"/>
      <c r="Y96" s="41"/>
      <c r="Z96" s="41"/>
    </row>
    <row r="97" ht="33.75" customHeight="1">
      <c r="A97" s="41"/>
      <c r="B97" s="84" t="s">
        <v>3162</v>
      </c>
      <c r="C97" s="111" t="str">
        <f>sample_mgmt_vc_fqdn</f>
        <v>lax-m01-vc01.lax.rainpole.io</v>
      </c>
      <c r="D97" s="18" t="str">
        <f>mgmt_vc_fqdn</f>
        <v>Value Missing</v>
      </c>
      <c r="E97" s="191"/>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84" t="s">
        <v>3163</v>
      </c>
      <c r="C98" s="110" t="s">
        <v>3164</v>
      </c>
      <c r="D98" s="18" t="str">
        <f>vrslcm_xreg_vm_folder</f>
        <v/>
      </c>
      <c r="E98" s="191"/>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84" t="s">
        <v>1171</v>
      </c>
      <c r="C99" s="41"/>
      <c r="D99" s="41"/>
      <c r="E99" s="191"/>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197" t="s">
        <v>3165</v>
      </c>
      <c r="C101" s="13"/>
      <c r="D101" s="13"/>
      <c r="E101" s="14"/>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108" t="s">
        <v>256</v>
      </c>
      <c r="C102" s="108" t="s">
        <v>722</v>
      </c>
      <c r="D102" s="108" t="s">
        <v>274</v>
      </c>
      <c r="E102" s="108" t="s">
        <v>5</v>
      </c>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365" t="s">
        <v>3166</v>
      </c>
      <c r="C103" s="111" t="str">
        <f>sample_mgmt_srm_recovery_vcenter_fqdn</f>
        <v>sfo-m01-vc01.sfo.rainpole.io</v>
      </c>
      <c r="D103" s="51" t="str">
        <f>mgmt_srm_recovery_vcenter_fqdn</f>
        <v>Value Missing</v>
      </c>
      <c r="E103" s="366"/>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85" t="s">
        <v>3167</v>
      </c>
      <c r="C104" s="110" t="str">
        <f t="array" ref="C104">sample_vrslcm_xreg_vm_folder</f>
        <v>xint-m01-fd-lcm</v>
      </c>
      <c r="D104" s="18"/>
      <c r="E104" s="191"/>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84" t="s">
        <v>3168</v>
      </c>
      <c r="C105" s="110" t="s">
        <v>3169</v>
      </c>
      <c r="D105" s="18"/>
      <c r="E105" s="191"/>
      <c r="F105" s="41"/>
      <c r="G105" s="41"/>
      <c r="H105" s="41"/>
      <c r="I105" s="41"/>
      <c r="J105" s="41"/>
      <c r="K105" s="41"/>
      <c r="L105" s="41"/>
      <c r="M105" s="41"/>
      <c r="N105" s="41"/>
      <c r="O105" s="41"/>
      <c r="P105" s="41"/>
      <c r="Q105" s="41"/>
      <c r="R105" s="41"/>
      <c r="S105" s="41"/>
      <c r="T105" s="41"/>
      <c r="U105" s="41"/>
      <c r="V105" s="41"/>
      <c r="W105" s="41"/>
      <c r="X105" s="41"/>
      <c r="Y105" s="41"/>
      <c r="Z105" s="41"/>
    </row>
    <row r="106" ht="19.5" customHeight="1">
      <c r="A106" s="41"/>
      <c r="B106" s="84" t="s">
        <v>3170</v>
      </c>
      <c r="C106" s="110" t="s">
        <v>3171</v>
      </c>
      <c r="D106" s="18"/>
      <c r="E106" s="191"/>
      <c r="F106" s="41"/>
      <c r="G106" s="41"/>
      <c r="H106" s="41"/>
      <c r="I106" s="41"/>
      <c r="J106" s="41"/>
      <c r="K106" s="41"/>
      <c r="L106" s="41"/>
      <c r="M106" s="41"/>
      <c r="N106" s="41"/>
      <c r="O106" s="41"/>
      <c r="P106" s="41"/>
      <c r="Q106" s="41"/>
      <c r="R106" s="41"/>
      <c r="S106" s="41"/>
      <c r="T106" s="41"/>
      <c r="U106" s="41"/>
      <c r="V106" s="41"/>
      <c r="W106" s="41"/>
      <c r="X106" s="41"/>
      <c r="Y106" s="41"/>
      <c r="Z106" s="41"/>
    </row>
    <row r="107" ht="19.5" customHeight="1">
      <c r="A107" s="41"/>
      <c r="B107" s="85" t="s">
        <v>3172</v>
      </c>
      <c r="C107" s="110" t="s">
        <v>3173</v>
      </c>
      <c r="D107" s="18"/>
      <c r="E107" s="19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33.75" customHeight="1">
      <c r="A109" s="41"/>
      <c r="B109" s="197" t="s">
        <v>3174</v>
      </c>
      <c r="C109" s="13"/>
      <c r="D109" s="13"/>
      <c r="E109" s="14"/>
      <c r="F109" s="41"/>
      <c r="G109" s="41"/>
      <c r="H109" s="41"/>
      <c r="I109" s="41"/>
      <c r="J109" s="41"/>
      <c r="K109" s="41"/>
      <c r="L109" s="41"/>
      <c r="M109" s="41"/>
      <c r="N109" s="41"/>
      <c r="O109" s="41"/>
      <c r="P109" s="41"/>
      <c r="Q109" s="41"/>
      <c r="R109" s="41"/>
      <c r="S109" s="41"/>
      <c r="T109" s="41"/>
      <c r="U109" s="41"/>
      <c r="V109" s="41"/>
      <c r="W109" s="41"/>
      <c r="X109" s="41"/>
      <c r="Y109" s="41"/>
      <c r="Z109" s="41"/>
    </row>
    <row r="110" ht="19.5" customHeight="1">
      <c r="A110" s="41"/>
      <c r="B110" s="108" t="s">
        <v>256</v>
      </c>
      <c r="C110" s="108" t="s">
        <v>722</v>
      </c>
      <c r="D110" s="108" t="s">
        <v>274</v>
      </c>
      <c r="E110" s="108" t="s">
        <v>5</v>
      </c>
      <c r="F110" s="41"/>
      <c r="G110" s="41"/>
      <c r="H110" s="41"/>
      <c r="I110" s="41"/>
      <c r="J110" s="41"/>
      <c r="K110" s="41"/>
      <c r="L110" s="41"/>
      <c r="M110" s="41"/>
      <c r="N110" s="41"/>
      <c r="O110" s="41"/>
      <c r="P110" s="41"/>
      <c r="Q110" s="41"/>
      <c r="R110" s="41"/>
      <c r="S110" s="41"/>
      <c r="T110" s="41"/>
      <c r="U110" s="41"/>
      <c r="V110" s="41"/>
      <c r="W110" s="41"/>
      <c r="X110" s="41"/>
      <c r="Y110" s="41"/>
      <c r="Z110" s="41"/>
    </row>
    <row r="111" ht="19.5" customHeight="1">
      <c r="A111" s="41"/>
      <c r="B111" s="84" t="s">
        <v>3175</v>
      </c>
      <c r="C111" s="111" t="str">
        <f>IF(mgmt_domain_chosen="First Instance",sample_mgmt_nsxt_gm_vip_fqdn,sample_mgmt_existing_active_nsx_gm)</f>
        <v>sfo-m01-nsx-gm01.sfo.rainpole.io</v>
      </c>
      <c r="D111" s="18" t="str">
        <f>IFERROR(__xludf.DUMMYFUNCTION("SINGLE(IF(mgmt_domain_chosen=""First Domain"",mgmt_nsxt_gm_vip_fqdn,mgmt_existing_active_nsx_gm))"),"Value Missing")</f>
        <v>Value Missing</v>
      </c>
      <c r="E111" s="191"/>
      <c r="F111" s="41"/>
      <c r="G111" s="41"/>
      <c r="H111" s="41"/>
      <c r="I111" s="41"/>
      <c r="J111" s="41"/>
      <c r="K111" s="41"/>
      <c r="L111" s="41"/>
      <c r="M111" s="41"/>
      <c r="N111" s="41"/>
      <c r="O111" s="41"/>
      <c r="P111" s="41"/>
      <c r="Q111" s="41"/>
      <c r="R111" s="41"/>
      <c r="S111" s="41"/>
      <c r="T111" s="41"/>
      <c r="U111" s="41"/>
      <c r="V111" s="41"/>
      <c r="W111" s="41"/>
      <c r="X111" s="41"/>
      <c r="Y111" s="41"/>
      <c r="Z111" s="41"/>
    </row>
    <row r="112" ht="19.5" customHeight="1">
      <c r="A112" s="41"/>
      <c r="B112" s="84" t="s">
        <v>3176</v>
      </c>
      <c r="C112" s="110" t="str">
        <f>sample_mgmt_srm_recovery_nsx_location</f>
        <v>sfo-m01</v>
      </c>
      <c r="D112" s="18" t="str">
        <f>mgmt_srm_recovery_nsx_location</f>
        <v>Value Missing</v>
      </c>
      <c r="E112" s="191"/>
      <c r="F112" s="41"/>
      <c r="G112" s="41"/>
      <c r="H112" s="41"/>
      <c r="I112" s="41"/>
      <c r="J112" s="41"/>
      <c r="K112" s="41"/>
      <c r="L112" s="41"/>
      <c r="M112" s="41"/>
      <c r="N112" s="41"/>
      <c r="O112" s="41"/>
      <c r="P112" s="41"/>
      <c r="Q112" s="41"/>
      <c r="R112" s="41"/>
      <c r="S112" s="41"/>
      <c r="T112" s="41"/>
      <c r="U112" s="41"/>
      <c r="V112" s="41"/>
      <c r="W112" s="41"/>
      <c r="X112" s="41"/>
      <c r="Y112" s="41"/>
      <c r="Z112" s="41"/>
    </row>
    <row r="113" ht="19.5" customHeight="1">
      <c r="A113" s="41"/>
      <c r="B113" s="85" t="s">
        <v>937</v>
      </c>
      <c r="C113" s="110" t="s">
        <v>3177</v>
      </c>
      <c r="D113" s="18" t="str">
        <f>C113</f>
        <v>recovery-t1-gw01</v>
      </c>
      <c r="E113" s="19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85" t="s">
        <v>583</v>
      </c>
      <c r="C114" s="110" t="str">
        <f>sample_mgmt_srm_recovery_nsx_ec_name</f>
        <v>sfo-m01-ec01</v>
      </c>
      <c r="D114" s="18" t="str">
        <f>mgmt_srm_recovery_nsx_ec_name</f>
        <v>Value Missing</v>
      </c>
      <c r="E114" s="191"/>
      <c r="F114" s="41"/>
      <c r="G114" s="41"/>
      <c r="H114" s="41"/>
      <c r="I114" s="41"/>
      <c r="J114" s="41"/>
      <c r="K114" s="41"/>
      <c r="L114" s="41"/>
      <c r="M114" s="41"/>
      <c r="N114" s="41"/>
      <c r="O114" s="41"/>
      <c r="P114" s="41"/>
      <c r="Q114" s="41"/>
      <c r="R114" s="41"/>
      <c r="S114" s="41"/>
      <c r="T114" s="41"/>
      <c r="U114" s="41"/>
      <c r="V114" s="41"/>
      <c r="W114" s="41"/>
      <c r="X114" s="41"/>
      <c r="Y114" s="41"/>
      <c r="Z114" s="41"/>
    </row>
    <row r="115" ht="33.75" customHeight="1">
      <c r="A115" s="41"/>
      <c r="B115" s="85" t="s">
        <v>256</v>
      </c>
      <c r="C115" s="110" t="s">
        <v>3178</v>
      </c>
      <c r="D115" s="18" t="str">
        <f>C115</f>
        <v>recovery-t1-gw01-si01</v>
      </c>
      <c r="E115" s="191"/>
      <c r="F115" s="41"/>
      <c r="G115" s="41"/>
      <c r="H115" s="41"/>
      <c r="I115" s="41"/>
      <c r="J115" s="41"/>
      <c r="K115" s="41"/>
      <c r="L115" s="41"/>
      <c r="M115" s="41"/>
      <c r="N115" s="41"/>
      <c r="O115" s="41"/>
      <c r="P115" s="41"/>
      <c r="Q115" s="41"/>
      <c r="R115" s="41"/>
      <c r="S115" s="41"/>
      <c r="T115" s="41"/>
      <c r="U115" s="41"/>
      <c r="V115" s="41"/>
      <c r="W115" s="41"/>
      <c r="X115" s="41"/>
      <c r="Y115" s="41"/>
      <c r="Z115" s="41"/>
    </row>
    <row r="116" ht="19.5" customHeight="1">
      <c r="A116" s="41"/>
      <c r="B116" s="85" t="s">
        <v>3179</v>
      </c>
      <c r="C116" s="110" t="str">
        <f>IF(sample_reg_seg01_cidr&lt;&gt;"N/A",CONCATENATE(sample_mgmt_srm_recovery_t1_si_ip,"/",INT(RIGHT(sample_reg_seg01_cidr,LEN(sample_reg_seg01_cidr)-FIND("/",sample_reg_seg01_cidr)))),"N/A")</f>
        <v>#NAME?</v>
      </c>
      <c r="D116" s="18" t="str">
        <f>IF(OR((mgmt_srm_recovery_t1_si_ip="Value Missing"),(xreg_seg01_cidr="Value Missing")),"Value Missing",CONCATENATE(mgmt_srm_recovery_t1_si_ip,"/",INT(RIGHT(xreg_seg01_cidr,LEN(xreg_seg01_cidr)-FIND("/",xreg_seg01_cidr)))))</f>
        <v>#NAME?</v>
      </c>
      <c r="E116" s="191"/>
      <c r="F116" s="41"/>
      <c r="G116" s="41"/>
      <c r="H116" s="41"/>
      <c r="I116" s="41"/>
      <c r="J116" s="41"/>
      <c r="K116" s="41"/>
      <c r="L116" s="41"/>
      <c r="M116" s="41"/>
      <c r="N116" s="41"/>
      <c r="O116" s="41"/>
      <c r="P116" s="41"/>
      <c r="Q116" s="41"/>
      <c r="R116" s="41"/>
      <c r="S116" s="41"/>
      <c r="T116" s="41"/>
      <c r="U116" s="41"/>
      <c r="V116" s="41"/>
      <c r="W116" s="41"/>
      <c r="X116" s="41"/>
      <c r="Y116" s="41"/>
      <c r="Z116" s="41"/>
    </row>
    <row r="117" ht="19.5" customHeight="1">
      <c r="A117" s="41"/>
      <c r="B117" s="85" t="s">
        <v>3180</v>
      </c>
      <c r="C117" s="110" t="str">
        <f>sample_xreg_seg01_name</f>
        <v/>
      </c>
      <c r="D117" s="18" t="str">
        <f>xreg_seg01_name</f>
        <v>#NAME?</v>
      </c>
      <c r="E117" s="191"/>
      <c r="F117" s="41"/>
      <c r="G117" s="41"/>
      <c r="H117" s="41"/>
      <c r="I117" s="41"/>
      <c r="J117" s="41"/>
      <c r="K117" s="41"/>
      <c r="L117" s="41"/>
      <c r="M117" s="41"/>
      <c r="N117" s="41"/>
      <c r="O117" s="41"/>
      <c r="P117" s="41"/>
      <c r="Q117" s="41"/>
      <c r="R117" s="41"/>
      <c r="S117" s="41"/>
      <c r="T117" s="41"/>
      <c r="U117" s="41"/>
      <c r="V117" s="41"/>
      <c r="W117" s="41"/>
      <c r="X117" s="41"/>
      <c r="Y117" s="41"/>
      <c r="Z117" s="41"/>
    </row>
    <row r="118" ht="19.5" customHeight="1">
      <c r="A118" s="41"/>
      <c r="B118" s="84" t="s">
        <v>741</v>
      </c>
      <c r="C118" s="110" t="str">
        <f>sample_xreg_seg01_gateway_ip</f>
        <v>#NAME?</v>
      </c>
      <c r="D118" s="18" t="str">
        <f>xreg_seg01_gateway_ip</f>
        <v>#NAME?</v>
      </c>
      <c r="E118" s="191"/>
      <c r="F118" s="41"/>
      <c r="G118" s="41"/>
      <c r="H118" s="41"/>
      <c r="I118" s="41"/>
      <c r="J118" s="41"/>
      <c r="K118" s="41"/>
      <c r="L118" s="41"/>
      <c r="M118" s="41"/>
      <c r="N118" s="41"/>
      <c r="O118" s="41"/>
      <c r="P118" s="41"/>
      <c r="Q118" s="41"/>
      <c r="R118" s="41"/>
      <c r="S118" s="41"/>
      <c r="T118" s="41"/>
      <c r="U118" s="41"/>
      <c r="V118" s="41"/>
      <c r="W118" s="41"/>
      <c r="X118" s="41"/>
      <c r="Y118" s="41"/>
      <c r="Z118" s="41"/>
    </row>
    <row r="119" ht="19.5" customHeight="1">
      <c r="A119" s="41"/>
      <c r="B119" s="84" t="s">
        <v>3181</v>
      </c>
      <c r="C119" s="110" t="s">
        <v>3178</v>
      </c>
      <c r="D119" s="18" t="str">
        <f>C119</f>
        <v>recovery-t1-gw01-si01</v>
      </c>
      <c r="E119" s="19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33.75" customHeight="1">
      <c r="A121" s="41"/>
      <c r="B121" s="197" t="s">
        <v>3182</v>
      </c>
      <c r="C121" s="13"/>
      <c r="D121" s="13"/>
      <c r="E121" s="14"/>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108" t="s">
        <v>256</v>
      </c>
      <c r="C122" s="108" t="s">
        <v>722</v>
      </c>
      <c r="D122" s="108" t="s">
        <v>274</v>
      </c>
      <c r="E122" s="108" t="s">
        <v>5</v>
      </c>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84" t="s">
        <v>3175</v>
      </c>
      <c r="C123" s="111" t="str">
        <f t="array" ref="C123">IF(mgmt_domain_chosen="First Domain",CONCATENATE(sample_mgmt_nsxt_gm_hostname,".",sample_child_dns_zone),sample_mgmt_existing_active_nsx_gm)</f>
        <v>sfo-m01-nsx-gm01.sfo.rainpole.io</v>
      </c>
      <c r="D123" s="18" t="str">
        <f>IFERROR(__xludf.DUMMYFUNCTION("SINGLE(IF(mgmt_domain_chosen=""First Domain"",mgmt_nsxt_gm_vip_fqdn,mgmt_existing_active_nsx_gm))"),"Value Missing")</f>
        <v>Value Missing</v>
      </c>
      <c r="E123" s="191"/>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84" t="s">
        <v>3176</v>
      </c>
      <c r="C124" s="110" t="str">
        <f>sample_mgmt_srm_recovery_nsx_location</f>
        <v>sfo-m01</v>
      </c>
      <c r="D124" s="18" t="str">
        <f>mgmt_srm_recovery_nsx_location</f>
        <v>Value Missing</v>
      </c>
      <c r="E124" s="191"/>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85" t="s">
        <v>256</v>
      </c>
      <c r="C125" s="110" t="s">
        <v>3183</v>
      </c>
      <c r="D125" s="18" t="str">
        <f>C125</f>
        <v>recovery-lb01</v>
      </c>
      <c r="E125" s="19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33.75" customHeight="1">
      <c r="A127" s="41"/>
      <c r="B127" s="197" t="s">
        <v>3184</v>
      </c>
      <c r="C127" s="13"/>
      <c r="D127" s="13"/>
      <c r="E127" s="14"/>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108" t="s">
        <v>256</v>
      </c>
      <c r="C128" s="108" t="s">
        <v>722</v>
      </c>
      <c r="D128" s="108" t="s">
        <v>274</v>
      </c>
      <c r="E128" s="108" t="s">
        <v>5</v>
      </c>
      <c r="F128" s="41"/>
      <c r="G128" s="41"/>
      <c r="H128" s="41"/>
      <c r="I128" s="41"/>
      <c r="J128" s="41"/>
      <c r="K128" s="41"/>
      <c r="L128" s="41"/>
      <c r="M128" s="41"/>
      <c r="N128" s="41"/>
      <c r="O128" s="41"/>
      <c r="P128" s="41"/>
      <c r="Q128" s="41"/>
      <c r="R128" s="41"/>
      <c r="S128" s="41"/>
      <c r="T128" s="41"/>
      <c r="U128" s="41"/>
      <c r="V128" s="41"/>
      <c r="W128" s="41"/>
      <c r="X128" s="41"/>
      <c r="Y128" s="41"/>
      <c r="Z128" s="41"/>
    </row>
    <row r="129" ht="19.5" customHeight="1">
      <c r="A129" s="41"/>
      <c r="B129" s="84" t="s">
        <v>3175</v>
      </c>
      <c r="C129" s="111" t="str">
        <f t="array" ref="C129">IF(mgmt_domain_chosen="First Domain",CONCATENATE(sample_mgmt_nsxt_gm_hostname,".",sample_child_dns_zone),sample_mgmt_existing_active_nsx_gm)</f>
        <v>sfo-m01-nsx-gm01.sfo.rainpole.io</v>
      </c>
      <c r="D129" s="18" t="str">
        <f>IFERROR(__xludf.DUMMYFUNCTION("SINGLE(IF(mgmt_domain_chosen=""First Domain"",mgmt_nsxt_gm_vip_fqdn,mgmt_existing_active_nsx_gm))"),"Value Missing")</f>
        <v>Value Missing</v>
      </c>
      <c r="E129" s="191"/>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84" t="s">
        <v>3176</v>
      </c>
      <c r="C130" s="110" t="str">
        <f>sample_mgmt_srm_recovery_nsx_location</f>
        <v>sfo-m01</v>
      </c>
      <c r="D130" s="18" t="str">
        <f>mgmt_srm_recovery_nsx_location</f>
        <v>Value Missing</v>
      </c>
      <c r="E130" s="191"/>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85" t="s">
        <v>256</v>
      </c>
      <c r="C131" s="110"/>
      <c r="D131" s="18"/>
      <c r="E131" s="191"/>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197" t="s">
        <v>3185</v>
      </c>
      <c r="C133" s="13"/>
      <c r="D133" s="13"/>
      <c r="E133" s="14"/>
      <c r="F133" s="41"/>
      <c r="G133" s="41"/>
      <c r="H133" s="41"/>
      <c r="I133" s="41"/>
      <c r="J133" s="41"/>
      <c r="K133" s="41"/>
      <c r="L133" s="41"/>
      <c r="M133" s="41"/>
      <c r="N133" s="41"/>
      <c r="O133" s="41"/>
      <c r="P133" s="41"/>
      <c r="Q133" s="41"/>
      <c r="R133" s="41"/>
      <c r="S133" s="41"/>
      <c r="T133" s="41"/>
      <c r="U133" s="41"/>
      <c r="V133" s="41"/>
      <c r="W133" s="41"/>
      <c r="X133" s="41"/>
      <c r="Y133" s="41"/>
      <c r="Z133" s="41"/>
    </row>
    <row r="134" ht="19.5" customHeight="1">
      <c r="A134" s="41"/>
      <c r="B134" s="108" t="s">
        <v>256</v>
      </c>
      <c r="C134" s="108" t="s">
        <v>722</v>
      </c>
      <c r="D134" s="108" t="s">
        <v>274</v>
      </c>
      <c r="E134" s="108" t="s">
        <v>5</v>
      </c>
      <c r="F134" s="41"/>
      <c r="G134" s="41"/>
      <c r="H134" s="41"/>
      <c r="I134" s="41"/>
      <c r="J134" s="41"/>
      <c r="K134" s="41"/>
      <c r="L134" s="41"/>
      <c r="M134" s="41"/>
      <c r="N134" s="41"/>
      <c r="O134" s="41"/>
      <c r="P134" s="41"/>
      <c r="Q134" s="41"/>
      <c r="R134" s="41"/>
      <c r="S134" s="41"/>
      <c r="T134" s="41"/>
      <c r="U134" s="41"/>
      <c r="V134" s="41"/>
      <c r="W134" s="41"/>
      <c r="X134" s="41"/>
      <c r="Y134" s="41"/>
      <c r="Z134" s="41"/>
    </row>
    <row r="135" ht="19.5" customHeight="1">
      <c r="A135" s="41"/>
      <c r="B135" s="84" t="s">
        <v>3175</v>
      </c>
      <c r="C135" s="111" t="str">
        <f t="array" ref="C135">IF(mgmt_domain_chosen="First Domain",CONCATENATE(sample_mgmt_nsxt_gm_hostname,".",sample_child_dns_zone),sample_mgmt_existing_active_nsx_gm)</f>
        <v>sfo-m01-nsx-gm01.sfo.rainpole.io</v>
      </c>
      <c r="D135" s="18" t="str">
        <f>IFERROR(__xludf.DUMMYFUNCTION("SINGLE(IF(mgmt_domain_chosen=""First Domain"",mgmt_nsxt_gm_vip_fqdn,mgmt_existing_active_nsx_gm))"),"Value Missing")</f>
        <v>Value Missing</v>
      </c>
      <c r="E135" s="191"/>
      <c r="F135" s="41"/>
      <c r="G135" s="41"/>
      <c r="H135" s="41"/>
      <c r="I135" s="41"/>
      <c r="J135" s="41"/>
      <c r="K135" s="41"/>
      <c r="L135" s="41"/>
      <c r="M135" s="41"/>
      <c r="N135" s="41"/>
      <c r="O135" s="41"/>
      <c r="P135" s="41"/>
      <c r="Q135" s="41"/>
      <c r="R135" s="41"/>
      <c r="S135" s="41"/>
      <c r="T135" s="41"/>
      <c r="U135" s="41"/>
      <c r="V135" s="41"/>
      <c r="W135" s="41"/>
      <c r="X135" s="41"/>
      <c r="Y135" s="41"/>
      <c r="Z135" s="41"/>
    </row>
    <row r="136" ht="19.5" customHeight="1">
      <c r="A136" s="41"/>
      <c r="B136" s="84" t="s">
        <v>3176</v>
      </c>
      <c r="C136" s="110" t="str">
        <f>sample_mgmt_srm_recovery_nsx_location</f>
        <v>sfo-m01</v>
      </c>
      <c r="D136" s="18" t="str">
        <f>mgmt_srm_recovery_nsx_location</f>
        <v>Value Missing</v>
      </c>
      <c r="E136" s="191"/>
      <c r="F136" s="41"/>
      <c r="G136" s="41"/>
      <c r="H136" s="41"/>
      <c r="I136" s="41"/>
      <c r="J136" s="41"/>
      <c r="K136" s="41"/>
      <c r="L136" s="41"/>
      <c r="M136" s="41"/>
      <c r="N136" s="41"/>
      <c r="O136" s="41"/>
      <c r="P136" s="41"/>
      <c r="Q136" s="41"/>
      <c r="R136" s="41"/>
      <c r="S136" s="41"/>
      <c r="T136" s="41"/>
      <c r="U136" s="41"/>
      <c r="V136" s="41"/>
      <c r="W136" s="41"/>
      <c r="X136" s="41"/>
      <c r="Y136" s="41"/>
      <c r="Z136" s="41"/>
    </row>
    <row r="137" ht="19.5" customHeight="1">
      <c r="A137" s="41"/>
      <c r="B137" s="85" t="s">
        <v>256</v>
      </c>
      <c r="C137" s="110" t="s">
        <v>3186</v>
      </c>
      <c r="D137" s="18" t="str">
        <f>C137</f>
        <v>vrops-https-monitor</v>
      </c>
      <c r="E137" s="191"/>
      <c r="F137" s="41"/>
      <c r="G137" s="41"/>
      <c r="H137" s="41"/>
      <c r="I137" s="41"/>
      <c r="J137" s="41"/>
      <c r="K137" s="41"/>
      <c r="L137" s="41"/>
      <c r="M137" s="41"/>
      <c r="N137" s="41"/>
      <c r="O137" s="41"/>
      <c r="P137" s="41"/>
      <c r="Q137" s="41"/>
      <c r="R137" s="41"/>
      <c r="S137" s="41"/>
      <c r="T137" s="41"/>
      <c r="U137" s="41"/>
      <c r="V137" s="41"/>
      <c r="W137" s="41"/>
      <c r="X137" s="41"/>
      <c r="Y137" s="41"/>
      <c r="Z137" s="41"/>
    </row>
    <row r="138" ht="19.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197" t="s">
        <v>3187</v>
      </c>
      <c r="C139" s="13"/>
      <c r="D139" s="13"/>
      <c r="E139" s="14"/>
      <c r="F139" s="41"/>
      <c r="G139" s="41"/>
      <c r="H139" s="41"/>
      <c r="I139" s="41"/>
      <c r="J139" s="41"/>
      <c r="K139" s="41"/>
      <c r="L139" s="41"/>
      <c r="M139" s="41"/>
      <c r="N139" s="41"/>
      <c r="O139" s="41"/>
      <c r="P139" s="41"/>
      <c r="Q139" s="41"/>
      <c r="R139" s="41"/>
      <c r="S139" s="41"/>
      <c r="T139" s="41"/>
      <c r="U139" s="41"/>
      <c r="V139" s="41"/>
      <c r="W139" s="41"/>
      <c r="X139" s="41"/>
      <c r="Y139" s="41"/>
      <c r="Z139" s="41"/>
    </row>
    <row r="140" ht="33.75" customHeight="1">
      <c r="A140" s="41"/>
      <c r="B140" s="108" t="s">
        <v>256</v>
      </c>
      <c r="C140" s="108" t="s">
        <v>722</v>
      </c>
      <c r="D140" s="108" t="s">
        <v>274</v>
      </c>
      <c r="E140" s="108" t="s">
        <v>5</v>
      </c>
      <c r="F140" s="41"/>
      <c r="G140" s="41"/>
      <c r="H140" s="41"/>
      <c r="I140" s="41"/>
      <c r="J140" s="41"/>
      <c r="K140" s="41"/>
      <c r="L140" s="41"/>
      <c r="M140" s="41"/>
      <c r="N140" s="41"/>
      <c r="O140" s="41"/>
      <c r="P140" s="41"/>
      <c r="Q140" s="41"/>
      <c r="R140" s="41"/>
      <c r="S140" s="41"/>
      <c r="T140" s="41"/>
      <c r="U140" s="41"/>
      <c r="V140" s="41"/>
      <c r="W140" s="41"/>
      <c r="X140" s="41"/>
      <c r="Y140" s="41"/>
      <c r="Z140" s="41"/>
    </row>
    <row r="141" ht="19.5" customHeight="1">
      <c r="A141" s="41"/>
      <c r="B141" s="84" t="s">
        <v>3175</v>
      </c>
      <c r="C141" s="111" t="str">
        <f t="array" ref="C141">IF(mgmt_domain_chosen="First Domain",CONCATENATE(sample_mgmt_nsxt_gm_hostname,".",sample_child_dns_zone),sample_mgmt_existing_active_nsx_gm)</f>
        <v>sfo-m01-nsx-gm01.sfo.rainpole.io</v>
      </c>
      <c r="D141" s="18" t="str">
        <f>IFERROR(__xludf.DUMMYFUNCTION("SINGLE(IF(mgmt_domain_chosen=""First Domain"",mgmt_nsxt_gm_vip_fqdn,mgmt_existing_active_nsx_gm))"),"Value Missing")</f>
        <v>Value Missing</v>
      </c>
      <c r="E141" s="191"/>
      <c r="F141" s="41"/>
      <c r="G141" s="41"/>
      <c r="H141" s="41"/>
      <c r="I141" s="41"/>
      <c r="J141" s="41"/>
      <c r="K141" s="41"/>
      <c r="L141" s="41"/>
      <c r="M141" s="41"/>
      <c r="N141" s="41"/>
      <c r="O141" s="41"/>
      <c r="P141" s="41"/>
      <c r="Q141" s="41"/>
      <c r="R141" s="41"/>
      <c r="S141" s="41"/>
      <c r="T141" s="41"/>
      <c r="U141" s="41"/>
      <c r="V141" s="41"/>
      <c r="W141" s="41"/>
      <c r="X141" s="41"/>
      <c r="Y141" s="41"/>
      <c r="Z141" s="41"/>
    </row>
    <row r="142" ht="19.5" customHeight="1">
      <c r="A142" s="41"/>
      <c r="B142" s="84" t="s">
        <v>3176</v>
      </c>
      <c r="C142" s="110" t="str">
        <f>sample_mgmt_srm_recovery_nsx_location</f>
        <v>sfo-m01</v>
      </c>
      <c r="D142" s="18" t="str">
        <f>mgmt_srm_recovery_nsx_location</f>
        <v>Value Missing</v>
      </c>
      <c r="E142" s="191"/>
      <c r="F142" s="41"/>
      <c r="G142" s="41"/>
      <c r="H142" s="41"/>
      <c r="I142" s="41"/>
      <c r="J142" s="41"/>
      <c r="K142" s="41"/>
      <c r="L142" s="41"/>
      <c r="M142" s="41"/>
      <c r="N142" s="41"/>
      <c r="O142" s="41"/>
      <c r="P142" s="41"/>
      <c r="Q142" s="41"/>
      <c r="R142" s="41"/>
      <c r="S142" s="41"/>
      <c r="T142" s="41"/>
      <c r="U142" s="41"/>
      <c r="V142" s="41"/>
      <c r="W142" s="41"/>
      <c r="X142" s="41"/>
      <c r="Y142" s="41"/>
      <c r="Z142" s="41"/>
    </row>
    <row r="143" ht="19.5" customHeight="1">
      <c r="A143" s="41"/>
      <c r="B143" s="85" t="s">
        <v>256</v>
      </c>
      <c r="C143" s="110" t="s">
        <v>3188</v>
      </c>
      <c r="D143" s="18" t="str">
        <f t="shared" ref="D143:D144" si="1">C143</f>
        <v>vrops-server-pool</v>
      </c>
      <c r="E143" s="191"/>
      <c r="F143" s="41"/>
      <c r="G143" s="41"/>
      <c r="H143" s="41"/>
      <c r="I143" s="41"/>
      <c r="J143" s="41"/>
      <c r="K143" s="41"/>
      <c r="L143" s="41"/>
      <c r="M143" s="41"/>
      <c r="N143" s="41"/>
      <c r="O143" s="41"/>
      <c r="P143" s="41"/>
      <c r="Q143" s="41"/>
      <c r="R143" s="41"/>
      <c r="S143" s="41"/>
      <c r="T143" s="41"/>
      <c r="U143" s="41"/>
      <c r="V143" s="41"/>
      <c r="W143" s="41"/>
      <c r="X143" s="41"/>
      <c r="Y143" s="41"/>
      <c r="Z143" s="41"/>
    </row>
    <row r="144" ht="19.5" customHeight="1">
      <c r="A144" s="41"/>
      <c r="B144" s="85" t="s">
        <v>3189</v>
      </c>
      <c r="C144" s="110" t="s">
        <v>3190</v>
      </c>
      <c r="D144" s="18" t="str">
        <f t="shared" si="1"/>
        <v>vrops01svr01a</v>
      </c>
      <c r="E144" s="191"/>
      <c r="F144" s="41"/>
      <c r="G144" s="41"/>
      <c r="H144" s="41"/>
      <c r="I144" s="41"/>
      <c r="J144" s="41"/>
      <c r="K144" s="41"/>
      <c r="L144" s="41"/>
      <c r="M144" s="41"/>
      <c r="N144" s="41"/>
      <c r="O144" s="41"/>
      <c r="P144" s="41"/>
      <c r="Q144" s="41"/>
      <c r="R144" s="41"/>
      <c r="S144" s="41"/>
      <c r="T144" s="41"/>
      <c r="U144" s="41"/>
      <c r="V144" s="41"/>
      <c r="W144" s="41"/>
      <c r="X144" s="41"/>
      <c r="Y144" s="41"/>
      <c r="Z144" s="41"/>
    </row>
    <row r="145" ht="19.5" customHeight="1">
      <c r="A145" s="41"/>
      <c r="B145" s="85" t="s">
        <v>3191</v>
      </c>
      <c r="C145" s="110" t="str">
        <f>sample_xreg_vrops_nodea_ip</f>
        <v>10.21.10.52</v>
      </c>
      <c r="D145" s="18" t="str">
        <f>xreg_vrops_nodea_ip</f>
        <v>Value Missing</v>
      </c>
      <c r="E145" s="191"/>
      <c r="F145" s="41"/>
      <c r="G145" s="41"/>
      <c r="H145" s="41"/>
      <c r="I145" s="41"/>
      <c r="J145" s="41"/>
      <c r="K145" s="41"/>
      <c r="L145" s="41"/>
      <c r="M145" s="41"/>
      <c r="N145" s="41"/>
      <c r="O145" s="41"/>
      <c r="P145" s="41"/>
      <c r="Q145" s="41"/>
      <c r="R145" s="41"/>
      <c r="S145" s="41"/>
      <c r="T145" s="41"/>
      <c r="U145" s="41"/>
      <c r="V145" s="41"/>
      <c r="W145" s="41"/>
      <c r="X145" s="41"/>
      <c r="Y145" s="41"/>
      <c r="Z145" s="41"/>
    </row>
    <row r="146" ht="19.5" customHeight="1">
      <c r="A146" s="41"/>
      <c r="B146" s="85" t="s">
        <v>3192</v>
      </c>
      <c r="C146" s="110" t="s">
        <v>3193</v>
      </c>
      <c r="D146" s="18" t="str">
        <f>C146</f>
        <v>vrops01svr01b</v>
      </c>
      <c r="E146" s="19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85" t="s">
        <v>3194</v>
      </c>
      <c r="C147" s="110" t="str">
        <f>sample_xreg_vrops_nodeb_ip</f>
        <v>10.21.10.53</v>
      </c>
      <c r="D147" s="18" t="str">
        <f>xreg_vrops_nodeb_ip</f>
        <v>Value Missing</v>
      </c>
      <c r="E147" s="191"/>
      <c r="F147" s="41"/>
      <c r="G147" s="41"/>
      <c r="H147" s="41"/>
      <c r="I147" s="41"/>
      <c r="J147" s="41"/>
      <c r="K147" s="41"/>
      <c r="L147" s="41"/>
      <c r="M147" s="41"/>
      <c r="N147" s="41"/>
      <c r="O147" s="41"/>
      <c r="P147" s="41"/>
      <c r="Q147" s="41"/>
      <c r="R147" s="41"/>
      <c r="S147" s="41"/>
      <c r="T147" s="41"/>
      <c r="U147" s="41"/>
      <c r="V147" s="41"/>
      <c r="W147" s="41"/>
      <c r="X147" s="41"/>
      <c r="Y147" s="41"/>
      <c r="Z147" s="41"/>
    </row>
    <row r="148" ht="33.75" customHeight="1">
      <c r="A148" s="41"/>
      <c r="B148" s="84" t="s">
        <v>3195</v>
      </c>
      <c r="C148" s="110" t="s">
        <v>3196</v>
      </c>
      <c r="D148" s="18" t="str">
        <f>C148</f>
        <v>vrops01svr01c</v>
      </c>
      <c r="E148" s="191"/>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84" t="s">
        <v>3197</v>
      </c>
      <c r="C149" s="110" t="str">
        <f>sample_xreg_vrops_nodec_ip</f>
        <v>10.21.10.54</v>
      </c>
      <c r="D149" s="18" t="str">
        <f>xreg_vrops_nodec_ip</f>
        <v>Value Missing</v>
      </c>
      <c r="E149" s="191"/>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85" t="s">
        <v>3198</v>
      </c>
      <c r="C150" s="110" t="s">
        <v>3186</v>
      </c>
      <c r="D150" s="18" t="str">
        <f>C150</f>
        <v>vrops-https-monitor</v>
      </c>
      <c r="E150" s="191"/>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9.5" customHeight="1">
      <c r="A152" s="41"/>
      <c r="B152" s="197" t="s">
        <v>3199</v>
      </c>
      <c r="C152" s="13"/>
      <c r="D152" s="13"/>
      <c r="E152" s="14"/>
      <c r="F152" s="41"/>
      <c r="G152" s="41"/>
      <c r="H152" s="41"/>
      <c r="I152" s="41"/>
      <c r="J152" s="41"/>
      <c r="K152" s="41"/>
      <c r="L152" s="41"/>
      <c r="M152" s="41"/>
      <c r="N152" s="41"/>
      <c r="O152" s="41"/>
      <c r="P152" s="41"/>
      <c r="Q152" s="41"/>
      <c r="R152" s="41"/>
      <c r="S152" s="41"/>
      <c r="T152" s="41"/>
      <c r="U152" s="41"/>
      <c r="V152" s="41"/>
      <c r="W152" s="41"/>
      <c r="X152" s="41"/>
      <c r="Y152" s="41"/>
      <c r="Z152" s="41"/>
    </row>
    <row r="153" ht="19.5" customHeight="1">
      <c r="A153" s="41"/>
      <c r="B153" s="108" t="s">
        <v>256</v>
      </c>
      <c r="C153" s="108" t="s">
        <v>722</v>
      </c>
      <c r="D153" s="108" t="s">
        <v>274</v>
      </c>
      <c r="E153" s="108" t="s">
        <v>5</v>
      </c>
      <c r="F153" s="41"/>
      <c r="G153" s="41"/>
      <c r="H153" s="41"/>
      <c r="I153" s="41"/>
      <c r="J153" s="41"/>
      <c r="K153" s="41"/>
      <c r="L153" s="41"/>
      <c r="M153" s="41"/>
      <c r="N153" s="41"/>
      <c r="O153" s="41"/>
      <c r="P153" s="41"/>
      <c r="Q153" s="41"/>
      <c r="R153" s="41"/>
      <c r="S153" s="41"/>
      <c r="T153" s="41"/>
      <c r="U153" s="41"/>
      <c r="V153" s="41"/>
      <c r="W153" s="41"/>
      <c r="X153" s="41"/>
      <c r="Y153" s="41"/>
      <c r="Z153" s="41"/>
    </row>
    <row r="154" ht="19.5" customHeight="1">
      <c r="A154" s="41"/>
      <c r="B154" s="84" t="s">
        <v>3175</v>
      </c>
      <c r="C154" s="111" t="str">
        <f t="array" ref="C154">IF(mgmt_domain_chosen="First Domain",CONCATENATE(sample_mgmt_nsxt_gm_hostname,".",sample_child_dns_zone),sample_mgmt_existing_active_nsx_gm)</f>
        <v>sfo-m01-nsx-gm01.sfo.rainpole.io</v>
      </c>
      <c r="D154" s="18" t="str">
        <f>IFERROR(__xludf.DUMMYFUNCTION("SINGLE(IF(mgmt_domain_chosen=""First Domain"",mgmt_nsxt_gm_vip_fqdn,mgmt_existing_active_nsx_gm))"),"Value Missing")</f>
        <v>Value Missing</v>
      </c>
      <c r="E154" s="191"/>
      <c r="F154" s="41"/>
      <c r="G154" s="41"/>
      <c r="H154" s="41"/>
      <c r="I154" s="41"/>
      <c r="J154" s="41"/>
      <c r="K154" s="41"/>
      <c r="L154" s="41"/>
      <c r="M154" s="41"/>
      <c r="N154" s="41"/>
      <c r="O154" s="41"/>
      <c r="P154" s="41"/>
      <c r="Q154" s="41"/>
      <c r="R154" s="41"/>
      <c r="S154" s="41"/>
      <c r="T154" s="41"/>
      <c r="U154" s="41"/>
      <c r="V154" s="41"/>
      <c r="W154" s="41"/>
      <c r="X154" s="41"/>
      <c r="Y154" s="41"/>
      <c r="Z154" s="41"/>
    </row>
    <row r="155" ht="19.5" customHeight="1">
      <c r="A155" s="41"/>
      <c r="B155" s="84" t="s">
        <v>3176</v>
      </c>
      <c r="C155" s="110" t="str">
        <f>sample_mgmt_srm_recovery_nsx_location</f>
        <v>sfo-m01</v>
      </c>
      <c r="D155" s="18" t="str">
        <f>mgmt_srm_recovery_nsx_location</f>
        <v>Value Missing</v>
      </c>
      <c r="E155" s="191"/>
      <c r="F155" s="41"/>
      <c r="G155" s="41"/>
      <c r="H155" s="41"/>
      <c r="I155" s="41"/>
      <c r="J155" s="41"/>
      <c r="K155" s="41"/>
      <c r="L155" s="41"/>
      <c r="M155" s="41"/>
      <c r="N155" s="41"/>
      <c r="O155" s="41"/>
      <c r="P155" s="41"/>
      <c r="Q155" s="41"/>
      <c r="R155" s="41"/>
      <c r="S155" s="41"/>
      <c r="T155" s="41"/>
      <c r="U155" s="41"/>
      <c r="V155" s="41"/>
      <c r="W155" s="41"/>
      <c r="X155" s="41"/>
      <c r="Y155" s="41"/>
      <c r="Z155" s="41"/>
    </row>
    <row r="156" ht="19.5" customHeight="1">
      <c r="A156" s="41"/>
      <c r="B156" s="85" t="s">
        <v>3200</v>
      </c>
      <c r="C156" s="110" t="s">
        <v>3201</v>
      </c>
      <c r="D156" s="18" t="str">
        <f t="shared" ref="D156:D158" si="2">C156</f>
        <v>vrops-tcp-app-profile</v>
      </c>
      <c r="E156" s="191"/>
      <c r="F156" s="41"/>
      <c r="G156" s="41"/>
      <c r="H156" s="41"/>
      <c r="I156" s="41"/>
      <c r="J156" s="41"/>
      <c r="K156" s="41"/>
      <c r="L156" s="41"/>
      <c r="M156" s="41"/>
      <c r="N156" s="41"/>
      <c r="O156" s="41"/>
      <c r="P156" s="41"/>
      <c r="Q156" s="41"/>
      <c r="R156" s="41"/>
      <c r="S156" s="41"/>
      <c r="T156" s="41"/>
      <c r="U156" s="41"/>
      <c r="V156" s="41"/>
      <c r="W156" s="41"/>
      <c r="X156" s="41"/>
      <c r="Y156" s="41"/>
      <c r="Z156" s="41"/>
    </row>
    <row r="157" ht="19.5" customHeight="1">
      <c r="A157" s="41"/>
      <c r="B157" s="85" t="s">
        <v>3202</v>
      </c>
      <c r="C157" s="110" t="s">
        <v>3203</v>
      </c>
      <c r="D157" s="18" t="str">
        <f t="shared" si="2"/>
        <v>vrops-http-app-profile-redirect</v>
      </c>
      <c r="E157" s="191"/>
      <c r="F157" s="41"/>
      <c r="G157" s="41"/>
      <c r="H157" s="41"/>
      <c r="I157" s="41"/>
      <c r="J157" s="41"/>
      <c r="K157" s="41"/>
      <c r="L157" s="41"/>
      <c r="M157" s="41"/>
      <c r="N157" s="41"/>
      <c r="O157" s="41"/>
      <c r="P157" s="41"/>
      <c r="Q157" s="41"/>
      <c r="R157" s="41"/>
      <c r="S157" s="41"/>
      <c r="T157" s="41"/>
      <c r="U157" s="41"/>
      <c r="V157" s="41"/>
      <c r="W157" s="41"/>
      <c r="X157" s="41"/>
      <c r="Y157" s="41"/>
      <c r="Z157" s="41"/>
    </row>
    <row r="158" ht="19.5" customHeight="1">
      <c r="A158" s="41"/>
      <c r="B158" s="85" t="s">
        <v>3204</v>
      </c>
      <c r="C158" s="110" t="s">
        <v>3205</v>
      </c>
      <c r="D158" s="18" t="str">
        <f t="shared" si="2"/>
        <v>vrops-source-ip-persistence-profile</v>
      </c>
      <c r="E158" s="191"/>
      <c r="F158" s="41"/>
      <c r="G158" s="41"/>
      <c r="H158" s="41"/>
      <c r="I158" s="41"/>
      <c r="J158" s="41"/>
      <c r="K158" s="41"/>
      <c r="L158" s="41"/>
      <c r="M158" s="41"/>
      <c r="N158" s="41"/>
      <c r="O158" s="41"/>
      <c r="P158" s="41"/>
      <c r="Q158" s="41"/>
      <c r="R158" s="41"/>
      <c r="S158" s="41"/>
      <c r="T158" s="41"/>
      <c r="U158" s="41"/>
      <c r="V158" s="41"/>
      <c r="W158" s="41"/>
      <c r="X158" s="41"/>
      <c r="Y158" s="41"/>
      <c r="Z158" s="41"/>
    </row>
    <row r="159" ht="19.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9.5" customHeight="1">
      <c r="A160" s="41"/>
      <c r="B160" s="197" t="s">
        <v>3206</v>
      </c>
      <c r="C160" s="13"/>
      <c r="D160" s="13"/>
      <c r="E160" s="14"/>
      <c r="F160" s="41"/>
      <c r="G160" s="41"/>
      <c r="H160" s="41"/>
      <c r="I160" s="41"/>
      <c r="J160" s="41"/>
      <c r="K160" s="41"/>
      <c r="L160" s="41"/>
      <c r="M160" s="41"/>
      <c r="N160" s="41"/>
      <c r="O160" s="41"/>
      <c r="P160" s="41"/>
      <c r="Q160" s="41"/>
      <c r="R160" s="41"/>
      <c r="S160" s="41"/>
      <c r="T160" s="41"/>
      <c r="U160" s="41"/>
      <c r="V160" s="41"/>
      <c r="W160" s="41"/>
      <c r="X160" s="41"/>
      <c r="Y160" s="41"/>
      <c r="Z160" s="41"/>
    </row>
    <row r="161" ht="19.5" customHeight="1">
      <c r="A161" s="41"/>
      <c r="B161" s="108" t="s">
        <v>256</v>
      </c>
      <c r="C161" s="108" t="s">
        <v>722</v>
      </c>
      <c r="D161" s="108" t="s">
        <v>274</v>
      </c>
      <c r="E161" s="108" t="s">
        <v>5</v>
      </c>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84" t="s">
        <v>3175</v>
      </c>
      <c r="C162" s="111" t="str">
        <f t="array" ref="C162">IF(mgmt_domain_chosen="First Domain",CONCATENATE(sample_mgmt_nsxt_gm_hostname,".",sample_child_dns_zone),sample_mgmt_existing_active_nsx_gm)</f>
        <v>sfo-m01-nsx-gm01.sfo.rainpole.io</v>
      </c>
      <c r="D162" s="18" t="str">
        <f>IFERROR(__xludf.DUMMYFUNCTION("SINGLE(IF(mgmt_domain_chosen=""First Domain"",mgmt_nsxt_gm_vip_fqdn,mgmt_existing_active_nsx_gm))"),"Value Missing")</f>
        <v>Value Missing</v>
      </c>
      <c r="E162" s="191"/>
      <c r="F162" s="41"/>
      <c r="G162" s="41"/>
      <c r="H162" s="41"/>
      <c r="I162" s="41"/>
      <c r="J162" s="41"/>
      <c r="K162" s="41"/>
      <c r="L162" s="41"/>
      <c r="M162" s="41"/>
      <c r="N162" s="41"/>
      <c r="O162" s="41"/>
      <c r="P162" s="41"/>
      <c r="Q162" s="41"/>
      <c r="R162" s="41"/>
      <c r="S162" s="41"/>
      <c r="T162" s="41"/>
      <c r="U162" s="41"/>
      <c r="V162" s="41"/>
      <c r="W162" s="41"/>
      <c r="X162" s="41"/>
      <c r="Y162" s="41"/>
      <c r="Z162" s="41"/>
    </row>
    <row r="163" ht="33.75" customHeight="1">
      <c r="A163" s="41"/>
      <c r="B163" s="84" t="s">
        <v>3176</v>
      </c>
      <c r="C163" s="110" t="str">
        <f>sample_mgmt_srm_recovery_nsx_location</f>
        <v>sfo-m01</v>
      </c>
      <c r="D163" s="18" t="str">
        <f>mgmt_srm_recovery_nsx_location</f>
        <v>Value Missing</v>
      </c>
      <c r="E163" s="191"/>
      <c r="F163" s="41"/>
      <c r="G163" s="41"/>
      <c r="H163" s="41"/>
      <c r="I163" s="41"/>
      <c r="J163" s="41"/>
      <c r="K163" s="41"/>
      <c r="L163" s="41"/>
      <c r="M163" s="41"/>
      <c r="N163" s="41"/>
      <c r="O163" s="41"/>
      <c r="P163" s="41"/>
      <c r="Q163" s="41"/>
      <c r="R163" s="41"/>
      <c r="S163" s="41"/>
      <c r="T163" s="41"/>
      <c r="U163" s="41"/>
      <c r="V163" s="41"/>
      <c r="W163" s="41"/>
      <c r="X163" s="41"/>
      <c r="Y163" s="41"/>
      <c r="Z163" s="41"/>
    </row>
    <row r="164" ht="19.5" customHeight="1">
      <c r="A164" s="41"/>
      <c r="B164" s="84" t="s">
        <v>3207</v>
      </c>
      <c r="C164" s="110" t="s">
        <v>3208</v>
      </c>
      <c r="D164" s="18" t="str">
        <f>C164</f>
        <v>vrops-https</v>
      </c>
      <c r="E164" s="191"/>
      <c r="F164" s="41"/>
      <c r="G164" s="41"/>
      <c r="H164" s="41"/>
      <c r="I164" s="41"/>
      <c r="J164" s="41"/>
      <c r="K164" s="41"/>
      <c r="L164" s="41"/>
      <c r="M164" s="41"/>
      <c r="N164" s="41"/>
      <c r="O164" s="41"/>
      <c r="P164" s="41"/>
      <c r="Q164" s="41"/>
      <c r="R164" s="41"/>
      <c r="S164" s="41"/>
      <c r="T164" s="41"/>
      <c r="U164" s="41"/>
      <c r="V164" s="41"/>
      <c r="W164" s="41"/>
      <c r="X164" s="41"/>
      <c r="Y164" s="41"/>
      <c r="Z164" s="41"/>
    </row>
    <row r="165" ht="19.5" customHeight="1">
      <c r="A165" s="41"/>
      <c r="B165" s="84" t="s">
        <v>3209</v>
      </c>
      <c r="C165" s="110" t="str">
        <f>sample_xreg_vrops_virtual_ip</f>
        <v>10.21.10.21</v>
      </c>
      <c r="D165" s="18" t="str">
        <f>xreg_vrops_virtual_ip</f>
        <v>Value Missing</v>
      </c>
      <c r="E165" s="191"/>
      <c r="F165" s="41"/>
      <c r="G165" s="41"/>
      <c r="H165" s="41"/>
      <c r="I165" s="41"/>
      <c r="J165" s="41"/>
      <c r="K165" s="41"/>
      <c r="L165" s="41"/>
      <c r="M165" s="41"/>
      <c r="N165" s="41"/>
      <c r="O165" s="41"/>
      <c r="P165" s="41"/>
      <c r="Q165" s="41"/>
      <c r="R165" s="41"/>
      <c r="S165" s="41"/>
      <c r="T165" s="41"/>
      <c r="U165" s="41"/>
      <c r="V165" s="41"/>
      <c r="W165" s="41"/>
      <c r="X165" s="41"/>
      <c r="Y165" s="41"/>
      <c r="Z165" s="41"/>
    </row>
    <row r="166" ht="19.5" customHeight="1">
      <c r="A166" s="41"/>
      <c r="B166" s="84" t="s">
        <v>3210</v>
      </c>
      <c r="C166" s="110" t="s">
        <v>3183</v>
      </c>
      <c r="D166" s="18" t="str">
        <f t="shared" ref="D166:D170" si="3">C166</f>
        <v>recovery-lb01</v>
      </c>
      <c r="E166" s="191"/>
      <c r="F166" s="41"/>
      <c r="G166" s="41"/>
      <c r="H166" s="41"/>
      <c r="I166" s="41"/>
      <c r="J166" s="41"/>
      <c r="K166" s="41"/>
      <c r="L166" s="41"/>
      <c r="M166" s="41"/>
      <c r="N166" s="41"/>
      <c r="O166" s="41"/>
      <c r="P166" s="41"/>
      <c r="Q166" s="41"/>
      <c r="R166" s="41"/>
      <c r="S166" s="41"/>
      <c r="T166" s="41"/>
      <c r="U166" s="41"/>
      <c r="V166" s="41"/>
      <c r="W166" s="41"/>
      <c r="X166" s="41"/>
      <c r="Y166" s="41"/>
      <c r="Z166" s="41"/>
    </row>
    <row r="167" ht="19.5" customHeight="1">
      <c r="A167" s="41"/>
      <c r="B167" s="85" t="s">
        <v>3211</v>
      </c>
      <c r="C167" s="110" t="s">
        <v>3188</v>
      </c>
      <c r="D167" s="18" t="str">
        <f t="shared" si="3"/>
        <v>vrops-server-pool</v>
      </c>
      <c r="E167" s="19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85" t="s">
        <v>3212</v>
      </c>
      <c r="C168" s="110" t="s">
        <v>3205</v>
      </c>
      <c r="D168" s="18" t="str">
        <f t="shared" si="3"/>
        <v>vrops-source-ip-persistence-profile</v>
      </c>
      <c r="E168" s="191"/>
      <c r="F168" s="41"/>
      <c r="G168" s="41"/>
      <c r="H168" s="41"/>
      <c r="I168" s="41"/>
      <c r="J168" s="41"/>
      <c r="K168" s="41"/>
      <c r="L168" s="41"/>
      <c r="M168" s="41"/>
      <c r="N168" s="41"/>
      <c r="O168" s="41"/>
      <c r="P168" s="41"/>
      <c r="Q168" s="41"/>
      <c r="R168" s="41"/>
      <c r="S168" s="41"/>
      <c r="T168" s="41"/>
      <c r="U168" s="41"/>
      <c r="V168" s="41"/>
      <c r="W168" s="41"/>
      <c r="X168" s="41"/>
      <c r="Y168" s="41"/>
      <c r="Z168" s="41"/>
    </row>
    <row r="169" ht="33.75" customHeight="1">
      <c r="A169" s="41"/>
      <c r="B169" s="85" t="s">
        <v>3213</v>
      </c>
      <c r="C169" s="110" t="s">
        <v>3201</v>
      </c>
      <c r="D169" s="18" t="str">
        <f t="shared" si="3"/>
        <v>vrops-tcp-app-profile</v>
      </c>
      <c r="E169" s="191"/>
      <c r="F169" s="41"/>
      <c r="G169" s="41"/>
      <c r="H169" s="41"/>
      <c r="I169" s="41"/>
      <c r="J169" s="41"/>
      <c r="K169" s="41"/>
      <c r="L169" s="41"/>
      <c r="M169" s="41"/>
      <c r="N169" s="41"/>
      <c r="O169" s="41"/>
      <c r="P169" s="41"/>
      <c r="Q169" s="41"/>
      <c r="R169" s="41"/>
      <c r="S169" s="41"/>
      <c r="T169" s="41"/>
      <c r="U169" s="41"/>
      <c r="V169" s="41"/>
      <c r="W169" s="41"/>
      <c r="X169" s="41"/>
      <c r="Y169" s="41"/>
      <c r="Z169" s="41"/>
    </row>
    <row r="170" ht="19.5" customHeight="1">
      <c r="A170" s="41"/>
      <c r="B170" s="85" t="s">
        <v>3214</v>
      </c>
      <c r="C170" s="110" t="s">
        <v>3215</v>
      </c>
      <c r="D170" s="18" t="str">
        <f t="shared" si="3"/>
        <v>vrops-http-redirect</v>
      </c>
      <c r="E170" s="191"/>
      <c r="F170" s="41"/>
      <c r="G170" s="41"/>
      <c r="H170" s="41"/>
      <c r="I170" s="41"/>
      <c r="J170" s="41"/>
      <c r="K170" s="41"/>
      <c r="L170" s="41"/>
      <c r="M170" s="41"/>
      <c r="N170" s="41"/>
      <c r="O170" s="41"/>
      <c r="P170" s="41"/>
      <c r="Q170" s="41"/>
      <c r="R170" s="41"/>
      <c r="S170" s="41"/>
      <c r="T170" s="41"/>
      <c r="U170" s="41"/>
      <c r="V170" s="41"/>
      <c r="W170" s="41"/>
      <c r="X170" s="41"/>
      <c r="Y170" s="41"/>
      <c r="Z170" s="41"/>
    </row>
    <row r="171" ht="19.5" customHeight="1">
      <c r="A171" s="41"/>
      <c r="B171" s="85" t="s">
        <v>3216</v>
      </c>
      <c r="C171" s="110" t="str">
        <f>sample_xreg_vrops_virtual_ip</f>
        <v>10.21.10.21</v>
      </c>
      <c r="D171" s="18" t="str">
        <f>xreg_vrops_virtual_ip</f>
        <v>Value Missing</v>
      </c>
      <c r="E171" s="191"/>
      <c r="F171" s="41"/>
      <c r="G171" s="41"/>
      <c r="H171" s="41"/>
      <c r="I171" s="41"/>
      <c r="J171" s="41"/>
      <c r="K171" s="41"/>
      <c r="L171" s="41"/>
      <c r="M171" s="41"/>
      <c r="N171" s="41"/>
      <c r="O171" s="41"/>
      <c r="P171" s="41"/>
      <c r="Q171" s="41"/>
      <c r="R171" s="41"/>
      <c r="S171" s="41"/>
      <c r="T171" s="41"/>
      <c r="U171" s="41"/>
      <c r="V171" s="41"/>
      <c r="W171" s="41"/>
      <c r="X171" s="41"/>
      <c r="Y171" s="41"/>
      <c r="Z171" s="41"/>
    </row>
    <row r="172" ht="19.5" customHeight="1">
      <c r="A172" s="41"/>
      <c r="B172" s="84" t="s">
        <v>3217</v>
      </c>
      <c r="C172" s="110" t="s">
        <v>3183</v>
      </c>
      <c r="D172" s="18" t="str">
        <f t="shared" ref="D172:D173" si="4">C172</f>
        <v>recovery-lb01</v>
      </c>
      <c r="E172" s="191"/>
      <c r="F172" s="41"/>
      <c r="G172" s="41"/>
      <c r="H172" s="41"/>
      <c r="I172" s="41"/>
      <c r="J172" s="41"/>
      <c r="K172" s="41"/>
      <c r="L172" s="41"/>
      <c r="M172" s="41"/>
      <c r="N172" s="41"/>
      <c r="O172" s="41"/>
      <c r="P172" s="41"/>
      <c r="Q172" s="41"/>
      <c r="R172" s="41"/>
      <c r="S172" s="41"/>
      <c r="T172" s="41"/>
      <c r="U172" s="41"/>
      <c r="V172" s="41"/>
      <c r="W172" s="41"/>
      <c r="X172" s="41"/>
      <c r="Y172" s="41"/>
      <c r="Z172" s="41"/>
    </row>
    <row r="173" ht="19.5" customHeight="1">
      <c r="A173" s="41"/>
      <c r="B173" s="84" t="s">
        <v>3218</v>
      </c>
      <c r="C173" s="110" t="s">
        <v>3219</v>
      </c>
      <c r="D173" s="18" t="str">
        <f t="shared" si="4"/>
        <v>wsa-http-app-profile-redirect</v>
      </c>
      <c r="E173" s="191"/>
      <c r="F173" s="41"/>
      <c r="G173" s="41"/>
      <c r="H173" s="41"/>
      <c r="I173" s="41"/>
      <c r="J173" s="41"/>
      <c r="K173" s="41"/>
      <c r="L173" s="41"/>
      <c r="M173" s="41"/>
      <c r="N173" s="41"/>
      <c r="O173" s="41"/>
      <c r="P173" s="41"/>
      <c r="Q173" s="41"/>
      <c r="R173" s="41"/>
      <c r="S173" s="41"/>
      <c r="T173" s="41"/>
      <c r="U173" s="41"/>
      <c r="V173" s="41"/>
      <c r="W173" s="41"/>
      <c r="X173" s="41"/>
      <c r="Y173" s="41"/>
      <c r="Z173" s="41"/>
    </row>
    <row r="174" ht="19.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9.5" customHeight="1">
      <c r="A175" s="41"/>
      <c r="B175" s="197" t="s">
        <v>3220</v>
      </c>
      <c r="C175" s="13"/>
      <c r="D175" s="13"/>
      <c r="E175" s="14"/>
      <c r="F175" s="41"/>
      <c r="G175" s="41"/>
      <c r="H175" s="41"/>
      <c r="I175" s="41"/>
      <c r="J175" s="41"/>
      <c r="K175" s="41"/>
      <c r="L175" s="41"/>
      <c r="M175" s="41"/>
      <c r="N175" s="41"/>
      <c r="O175" s="41"/>
      <c r="P175" s="41"/>
      <c r="Q175" s="41"/>
      <c r="R175" s="41"/>
      <c r="S175" s="41"/>
      <c r="T175" s="41"/>
      <c r="U175" s="41"/>
      <c r="V175" s="41"/>
      <c r="W175" s="41"/>
      <c r="X175" s="41"/>
      <c r="Y175" s="41"/>
      <c r="Z175" s="41"/>
    </row>
    <row r="176" ht="19.5" customHeight="1">
      <c r="A176" s="41"/>
      <c r="B176" s="108" t="s">
        <v>256</v>
      </c>
      <c r="C176" s="108" t="s">
        <v>722</v>
      </c>
      <c r="D176" s="108" t="s">
        <v>274</v>
      </c>
      <c r="E176" s="108" t="s">
        <v>5</v>
      </c>
      <c r="F176" s="41"/>
      <c r="G176" s="41"/>
      <c r="H176" s="41"/>
      <c r="I176" s="41"/>
      <c r="J176" s="41"/>
      <c r="K176" s="41"/>
      <c r="L176" s="41"/>
      <c r="M176" s="41"/>
      <c r="N176" s="41"/>
      <c r="O176" s="41"/>
      <c r="P176" s="41"/>
      <c r="Q176" s="41"/>
      <c r="R176" s="41"/>
      <c r="S176" s="41"/>
      <c r="T176" s="41"/>
      <c r="U176" s="41"/>
      <c r="V176" s="41"/>
      <c r="W176" s="41"/>
      <c r="X176" s="41"/>
      <c r="Y176" s="41"/>
      <c r="Z176" s="41"/>
    </row>
    <row r="177" ht="19.5" customHeight="1">
      <c r="A177" s="41"/>
      <c r="B177" s="84" t="s">
        <v>3175</v>
      </c>
      <c r="C177" s="111" t="str">
        <f t="array" ref="C177">IF(mgmt_domain_chosen="First Domain",CONCATENATE(sample_mgmt_nsxt_gm_hostname,".",sample_child_dns_zone),sample_mgmt_existing_active_nsx_gm)</f>
        <v>sfo-m01-nsx-gm01.sfo.rainpole.io</v>
      </c>
      <c r="D177" s="18" t="str">
        <f>IFERROR(__xludf.DUMMYFUNCTION("SINGLE(IF(mgmt_domain_chosen=""First Domain"",mgmt_nsxt_gm_vip_fqdn,mgmt_existing_active_nsx_gm))"),"Value Missing")</f>
        <v>Value Missing</v>
      </c>
      <c r="E177" s="191"/>
      <c r="F177" s="41"/>
      <c r="G177" s="41"/>
      <c r="H177" s="41"/>
      <c r="I177" s="41"/>
      <c r="J177" s="41"/>
      <c r="K177" s="41"/>
      <c r="L177" s="41"/>
      <c r="M177" s="41"/>
      <c r="N177" s="41"/>
      <c r="O177" s="41"/>
      <c r="P177" s="41"/>
      <c r="Q177" s="41"/>
      <c r="R177" s="41"/>
      <c r="S177" s="41"/>
      <c r="T177" s="41"/>
      <c r="U177" s="41"/>
      <c r="V177" s="41"/>
      <c r="W177" s="41"/>
      <c r="X177" s="41"/>
      <c r="Y177" s="41"/>
      <c r="Z177" s="41"/>
    </row>
    <row r="178" ht="19.5" customHeight="1">
      <c r="A178" s="41"/>
      <c r="B178" s="84" t="s">
        <v>3176</v>
      </c>
      <c r="C178" s="110" t="str">
        <f>sample_mgmt_srm_recovery_nsx_location</f>
        <v>sfo-m01</v>
      </c>
      <c r="D178" s="18" t="str">
        <f>mgmt_srm_recovery_nsx_location</f>
        <v>Value Missing</v>
      </c>
      <c r="E178" s="191"/>
      <c r="F178" s="41"/>
      <c r="G178" s="41"/>
      <c r="H178" s="41"/>
      <c r="I178" s="41"/>
      <c r="J178" s="41"/>
      <c r="K178" s="41"/>
      <c r="L178" s="41"/>
      <c r="M178" s="41"/>
      <c r="N178" s="41"/>
      <c r="O178" s="41"/>
      <c r="P178" s="41"/>
      <c r="Q178" s="41"/>
      <c r="R178" s="41"/>
      <c r="S178" s="41"/>
      <c r="T178" s="41"/>
      <c r="U178" s="41"/>
      <c r="V178" s="41"/>
      <c r="W178" s="41"/>
      <c r="X178" s="41"/>
      <c r="Y178" s="41"/>
      <c r="Z178" s="41"/>
    </row>
    <row r="179" ht="19.5" customHeight="1">
      <c r="A179" s="41"/>
      <c r="B179" s="85" t="s">
        <v>256</v>
      </c>
      <c r="C179" s="110" t="s">
        <v>3221</v>
      </c>
      <c r="D179" s="18" t="str">
        <f>C179</f>
        <v>vra-http-monitor</v>
      </c>
      <c r="E179" s="191"/>
      <c r="F179" s="41"/>
      <c r="G179" s="41"/>
      <c r="H179" s="41"/>
      <c r="I179" s="41"/>
      <c r="J179" s="41"/>
      <c r="K179" s="41"/>
      <c r="L179" s="41"/>
      <c r="M179" s="41"/>
      <c r="N179" s="41"/>
      <c r="O179" s="41"/>
      <c r="P179" s="41"/>
      <c r="Q179" s="41"/>
      <c r="R179" s="41"/>
      <c r="S179" s="41"/>
      <c r="T179" s="41"/>
      <c r="U179" s="41"/>
      <c r="V179" s="41"/>
      <c r="W179" s="41"/>
      <c r="X179" s="41"/>
      <c r="Y179" s="41"/>
      <c r="Z179" s="41"/>
    </row>
    <row r="180" ht="19.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197" t="s">
        <v>3222</v>
      </c>
      <c r="C181" s="13"/>
      <c r="D181" s="13"/>
      <c r="E181" s="14"/>
      <c r="F181" s="41"/>
      <c r="G181" s="41"/>
      <c r="H181" s="41"/>
      <c r="I181" s="41"/>
      <c r="J181" s="41"/>
      <c r="K181" s="41"/>
      <c r="L181" s="41"/>
      <c r="M181" s="41"/>
      <c r="N181" s="41"/>
      <c r="O181" s="41"/>
      <c r="P181" s="41"/>
      <c r="Q181" s="41"/>
      <c r="R181" s="41"/>
      <c r="S181" s="41"/>
      <c r="T181" s="41"/>
      <c r="U181" s="41"/>
      <c r="V181" s="41"/>
      <c r="W181" s="41"/>
      <c r="X181" s="41"/>
      <c r="Y181" s="41"/>
      <c r="Z181" s="41"/>
    </row>
    <row r="182" ht="33.75" customHeight="1">
      <c r="A182" s="41"/>
      <c r="B182" s="108" t="s">
        <v>256</v>
      </c>
      <c r="C182" s="108" t="s">
        <v>722</v>
      </c>
      <c r="D182" s="108" t="s">
        <v>274</v>
      </c>
      <c r="E182" s="108" t="s">
        <v>5</v>
      </c>
      <c r="F182" s="41"/>
      <c r="G182" s="41"/>
      <c r="H182" s="41"/>
      <c r="I182" s="41"/>
      <c r="J182" s="41"/>
      <c r="K182" s="41"/>
      <c r="L182" s="41"/>
      <c r="M182" s="41"/>
      <c r="N182" s="41"/>
      <c r="O182" s="41"/>
      <c r="P182" s="41"/>
      <c r="Q182" s="41"/>
      <c r="R182" s="41"/>
      <c r="S182" s="41"/>
      <c r="T182" s="41"/>
      <c r="U182" s="41"/>
      <c r="V182" s="41"/>
      <c r="W182" s="41"/>
      <c r="X182" s="41"/>
      <c r="Y182" s="41"/>
      <c r="Z182" s="41"/>
    </row>
    <row r="183" ht="19.5" customHeight="1">
      <c r="A183" s="41"/>
      <c r="B183" s="84" t="s">
        <v>3175</v>
      </c>
      <c r="C183" s="111" t="str">
        <f t="array" ref="C183">IF(mgmt_domain_chosen="First Domain",CONCATENATE(sample_mgmt_nsxt_gm_hostname,".",sample_child_dns_zone),sample_mgmt_existing_active_nsx_gm)</f>
        <v>sfo-m01-nsx-gm01.sfo.rainpole.io</v>
      </c>
      <c r="D183" s="18" t="str">
        <f>IFERROR(__xludf.DUMMYFUNCTION("SINGLE(IF(mgmt_domain_chosen=""First Domain"",mgmt_nsxt_gm_vip_fqdn,mgmt_existing_active_nsx_gm))"),"Value Missing")</f>
        <v>Value Missing</v>
      </c>
      <c r="E183" s="191"/>
      <c r="F183" s="41"/>
      <c r="G183" s="41"/>
      <c r="H183" s="41"/>
      <c r="I183" s="41"/>
      <c r="J183" s="41"/>
      <c r="K183" s="41"/>
      <c r="L183" s="41"/>
      <c r="M183" s="41"/>
      <c r="N183" s="41"/>
      <c r="O183" s="41"/>
      <c r="P183" s="41"/>
      <c r="Q183" s="41"/>
      <c r="R183" s="41"/>
      <c r="S183" s="41"/>
      <c r="T183" s="41"/>
      <c r="U183" s="41"/>
      <c r="V183" s="41"/>
      <c r="W183" s="41"/>
      <c r="X183" s="41"/>
      <c r="Y183" s="41"/>
      <c r="Z183" s="41"/>
    </row>
    <row r="184" ht="19.5" customHeight="1">
      <c r="A184" s="41"/>
      <c r="B184" s="84" t="s">
        <v>3176</v>
      </c>
      <c r="C184" s="110" t="str">
        <f>sample_mgmt_srm_recovery_nsx_location</f>
        <v>sfo-m01</v>
      </c>
      <c r="D184" s="18" t="str">
        <f>mgmt_srm_recovery_nsx_location</f>
        <v>Value Missing</v>
      </c>
      <c r="E184" s="191"/>
      <c r="F184" s="41"/>
      <c r="G184" s="41"/>
      <c r="H184" s="41"/>
      <c r="I184" s="41"/>
      <c r="J184" s="41"/>
      <c r="K184" s="41"/>
      <c r="L184" s="41"/>
      <c r="M184" s="41"/>
      <c r="N184" s="41"/>
      <c r="O184" s="41"/>
      <c r="P184" s="41"/>
      <c r="Q184" s="41"/>
      <c r="R184" s="41"/>
      <c r="S184" s="41"/>
      <c r="T184" s="41"/>
      <c r="U184" s="41"/>
      <c r="V184" s="41"/>
      <c r="W184" s="41"/>
      <c r="X184" s="41"/>
      <c r="Y184" s="41"/>
      <c r="Z184" s="41"/>
    </row>
    <row r="185" ht="19.5" customHeight="1">
      <c r="A185" s="41"/>
      <c r="B185" s="85" t="s">
        <v>256</v>
      </c>
      <c r="C185" s="110" t="s">
        <v>3223</v>
      </c>
      <c r="D185" s="18" t="str">
        <f t="shared" ref="D185:D186" si="5">C185</f>
        <v>vra-server-pool</v>
      </c>
      <c r="E185" s="191"/>
      <c r="F185" s="41"/>
      <c r="G185" s="41"/>
      <c r="H185" s="41"/>
      <c r="I185" s="41"/>
      <c r="J185" s="41"/>
      <c r="K185" s="41"/>
      <c r="L185" s="41"/>
      <c r="M185" s="41"/>
      <c r="N185" s="41"/>
      <c r="O185" s="41"/>
      <c r="P185" s="41"/>
      <c r="Q185" s="41"/>
      <c r="R185" s="41"/>
      <c r="S185" s="41"/>
      <c r="T185" s="41"/>
      <c r="U185" s="41"/>
      <c r="V185" s="41"/>
      <c r="W185" s="41"/>
      <c r="X185" s="41"/>
      <c r="Y185" s="41"/>
      <c r="Z185" s="41"/>
    </row>
    <row r="186" ht="19.5" customHeight="1">
      <c r="A186" s="41"/>
      <c r="B186" s="85" t="s">
        <v>3224</v>
      </c>
      <c r="C186" s="110" t="s">
        <v>3225</v>
      </c>
      <c r="D186" s="18" t="str">
        <f t="shared" si="5"/>
        <v>vra01svr01a</v>
      </c>
      <c r="E186" s="191"/>
      <c r="F186" s="41"/>
      <c r="G186" s="41"/>
      <c r="H186" s="41"/>
      <c r="I186" s="41"/>
      <c r="J186" s="41"/>
      <c r="K186" s="41"/>
      <c r="L186" s="41"/>
      <c r="M186" s="41"/>
      <c r="N186" s="41"/>
      <c r="O186" s="41"/>
      <c r="P186" s="41"/>
      <c r="Q186" s="41"/>
      <c r="R186" s="41"/>
      <c r="S186" s="41"/>
      <c r="T186" s="41"/>
      <c r="U186" s="41"/>
      <c r="V186" s="41"/>
      <c r="W186" s="41"/>
      <c r="X186" s="41"/>
      <c r="Y186" s="41"/>
      <c r="Z186" s="41"/>
    </row>
    <row r="187" ht="19.5" customHeight="1">
      <c r="A187" s="41"/>
      <c r="B187" s="85" t="s">
        <v>3226</v>
      </c>
      <c r="C187" s="110" t="str">
        <f>sample_xreg_vra_nodea_ip</f>
        <v>10.21.10.46</v>
      </c>
      <c r="D187" s="18" t="str">
        <f>xreg_vra_nodea_ip</f>
        <v>Value Missing</v>
      </c>
      <c r="E187" s="19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85" t="s">
        <v>3227</v>
      </c>
      <c r="C188" s="110" t="s">
        <v>3228</v>
      </c>
      <c r="D188" s="18" t="str">
        <f>C188</f>
        <v>vra01svr01b</v>
      </c>
      <c r="E188" s="191"/>
      <c r="F188" s="41"/>
      <c r="G188" s="41"/>
      <c r="H188" s="41"/>
      <c r="I188" s="41"/>
      <c r="J188" s="41"/>
      <c r="K188" s="41"/>
      <c r="L188" s="41"/>
      <c r="M188" s="41"/>
      <c r="N188" s="41"/>
      <c r="O188" s="41"/>
      <c r="P188" s="41"/>
      <c r="Q188" s="41"/>
      <c r="R188" s="41"/>
      <c r="S188" s="41"/>
      <c r="T188" s="41"/>
      <c r="U188" s="41"/>
      <c r="V188" s="41"/>
      <c r="W188" s="41"/>
      <c r="X188" s="41"/>
      <c r="Y188" s="41"/>
      <c r="Z188" s="41"/>
    </row>
    <row r="189" ht="33.75" customHeight="1">
      <c r="A189" s="41"/>
      <c r="B189" s="85" t="s">
        <v>3229</v>
      </c>
      <c r="C189" s="110" t="str">
        <f>sample_xreg_vra_nodeb_ip</f>
        <v>10.21.10.47</v>
      </c>
      <c r="D189" s="18" t="str">
        <f>xreg_vra_nodeb_ip</f>
        <v>Value Missing</v>
      </c>
      <c r="E189" s="191"/>
      <c r="F189" s="41"/>
      <c r="G189" s="41"/>
      <c r="H189" s="41"/>
      <c r="I189" s="41"/>
      <c r="J189" s="41"/>
      <c r="K189" s="41"/>
      <c r="L189" s="41"/>
      <c r="M189" s="41"/>
      <c r="N189" s="41"/>
      <c r="O189" s="41"/>
      <c r="P189" s="41"/>
      <c r="Q189" s="41"/>
      <c r="R189" s="41"/>
      <c r="S189" s="41"/>
      <c r="T189" s="41"/>
      <c r="U189" s="41"/>
      <c r="V189" s="41"/>
      <c r="W189" s="41"/>
      <c r="X189" s="41"/>
      <c r="Y189" s="41"/>
      <c r="Z189" s="41"/>
    </row>
    <row r="190" ht="19.5" customHeight="1">
      <c r="A190" s="41"/>
      <c r="B190" s="84" t="s">
        <v>3230</v>
      </c>
      <c r="C190" s="110" t="s">
        <v>3231</v>
      </c>
      <c r="D190" s="18" t="str">
        <f>C190</f>
        <v>vra01svr01c</v>
      </c>
      <c r="E190" s="191"/>
      <c r="F190" s="41"/>
      <c r="G190" s="41"/>
      <c r="H190" s="41"/>
      <c r="I190" s="41"/>
      <c r="J190" s="41"/>
      <c r="K190" s="41"/>
      <c r="L190" s="41"/>
      <c r="M190" s="41"/>
      <c r="N190" s="41"/>
      <c r="O190" s="41"/>
      <c r="P190" s="41"/>
      <c r="Q190" s="41"/>
      <c r="R190" s="41"/>
      <c r="S190" s="41"/>
      <c r="T190" s="41"/>
      <c r="U190" s="41"/>
      <c r="V190" s="41"/>
      <c r="W190" s="41"/>
      <c r="X190" s="41"/>
      <c r="Y190" s="41"/>
      <c r="Z190" s="41"/>
    </row>
    <row r="191" ht="19.5" customHeight="1">
      <c r="A191" s="41"/>
      <c r="B191" s="84" t="s">
        <v>3232</v>
      </c>
      <c r="C191" s="110" t="str">
        <f>sample_xreg_vra_nodec_ip</f>
        <v>10.21.10.48</v>
      </c>
      <c r="D191" s="18" t="str">
        <f>xreg_vra_nodec_ip</f>
        <v>Value Missing</v>
      </c>
      <c r="E191" s="191"/>
      <c r="F191" s="41"/>
      <c r="G191" s="41"/>
      <c r="H191" s="41"/>
      <c r="I191" s="41"/>
      <c r="J191" s="41"/>
      <c r="K191" s="41"/>
      <c r="L191" s="41"/>
      <c r="M191" s="41"/>
      <c r="N191" s="41"/>
      <c r="O191" s="41"/>
      <c r="P191" s="41"/>
      <c r="Q191" s="41"/>
      <c r="R191" s="41"/>
      <c r="S191" s="41"/>
      <c r="T191" s="41"/>
      <c r="U191" s="41"/>
      <c r="V191" s="41"/>
      <c r="W191" s="41"/>
      <c r="X191" s="41"/>
      <c r="Y191" s="41"/>
      <c r="Z191" s="41"/>
    </row>
    <row r="192" ht="19.5" customHeight="1">
      <c r="A192" s="41"/>
      <c r="B192" s="85" t="s">
        <v>3233</v>
      </c>
      <c r="C192" s="110" t="s">
        <v>3221</v>
      </c>
      <c r="D192" s="18" t="str">
        <f>C192</f>
        <v>vra-http-monitor</v>
      </c>
      <c r="E192" s="191"/>
      <c r="F192" s="41"/>
      <c r="G192" s="41"/>
      <c r="H192" s="41"/>
      <c r="I192" s="41"/>
      <c r="J192" s="41"/>
      <c r="K192" s="41"/>
      <c r="L192" s="41"/>
      <c r="M192" s="41"/>
      <c r="N192" s="41"/>
      <c r="O192" s="41"/>
      <c r="P192" s="41"/>
      <c r="Q192" s="41"/>
      <c r="R192" s="41"/>
      <c r="S192" s="41"/>
      <c r="T192" s="41"/>
      <c r="U192" s="41"/>
      <c r="V192" s="41"/>
      <c r="W192" s="41"/>
      <c r="X192" s="41"/>
      <c r="Y192" s="41"/>
      <c r="Z192" s="41"/>
    </row>
    <row r="193" ht="19.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9.5" customHeight="1">
      <c r="A194" s="41"/>
      <c r="B194" s="197" t="s">
        <v>3234</v>
      </c>
      <c r="C194" s="13"/>
      <c r="D194" s="13"/>
      <c r="E194" s="14"/>
      <c r="F194" s="41"/>
      <c r="G194" s="41"/>
      <c r="H194" s="41"/>
      <c r="I194" s="41"/>
      <c r="J194" s="41"/>
      <c r="K194" s="41"/>
      <c r="L194" s="41"/>
      <c r="M194" s="41"/>
      <c r="N194" s="41"/>
      <c r="O194" s="41"/>
      <c r="P194" s="41"/>
      <c r="Q194" s="41"/>
      <c r="R194" s="41"/>
      <c r="S194" s="41"/>
      <c r="T194" s="41"/>
      <c r="U194" s="41"/>
      <c r="V194" s="41"/>
      <c r="W194" s="41"/>
      <c r="X194" s="41"/>
      <c r="Y194" s="41"/>
      <c r="Z194" s="41"/>
    </row>
    <row r="195" ht="19.5" customHeight="1">
      <c r="A195" s="41"/>
      <c r="B195" s="108" t="s">
        <v>256</v>
      </c>
      <c r="C195" s="108" t="s">
        <v>722</v>
      </c>
      <c r="D195" s="108" t="s">
        <v>274</v>
      </c>
      <c r="E195" s="108" t="s">
        <v>5</v>
      </c>
      <c r="F195" s="41"/>
      <c r="G195" s="41"/>
      <c r="H195" s="41"/>
      <c r="I195" s="41"/>
      <c r="J195" s="41"/>
      <c r="K195" s="41"/>
      <c r="L195" s="41"/>
      <c r="M195" s="41"/>
      <c r="N195" s="41"/>
      <c r="O195" s="41"/>
      <c r="P195" s="41"/>
      <c r="Q195" s="41"/>
      <c r="R195" s="41"/>
      <c r="S195" s="41"/>
      <c r="T195" s="41"/>
      <c r="U195" s="41"/>
      <c r="V195" s="41"/>
      <c r="W195" s="41"/>
      <c r="X195" s="41"/>
      <c r="Y195" s="41"/>
      <c r="Z195" s="41"/>
    </row>
    <row r="196" ht="19.5" customHeight="1">
      <c r="A196" s="41"/>
      <c r="B196" s="84" t="s">
        <v>3175</v>
      </c>
      <c r="C196" s="111" t="str">
        <f t="array" ref="C196">IF(mgmt_domain_chosen="First Domain",CONCATENATE(sample_mgmt_nsxt_gm_hostname,".",sample_child_dns_zone),sample_mgmt_existing_active_nsx_gm)</f>
        <v>sfo-m01-nsx-gm01.sfo.rainpole.io</v>
      </c>
      <c r="D196" s="18" t="str">
        <f>IFERROR(__xludf.DUMMYFUNCTION("SINGLE(IF(mgmt_domain_chosen=""First Domain"",mgmt_nsxt_gm_vip_fqdn,mgmt_existing_active_nsx_gm))"),"Value Missing")</f>
        <v>Value Missing</v>
      </c>
      <c r="E196" s="191"/>
      <c r="F196" s="41"/>
      <c r="G196" s="41"/>
      <c r="H196" s="41"/>
      <c r="I196" s="41"/>
      <c r="J196" s="41"/>
      <c r="K196" s="41"/>
      <c r="L196" s="41"/>
      <c r="M196" s="41"/>
      <c r="N196" s="41"/>
      <c r="O196" s="41"/>
      <c r="P196" s="41"/>
      <c r="Q196" s="41"/>
      <c r="R196" s="41"/>
      <c r="S196" s="41"/>
      <c r="T196" s="41"/>
      <c r="U196" s="41"/>
      <c r="V196" s="41"/>
      <c r="W196" s="41"/>
      <c r="X196" s="41"/>
      <c r="Y196" s="41"/>
      <c r="Z196" s="41"/>
    </row>
    <row r="197" ht="19.5" customHeight="1">
      <c r="A197" s="41"/>
      <c r="B197" s="84" t="s">
        <v>3176</v>
      </c>
      <c r="C197" s="110" t="str">
        <f>sample_mgmt_srm_recovery_nsx_location</f>
        <v>sfo-m01</v>
      </c>
      <c r="D197" s="18" t="str">
        <f>mgmt_srm_recovery_nsx_location</f>
        <v>Value Missing</v>
      </c>
      <c r="E197" s="191"/>
      <c r="F197" s="41"/>
      <c r="G197" s="41"/>
      <c r="H197" s="41"/>
      <c r="I197" s="41"/>
      <c r="J197" s="41"/>
      <c r="K197" s="41"/>
      <c r="L197" s="41"/>
      <c r="M197" s="41"/>
      <c r="N197" s="41"/>
      <c r="O197" s="41"/>
      <c r="P197" s="41"/>
      <c r="Q197" s="41"/>
      <c r="R197" s="41"/>
      <c r="S197" s="41"/>
      <c r="T197" s="41"/>
      <c r="U197" s="41"/>
      <c r="V197" s="41"/>
      <c r="W197" s="41"/>
      <c r="X197" s="41"/>
      <c r="Y197" s="41"/>
      <c r="Z197" s="41"/>
    </row>
    <row r="198" ht="19.5" customHeight="1">
      <c r="A198" s="41"/>
      <c r="B198" s="85" t="s">
        <v>3235</v>
      </c>
      <c r="C198" s="110" t="s">
        <v>3236</v>
      </c>
      <c r="D198" s="18" t="str">
        <f t="shared" ref="D198:D199" si="6">C198</f>
        <v>vra-tcp-app-profile</v>
      </c>
      <c r="E198" s="191"/>
      <c r="F198" s="41"/>
      <c r="G198" s="41"/>
      <c r="H198" s="41"/>
      <c r="I198" s="41"/>
      <c r="J198" s="41"/>
      <c r="K198" s="41"/>
      <c r="L198" s="41"/>
      <c r="M198" s="41"/>
      <c r="N198" s="41"/>
      <c r="O198" s="41"/>
      <c r="P198" s="41"/>
      <c r="Q198" s="41"/>
      <c r="R198" s="41"/>
      <c r="S198" s="41"/>
      <c r="T198" s="41"/>
      <c r="U198" s="41"/>
      <c r="V198" s="41"/>
      <c r="W198" s="41"/>
      <c r="X198" s="41"/>
      <c r="Y198" s="41"/>
      <c r="Z198" s="41"/>
    </row>
    <row r="199" ht="19.5" customHeight="1">
      <c r="A199" s="41"/>
      <c r="B199" s="85" t="s">
        <v>3237</v>
      </c>
      <c r="C199" s="110" t="s">
        <v>3238</v>
      </c>
      <c r="D199" s="18" t="str">
        <f t="shared" si="6"/>
        <v>vra-http-app-profile-redirect</v>
      </c>
      <c r="E199" s="191"/>
      <c r="F199" s="41"/>
      <c r="G199" s="41"/>
      <c r="H199" s="41"/>
      <c r="I199" s="41"/>
      <c r="J199" s="41"/>
      <c r="K199" s="41"/>
      <c r="L199" s="41"/>
      <c r="M199" s="41"/>
      <c r="N199" s="41"/>
      <c r="O199" s="41"/>
      <c r="P199" s="41"/>
      <c r="Q199" s="41"/>
      <c r="R199" s="41"/>
      <c r="S199" s="41"/>
      <c r="T199" s="41"/>
      <c r="U199" s="41"/>
      <c r="V199" s="41"/>
      <c r="W199" s="41"/>
      <c r="X199" s="41"/>
      <c r="Y199" s="41"/>
      <c r="Z199" s="41"/>
    </row>
    <row r="200" ht="19.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9.5" customHeight="1">
      <c r="A201" s="41"/>
      <c r="B201" s="197" t="s">
        <v>3239</v>
      </c>
      <c r="C201" s="13"/>
      <c r="D201" s="13"/>
      <c r="E201" s="14"/>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108" t="s">
        <v>256</v>
      </c>
      <c r="C202" s="108" t="s">
        <v>722</v>
      </c>
      <c r="D202" s="108" t="s">
        <v>274</v>
      </c>
      <c r="E202" s="108" t="s">
        <v>5</v>
      </c>
      <c r="F202" s="41"/>
      <c r="G202" s="41"/>
      <c r="H202" s="41"/>
      <c r="I202" s="41"/>
      <c r="J202" s="41"/>
      <c r="K202" s="41"/>
      <c r="L202" s="41"/>
      <c r="M202" s="41"/>
      <c r="N202" s="41"/>
      <c r="O202" s="41"/>
      <c r="P202" s="41"/>
      <c r="Q202" s="41"/>
      <c r="R202" s="41"/>
      <c r="S202" s="41"/>
      <c r="T202" s="41"/>
      <c r="U202" s="41"/>
      <c r="V202" s="41"/>
      <c r="W202" s="41"/>
      <c r="X202" s="41"/>
      <c r="Y202" s="41"/>
      <c r="Z202" s="41"/>
    </row>
    <row r="203" ht="33.75" customHeight="1">
      <c r="A203" s="41"/>
      <c r="B203" s="84" t="s">
        <v>3175</v>
      </c>
      <c r="C203" s="111" t="str">
        <f t="array" ref="C203">IF(mgmt_domain_chosen="First Domain",CONCATENATE(sample_mgmt_nsxt_gm_hostname,".",sample_child_dns_zone),sample_mgmt_existing_active_nsx_gm)</f>
        <v>sfo-m01-nsx-gm01.sfo.rainpole.io</v>
      </c>
      <c r="D203" s="18" t="str">
        <f>IFERROR(__xludf.DUMMYFUNCTION("SINGLE(IF(mgmt_domain_chosen=""First Domain"",mgmt_nsxt_gm_vip_fqdn,mgmt_existing_active_nsx_gm))"),"Value Missing")</f>
        <v>Value Missing</v>
      </c>
      <c r="E203" s="191"/>
      <c r="F203" s="41"/>
      <c r="G203" s="41"/>
      <c r="H203" s="41"/>
      <c r="I203" s="41"/>
      <c r="J203" s="41"/>
      <c r="K203" s="41"/>
      <c r="L203" s="41"/>
      <c r="M203" s="41"/>
      <c r="N203" s="41"/>
      <c r="O203" s="41"/>
      <c r="P203" s="41"/>
      <c r="Q203" s="41"/>
      <c r="R203" s="41"/>
      <c r="S203" s="41"/>
      <c r="T203" s="41"/>
      <c r="U203" s="41"/>
      <c r="V203" s="41"/>
      <c r="W203" s="41"/>
      <c r="X203" s="41"/>
      <c r="Y203" s="41"/>
      <c r="Z203" s="41"/>
    </row>
    <row r="204" ht="19.5" customHeight="1">
      <c r="A204" s="41"/>
      <c r="B204" s="84" t="s">
        <v>3176</v>
      </c>
      <c r="C204" s="110" t="str">
        <f>sample_mgmt_srm_recovery_nsx_location</f>
        <v>sfo-m01</v>
      </c>
      <c r="D204" s="18" t="str">
        <f>mgmt_srm_recovery_nsx_location</f>
        <v>Value Missing</v>
      </c>
      <c r="E204" s="191"/>
      <c r="F204" s="41"/>
      <c r="G204" s="41"/>
      <c r="H204" s="41"/>
      <c r="I204" s="41"/>
      <c r="J204" s="41"/>
      <c r="K204" s="41"/>
      <c r="L204" s="41"/>
      <c r="M204" s="41"/>
      <c r="N204" s="41"/>
      <c r="O204" s="41"/>
      <c r="P204" s="41"/>
      <c r="Q204" s="41"/>
      <c r="R204" s="41"/>
      <c r="S204" s="41"/>
      <c r="T204" s="41"/>
      <c r="U204" s="41"/>
      <c r="V204" s="41"/>
      <c r="W204" s="41"/>
      <c r="X204" s="41"/>
      <c r="Y204" s="41"/>
      <c r="Z204" s="41"/>
    </row>
    <row r="205" ht="19.5" customHeight="1">
      <c r="A205" s="41"/>
      <c r="B205" s="85" t="s">
        <v>3240</v>
      </c>
      <c r="C205" s="110" t="s">
        <v>3241</v>
      </c>
      <c r="D205" s="18" t="str">
        <f>C205</f>
        <v>vra-https</v>
      </c>
      <c r="E205" s="191"/>
      <c r="F205" s="41"/>
      <c r="G205" s="41"/>
      <c r="H205" s="41"/>
      <c r="I205" s="41"/>
      <c r="J205" s="41"/>
      <c r="K205" s="41"/>
      <c r="L205" s="41"/>
      <c r="M205" s="41"/>
      <c r="N205" s="41"/>
      <c r="O205" s="41"/>
      <c r="P205" s="41"/>
      <c r="Q205" s="41"/>
      <c r="R205" s="41"/>
      <c r="S205" s="41"/>
      <c r="T205" s="41"/>
      <c r="U205" s="41"/>
      <c r="V205" s="41"/>
      <c r="W205" s="41"/>
      <c r="X205" s="41"/>
      <c r="Y205" s="41"/>
      <c r="Z205" s="41"/>
    </row>
    <row r="206" ht="19.5" customHeight="1">
      <c r="A206" s="41"/>
      <c r="B206" s="85" t="s">
        <v>3242</v>
      </c>
      <c r="C206" s="110" t="str">
        <f>sample_xreg_vra_virtual_ip</f>
        <v>10.21.10.25</v>
      </c>
      <c r="D206" s="18" t="str">
        <f>xreg_vra_virtual_ip</f>
        <v>Value Missing</v>
      </c>
      <c r="E206" s="191"/>
      <c r="F206" s="41"/>
      <c r="G206" s="41"/>
      <c r="H206" s="41"/>
      <c r="I206" s="41"/>
      <c r="J206" s="41"/>
      <c r="K206" s="41"/>
      <c r="L206" s="41"/>
      <c r="M206" s="41"/>
      <c r="N206" s="41"/>
      <c r="O206" s="41"/>
      <c r="P206" s="41"/>
      <c r="Q206" s="41"/>
      <c r="R206" s="41"/>
      <c r="S206" s="41"/>
      <c r="T206" s="41"/>
      <c r="U206" s="41"/>
      <c r="V206" s="41"/>
      <c r="W206" s="41"/>
      <c r="X206" s="41"/>
      <c r="Y206" s="41"/>
      <c r="Z206" s="41"/>
    </row>
    <row r="207" ht="19.5" customHeight="1">
      <c r="A207" s="41"/>
      <c r="B207" s="85" t="s">
        <v>3243</v>
      </c>
      <c r="C207" s="110" t="s">
        <v>3183</v>
      </c>
      <c r="D207" s="18" t="str">
        <f t="shared" ref="D207:D210" si="7">C207</f>
        <v>recovery-lb01</v>
      </c>
      <c r="E207" s="191"/>
      <c r="F207" s="41"/>
      <c r="G207" s="41"/>
      <c r="H207" s="41"/>
      <c r="I207" s="41"/>
      <c r="J207" s="41"/>
      <c r="K207" s="41"/>
      <c r="L207" s="41"/>
      <c r="M207" s="41"/>
      <c r="N207" s="41"/>
      <c r="O207" s="41"/>
      <c r="P207" s="41"/>
      <c r="Q207" s="41"/>
      <c r="R207" s="41"/>
      <c r="S207" s="41"/>
      <c r="T207" s="41"/>
      <c r="U207" s="41"/>
      <c r="V207" s="41"/>
      <c r="W207" s="41"/>
      <c r="X207" s="41"/>
      <c r="Y207" s="41"/>
      <c r="Z207" s="41"/>
    </row>
    <row r="208" ht="19.5" customHeight="1">
      <c r="A208" s="41"/>
      <c r="B208" s="85" t="s">
        <v>3244</v>
      </c>
      <c r="C208" s="110" t="s">
        <v>3223</v>
      </c>
      <c r="D208" s="18" t="str">
        <f t="shared" si="7"/>
        <v>vra-server-pool</v>
      </c>
      <c r="E208" s="191"/>
      <c r="F208" s="41"/>
      <c r="G208" s="41"/>
      <c r="H208" s="41"/>
      <c r="I208" s="41"/>
      <c r="J208" s="41"/>
      <c r="K208" s="41"/>
      <c r="L208" s="41"/>
      <c r="M208" s="41"/>
      <c r="N208" s="41"/>
      <c r="O208" s="41"/>
      <c r="P208" s="41"/>
      <c r="Q208" s="41"/>
      <c r="R208" s="41"/>
      <c r="S208" s="41"/>
      <c r="T208" s="41"/>
      <c r="U208" s="41"/>
      <c r="V208" s="41"/>
      <c r="W208" s="41"/>
      <c r="X208" s="41"/>
      <c r="Y208" s="41"/>
      <c r="Z208" s="41"/>
    </row>
    <row r="209" ht="19.5" customHeight="1">
      <c r="A209" s="41"/>
      <c r="B209" s="85" t="s">
        <v>3245</v>
      </c>
      <c r="C209" s="110" t="s">
        <v>3236</v>
      </c>
      <c r="D209" s="18" t="str">
        <f t="shared" si="7"/>
        <v>vra-tcp-app-profile</v>
      </c>
      <c r="E209" s="19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84" t="s">
        <v>3246</v>
      </c>
      <c r="C210" s="110" t="s">
        <v>3247</v>
      </c>
      <c r="D210" s="18" t="str">
        <f t="shared" si="7"/>
        <v>vra-http-redirect</v>
      </c>
      <c r="E210" s="191"/>
      <c r="F210" s="41"/>
      <c r="G210" s="41"/>
      <c r="H210" s="41"/>
      <c r="I210" s="41"/>
      <c r="J210" s="41"/>
      <c r="K210" s="41"/>
      <c r="L210" s="41"/>
      <c r="M210" s="41"/>
      <c r="N210" s="41"/>
      <c r="O210" s="41"/>
      <c r="P210" s="41"/>
      <c r="Q210" s="41"/>
      <c r="R210" s="41"/>
      <c r="S210" s="41"/>
      <c r="T210" s="41"/>
      <c r="U210" s="41"/>
      <c r="V210" s="41"/>
      <c r="W210" s="41"/>
      <c r="X210" s="41"/>
      <c r="Y210" s="41"/>
      <c r="Z210" s="41"/>
    </row>
    <row r="211" ht="33.75" customHeight="1">
      <c r="A211" s="41"/>
      <c r="B211" s="84" t="s">
        <v>3248</v>
      </c>
      <c r="C211" s="110" t="str">
        <f>sample_xreg_vra_virtual_ip</f>
        <v>10.21.10.25</v>
      </c>
      <c r="D211" s="18" t="str">
        <f>xreg_vra_virtual_ip</f>
        <v>Value Missing</v>
      </c>
      <c r="E211" s="191"/>
      <c r="F211" s="41"/>
      <c r="G211" s="41"/>
      <c r="H211" s="41"/>
      <c r="I211" s="41"/>
      <c r="J211" s="41"/>
      <c r="K211" s="41"/>
      <c r="L211" s="41"/>
      <c r="M211" s="41"/>
      <c r="N211" s="41"/>
      <c r="O211" s="41"/>
      <c r="P211" s="41"/>
      <c r="Q211" s="41"/>
      <c r="R211" s="41"/>
      <c r="S211" s="41"/>
      <c r="T211" s="41"/>
      <c r="U211" s="41"/>
      <c r="V211" s="41"/>
      <c r="W211" s="41"/>
      <c r="X211" s="41"/>
      <c r="Y211" s="41"/>
      <c r="Z211" s="41"/>
    </row>
    <row r="212" ht="19.5" customHeight="1">
      <c r="A212" s="41"/>
      <c r="B212" s="85" t="s">
        <v>3249</v>
      </c>
      <c r="C212" s="110" t="s">
        <v>3183</v>
      </c>
      <c r="D212" s="18" t="str">
        <f t="shared" ref="D212:D213" si="8">C212</f>
        <v>recovery-lb01</v>
      </c>
      <c r="E212" s="191"/>
      <c r="F212" s="41"/>
      <c r="G212" s="41"/>
      <c r="H212" s="41"/>
      <c r="I212" s="41"/>
      <c r="J212" s="41"/>
      <c r="K212" s="41"/>
      <c r="L212" s="41"/>
      <c r="M212" s="41"/>
      <c r="N212" s="41"/>
      <c r="O212" s="41"/>
      <c r="P212" s="41"/>
      <c r="Q212" s="41"/>
      <c r="R212" s="41"/>
      <c r="S212" s="41"/>
      <c r="T212" s="41"/>
      <c r="U212" s="41"/>
      <c r="V212" s="41"/>
      <c r="W212" s="41"/>
      <c r="X212" s="41"/>
      <c r="Y212" s="41"/>
      <c r="Z212" s="41"/>
    </row>
    <row r="213" ht="19.5" customHeight="1">
      <c r="A213" s="41"/>
      <c r="B213" s="85" t="s">
        <v>3250</v>
      </c>
      <c r="C213" s="110" t="s">
        <v>3238</v>
      </c>
      <c r="D213" s="18" t="str">
        <f t="shared" si="8"/>
        <v>vra-http-app-profile-redirect</v>
      </c>
      <c r="E213" s="191"/>
      <c r="F213" s="41"/>
      <c r="G213" s="41"/>
      <c r="H213" s="41"/>
      <c r="I213" s="41"/>
      <c r="J213" s="41"/>
      <c r="K213" s="41"/>
      <c r="L213" s="41"/>
      <c r="M213" s="41"/>
      <c r="N213" s="41"/>
      <c r="O213" s="41"/>
      <c r="P213" s="41"/>
      <c r="Q213" s="41"/>
      <c r="R213" s="41"/>
      <c r="S213" s="41"/>
      <c r="T213" s="41"/>
      <c r="U213" s="41"/>
      <c r="V213" s="41"/>
      <c r="W213" s="41"/>
      <c r="X213" s="41"/>
      <c r="Y213" s="41"/>
      <c r="Z213" s="41"/>
    </row>
    <row r="214" ht="19.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row r="216" ht="13.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9.5" customHeight="1">
      <c r="A217" s="41"/>
      <c r="B217" s="184" t="s">
        <v>2042</v>
      </c>
      <c r="C217" s="13"/>
      <c r="D217" s="13"/>
      <c r="E217" s="14"/>
      <c r="F217" s="41"/>
      <c r="G217" s="41"/>
      <c r="H217" s="41"/>
      <c r="I217" s="41"/>
      <c r="J217" s="41"/>
      <c r="K217" s="41"/>
      <c r="L217" s="41"/>
      <c r="M217" s="41"/>
      <c r="N217" s="41"/>
      <c r="O217" s="41"/>
      <c r="P217" s="41"/>
      <c r="Q217" s="41"/>
      <c r="R217" s="41"/>
      <c r="S217" s="41"/>
      <c r="T217" s="41"/>
      <c r="U217" s="41"/>
      <c r="V217" s="41"/>
      <c r="W217" s="41"/>
      <c r="X217" s="41"/>
      <c r="Y217" s="41"/>
      <c r="Z217" s="41"/>
    </row>
    <row r="218" ht="19.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9.5" customHeight="1">
      <c r="A219" s="41"/>
      <c r="B219" s="184" t="s">
        <v>3251</v>
      </c>
      <c r="C219" s="13"/>
      <c r="D219" s="13"/>
      <c r="E219" s="14"/>
      <c r="F219" s="41"/>
      <c r="G219" s="41"/>
      <c r="H219" s="41"/>
      <c r="I219" s="41"/>
      <c r="J219" s="41"/>
      <c r="K219" s="41"/>
      <c r="L219" s="41"/>
      <c r="M219" s="41"/>
      <c r="N219" s="41"/>
      <c r="O219" s="41"/>
      <c r="P219" s="41"/>
      <c r="Q219" s="41"/>
      <c r="R219" s="41"/>
      <c r="S219" s="41"/>
      <c r="T219" s="41"/>
      <c r="U219" s="41"/>
      <c r="V219" s="41"/>
      <c r="W219" s="41"/>
      <c r="X219" s="41"/>
      <c r="Y219" s="41"/>
      <c r="Z219" s="41"/>
    </row>
    <row r="220" ht="19.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9.5" customHeight="1">
      <c r="A221" s="41"/>
      <c r="B221" s="197" t="s">
        <v>3252</v>
      </c>
      <c r="C221" s="13"/>
      <c r="D221" s="13"/>
      <c r="E221" s="14"/>
      <c r="F221" s="41"/>
      <c r="G221" s="41"/>
      <c r="H221" s="41"/>
      <c r="I221" s="41"/>
      <c r="J221" s="41"/>
      <c r="K221" s="41"/>
      <c r="L221" s="41"/>
      <c r="M221" s="41"/>
      <c r="N221" s="41"/>
      <c r="O221" s="41"/>
      <c r="P221" s="41"/>
      <c r="Q221" s="41"/>
      <c r="R221" s="41"/>
      <c r="S221" s="41"/>
      <c r="T221" s="41"/>
      <c r="U221" s="41"/>
      <c r="V221" s="41"/>
      <c r="W221" s="41"/>
      <c r="X221" s="41"/>
      <c r="Y221" s="41"/>
      <c r="Z221" s="41"/>
    </row>
    <row r="222" ht="19.5" customHeight="1">
      <c r="A222" s="41"/>
      <c r="B222" s="108" t="s">
        <v>256</v>
      </c>
      <c r="C222" s="108" t="s">
        <v>722</v>
      </c>
      <c r="D222" s="108" t="s">
        <v>274</v>
      </c>
      <c r="E222" s="108" t="s">
        <v>5</v>
      </c>
      <c r="F222" s="41"/>
      <c r="G222" s="41"/>
      <c r="H222" s="41"/>
      <c r="I222" s="41"/>
      <c r="J222" s="41"/>
      <c r="K222" s="41"/>
      <c r="L222" s="41"/>
      <c r="M222" s="41"/>
      <c r="N222" s="41"/>
      <c r="O222" s="41"/>
      <c r="P222" s="41"/>
      <c r="Q222" s="41"/>
      <c r="R222" s="41"/>
      <c r="S222" s="41"/>
      <c r="T222" s="41"/>
      <c r="U222" s="41"/>
      <c r="V222" s="41"/>
      <c r="W222" s="41"/>
      <c r="X222" s="41"/>
      <c r="Y222" s="41"/>
      <c r="Z222" s="41"/>
    </row>
    <row r="223" ht="19.5" customHeight="1">
      <c r="A223" s="41"/>
      <c r="B223" s="84" t="s">
        <v>826</v>
      </c>
      <c r="C223" s="111" t="str">
        <f>sample_wld_vc_fqdn</f>
        <v>lax-w01-vc01.lax.rainpole.io</v>
      </c>
      <c r="D223" s="18" t="str">
        <f>wld_vc_fqdn</f>
        <v>Value Missing</v>
      </c>
      <c r="E223" s="19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84" t="s">
        <v>3163</v>
      </c>
      <c r="C224" s="110" t="str">
        <f>sample_wld_vrms_vm_folder</f>
        <v>lax-w01-fd-vrms</v>
      </c>
      <c r="D224" s="18" t="str">
        <f>wld_vrms_vm_folder</f>
        <v>Value Missing</v>
      </c>
      <c r="E224" s="191"/>
      <c r="F224" s="41"/>
      <c r="G224" s="41"/>
      <c r="H224" s="41"/>
      <c r="I224" s="41"/>
      <c r="J224" s="41"/>
      <c r="K224" s="41"/>
      <c r="L224" s="41"/>
      <c r="M224" s="41"/>
      <c r="N224" s="41"/>
      <c r="O224" s="41"/>
      <c r="P224" s="41"/>
      <c r="Q224" s="41"/>
      <c r="R224" s="41"/>
      <c r="S224" s="41"/>
      <c r="T224" s="41"/>
      <c r="U224" s="41"/>
      <c r="V224" s="41"/>
      <c r="W224" s="41"/>
      <c r="X224" s="41"/>
      <c r="Y224" s="41"/>
      <c r="Z224" s="41"/>
    </row>
    <row r="225" ht="33.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9.5" customHeight="1">
      <c r="A226" s="41"/>
      <c r="B226" s="197" t="s">
        <v>3253</v>
      </c>
      <c r="C226" s="13"/>
      <c r="D226" s="13"/>
      <c r="E226" s="14"/>
      <c r="F226" s="41"/>
      <c r="G226" s="41"/>
      <c r="H226" s="41"/>
      <c r="I226" s="41"/>
      <c r="J226" s="41"/>
      <c r="K226" s="41"/>
      <c r="L226" s="41"/>
      <c r="M226" s="41"/>
      <c r="N226" s="41"/>
      <c r="O226" s="41"/>
      <c r="P226" s="41"/>
      <c r="Q226" s="41"/>
      <c r="R226" s="41"/>
      <c r="S226" s="41"/>
      <c r="T226" s="41"/>
      <c r="U226" s="41"/>
      <c r="V226" s="41"/>
      <c r="W226" s="41"/>
      <c r="X226" s="41"/>
      <c r="Y226" s="41"/>
      <c r="Z226" s="41"/>
    </row>
    <row r="227" ht="19.5" customHeight="1">
      <c r="A227" s="41"/>
      <c r="B227" s="108" t="s">
        <v>256</v>
      </c>
      <c r="C227" s="108" t="s">
        <v>722</v>
      </c>
      <c r="D227" s="108" t="s">
        <v>274</v>
      </c>
      <c r="E227" s="108" t="s">
        <v>5</v>
      </c>
      <c r="F227" s="41"/>
      <c r="G227" s="41"/>
      <c r="H227" s="41"/>
      <c r="I227" s="41"/>
      <c r="J227" s="41"/>
      <c r="K227" s="41"/>
      <c r="L227" s="41"/>
      <c r="M227" s="41"/>
      <c r="N227" s="41"/>
      <c r="O227" s="41"/>
      <c r="P227" s="41"/>
      <c r="Q227" s="41"/>
      <c r="R227" s="41"/>
      <c r="S227" s="41"/>
      <c r="T227" s="41"/>
      <c r="U227" s="41"/>
      <c r="V227" s="41"/>
      <c r="W227" s="41"/>
      <c r="X227" s="41"/>
      <c r="Y227" s="41"/>
      <c r="Z227" s="41"/>
    </row>
    <row r="228" ht="19.5" customHeight="1">
      <c r="A228" s="41"/>
      <c r="B228" s="84" t="s">
        <v>826</v>
      </c>
      <c r="C228" s="111" t="str">
        <f>sample_wld_vc_fqdn</f>
        <v>lax-w01-vc01.lax.rainpole.io</v>
      </c>
      <c r="D228" s="18" t="str">
        <f>wld_vc_fqdn</f>
        <v>Value Missing</v>
      </c>
      <c r="E228" s="191"/>
      <c r="F228" s="41"/>
      <c r="G228" s="41"/>
      <c r="H228" s="41"/>
      <c r="I228" s="41"/>
      <c r="J228" s="41"/>
      <c r="K228" s="41"/>
      <c r="L228" s="41"/>
      <c r="M228" s="41"/>
      <c r="N228" s="41"/>
      <c r="O228" s="41"/>
      <c r="P228" s="41"/>
      <c r="Q228" s="41"/>
      <c r="R228" s="41"/>
      <c r="S228" s="41"/>
      <c r="T228" s="41"/>
      <c r="U228" s="41"/>
      <c r="V228" s="41"/>
      <c r="W228" s="41"/>
      <c r="X228" s="41"/>
      <c r="Y228" s="41"/>
      <c r="Z228" s="41"/>
    </row>
    <row r="229" ht="19.5" customHeight="1">
      <c r="A229" s="41"/>
      <c r="B229" s="85" t="s">
        <v>1178</v>
      </c>
      <c r="C229" s="110" t="str">
        <f>sample_wld_cl01_cluster</f>
        <v>lax-w01-cl01</v>
      </c>
      <c r="D229" s="18" t="str">
        <f>wld_cl01_cluster</f>
        <v>Value Missing</v>
      </c>
      <c r="E229" s="191"/>
      <c r="F229" s="41"/>
      <c r="G229" s="41"/>
      <c r="H229" s="41"/>
      <c r="I229" s="41"/>
      <c r="J229" s="41"/>
      <c r="K229" s="41"/>
      <c r="L229" s="41"/>
      <c r="M229" s="41"/>
      <c r="N229" s="41"/>
      <c r="O229" s="41"/>
      <c r="P229" s="41"/>
      <c r="Q229" s="41"/>
      <c r="R229" s="41"/>
      <c r="S229" s="41"/>
      <c r="T229" s="41"/>
      <c r="U229" s="41"/>
      <c r="V229" s="41"/>
      <c r="W229" s="41"/>
      <c r="X229" s="41"/>
      <c r="Y229" s="41"/>
      <c r="Z229" s="41"/>
    </row>
    <row r="230" ht="19.5" customHeight="1">
      <c r="A230" s="41"/>
      <c r="B230" s="85" t="s">
        <v>3254</v>
      </c>
      <c r="C230" s="110" t="str">
        <f>sample_wld_vrms_hostname</f>
        <v>lax-w01-vrms01</v>
      </c>
      <c r="D230" s="18" t="str">
        <f>wld_vrms_hostname</f>
        <v>Value Missing</v>
      </c>
      <c r="E230" s="191"/>
      <c r="F230" s="41"/>
      <c r="G230" s="41"/>
      <c r="H230" s="41"/>
      <c r="I230" s="41"/>
      <c r="J230" s="41"/>
      <c r="K230" s="41"/>
      <c r="L230" s="41"/>
      <c r="M230" s="41"/>
      <c r="N230" s="41"/>
      <c r="O230" s="41"/>
      <c r="P230" s="41"/>
      <c r="Q230" s="41"/>
      <c r="R230" s="41"/>
      <c r="S230" s="41"/>
      <c r="T230" s="41"/>
      <c r="U230" s="41"/>
      <c r="V230" s="41"/>
      <c r="W230" s="41"/>
      <c r="X230" s="41"/>
      <c r="Y230" s="41"/>
      <c r="Z230" s="41"/>
    </row>
    <row r="231" ht="19.5" customHeight="1">
      <c r="A231" s="41"/>
      <c r="B231" s="85" t="s">
        <v>3255</v>
      </c>
      <c r="C231" s="110" t="str">
        <f>sample_wld_vrms_vm_folder</f>
        <v>lax-w01-fd-vrms</v>
      </c>
      <c r="D231" s="18" t="str">
        <f>wld_vrms_vm_folder</f>
        <v>Value Missing</v>
      </c>
      <c r="E231" s="191"/>
      <c r="F231" s="41"/>
      <c r="G231" s="41"/>
      <c r="H231" s="41"/>
      <c r="I231" s="41"/>
      <c r="J231" s="41"/>
      <c r="K231" s="41"/>
      <c r="L231" s="41"/>
      <c r="M231" s="41"/>
      <c r="N231" s="41"/>
      <c r="O231" s="41"/>
      <c r="P231" s="41"/>
      <c r="Q231" s="41"/>
      <c r="R231" s="41"/>
      <c r="S231" s="41"/>
      <c r="T231" s="41"/>
      <c r="U231" s="41"/>
      <c r="V231" s="41"/>
      <c r="W231" s="41"/>
      <c r="X231" s="41"/>
      <c r="Y231" s="41"/>
      <c r="Z231" s="41"/>
    </row>
    <row r="232" ht="19.5" customHeight="1">
      <c r="A232" s="41"/>
      <c r="B232" s="85" t="s">
        <v>3256</v>
      </c>
      <c r="C232" s="110" t="str">
        <f>sample_wld_cl01_cluster</f>
        <v>lax-w01-cl01</v>
      </c>
      <c r="D232" s="18" t="str">
        <f>wld_cl01_cluster</f>
        <v>Value Missing</v>
      </c>
      <c r="E232" s="19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85" t="s">
        <v>596</v>
      </c>
      <c r="C233" s="110" t="str">
        <f>sample_wld_cl01_vsan_datastore</f>
        <v>lax-w01-lax-w01-cl01-vsan01</v>
      </c>
      <c r="D233" s="18" t="str">
        <f>wld_cl01_vsan_datastore</f>
        <v>Value Missing</v>
      </c>
      <c r="E233" s="191"/>
      <c r="F233" s="41"/>
      <c r="G233" s="41"/>
      <c r="H233" s="41"/>
      <c r="I233" s="41"/>
      <c r="J233" s="41"/>
      <c r="K233" s="41"/>
      <c r="L233" s="41"/>
      <c r="M233" s="41"/>
      <c r="N233" s="41"/>
      <c r="O233" s="41"/>
      <c r="P233" s="41"/>
      <c r="Q233" s="41"/>
      <c r="R233" s="41"/>
      <c r="S233" s="41"/>
      <c r="T233" s="41"/>
      <c r="U233" s="41"/>
      <c r="V233" s="41"/>
      <c r="W233" s="41"/>
      <c r="X233" s="41"/>
      <c r="Y233" s="41"/>
      <c r="Z233" s="41"/>
    </row>
    <row r="234" ht="33.75" customHeight="1">
      <c r="A234" s="41"/>
      <c r="B234" s="84" t="s">
        <v>3257</v>
      </c>
      <c r="C234" s="110" t="str">
        <f>sample_wld_cl01_az1_mgmt_pg</f>
        <v>lax-w01-cl01-vds01-pg-esxi-mgmt</v>
      </c>
      <c r="D234" s="18" t="str">
        <f>wld_cl01_az1_mgmt_pg</f>
        <v>Value Missing</v>
      </c>
      <c r="E234" s="19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84" t="s">
        <v>3258</v>
      </c>
      <c r="C235" s="110" t="str">
        <f>sample_wld_vrms_root_password</f>
        <v>VMw@re1!</v>
      </c>
      <c r="D235" s="18" t="str">
        <f>wld_vrms_root_password</f>
        <v>Value Missing</v>
      </c>
      <c r="E235" s="191"/>
      <c r="F235" s="41"/>
      <c r="G235" s="41"/>
      <c r="H235" s="41"/>
      <c r="I235" s="41"/>
      <c r="J235" s="41"/>
      <c r="K235" s="41"/>
      <c r="L235" s="41"/>
      <c r="M235" s="41"/>
      <c r="N235" s="41"/>
      <c r="O235" s="41"/>
      <c r="P235" s="41"/>
      <c r="Q235" s="41"/>
      <c r="R235" s="41"/>
      <c r="S235" s="41"/>
      <c r="T235" s="41"/>
      <c r="U235" s="41"/>
      <c r="V235" s="41"/>
      <c r="W235" s="41"/>
      <c r="X235" s="41"/>
      <c r="Y235" s="41"/>
      <c r="Z235" s="41"/>
    </row>
    <row r="236" ht="33.75" customHeight="1">
      <c r="A236" s="41"/>
      <c r="B236" s="85" t="s">
        <v>3259</v>
      </c>
      <c r="C236" s="110" t="str">
        <f>sample_wld_vrms_admin_password</f>
        <v>VMw@re1!</v>
      </c>
      <c r="D236" s="18" t="str">
        <f>wld_vrms_admin_password</f>
        <v>Value Missing</v>
      </c>
      <c r="E236" s="19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85" t="s">
        <v>757</v>
      </c>
      <c r="C237" s="111" t="str">
        <f>sample_region_ntp1_server</f>
        <v>ntp0.lax.rainpole.io</v>
      </c>
      <c r="D237" s="18" t="str">
        <f>region_ntp1_server</f>
        <v>Value Missing</v>
      </c>
      <c r="E237" s="191"/>
      <c r="F237" s="41"/>
      <c r="G237" s="41"/>
      <c r="H237" s="41"/>
      <c r="I237" s="41"/>
      <c r="J237" s="41"/>
      <c r="K237" s="41"/>
      <c r="L237" s="41"/>
      <c r="M237" s="41"/>
      <c r="N237" s="41"/>
      <c r="O237" s="41"/>
      <c r="P237" s="41"/>
      <c r="Q237" s="41"/>
      <c r="R237" s="41"/>
      <c r="S237" s="41"/>
      <c r="T237" s="41"/>
      <c r="U237" s="41"/>
      <c r="V237" s="41"/>
      <c r="W237" s="41"/>
      <c r="X237" s="41"/>
      <c r="Y237" s="41"/>
      <c r="Z237" s="41"/>
    </row>
    <row r="238" ht="33.75" customHeight="1">
      <c r="A238" s="41"/>
      <c r="B238" s="84" t="s">
        <v>760</v>
      </c>
      <c r="C238" s="111" t="str">
        <f>CONCATENATE(sample_wld_vrms_hostname,".",sample_child_dns_zone)</f>
        <v>lax-w01-vrms01.lax.rainpole.io</v>
      </c>
      <c r="D238" s="18" t="str">
        <f>wld_vrms_fqdn</f>
        <v>Value Missing.Value Missing</v>
      </c>
      <c r="E238" s="191"/>
      <c r="F238" s="41"/>
      <c r="G238" s="41"/>
      <c r="H238" s="41"/>
      <c r="I238" s="41"/>
      <c r="J238" s="41"/>
      <c r="K238" s="41"/>
      <c r="L238" s="41"/>
      <c r="M238" s="41"/>
      <c r="N238" s="41"/>
      <c r="O238" s="41"/>
      <c r="P238" s="41"/>
      <c r="Q238" s="41"/>
      <c r="R238" s="41"/>
      <c r="S238" s="41"/>
      <c r="T238" s="41"/>
      <c r="U238" s="41"/>
      <c r="V238" s="41"/>
      <c r="W238" s="41"/>
      <c r="X238" s="41"/>
      <c r="Y238" s="41"/>
      <c r="Z238" s="41"/>
    </row>
    <row r="239" ht="19.5" customHeight="1">
      <c r="A239" s="41"/>
      <c r="B239" s="84" t="s">
        <v>719</v>
      </c>
      <c r="C239" s="110" t="str">
        <f>sample_wld_az1_mgmt_vm_gateway_ip</f>
        <v>10.23.10.1</v>
      </c>
      <c r="D239" s="18" t="str">
        <f>wld_az1_mgmt_vm_gateway_ip</f>
        <v>Value Missing</v>
      </c>
      <c r="E239" s="191"/>
      <c r="F239" s="41"/>
      <c r="G239" s="41"/>
      <c r="H239" s="41"/>
      <c r="I239" s="41"/>
      <c r="J239" s="41"/>
      <c r="K239" s="41"/>
      <c r="L239" s="41"/>
      <c r="M239" s="41"/>
      <c r="N239" s="41"/>
      <c r="O239" s="41"/>
      <c r="P239" s="41"/>
      <c r="Q239" s="41"/>
      <c r="R239" s="41"/>
      <c r="S239" s="41"/>
      <c r="T239" s="41"/>
      <c r="U239" s="41"/>
      <c r="V239" s="41"/>
      <c r="W239" s="41"/>
      <c r="X239" s="41"/>
      <c r="Y239" s="41"/>
      <c r="Z239" s="41"/>
    </row>
    <row r="240" ht="19.5" customHeight="1">
      <c r="A240" s="41"/>
      <c r="B240" s="85" t="s">
        <v>356</v>
      </c>
      <c r="C240" s="111" t="str">
        <f>sample_child_dns_zone</f>
        <v>lax.rainpole.io</v>
      </c>
      <c r="D240" s="18" t="str">
        <f>child_dns_zone</f>
        <v>Value Missing</v>
      </c>
      <c r="E240" s="191"/>
      <c r="F240" s="41"/>
      <c r="G240" s="41"/>
      <c r="H240" s="41"/>
      <c r="I240" s="41"/>
      <c r="J240" s="41"/>
      <c r="K240" s="41"/>
      <c r="L240" s="41"/>
      <c r="M240" s="41"/>
      <c r="N240" s="41"/>
      <c r="O240" s="41"/>
      <c r="P240" s="41"/>
      <c r="Q240" s="41"/>
      <c r="R240" s="41"/>
      <c r="S240" s="41"/>
      <c r="T240" s="41"/>
      <c r="U240" s="41"/>
      <c r="V240" s="41"/>
      <c r="W240" s="41"/>
      <c r="X240" s="41"/>
      <c r="Y240" s="41"/>
      <c r="Z240" s="41"/>
    </row>
    <row r="241" ht="19.5" customHeight="1">
      <c r="A241" s="41"/>
      <c r="B241" s="85" t="s">
        <v>3260</v>
      </c>
      <c r="C241" s="111" t="str">
        <f>sample_child_dns_zone</f>
        <v>lax.rainpole.io</v>
      </c>
      <c r="D241" s="18" t="str">
        <f>child_dns_zone</f>
        <v>Value Missing</v>
      </c>
      <c r="E241" s="19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85" t="s">
        <v>3261</v>
      </c>
      <c r="C242" s="110" t="str">
        <f>CONCATENATE(sample_region_dns1_ip,",",sample_region_dns2_ip)</f>
        <v>10.21.10.4,10.21.10.5</v>
      </c>
      <c r="D242" s="18" t="str">
        <f>CONCATENATE(region_dns1_ip,",",region_dns2_ip)</f>
        <v>Value Missing,Value Missing</v>
      </c>
      <c r="E242" s="191"/>
      <c r="F242" s="41"/>
      <c r="G242" s="41"/>
      <c r="H242" s="41"/>
      <c r="I242" s="41"/>
      <c r="J242" s="41"/>
      <c r="K242" s="41"/>
      <c r="L242" s="41"/>
      <c r="M242" s="41"/>
      <c r="N242" s="41"/>
      <c r="O242" s="41"/>
      <c r="P242" s="41"/>
      <c r="Q242" s="41"/>
      <c r="R242" s="41"/>
      <c r="S242" s="41"/>
      <c r="T242" s="41"/>
      <c r="U242" s="41"/>
      <c r="V242" s="41"/>
      <c r="W242" s="41"/>
      <c r="X242" s="41"/>
      <c r="Y242" s="41"/>
      <c r="Z242" s="41"/>
    </row>
    <row r="243" ht="33.75" customHeight="1">
      <c r="A243" s="41"/>
      <c r="B243" s="85" t="s">
        <v>3262</v>
      </c>
      <c r="C243" s="110" t="str">
        <f>sample_wld_vrms_mgmt_ip</f>
        <v>10.23.10.125</v>
      </c>
      <c r="D243" s="18" t="str">
        <f>wld_vrms_mgmt_ip</f>
        <v>Value Missing</v>
      </c>
      <c r="E243" s="191"/>
      <c r="F243" s="41"/>
      <c r="G243" s="41"/>
      <c r="H243" s="41"/>
      <c r="I243" s="41"/>
      <c r="J243" s="41"/>
      <c r="K243" s="41"/>
      <c r="L243" s="41"/>
      <c r="M243" s="41"/>
      <c r="N243" s="41"/>
      <c r="O243" s="41"/>
      <c r="P243" s="41"/>
      <c r="Q243" s="41"/>
      <c r="R243" s="41"/>
      <c r="S243" s="41"/>
      <c r="T243" s="41"/>
      <c r="U243" s="41"/>
      <c r="V243" s="41"/>
      <c r="W243" s="41"/>
      <c r="X243" s="41"/>
      <c r="Y243" s="41"/>
      <c r="Z243" s="41"/>
    </row>
    <row r="244" ht="19.5" customHeight="1">
      <c r="A244" s="41"/>
      <c r="B244" s="85" t="s">
        <v>3263</v>
      </c>
      <c r="C244" s="110">
        <f>INT(RIGHT(sample_wld_az1_mgmt_cidr,LEN(sample_wld_az1_mgmt_cidr)-FIND("/",sample_wld_az1_mgmt_cidr)))</f>
        <v>24</v>
      </c>
      <c r="D244" s="18" t="str">
        <f>IF(wld_az1_mgmt_cidr="Value Missing","Value Missing",IF(wld_az1_mgmt_cidr="Not Required","Not Required",INT(RIGHT(wld_az1_mgmt_cidr,LEN(wld_az1_mgmt_cidr)-FIND("/",wld_az1_mgmt_cidr)))))</f>
        <v>Value Missing</v>
      </c>
      <c r="E244" s="191"/>
      <c r="F244" s="41"/>
      <c r="G244" s="41"/>
      <c r="H244" s="41"/>
      <c r="I244" s="41"/>
      <c r="J244" s="41"/>
      <c r="K244" s="41"/>
      <c r="L244" s="41"/>
      <c r="M244" s="41"/>
      <c r="N244" s="41"/>
      <c r="O244" s="41"/>
      <c r="P244" s="41"/>
      <c r="Q244" s="41"/>
      <c r="R244" s="41"/>
      <c r="S244" s="41"/>
      <c r="T244" s="41"/>
      <c r="U244" s="41"/>
      <c r="V244" s="41"/>
      <c r="W244" s="41"/>
      <c r="X244" s="41"/>
      <c r="Y244" s="41"/>
      <c r="Z244" s="41"/>
    </row>
    <row r="245" ht="19.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9.5" customHeight="1">
      <c r="A246" s="41"/>
      <c r="B246" s="197" t="s">
        <v>3264</v>
      </c>
      <c r="C246" s="13"/>
      <c r="D246" s="13"/>
      <c r="E246" s="14"/>
      <c r="F246" s="41"/>
      <c r="G246" s="41"/>
      <c r="H246" s="41"/>
      <c r="I246" s="41"/>
      <c r="J246" s="41"/>
      <c r="K246" s="41"/>
      <c r="L246" s="41"/>
      <c r="M246" s="41"/>
      <c r="N246" s="41"/>
      <c r="O246" s="41"/>
      <c r="P246" s="41"/>
      <c r="Q246" s="41"/>
      <c r="R246" s="41"/>
      <c r="S246" s="41"/>
      <c r="T246" s="41"/>
      <c r="U246" s="41"/>
      <c r="V246" s="41"/>
      <c r="W246" s="41"/>
      <c r="X246" s="41"/>
      <c r="Y246" s="41"/>
      <c r="Z246" s="41"/>
    </row>
    <row r="247" ht="19.5" customHeight="1">
      <c r="A247" s="41"/>
      <c r="B247" s="108" t="s">
        <v>256</v>
      </c>
      <c r="C247" s="108" t="s">
        <v>722</v>
      </c>
      <c r="D247" s="108" t="s">
        <v>274</v>
      </c>
      <c r="E247" s="108" t="s">
        <v>5</v>
      </c>
      <c r="F247" s="41"/>
      <c r="G247" s="41"/>
      <c r="H247" s="41"/>
      <c r="I247" s="41"/>
      <c r="J247" s="41"/>
      <c r="K247" s="41"/>
      <c r="L247" s="41"/>
      <c r="M247" s="41"/>
      <c r="N247" s="41"/>
      <c r="O247" s="41"/>
      <c r="P247" s="41"/>
      <c r="Q247" s="41"/>
      <c r="R247" s="41"/>
      <c r="S247" s="41"/>
      <c r="T247" s="41"/>
      <c r="U247" s="41"/>
      <c r="V247" s="41"/>
      <c r="W247" s="41"/>
      <c r="X247" s="41"/>
      <c r="Y247" s="41"/>
      <c r="Z247" s="41"/>
    </row>
    <row r="248" ht="19.5" customHeight="1">
      <c r="A248" s="41"/>
      <c r="B248" s="84" t="s">
        <v>3265</v>
      </c>
      <c r="C248" s="111" t="str">
        <f>CONCATENATE(sample_wld_vrms_hostname,".",sample_child_dns_zone)</f>
        <v>lax-w01-vrms01.lax.rainpole.io</v>
      </c>
      <c r="D248" s="18" t="str">
        <f>wld_vrms_fqdn</f>
        <v>Value Missing.Value Missing</v>
      </c>
      <c r="E248" s="191"/>
      <c r="F248" s="41"/>
      <c r="G248" s="41"/>
      <c r="H248" s="41"/>
      <c r="I248" s="41"/>
      <c r="J248" s="41"/>
      <c r="K248" s="41"/>
      <c r="L248" s="41"/>
      <c r="M248" s="41"/>
      <c r="N248" s="41"/>
      <c r="O248" s="41"/>
      <c r="P248" s="41"/>
      <c r="Q248" s="41"/>
      <c r="R248" s="41"/>
      <c r="S248" s="41"/>
      <c r="T248" s="41"/>
      <c r="U248" s="41"/>
      <c r="V248" s="41"/>
      <c r="W248" s="41"/>
      <c r="X248" s="41"/>
      <c r="Y248" s="41"/>
      <c r="Z248" s="41"/>
    </row>
    <row r="249" ht="19.5" customHeight="1">
      <c r="A249" s="41"/>
      <c r="B249" s="84" t="s">
        <v>3266</v>
      </c>
      <c r="C249" s="110" t="str">
        <f>sample_wld_vrms_p12_password</f>
        <v>VMw@re1!</v>
      </c>
      <c r="D249" s="18" t="str">
        <f>wld_vrms_p12_password</f>
        <v>Value Missing</v>
      </c>
      <c r="E249" s="191"/>
      <c r="F249" s="41"/>
      <c r="G249" s="41"/>
      <c r="H249" s="41"/>
      <c r="I249" s="41"/>
      <c r="J249" s="41"/>
      <c r="K249" s="41"/>
      <c r="L249" s="41"/>
      <c r="M249" s="41"/>
      <c r="N249" s="41"/>
      <c r="O249" s="41"/>
      <c r="P249" s="41"/>
      <c r="Q249" s="41"/>
      <c r="R249" s="41"/>
      <c r="S249" s="41"/>
      <c r="T249" s="41"/>
      <c r="U249" s="41"/>
      <c r="V249" s="41"/>
      <c r="W249" s="41"/>
      <c r="X249" s="41"/>
      <c r="Y249" s="41"/>
      <c r="Z249" s="41"/>
    </row>
    <row r="250" ht="19.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9.5" customHeight="1">
      <c r="A251" s="41"/>
      <c r="B251" s="197" t="s">
        <v>3267</v>
      </c>
      <c r="C251" s="13"/>
      <c r="D251" s="13"/>
      <c r="E251" s="14"/>
      <c r="F251" s="41"/>
      <c r="G251" s="41"/>
      <c r="H251" s="41"/>
      <c r="I251" s="41"/>
      <c r="J251" s="41"/>
      <c r="K251" s="41"/>
      <c r="L251" s="41"/>
      <c r="M251" s="41"/>
      <c r="N251" s="41"/>
      <c r="O251" s="41"/>
      <c r="P251" s="41"/>
      <c r="Q251" s="41"/>
      <c r="R251" s="41"/>
      <c r="S251" s="41"/>
      <c r="T251" s="41"/>
      <c r="U251" s="41"/>
      <c r="V251" s="41"/>
      <c r="W251" s="41"/>
      <c r="X251" s="41"/>
      <c r="Y251" s="41"/>
      <c r="Z251" s="41"/>
    </row>
    <row r="252" ht="19.5" customHeight="1">
      <c r="A252" s="41"/>
      <c r="B252" s="108" t="s">
        <v>256</v>
      </c>
      <c r="C252" s="108" t="s">
        <v>722</v>
      </c>
      <c r="D252" s="108" t="s">
        <v>274</v>
      </c>
      <c r="E252" s="108" t="s">
        <v>5</v>
      </c>
      <c r="F252" s="41"/>
      <c r="G252" s="41"/>
      <c r="H252" s="41"/>
      <c r="I252" s="41"/>
      <c r="J252" s="41"/>
      <c r="K252" s="41"/>
      <c r="L252" s="41"/>
      <c r="M252" s="41"/>
      <c r="N252" s="41"/>
      <c r="O252" s="41"/>
      <c r="P252" s="41"/>
      <c r="Q252" s="41"/>
      <c r="R252" s="41"/>
      <c r="S252" s="41"/>
      <c r="T252" s="41"/>
      <c r="U252" s="41"/>
      <c r="V252" s="41"/>
      <c r="W252" s="41"/>
      <c r="X252" s="41"/>
      <c r="Y252" s="41"/>
      <c r="Z252" s="41"/>
    </row>
    <row r="253" ht="19.5" customHeight="1">
      <c r="A253" s="41"/>
      <c r="B253" s="84" t="s">
        <v>3265</v>
      </c>
      <c r="C253" s="111" t="str">
        <f>CONCATENATE(sample_wld_vrms_hostname,".",sample_child_dns_zone)</f>
        <v>lax-w01-vrms01.lax.rainpole.io</v>
      </c>
      <c r="D253" s="18" t="str">
        <f>wld_vrms_fqdn</f>
        <v>Value Missing.Value Missing</v>
      </c>
      <c r="E253" s="191"/>
      <c r="F253" s="41"/>
      <c r="G253" s="41"/>
      <c r="H253" s="41"/>
      <c r="I253" s="41"/>
      <c r="J253" s="41"/>
      <c r="K253" s="41"/>
      <c r="L253" s="41"/>
      <c r="M253" s="41"/>
      <c r="N253" s="41"/>
      <c r="O253" s="41"/>
      <c r="P253" s="41"/>
      <c r="Q253" s="41"/>
      <c r="R253" s="41"/>
      <c r="S253" s="41"/>
      <c r="T253" s="41"/>
      <c r="U253" s="41"/>
      <c r="V253" s="41"/>
      <c r="W253" s="41"/>
      <c r="X253" s="41"/>
      <c r="Y253" s="41"/>
      <c r="Z253" s="41"/>
    </row>
    <row r="254" ht="19.5" customHeight="1">
      <c r="A254" s="41"/>
      <c r="B254" s="85" t="s">
        <v>3268</v>
      </c>
      <c r="C254" s="111" t="str">
        <f>sample_wld_vc_fqdn</f>
        <v>lax-w01-vc01.lax.rainpole.io</v>
      </c>
      <c r="D254" s="18" t="str">
        <f>wld_vc_fqdn</f>
        <v>Value Missing</v>
      </c>
      <c r="E254" s="191"/>
      <c r="F254" s="41"/>
      <c r="G254" s="41"/>
      <c r="H254" s="41"/>
      <c r="I254" s="41"/>
      <c r="J254" s="41"/>
      <c r="K254" s="41"/>
      <c r="L254" s="41"/>
      <c r="M254" s="41"/>
      <c r="N254" s="41"/>
      <c r="O254" s="41"/>
      <c r="P254" s="41"/>
      <c r="Q254" s="41"/>
      <c r="R254" s="41"/>
      <c r="S254" s="41"/>
      <c r="T254" s="41"/>
      <c r="U254" s="41"/>
      <c r="V254" s="41"/>
      <c r="W254" s="41"/>
      <c r="X254" s="41"/>
      <c r="Y254" s="41"/>
      <c r="Z254" s="41"/>
    </row>
    <row r="255" ht="19.5" customHeight="1">
      <c r="A255" s="41"/>
      <c r="B255" s="85" t="s">
        <v>575</v>
      </c>
      <c r="C255" s="110" t="s">
        <v>359</v>
      </c>
      <c r="D255" s="18" t="str">
        <f>C255</f>
        <v>administrator@vsphere.local</v>
      </c>
      <c r="E255" s="191"/>
      <c r="F255" s="41"/>
      <c r="G255" s="41"/>
      <c r="H255" s="41"/>
      <c r="I255" s="41"/>
      <c r="J255" s="41"/>
      <c r="K255" s="41"/>
      <c r="L255" s="41"/>
      <c r="M255" s="41"/>
      <c r="N255" s="41"/>
      <c r="O255" s="41"/>
      <c r="P255" s="41"/>
      <c r="Q255" s="41"/>
      <c r="R255" s="41"/>
      <c r="S255" s="41"/>
      <c r="T255" s="41"/>
      <c r="U255" s="41"/>
      <c r="V255" s="41"/>
      <c r="W255" s="41"/>
      <c r="X255" s="41"/>
      <c r="Y255" s="41"/>
      <c r="Z255" s="41"/>
    </row>
    <row r="256" ht="19.5" customHeight="1">
      <c r="A256" s="41"/>
      <c r="B256" s="85" t="s">
        <v>296</v>
      </c>
      <c r="C256" s="110" t="str">
        <f>sample_administrator_vsphere_local_password</f>
        <v>VMw@re1!VMw@re1!</v>
      </c>
      <c r="D256" s="18" t="str">
        <f>administrator_vsphere_local_password</f>
        <v>Value Missing</v>
      </c>
      <c r="E256" s="191"/>
      <c r="F256" s="41"/>
      <c r="G256" s="41"/>
      <c r="H256" s="41"/>
      <c r="I256" s="41"/>
      <c r="J256" s="41"/>
      <c r="K256" s="41"/>
      <c r="L256" s="41"/>
      <c r="M256" s="41"/>
      <c r="N256" s="41"/>
      <c r="O256" s="41"/>
      <c r="P256" s="41"/>
      <c r="Q256" s="41"/>
      <c r="R256" s="41"/>
      <c r="S256" s="41"/>
      <c r="T256" s="41"/>
      <c r="U256" s="41"/>
      <c r="V256" s="41"/>
      <c r="W256" s="41"/>
      <c r="X256" s="41"/>
      <c r="Y256" s="41"/>
      <c r="Z256" s="41"/>
    </row>
    <row r="257" ht="19.5" customHeight="1">
      <c r="A257" s="41"/>
      <c r="B257" s="85" t="s">
        <v>2081</v>
      </c>
      <c r="C257" s="111" t="str">
        <f>sample_wld_vc_fqdn</f>
        <v>lax-w01-vc01.lax.rainpole.io</v>
      </c>
      <c r="D257" s="18" t="str">
        <f>wld_vc_fqdn</f>
        <v>Value Missing</v>
      </c>
      <c r="E257" s="191"/>
      <c r="F257" s="41"/>
      <c r="G257" s="41"/>
      <c r="H257" s="41"/>
      <c r="I257" s="41"/>
      <c r="J257" s="41"/>
      <c r="K257" s="41"/>
      <c r="L257" s="41"/>
      <c r="M257" s="41"/>
      <c r="N257" s="41"/>
      <c r="O257" s="41"/>
      <c r="P257" s="41"/>
      <c r="Q257" s="41"/>
      <c r="R257" s="41"/>
      <c r="S257" s="41"/>
      <c r="T257" s="41"/>
      <c r="U257" s="41"/>
      <c r="V257" s="41"/>
      <c r="W257" s="41"/>
      <c r="X257" s="41"/>
      <c r="Y257" s="41"/>
      <c r="Z257" s="41"/>
    </row>
    <row r="258" ht="19.5" customHeight="1">
      <c r="A258" s="41"/>
      <c r="B258" s="85" t="s">
        <v>3143</v>
      </c>
      <c r="C258" s="110" t="str">
        <f>sample_wld_vrms_site_name</f>
        <v>LAX-W01</v>
      </c>
      <c r="D258" s="18" t="str">
        <f>wld_vrms_site_name</f>
        <v>Value Missing</v>
      </c>
      <c r="E258" s="191"/>
      <c r="F258" s="41"/>
      <c r="G258" s="41"/>
      <c r="H258" s="41"/>
      <c r="I258" s="41"/>
      <c r="J258" s="41"/>
      <c r="K258" s="41"/>
      <c r="L258" s="41"/>
      <c r="M258" s="41"/>
      <c r="N258" s="41"/>
      <c r="O258" s="41"/>
      <c r="P258" s="41"/>
      <c r="Q258" s="41"/>
      <c r="R258" s="41"/>
      <c r="S258" s="41"/>
      <c r="T258" s="41"/>
      <c r="U258" s="41"/>
      <c r="V258" s="41"/>
      <c r="W258" s="41"/>
      <c r="X258" s="41"/>
      <c r="Y258" s="41"/>
      <c r="Z258" s="41"/>
    </row>
    <row r="259" ht="19.5" customHeight="1">
      <c r="A259" s="41"/>
      <c r="B259" s="84" t="s">
        <v>3269</v>
      </c>
      <c r="C259" s="110" t="str">
        <f>sample_wld_vrms_admin_email</f>
        <v>vrms-administrator@rainpole.io</v>
      </c>
      <c r="D259" s="18" t="str">
        <f>wld_vrms_admin_email</f>
        <v>Value Missing</v>
      </c>
      <c r="E259" s="191"/>
      <c r="F259" s="41"/>
      <c r="G259" s="41"/>
      <c r="H259" s="41"/>
      <c r="I259" s="41"/>
      <c r="J259" s="41"/>
      <c r="K259" s="41"/>
      <c r="L259" s="41"/>
      <c r="M259" s="41"/>
      <c r="N259" s="41"/>
      <c r="O259" s="41"/>
      <c r="P259" s="41"/>
      <c r="Q259" s="41"/>
      <c r="R259" s="41"/>
      <c r="S259" s="41"/>
      <c r="T259" s="41"/>
      <c r="U259" s="41"/>
      <c r="V259" s="41"/>
      <c r="W259" s="41"/>
      <c r="X259" s="41"/>
      <c r="Y259" s="41"/>
      <c r="Z259" s="41"/>
    </row>
    <row r="260" ht="19.5" customHeight="1">
      <c r="A260" s="41"/>
      <c r="B260" s="84" t="s">
        <v>3270</v>
      </c>
      <c r="C260" s="111" t="str">
        <f>CONCATENATE(sample_wld_vrms_hostname,".",sample_child_dns_zone)</f>
        <v>lax-w01-vrms01.lax.rainpole.io</v>
      </c>
      <c r="D260" s="18" t="str">
        <f>wld_vrms_fqdn</f>
        <v>Value Missing.Value Missing</v>
      </c>
      <c r="E260" s="191"/>
      <c r="F260" s="41"/>
      <c r="G260" s="41"/>
      <c r="H260" s="41"/>
      <c r="I260" s="41"/>
      <c r="J260" s="41"/>
      <c r="K260" s="41"/>
      <c r="L260" s="41"/>
      <c r="M260" s="41"/>
      <c r="N260" s="41"/>
      <c r="O260" s="41"/>
      <c r="P260" s="41"/>
      <c r="Q260" s="41"/>
      <c r="R260" s="41"/>
      <c r="S260" s="41"/>
      <c r="T260" s="41"/>
      <c r="U260" s="41"/>
      <c r="V260" s="41"/>
      <c r="W260" s="41"/>
      <c r="X260" s="41"/>
      <c r="Y260" s="41"/>
      <c r="Z260" s="41"/>
    </row>
    <row r="261" ht="19.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197" t="s">
        <v>3271</v>
      </c>
      <c r="C262" s="13"/>
      <c r="D262" s="13"/>
      <c r="E262" s="14"/>
      <c r="F262" s="41"/>
      <c r="G262" s="41"/>
      <c r="H262" s="41"/>
      <c r="I262" s="41"/>
      <c r="J262" s="41"/>
      <c r="K262" s="41"/>
      <c r="L262" s="41"/>
      <c r="M262" s="41"/>
      <c r="N262" s="41"/>
      <c r="O262" s="41"/>
      <c r="P262" s="41"/>
      <c r="Q262" s="41"/>
      <c r="R262" s="41"/>
      <c r="S262" s="41"/>
      <c r="T262" s="41"/>
      <c r="U262" s="41"/>
      <c r="V262" s="41"/>
      <c r="W262" s="41"/>
      <c r="X262" s="41"/>
      <c r="Y262" s="41"/>
      <c r="Z262" s="41"/>
    </row>
    <row r="263" ht="33.75" customHeight="1">
      <c r="A263" s="41"/>
      <c r="B263" s="108" t="s">
        <v>256</v>
      </c>
      <c r="C263" s="108" t="s">
        <v>722</v>
      </c>
      <c r="D263" s="108" t="s">
        <v>274</v>
      </c>
      <c r="E263" s="108" t="s">
        <v>5</v>
      </c>
      <c r="F263" s="41"/>
      <c r="G263" s="41"/>
      <c r="H263" s="41"/>
      <c r="I263" s="41"/>
      <c r="J263" s="41"/>
      <c r="K263" s="41"/>
      <c r="L263" s="41"/>
      <c r="M263" s="41"/>
      <c r="N263" s="41"/>
      <c r="O263" s="41"/>
      <c r="P263" s="41"/>
      <c r="Q263" s="41"/>
      <c r="R263" s="41"/>
      <c r="S263" s="41"/>
      <c r="T263" s="41"/>
      <c r="U263" s="41"/>
      <c r="V263" s="41"/>
      <c r="W263" s="41"/>
      <c r="X263" s="41"/>
      <c r="Y263" s="41"/>
      <c r="Z263" s="41"/>
    </row>
    <row r="264" ht="19.5" customHeight="1">
      <c r="A264" s="41"/>
      <c r="B264" s="85" t="s">
        <v>826</v>
      </c>
      <c r="C264" s="111" t="str">
        <f>sample_wld_vc_fqdn</f>
        <v>lax-w01-vc01.lax.rainpole.io</v>
      </c>
      <c r="D264" s="18" t="str">
        <f>wld_vc_fqdn</f>
        <v>Value Missing</v>
      </c>
      <c r="E264" s="191"/>
      <c r="F264" s="41"/>
      <c r="G264" s="41"/>
      <c r="H264" s="41"/>
      <c r="I264" s="41"/>
      <c r="J264" s="41"/>
      <c r="K264" s="41"/>
      <c r="L264" s="41"/>
      <c r="M264" s="41"/>
      <c r="N264" s="41"/>
      <c r="O264" s="41"/>
      <c r="P264" s="41"/>
      <c r="Q264" s="41"/>
      <c r="R264" s="41"/>
      <c r="S264" s="41"/>
      <c r="T264" s="41"/>
      <c r="U264" s="41"/>
      <c r="V264" s="41"/>
      <c r="W264" s="41"/>
      <c r="X264" s="41"/>
      <c r="Y264" s="41"/>
      <c r="Z264" s="41"/>
    </row>
    <row r="265" ht="19.5" customHeight="1">
      <c r="A265" s="41"/>
      <c r="B265" s="85" t="s">
        <v>3272</v>
      </c>
      <c r="C265" s="110" t="str">
        <f>sample_mgmt_cl01_vds01_name</f>
        <v>lax-m01-cl01-vds01</v>
      </c>
      <c r="D265" s="18" t="str">
        <f>mgmt_cl01_vds01_name</f>
        <v>Value Missing</v>
      </c>
      <c r="E265" s="191"/>
      <c r="F265" s="41"/>
      <c r="G265" s="41"/>
      <c r="H265" s="41"/>
      <c r="I265" s="41"/>
      <c r="J265" s="41"/>
      <c r="K265" s="41"/>
      <c r="L265" s="41"/>
      <c r="M265" s="41"/>
      <c r="N265" s="41"/>
      <c r="O265" s="41"/>
      <c r="P265" s="41"/>
      <c r="Q265" s="41"/>
      <c r="R265" s="41"/>
      <c r="S265" s="41"/>
      <c r="T265" s="41"/>
      <c r="U265" s="41"/>
      <c r="V265" s="41"/>
      <c r="W265" s="41"/>
      <c r="X265" s="41"/>
      <c r="Y265" s="41"/>
      <c r="Z265" s="41"/>
    </row>
    <row r="266" ht="19.5" customHeight="1">
      <c r="A266" s="41"/>
      <c r="B266" s="172" t="s">
        <v>3273</v>
      </c>
      <c r="C266" s="13"/>
      <c r="D266" s="13"/>
      <c r="E266" s="14"/>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85" t="s">
        <v>256</v>
      </c>
      <c r="C267" s="41"/>
      <c r="D267" s="18" t="str">
        <f>wld_vrms_pg</f>
        <v>Value Missing</v>
      </c>
      <c r="E267" s="191"/>
      <c r="F267" s="41"/>
      <c r="G267" s="41"/>
      <c r="H267" s="41"/>
      <c r="I267" s="41"/>
      <c r="J267" s="41"/>
      <c r="K267" s="41"/>
      <c r="L267" s="41"/>
      <c r="M267" s="41"/>
      <c r="N267" s="41"/>
      <c r="O267" s="41"/>
      <c r="P267" s="41"/>
      <c r="Q267" s="41"/>
      <c r="R267" s="41"/>
      <c r="S267" s="41"/>
      <c r="T267" s="41"/>
      <c r="U267" s="41"/>
      <c r="V267" s="41"/>
      <c r="W267" s="41"/>
      <c r="X267" s="41"/>
      <c r="Y267" s="41"/>
      <c r="Z267" s="41"/>
    </row>
    <row r="268" ht="33.75" customHeight="1">
      <c r="A268" s="41"/>
      <c r="B268" s="367" t="s">
        <v>401</v>
      </c>
      <c r="C268" s="41"/>
      <c r="D268" s="18"/>
      <c r="E268" s="257"/>
      <c r="F268" s="41"/>
      <c r="G268" s="41"/>
      <c r="H268" s="41"/>
      <c r="I268" s="41"/>
      <c r="J268" s="41"/>
      <c r="K268" s="41"/>
      <c r="L268" s="41"/>
      <c r="M268" s="41"/>
      <c r="N268" s="41"/>
      <c r="O268" s="41"/>
      <c r="P268" s="41"/>
      <c r="Q268" s="41"/>
      <c r="R268" s="41"/>
      <c r="S268" s="41"/>
      <c r="T268" s="41"/>
      <c r="U268" s="41"/>
      <c r="V268" s="41"/>
      <c r="W268" s="41"/>
      <c r="X268" s="41"/>
      <c r="Y268" s="41"/>
      <c r="Z268" s="41"/>
    </row>
    <row r="269" ht="19.5" customHeight="1">
      <c r="A269" s="41"/>
      <c r="B269" s="367" t="s">
        <v>402</v>
      </c>
      <c r="C269" s="156" t="str">
        <f>CONCATENATE(prefix_wld_az1_cidr,"9.1")</f>
        <v>10.23.9.1</v>
      </c>
      <c r="D269" s="18"/>
      <c r="E269" s="110" t="s">
        <v>622</v>
      </c>
      <c r="F269" s="41"/>
      <c r="G269" s="41"/>
      <c r="H269" s="41"/>
      <c r="I269" s="41"/>
      <c r="J269" s="41"/>
      <c r="K269" s="41"/>
      <c r="L269" s="41"/>
      <c r="M269" s="41"/>
      <c r="N269" s="41"/>
      <c r="O269" s="41"/>
      <c r="P269" s="41"/>
      <c r="Q269" s="41"/>
      <c r="R269" s="41"/>
      <c r="S269" s="41"/>
      <c r="T269" s="41"/>
      <c r="U269" s="41"/>
      <c r="V269" s="41"/>
      <c r="W269" s="41"/>
      <c r="X269" s="41"/>
      <c r="Y269" s="41"/>
      <c r="Z269" s="41"/>
    </row>
    <row r="270" ht="19.5" customHeight="1">
      <c r="A270" s="41"/>
      <c r="B270" s="367" t="s">
        <v>403</v>
      </c>
      <c r="C270" s="156" t="str">
        <f>CONCATENATE(prefix_wld_az1_cidr,"9.0/24")</f>
        <v>10.23.9.0/24</v>
      </c>
      <c r="D270" s="18"/>
      <c r="E270" s="257"/>
      <c r="F270" s="41"/>
      <c r="G270" s="41"/>
      <c r="H270" s="41"/>
      <c r="I270" s="41"/>
      <c r="J270" s="41"/>
      <c r="K270" s="41"/>
      <c r="L270" s="41"/>
      <c r="M270" s="41"/>
      <c r="N270" s="41"/>
      <c r="O270" s="41"/>
      <c r="P270" s="41"/>
      <c r="Q270" s="41"/>
      <c r="R270" s="41"/>
      <c r="S270" s="41"/>
      <c r="T270" s="41"/>
      <c r="U270" s="41"/>
      <c r="V270" s="41"/>
      <c r="W270" s="41"/>
      <c r="X270" s="41"/>
      <c r="Y270" s="41"/>
      <c r="Z270" s="41"/>
    </row>
    <row r="271" ht="19.5" customHeight="1">
      <c r="A271" s="41"/>
      <c r="B271" s="187" t="s">
        <v>404</v>
      </c>
      <c r="C271" s="156">
        <v>9000.0</v>
      </c>
      <c r="D271" s="18"/>
      <c r="E271" s="257"/>
      <c r="F271" s="41"/>
      <c r="G271" s="41"/>
      <c r="H271" s="41"/>
      <c r="I271" s="41"/>
      <c r="J271" s="41"/>
      <c r="K271" s="41"/>
      <c r="L271" s="41"/>
      <c r="M271" s="41"/>
      <c r="N271" s="41"/>
      <c r="O271" s="41"/>
      <c r="P271" s="41"/>
      <c r="Q271" s="41"/>
      <c r="R271" s="41"/>
      <c r="S271" s="41"/>
      <c r="T271" s="41"/>
      <c r="U271" s="41"/>
      <c r="V271" s="41"/>
      <c r="W271" s="41"/>
      <c r="X271" s="41"/>
      <c r="Y271" s="41"/>
      <c r="Z271" s="41"/>
    </row>
    <row r="272" ht="19.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9.5" customHeight="1">
      <c r="A273" s="41"/>
      <c r="B273" s="197" t="s">
        <v>3274</v>
      </c>
      <c r="C273" s="13"/>
      <c r="D273" s="13"/>
      <c r="E273" s="14"/>
      <c r="F273" s="41"/>
      <c r="G273" s="41"/>
      <c r="H273" s="41"/>
      <c r="I273" s="41"/>
      <c r="J273" s="41"/>
      <c r="K273" s="41"/>
      <c r="L273" s="41"/>
      <c r="M273" s="41"/>
      <c r="N273" s="41"/>
      <c r="O273" s="41"/>
      <c r="P273" s="41"/>
      <c r="Q273" s="41"/>
      <c r="R273" s="41"/>
      <c r="S273" s="41"/>
      <c r="T273" s="41"/>
      <c r="U273" s="41"/>
      <c r="V273" s="41"/>
      <c r="W273" s="41"/>
      <c r="X273" s="41"/>
      <c r="Y273" s="41"/>
      <c r="Z273" s="41"/>
    </row>
    <row r="274" ht="19.5" customHeight="1">
      <c r="A274" s="41"/>
      <c r="B274" s="108" t="s">
        <v>256</v>
      </c>
      <c r="C274" s="108" t="s">
        <v>722</v>
      </c>
      <c r="D274" s="108" t="s">
        <v>274</v>
      </c>
      <c r="E274" s="108" t="s">
        <v>5</v>
      </c>
      <c r="F274" s="41"/>
      <c r="G274" s="41"/>
      <c r="H274" s="41"/>
      <c r="I274" s="41"/>
      <c r="J274" s="41"/>
      <c r="K274" s="41"/>
      <c r="L274" s="41"/>
      <c r="M274" s="41"/>
      <c r="N274" s="41"/>
      <c r="O274" s="41"/>
      <c r="P274" s="41"/>
      <c r="Q274" s="41"/>
      <c r="R274" s="41"/>
      <c r="S274" s="41"/>
      <c r="T274" s="41"/>
      <c r="U274" s="41"/>
      <c r="V274" s="41"/>
      <c r="W274" s="41"/>
      <c r="X274" s="41"/>
      <c r="Y274" s="41"/>
      <c r="Z274" s="41"/>
    </row>
    <row r="275" ht="19.5" customHeight="1">
      <c r="A275" s="41"/>
      <c r="B275" s="85" t="s">
        <v>826</v>
      </c>
      <c r="C275" s="111" t="str">
        <f>sample_wld_vc_fqdn</f>
        <v>lax-w01-vc01.lax.rainpole.io</v>
      </c>
      <c r="D275" s="18" t="str">
        <f>wld_vc_fqdn</f>
        <v>Value Missing</v>
      </c>
      <c r="E275" s="191"/>
      <c r="F275" s="41"/>
      <c r="G275" s="41"/>
      <c r="H275" s="41"/>
      <c r="I275" s="41"/>
      <c r="J275" s="41"/>
      <c r="K275" s="41"/>
      <c r="L275" s="41"/>
      <c r="M275" s="41"/>
      <c r="N275" s="41"/>
      <c r="O275" s="41"/>
      <c r="P275" s="41"/>
      <c r="Q275" s="41"/>
      <c r="R275" s="41"/>
      <c r="S275" s="41"/>
      <c r="T275" s="41"/>
      <c r="U275" s="41"/>
      <c r="V275" s="41"/>
      <c r="W275" s="41"/>
      <c r="X275" s="41"/>
      <c r="Y275" s="41"/>
      <c r="Z275" s="41"/>
    </row>
    <row r="276" ht="19.5" customHeight="1">
      <c r="A276" s="41"/>
      <c r="B276" s="85" t="s">
        <v>1178</v>
      </c>
      <c r="C276" s="110" t="str">
        <f>sample_wld_cl01_cluster</f>
        <v>lax-w01-cl01</v>
      </c>
      <c r="D276" s="18" t="str">
        <f>wld_cl01_cluster</f>
        <v>Value Missing</v>
      </c>
      <c r="E276" s="191"/>
      <c r="F276" s="41"/>
      <c r="G276" s="41"/>
      <c r="H276" s="41"/>
      <c r="I276" s="41"/>
      <c r="J276" s="41"/>
      <c r="K276" s="41"/>
      <c r="L276" s="41"/>
      <c r="M276" s="41"/>
      <c r="N276" s="41"/>
      <c r="O276" s="41"/>
      <c r="P276" s="41"/>
      <c r="Q276" s="41"/>
      <c r="R276" s="41"/>
      <c r="S276" s="41"/>
      <c r="T276" s="41"/>
      <c r="U276" s="41"/>
      <c r="V276" s="41"/>
      <c r="W276" s="41"/>
      <c r="X276" s="41"/>
      <c r="Y276" s="41"/>
      <c r="Z276" s="41"/>
    </row>
    <row r="277" ht="19.5" customHeight="1">
      <c r="A277" s="41"/>
      <c r="B277" s="85" t="s">
        <v>3275</v>
      </c>
      <c r="C277" s="110" t="str">
        <f>sample_wld_vrms_hostname</f>
        <v>lax-w01-vrms01</v>
      </c>
      <c r="D277" s="18" t="str">
        <f>wld_vrms_hostname</f>
        <v>Value Missing</v>
      </c>
      <c r="E277" s="19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85" t="s">
        <v>3276</v>
      </c>
      <c r="C278" s="110" t="str">
        <f>sample_wld_vrms_pg</f>
        <v>lax-w01-cl01-vds01-pg-vrms</v>
      </c>
      <c r="D278" s="18" t="str">
        <f>wld_vrms_pg</f>
        <v>Value Missing</v>
      </c>
      <c r="E278" s="191"/>
      <c r="F278" s="41"/>
      <c r="G278" s="41"/>
      <c r="H278" s="41"/>
      <c r="I278" s="41"/>
      <c r="J278" s="41"/>
      <c r="K278" s="41"/>
      <c r="L278" s="41"/>
      <c r="M278" s="41"/>
      <c r="N278" s="41"/>
      <c r="O278" s="41"/>
      <c r="P278" s="41"/>
      <c r="Q278" s="41"/>
      <c r="R278" s="41"/>
      <c r="S278" s="41"/>
      <c r="T278" s="41"/>
      <c r="U278" s="41"/>
      <c r="V278" s="41"/>
      <c r="W278" s="41"/>
      <c r="X278" s="41"/>
      <c r="Y278" s="41"/>
      <c r="Z278" s="41"/>
    </row>
    <row r="279" ht="33.75" customHeight="1">
      <c r="A279" s="41"/>
      <c r="B279" s="85" t="s">
        <v>3277</v>
      </c>
      <c r="C279" s="111" t="str">
        <f>CONCATENATE(sample_wld_vrms_hostname,".",sample_child_dns_zone)</f>
        <v>lax-w01-vrms01.lax.rainpole.io</v>
      </c>
      <c r="D279" s="18" t="str">
        <f>wld_vrms_fqdn</f>
        <v>Value Missing.Value Missing</v>
      </c>
      <c r="E279" s="191"/>
      <c r="F279" s="41"/>
      <c r="G279" s="41"/>
      <c r="H279" s="41"/>
      <c r="I279" s="41"/>
      <c r="J279" s="41"/>
      <c r="K279" s="41"/>
      <c r="L279" s="41"/>
      <c r="M279" s="41"/>
      <c r="N279" s="41"/>
      <c r="O279" s="41"/>
      <c r="P279" s="41"/>
      <c r="Q279" s="41"/>
      <c r="R279" s="41"/>
      <c r="S279" s="41"/>
      <c r="T279" s="41"/>
      <c r="U279" s="41"/>
      <c r="V279" s="41"/>
      <c r="W279" s="41"/>
      <c r="X279" s="41"/>
      <c r="Y279" s="41"/>
      <c r="Z279" s="41"/>
    </row>
    <row r="280" ht="19.5" customHeight="1">
      <c r="A280" s="41"/>
      <c r="B280" s="85" t="s">
        <v>3278</v>
      </c>
      <c r="C280" s="110" t="str">
        <f>sample_wld_vrms_vrms_ip</f>
        <v>10.23.16.125</v>
      </c>
      <c r="D280" s="18" t="str">
        <f>wld_vrms_vrms_ip</f>
        <v>Value Missing</v>
      </c>
      <c r="E280" s="191"/>
      <c r="F280" s="41"/>
      <c r="G280" s="41"/>
      <c r="H280" s="41"/>
      <c r="I280" s="41"/>
      <c r="J280" s="41"/>
      <c r="K280" s="41"/>
      <c r="L280" s="41"/>
      <c r="M280" s="41"/>
      <c r="N280" s="41"/>
      <c r="O280" s="41"/>
      <c r="P280" s="41"/>
      <c r="Q280" s="41"/>
      <c r="R280" s="41"/>
      <c r="S280" s="41"/>
      <c r="T280" s="41"/>
      <c r="U280" s="41"/>
      <c r="V280" s="41"/>
      <c r="W280" s="41"/>
      <c r="X280" s="41"/>
      <c r="Y280" s="41"/>
      <c r="Z280" s="41"/>
    </row>
    <row r="281" ht="19.5" customHeight="1">
      <c r="A281" s="41"/>
      <c r="B281" s="85" t="s">
        <v>3279</v>
      </c>
      <c r="C281" s="110">
        <f>INT(RIGHT(sample_wld_az1_vrms_cidr,LEN(sample_wld_az1_vrms_cidr)-FIND("/",sample_wld_az1_vrms_cidr)))</f>
        <v>24</v>
      </c>
      <c r="D281" s="18" t="str">
        <f>IF(wld_az1_mgmt_cidr="Value Missing","Value Missing",IF(wld_az1_mgmt_cidr="Not Required","Not Required",INT(RIGHT(wld_az1_mgmt_cidr,LEN(wld_az1_mgmt_cidr)-FIND("/",wld_az1_mgmt_cidr)))))</f>
        <v>Value Missing</v>
      </c>
      <c r="E281" s="191"/>
      <c r="F281" s="41"/>
      <c r="G281" s="41"/>
      <c r="H281" s="41"/>
      <c r="I281" s="41"/>
      <c r="J281" s="41"/>
      <c r="K281" s="41"/>
      <c r="L281" s="41"/>
      <c r="M281" s="41"/>
      <c r="N281" s="41"/>
      <c r="O281" s="41"/>
      <c r="P281" s="41"/>
      <c r="Q281" s="41"/>
      <c r="R281" s="41"/>
      <c r="S281" s="41"/>
      <c r="T281" s="41"/>
      <c r="U281" s="41"/>
      <c r="V281" s="41"/>
      <c r="W281" s="41"/>
      <c r="X281" s="41"/>
      <c r="Y281" s="41"/>
      <c r="Z281" s="41"/>
    </row>
    <row r="282" ht="19.5" customHeight="1">
      <c r="A282" s="41"/>
      <c r="B282" s="84" t="s">
        <v>3280</v>
      </c>
      <c r="C282" s="110" t="str">
        <f>sample_wld_az1_mgmt_gateway_ip</f>
        <v>10.23.11.1</v>
      </c>
      <c r="D282" s="18" t="str">
        <f>wld_az1_mgmt_gateway_ip</f>
        <v>Value Missing</v>
      </c>
      <c r="E282" s="191"/>
      <c r="F282" s="41"/>
      <c r="G282" s="41"/>
      <c r="H282" s="41"/>
      <c r="I282" s="41"/>
      <c r="J282" s="41"/>
      <c r="K282" s="41"/>
      <c r="L282" s="41"/>
      <c r="M282" s="41"/>
      <c r="N282" s="41"/>
      <c r="O282" s="41"/>
      <c r="P282" s="41"/>
      <c r="Q282" s="41"/>
      <c r="R282" s="41"/>
      <c r="S282" s="41"/>
      <c r="T282" s="41"/>
      <c r="U282" s="41"/>
      <c r="V282" s="41"/>
      <c r="W282" s="41"/>
      <c r="X282" s="41"/>
      <c r="Y282" s="41"/>
      <c r="Z282" s="41"/>
    </row>
    <row r="283" ht="19.5" customHeight="1">
      <c r="A283" s="41"/>
      <c r="B283" s="84" t="s">
        <v>3281</v>
      </c>
      <c r="C283" s="110" t="str">
        <f>sample_wld_vrms_vrms_ip</f>
        <v>10.23.16.125</v>
      </c>
      <c r="D283" s="18" t="str">
        <f>wld_vrms_vrms_ip</f>
        <v>Value Missing</v>
      </c>
      <c r="E283" s="191"/>
      <c r="F283" s="41"/>
      <c r="G283" s="41"/>
      <c r="H283" s="41"/>
      <c r="I283" s="41"/>
      <c r="J283" s="41"/>
      <c r="K283" s="41"/>
      <c r="L283" s="41"/>
      <c r="M283" s="41"/>
      <c r="N283" s="41"/>
      <c r="O283" s="41"/>
      <c r="P283" s="41"/>
      <c r="Q283" s="41"/>
      <c r="R283" s="41"/>
      <c r="S283" s="41"/>
      <c r="T283" s="41"/>
      <c r="U283" s="41"/>
      <c r="V283" s="41"/>
      <c r="W283" s="41"/>
      <c r="X283" s="41"/>
      <c r="Y283" s="41"/>
      <c r="Z283" s="41"/>
    </row>
    <row r="284" ht="19.5" customHeight="1">
      <c r="A284" s="41"/>
      <c r="B284" s="85" t="s">
        <v>3282</v>
      </c>
      <c r="C284" s="110" t="str">
        <f>sample_wld_az1_vrms_gateway_ip</f>
        <v>10.23.9.1</v>
      </c>
      <c r="D284" s="18" t="str">
        <f>wld_az1_vrms_gateway_ip</f>
        <v>Value Missing</v>
      </c>
      <c r="E284" s="191"/>
      <c r="F284" s="41"/>
      <c r="G284" s="41"/>
      <c r="H284" s="41"/>
      <c r="I284" s="41"/>
      <c r="J284" s="41"/>
      <c r="K284" s="41"/>
      <c r="L284" s="41"/>
      <c r="M284" s="41"/>
      <c r="N284" s="41"/>
      <c r="O284" s="41"/>
      <c r="P284" s="41"/>
      <c r="Q284" s="41"/>
      <c r="R284" s="41"/>
      <c r="S284" s="41"/>
      <c r="T284" s="41"/>
      <c r="U284" s="41"/>
      <c r="V284" s="41"/>
      <c r="W284" s="41"/>
      <c r="X284" s="41"/>
      <c r="Y284" s="41"/>
      <c r="Z284" s="41"/>
    </row>
    <row r="285" ht="19.5" customHeight="1">
      <c r="A285" s="41"/>
      <c r="B285" s="85" t="s">
        <v>3283</v>
      </c>
      <c r="C285" s="110" t="str">
        <f>sample_wld_vrms_recovery_replication_cidr</f>
        <v>10.11.9.0/24</v>
      </c>
      <c r="D285" s="18" t="str">
        <f t="array" ref="D285">wld_vrms_recovery_replication_cidr</f>
        <v>Value Missing</v>
      </c>
      <c r="E285" s="191"/>
      <c r="F285" s="41"/>
      <c r="G285" s="41"/>
      <c r="H285" s="41"/>
      <c r="I285" s="41"/>
      <c r="J285" s="41"/>
      <c r="K285" s="41"/>
      <c r="L285" s="41"/>
      <c r="M285" s="41"/>
      <c r="N285" s="41"/>
      <c r="O285" s="41"/>
      <c r="P285" s="41"/>
      <c r="Q285" s="41"/>
      <c r="R285" s="41"/>
      <c r="S285" s="41"/>
      <c r="T285" s="41"/>
      <c r="U285" s="41"/>
      <c r="V285" s="41"/>
      <c r="W285" s="41"/>
      <c r="X285" s="41"/>
      <c r="Y285" s="41"/>
      <c r="Z285" s="41"/>
    </row>
    <row r="286" ht="19.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9.5" customHeight="1">
      <c r="A287" s="41"/>
      <c r="B287" s="197" t="s">
        <v>3284</v>
      </c>
      <c r="C287" s="13"/>
      <c r="D287" s="13"/>
      <c r="E287" s="14"/>
      <c r="F287" s="41"/>
      <c r="G287" s="41"/>
      <c r="H287" s="41"/>
      <c r="I287" s="41"/>
      <c r="J287" s="41"/>
      <c r="K287" s="41"/>
      <c r="L287" s="41"/>
      <c r="M287" s="41"/>
      <c r="N287" s="41"/>
      <c r="O287" s="41"/>
      <c r="P287" s="41"/>
      <c r="Q287" s="41"/>
      <c r="R287" s="41"/>
      <c r="S287" s="41"/>
      <c r="T287" s="41"/>
      <c r="U287" s="41"/>
      <c r="V287" s="41"/>
      <c r="W287" s="41"/>
      <c r="X287" s="41"/>
      <c r="Y287" s="41"/>
      <c r="Z287" s="41"/>
    </row>
    <row r="288" ht="19.5" customHeight="1">
      <c r="A288" s="41"/>
      <c r="B288" s="108" t="s">
        <v>256</v>
      </c>
      <c r="C288" s="108" t="s">
        <v>722</v>
      </c>
      <c r="D288" s="108" t="s">
        <v>274</v>
      </c>
      <c r="E288" s="108" t="s">
        <v>5</v>
      </c>
      <c r="F288" s="41"/>
      <c r="G288" s="41"/>
      <c r="H288" s="41"/>
      <c r="I288" s="41"/>
      <c r="J288" s="41"/>
      <c r="K288" s="41"/>
      <c r="L288" s="41"/>
      <c r="M288" s="41"/>
      <c r="N288" s="41"/>
      <c r="O288" s="41"/>
      <c r="P288" s="41"/>
      <c r="Q288" s="41"/>
      <c r="R288" s="41"/>
      <c r="S288" s="41"/>
      <c r="T288" s="41"/>
      <c r="U288" s="41"/>
      <c r="V288" s="41"/>
      <c r="W288" s="41"/>
      <c r="X288" s="41"/>
      <c r="Y288" s="41"/>
      <c r="Z288" s="41"/>
    </row>
    <row r="289" ht="19.5" customHeight="1">
      <c r="A289" s="41"/>
      <c r="B289" s="85" t="s">
        <v>826</v>
      </c>
      <c r="C289" s="111" t="str">
        <f>sample_wld_vc_fqdn</f>
        <v>lax-w01-vc01.lax.rainpole.io</v>
      </c>
      <c r="D289" s="18" t="str">
        <f>wld_vc_fqdn</f>
        <v>Value Missing</v>
      </c>
      <c r="E289" s="19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85" t="s">
        <v>1178</v>
      </c>
      <c r="C290" s="110" t="str">
        <f>sample_wld_cl01_cluster</f>
        <v>lax-w01-cl01</v>
      </c>
      <c r="D290" s="18" t="str">
        <f>wld_cl01_cluster</f>
        <v>Value Missing</v>
      </c>
      <c r="E290" s="191"/>
      <c r="F290" s="41"/>
      <c r="G290" s="41"/>
      <c r="H290" s="41"/>
      <c r="I290" s="41"/>
      <c r="J290" s="41"/>
      <c r="K290" s="41"/>
      <c r="L290" s="41"/>
      <c r="M290" s="41"/>
      <c r="N290" s="41"/>
      <c r="O290" s="41"/>
      <c r="P290" s="41"/>
      <c r="Q290" s="41"/>
      <c r="R290" s="41"/>
      <c r="S290" s="41"/>
      <c r="T290" s="41"/>
      <c r="U290" s="41"/>
      <c r="V290" s="41"/>
      <c r="W290" s="41"/>
      <c r="X290" s="41"/>
      <c r="Y290" s="41"/>
      <c r="Z290" s="41"/>
    </row>
    <row r="291" ht="33.75" customHeight="1">
      <c r="A291" s="41"/>
      <c r="B291" s="84" t="s">
        <v>1053</v>
      </c>
      <c r="C291" s="110" t="str">
        <f>sample_wld_vrms_pg</f>
        <v>lax-w01-cl01-vds01-pg-vrms</v>
      </c>
      <c r="D291" s="18" t="str">
        <f>wld_vrms_pg</f>
        <v>Value Missing</v>
      </c>
      <c r="E291" s="191"/>
      <c r="F291" s="41"/>
      <c r="G291" s="41"/>
      <c r="H291" s="41"/>
      <c r="I291" s="41"/>
      <c r="J291" s="41"/>
      <c r="K291" s="41"/>
      <c r="L291" s="41"/>
      <c r="M291" s="41"/>
      <c r="N291" s="41"/>
      <c r="O291" s="41"/>
      <c r="P291" s="41"/>
      <c r="Q291" s="41"/>
      <c r="R291" s="41"/>
      <c r="S291" s="41"/>
      <c r="T291" s="41"/>
      <c r="U291" s="41"/>
      <c r="V291" s="41"/>
      <c r="W291" s="41"/>
      <c r="X291" s="41"/>
      <c r="Y291" s="41"/>
      <c r="Z291" s="41"/>
    </row>
    <row r="292" ht="19.5" customHeight="1">
      <c r="A292" s="41"/>
      <c r="B292" s="368" t="s">
        <v>3285</v>
      </c>
      <c r="C292" s="13"/>
      <c r="D292" s="13"/>
      <c r="E292" s="14"/>
      <c r="F292" s="41"/>
      <c r="G292" s="41"/>
      <c r="H292" s="41"/>
      <c r="I292" s="41"/>
      <c r="J292" s="41"/>
      <c r="K292" s="41"/>
      <c r="L292" s="41"/>
      <c r="M292" s="41"/>
      <c r="N292" s="41"/>
      <c r="O292" s="41"/>
      <c r="P292" s="41"/>
      <c r="Q292" s="41"/>
      <c r="R292" s="41"/>
      <c r="S292" s="41"/>
      <c r="T292" s="41"/>
      <c r="U292" s="41"/>
      <c r="V292" s="41"/>
      <c r="W292" s="41"/>
      <c r="X292" s="41"/>
      <c r="Y292" s="41"/>
      <c r="Z292" s="41"/>
    </row>
    <row r="293" ht="19.5" customHeight="1">
      <c r="A293" s="41"/>
      <c r="B293" s="85" t="str">
        <f t="array" ref="B293:B308">wld_az1_host_fqdns</f>
        <v>Value Missing</v>
      </c>
      <c r="C293" s="163" t="str">
        <f>CONCATENATE(prefix_wld_az1_cidr,"9.101")</f>
        <v>10.23.9.101</v>
      </c>
      <c r="D293" s="18"/>
      <c r="E293" s="95" t="s">
        <v>3286</v>
      </c>
      <c r="F293" s="41"/>
      <c r="G293" s="41"/>
      <c r="H293" s="41"/>
      <c r="I293" s="41"/>
      <c r="J293" s="41"/>
      <c r="K293" s="41"/>
      <c r="L293" s="41"/>
      <c r="M293" s="41"/>
      <c r="N293" s="41"/>
      <c r="O293" s="41"/>
      <c r="P293" s="41"/>
      <c r="Q293" s="41"/>
      <c r="R293" s="41"/>
      <c r="S293" s="41"/>
      <c r="T293" s="41"/>
      <c r="U293" s="41"/>
      <c r="V293" s="41"/>
      <c r="W293" s="41"/>
      <c r="X293" s="41"/>
      <c r="Y293" s="41"/>
      <c r="Z293" s="41"/>
    </row>
    <row r="294" ht="19.5" customHeight="1">
      <c r="A294" s="41"/>
      <c r="B294" s="85" t="s">
        <v>483</v>
      </c>
      <c r="C294" s="163" t="str">
        <f>CONCATENATE(prefix_wld_az1_cidr,"9.102")</f>
        <v>10.23.9.102</v>
      </c>
      <c r="D294" s="18"/>
      <c r="E294" s="95" t="s">
        <v>3287</v>
      </c>
      <c r="F294" s="41"/>
      <c r="G294" s="41"/>
      <c r="H294" s="41"/>
      <c r="I294" s="41"/>
      <c r="J294" s="41"/>
      <c r="K294" s="41"/>
      <c r="L294" s="41"/>
      <c r="M294" s="41"/>
      <c r="N294" s="41"/>
      <c r="O294" s="41"/>
      <c r="P294" s="41"/>
      <c r="Q294" s="41"/>
      <c r="R294" s="41"/>
      <c r="S294" s="41"/>
      <c r="T294" s="41"/>
      <c r="U294" s="41"/>
      <c r="V294" s="41"/>
      <c r="W294" s="41"/>
      <c r="X294" s="41"/>
      <c r="Y294" s="41"/>
      <c r="Z294" s="41"/>
    </row>
    <row r="295" ht="19.5" customHeight="1">
      <c r="A295" s="41"/>
      <c r="B295" s="85" t="s">
        <v>483</v>
      </c>
      <c r="C295" s="163" t="str">
        <f>CONCATENATE(prefix_wld_az1_cidr,"9.103")</f>
        <v>10.23.9.103</v>
      </c>
      <c r="D295" s="18"/>
      <c r="E295" s="95" t="s">
        <v>3288</v>
      </c>
      <c r="F295" s="41"/>
      <c r="G295" s="41"/>
      <c r="H295" s="41"/>
      <c r="I295" s="41"/>
      <c r="J295" s="41"/>
      <c r="K295" s="41"/>
      <c r="L295" s="41"/>
      <c r="M295" s="41"/>
      <c r="N295" s="41"/>
      <c r="O295" s="41"/>
      <c r="P295" s="41"/>
      <c r="Q295" s="41"/>
      <c r="R295" s="41"/>
      <c r="S295" s="41"/>
      <c r="T295" s="41"/>
      <c r="U295" s="41"/>
      <c r="V295" s="41"/>
      <c r="W295" s="41"/>
      <c r="X295" s="41"/>
      <c r="Y295" s="41"/>
      <c r="Z295" s="41"/>
    </row>
    <row r="296" ht="19.5" customHeight="1">
      <c r="A296" s="41"/>
      <c r="B296" s="85" t="s">
        <v>483</v>
      </c>
      <c r="C296" s="163" t="str">
        <f>CONCATENATE(prefix_wld_az1_cidr,"9.104")</f>
        <v>10.23.9.104</v>
      </c>
      <c r="D296" s="18"/>
      <c r="E296" s="95" t="s">
        <v>3289</v>
      </c>
      <c r="F296" s="41"/>
      <c r="G296" s="41"/>
      <c r="H296" s="41"/>
      <c r="I296" s="41"/>
      <c r="J296" s="41"/>
      <c r="K296" s="41"/>
      <c r="L296" s="41"/>
      <c r="M296" s="41"/>
      <c r="N296" s="41"/>
      <c r="O296" s="41"/>
      <c r="P296" s="41"/>
      <c r="Q296" s="41"/>
      <c r="R296" s="41"/>
      <c r="S296" s="41"/>
      <c r="T296" s="41"/>
      <c r="U296" s="41"/>
      <c r="V296" s="41"/>
      <c r="W296" s="41"/>
      <c r="X296" s="41"/>
      <c r="Y296" s="41"/>
      <c r="Z296" s="41"/>
    </row>
    <row r="297" ht="19.5" customHeight="1">
      <c r="A297" s="41"/>
      <c r="B297" s="85" t="s">
        <v>483</v>
      </c>
      <c r="C297" s="163" t="str">
        <f>CONCATENATE(prefix_wld_az1_cidr,"9.105")</f>
        <v>10.23.9.105</v>
      </c>
      <c r="D297" s="18"/>
      <c r="E297" s="95" t="s">
        <v>3290</v>
      </c>
      <c r="F297" s="41"/>
      <c r="G297" s="41"/>
      <c r="H297" s="41"/>
      <c r="I297" s="41"/>
      <c r="J297" s="41"/>
      <c r="K297" s="41"/>
      <c r="L297" s="41"/>
      <c r="M297" s="41"/>
      <c r="N297" s="41"/>
      <c r="O297" s="41"/>
      <c r="P297" s="41"/>
      <c r="Q297" s="41"/>
      <c r="R297" s="41"/>
      <c r="S297" s="41"/>
      <c r="T297" s="41"/>
      <c r="U297" s="41"/>
      <c r="V297" s="41"/>
      <c r="W297" s="41"/>
      <c r="X297" s="41"/>
      <c r="Y297" s="41"/>
      <c r="Z297" s="41"/>
    </row>
    <row r="298" ht="19.5" customHeight="1">
      <c r="A298" s="41"/>
      <c r="B298" s="85" t="s">
        <v>483</v>
      </c>
      <c r="C298" s="163" t="str">
        <f>CONCATENATE(prefix_wld_az1_cidr,"9.106")</f>
        <v>10.23.9.106</v>
      </c>
      <c r="D298" s="18"/>
      <c r="E298" s="95" t="s">
        <v>3291</v>
      </c>
      <c r="F298" s="41"/>
      <c r="G298" s="41"/>
      <c r="H298" s="41"/>
      <c r="I298" s="41"/>
      <c r="J298" s="41"/>
      <c r="K298" s="41"/>
      <c r="L298" s="41"/>
      <c r="M298" s="41"/>
      <c r="N298" s="41"/>
      <c r="O298" s="41"/>
      <c r="P298" s="41"/>
      <c r="Q298" s="41"/>
      <c r="R298" s="41"/>
      <c r="S298" s="41"/>
      <c r="T298" s="41"/>
      <c r="U298" s="41"/>
      <c r="V298" s="41"/>
      <c r="W298" s="41"/>
      <c r="X298" s="41"/>
      <c r="Y298" s="41"/>
      <c r="Z298" s="41"/>
    </row>
    <row r="299" ht="19.5" customHeight="1">
      <c r="A299" s="41"/>
      <c r="B299" s="84" t="s">
        <v>483</v>
      </c>
      <c r="C299" s="163" t="str">
        <f>CONCATENATE(prefix_wld_az1_cidr,"9.107")</f>
        <v>10.23.9.107</v>
      </c>
      <c r="D299" s="18"/>
      <c r="E299" s="95" t="s">
        <v>3292</v>
      </c>
      <c r="F299" s="41"/>
      <c r="G299" s="41"/>
      <c r="H299" s="41"/>
      <c r="I299" s="41"/>
      <c r="J299" s="41"/>
      <c r="K299" s="41"/>
      <c r="L299" s="41"/>
      <c r="M299" s="41"/>
      <c r="N299" s="41"/>
      <c r="O299" s="41"/>
      <c r="P299" s="41"/>
      <c r="Q299" s="41"/>
      <c r="R299" s="41"/>
      <c r="S299" s="41"/>
      <c r="T299" s="41"/>
      <c r="U299" s="41"/>
      <c r="V299" s="41"/>
      <c r="W299" s="41"/>
      <c r="X299" s="41"/>
      <c r="Y299" s="41"/>
      <c r="Z299" s="41"/>
    </row>
    <row r="300" ht="19.5" customHeight="1">
      <c r="A300" s="41"/>
      <c r="B300" s="84" t="s">
        <v>483</v>
      </c>
      <c r="C300" s="163" t="str">
        <f>CONCATENATE(prefix_wld_az1_cidr,"9.108")</f>
        <v>10.23.9.108</v>
      </c>
      <c r="D300" s="18"/>
      <c r="E300" s="95" t="s">
        <v>3293</v>
      </c>
      <c r="F300" s="41"/>
      <c r="G300" s="41"/>
      <c r="H300" s="41"/>
      <c r="I300" s="41"/>
      <c r="J300" s="41"/>
      <c r="K300" s="41"/>
      <c r="L300" s="41"/>
      <c r="M300" s="41"/>
      <c r="N300" s="41"/>
      <c r="O300" s="41"/>
      <c r="P300" s="41"/>
      <c r="Q300" s="41"/>
      <c r="R300" s="41"/>
      <c r="S300" s="41"/>
      <c r="T300" s="41"/>
      <c r="U300" s="41"/>
      <c r="V300" s="41"/>
      <c r="W300" s="41"/>
      <c r="X300" s="41"/>
      <c r="Y300" s="41"/>
      <c r="Z300" s="41"/>
    </row>
    <row r="301" ht="19.5" customHeight="1">
      <c r="A301" s="41"/>
      <c r="B301" s="84" t="s">
        <v>483</v>
      </c>
      <c r="C301" s="163" t="str">
        <f>CONCATENATE(prefix_wld_az1_cidr,"9.109")</f>
        <v>10.23.9.109</v>
      </c>
      <c r="D301" s="18"/>
      <c r="E301" s="95" t="s">
        <v>3294</v>
      </c>
      <c r="F301" s="41"/>
      <c r="G301" s="41"/>
      <c r="H301" s="41"/>
      <c r="I301" s="41"/>
      <c r="J301" s="41"/>
      <c r="K301" s="41"/>
      <c r="L301" s="41"/>
      <c r="M301" s="41"/>
      <c r="N301" s="41"/>
      <c r="O301" s="41"/>
      <c r="P301" s="41"/>
      <c r="Q301" s="41"/>
      <c r="R301" s="41"/>
      <c r="S301" s="41"/>
      <c r="T301" s="41"/>
      <c r="U301" s="41"/>
      <c r="V301" s="41"/>
      <c r="W301" s="41"/>
      <c r="X301" s="41"/>
      <c r="Y301" s="41"/>
      <c r="Z301" s="41"/>
    </row>
    <row r="302" ht="19.5" customHeight="1">
      <c r="A302" s="41"/>
      <c r="B302" s="85" t="s">
        <v>483</v>
      </c>
      <c r="C302" s="163" t="str">
        <f>CONCATENATE(prefix_wld_az1_cidr,"9.110")</f>
        <v>10.23.9.110</v>
      </c>
      <c r="D302" s="18"/>
      <c r="E302" s="95" t="s">
        <v>3295</v>
      </c>
      <c r="F302" s="41"/>
      <c r="G302" s="41"/>
      <c r="H302" s="41"/>
      <c r="I302" s="41"/>
      <c r="J302" s="41"/>
      <c r="K302" s="41"/>
      <c r="L302" s="41"/>
      <c r="M302" s="41"/>
      <c r="N302" s="41"/>
      <c r="O302" s="41"/>
      <c r="P302" s="41"/>
      <c r="Q302" s="41"/>
      <c r="R302" s="41"/>
      <c r="S302" s="41"/>
      <c r="T302" s="41"/>
      <c r="U302" s="41"/>
      <c r="V302" s="41"/>
      <c r="W302" s="41"/>
      <c r="X302" s="41"/>
      <c r="Y302" s="41"/>
      <c r="Z302" s="41"/>
    </row>
    <row r="303" ht="19.5" customHeight="1">
      <c r="A303" s="41"/>
      <c r="B303" s="85" t="s">
        <v>483</v>
      </c>
      <c r="C303" s="163" t="str">
        <f>CONCATENATE(prefix_wld_az1_cidr,"9.111")</f>
        <v>10.23.9.111</v>
      </c>
      <c r="D303" s="18"/>
      <c r="E303" s="95" t="s">
        <v>3296</v>
      </c>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85" t="s">
        <v>483</v>
      </c>
      <c r="C304" s="163" t="str">
        <f>CONCATENATE(prefix_wld_az1_cidr,"9.112")</f>
        <v>10.23.9.112</v>
      </c>
      <c r="D304" s="18"/>
      <c r="E304" s="95" t="s">
        <v>3297</v>
      </c>
      <c r="F304" s="41"/>
      <c r="G304" s="41"/>
      <c r="H304" s="41"/>
      <c r="I304" s="41"/>
      <c r="J304" s="41"/>
      <c r="K304" s="41"/>
      <c r="L304" s="41"/>
      <c r="M304" s="41"/>
      <c r="N304" s="41"/>
      <c r="O304" s="41"/>
      <c r="P304" s="41"/>
      <c r="Q304" s="41"/>
      <c r="R304" s="41"/>
      <c r="S304" s="41"/>
      <c r="T304" s="41"/>
      <c r="U304" s="41"/>
      <c r="V304" s="41"/>
      <c r="W304" s="41"/>
      <c r="X304" s="41"/>
      <c r="Y304" s="41"/>
      <c r="Z304" s="41"/>
    </row>
    <row r="305" ht="33.75" customHeight="1">
      <c r="A305" s="41"/>
      <c r="B305" s="69" t="s">
        <v>483</v>
      </c>
      <c r="C305" s="163" t="str">
        <f>CONCATENATE(prefix_wld_az1_cidr,"9.113")</f>
        <v>10.23.9.113</v>
      </c>
      <c r="D305" s="18"/>
      <c r="E305" s="95" t="s">
        <v>3298</v>
      </c>
      <c r="F305" s="41"/>
      <c r="G305" s="41"/>
      <c r="H305" s="41"/>
      <c r="I305" s="41"/>
      <c r="J305" s="41"/>
      <c r="K305" s="41"/>
      <c r="L305" s="41"/>
      <c r="M305" s="41"/>
      <c r="N305" s="41"/>
      <c r="O305" s="41"/>
      <c r="P305" s="41"/>
      <c r="Q305" s="41"/>
      <c r="R305" s="41"/>
      <c r="S305" s="41"/>
      <c r="T305" s="41"/>
      <c r="U305" s="41"/>
      <c r="V305" s="41"/>
      <c r="W305" s="41"/>
      <c r="X305" s="41"/>
      <c r="Y305" s="41"/>
      <c r="Z305" s="41"/>
    </row>
    <row r="306" ht="19.5" customHeight="1">
      <c r="A306" s="41"/>
      <c r="B306" s="69" t="s">
        <v>483</v>
      </c>
      <c r="C306" s="163" t="str">
        <f>CONCATENATE(prefix_wld_az1_cidr,"9.114")</f>
        <v>10.23.9.114</v>
      </c>
      <c r="D306" s="18"/>
      <c r="E306" s="95" t="s">
        <v>3299</v>
      </c>
      <c r="F306" s="41"/>
      <c r="G306" s="41"/>
      <c r="H306" s="41"/>
      <c r="I306" s="41"/>
      <c r="J306" s="41"/>
      <c r="K306" s="41"/>
      <c r="L306" s="41"/>
      <c r="M306" s="41"/>
      <c r="N306" s="41"/>
      <c r="O306" s="41"/>
      <c r="P306" s="41"/>
      <c r="Q306" s="41"/>
      <c r="R306" s="41"/>
      <c r="S306" s="41"/>
      <c r="T306" s="41"/>
      <c r="U306" s="41"/>
      <c r="V306" s="41"/>
      <c r="W306" s="41"/>
      <c r="X306" s="41"/>
      <c r="Y306" s="41"/>
      <c r="Z306" s="41"/>
    </row>
    <row r="307" ht="19.5" customHeight="1">
      <c r="A307" s="41"/>
      <c r="B307" s="69" t="s">
        <v>483</v>
      </c>
      <c r="C307" s="163" t="str">
        <f>CONCATENATE(prefix_wld_az1_cidr,"9.115")</f>
        <v>10.23.9.115</v>
      </c>
      <c r="D307" s="18"/>
      <c r="E307" s="95" t="s">
        <v>3300</v>
      </c>
      <c r="F307" s="41"/>
      <c r="G307" s="41"/>
      <c r="H307" s="41"/>
      <c r="I307" s="41"/>
      <c r="J307" s="41"/>
      <c r="K307" s="41"/>
      <c r="L307" s="41"/>
      <c r="M307" s="41"/>
      <c r="N307" s="41"/>
      <c r="O307" s="41"/>
      <c r="P307" s="41"/>
      <c r="Q307" s="41"/>
      <c r="R307" s="41"/>
      <c r="S307" s="41"/>
      <c r="T307" s="41"/>
      <c r="U307" s="41"/>
      <c r="V307" s="41"/>
      <c r="W307" s="41"/>
      <c r="X307" s="41"/>
      <c r="Y307" s="41"/>
      <c r="Z307" s="41"/>
    </row>
    <row r="308" ht="19.5" customHeight="1">
      <c r="A308" s="41"/>
      <c r="B308" s="69" t="s">
        <v>483</v>
      </c>
      <c r="C308" s="163" t="str">
        <f>CONCATENATE(prefix_wld_az1_cidr,"9.116")</f>
        <v>10.23.9.116</v>
      </c>
      <c r="D308" s="18"/>
      <c r="E308" s="95" t="s">
        <v>3301</v>
      </c>
      <c r="F308" s="41"/>
      <c r="G308" s="41"/>
      <c r="H308" s="41"/>
      <c r="I308" s="41"/>
      <c r="J308" s="41"/>
      <c r="K308" s="41"/>
      <c r="L308" s="41"/>
      <c r="M308" s="41"/>
      <c r="N308" s="41"/>
      <c r="O308" s="41"/>
      <c r="P308" s="41"/>
      <c r="Q308" s="41"/>
      <c r="R308" s="41"/>
      <c r="S308" s="41"/>
      <c r="T308" s="41"/>
      <c r="U308" s="41"/>
      <c r="V308" s="41"/>
      <c r="W308" s="41"/>
      <c r="X308" s="41"/>
      <c r="Y308" s="41"/>
      <c r="Z308" s="41"/>
    </row>
    <row r="309" ht="19.5" customHeight="1">
      <c r="A309" s="41"/>
      <c r="B309" s="368" t="s">
        <v>3302</v>
      </c>
      <c r="C309" s="13"/>
      <c r="D309" s="13"/>
      <c r="E309" s="14"/>
      <c r="F309" s="41"/>
      <c r="G309" s="41"/>
      <c r="H309" s="41"/>
      <c r="I309" s="41"/>
      <c r="J309" s="41"/>
      <c r="K309" s="41"/>
      <c r="L309" s="41"/>
      <c r="M309" s="41"/>
      <c r="N309" s="41"/>
      <c r="O309" s="41"/>
      <c r="P309" s="41"/>
      <c r="Q309" s="41"/>
      <c r="R309" s="41"/>
      <c r="S309" s="41"/>
      <c r="T309" s="41"/>
      <c r="U309" s="41"/>
      <c r="V309" s="41"/>
      <c r="W309" s="41"/>
      <c r="X309" s="41"/>
      <c r="Y309" s="41"/>
      <c r="Z309" s="41"/>
    </row>
    <row r="310" ht="19.5" customHeight="1">
      <c r="A310" s="41"/>
      <c r="B310" s="85" t="str">
        <f t="array" ref="B310:B325">wld_az2_host_fqdns</f>
        <v>Value Missing</v>
      </c>
      <c r="C310" s="163" t="str">
        <f>CONCATENATE(prefix_wld_az2_cidr,"9.101")</f>
        <v>10.24.9.101</v>
      </c>
      <c r="D310" s="18"/>
      <c r="E310" s="95" t="s">
        <v>3286</v>
      </c>
      <c r="F310" s="41"/>
      <c r="G310" s="41"/>
      <c r="H310" s="41"/>
      <c r="I310" s="41"/>
      <c r="J310" s="41"/>
      <c r="K310" s="41"/>
      <c r="L310" s="41"/>
      <c r="M310" s="41"/>
      <c r="N310" s="41"/>
      <c r="O310" s="41"/>
      <c r="P310" s="41"/>
      <c r="Q310" s="41"/>
      <c r="R310" s="41"/>
      <c r="S310" s="41"/>
      <c r="T310" s="41"/>
      <c r="U310" s="41"/>
      <c r="V310" s="41"/>
      <c r="W310" s="41"/>
      <c r="X310" s="41"/>
      <c r="Y310" s="41"/>
      <c r="Z310" s="41"/>
    </row>
    <row r="311" ht="19.5" customHeight="1">
      <c r="A311" s="41"/>
      <c r="B311" s="85" t="s">
        <v>483</v>
      </c>
      <c r="C311" s="163" t="str">
        <f>CONCATENATE(prefix_wld_az2_cidr,"9.102")</f>
        <v>10.24.9.102</v>
      </c>
      <c r="D311" s="18"/>
      <c r="E311" s="95" t="s">
        <v>3287</v>
      </c>
      <c r="F311" s="41"/>
      <c r="G311" s="41"/>
      <c r="H311" s="41"/>
      <c r="I311" s="41"/>
      <c r="J311" s="41"/>
      <c r="K311" s="41"/>
      <c r="L311" s="41"/>
      <c r="M311" s="41"/>
      <c r="N311" s="41"/>
      <c r="O311" s="41"/>
      <c r="P311" s="41"/>
      <c r="Q311" s="41"/>
      <c r="R311" s="41"/>
      <c r="S311" s="41"/>
      <c r="T311" s="41"/>
      <c r="U311" s="41"/>
      <c r="V311" s="41"/>
      <c r="W311" s="41"/>
      <c r="X311" s="41"/>
      <c r="Y311" s="41"/>
      <c r="Z311" s="41"/>
    </row>
    <row r="312" ht="19.5" customHeight="1">
      <c r="A312" s="41"/>
      <c r="B312" s="85" t="s">
        <v>483</v>
      </c>
      <c r="C312" s="163" t="str">
        <f>CONCATENATE(prefix_wld_az2_cidr,"9.103")</f>
        <v>10.24.9.103</v>
      </c>
      <c r="D312" s="18"/>
      <c r="E312" s="95" t="s">
        <v>3288</v>
      </c>
      <c r="F312" s="41"/>
      <c r="G312" s="41"/>
      <c r="H312" s="41"/>
      <c r="I312" s="41"/>
      <c r="J312" s="41"/>
      <c r="K312" s="41"/>
      <c r="L312" s="41"/>
      <c r="M312" s="41"/>
      <c r="N312" s="41"/>
      <c r="O312" s="41"/>
      <c r="P312" s="41"/>
      <c r="Q312" s="41"/>
      <c r="R312" s="41"/>
      <c r="S312" s="41"/>
      <c r="T312" s="41"/>
      <c r="U312" s="41"/>
      <c r="V312" s="41"/>
      <c r="W312" s="41"/>
      <c r="X312" s="41"/>
      <c r="Y312" s="41"/>
      <c r="Z312" s="41"/>
    </row>
    <row r="313" ht="19.5" customHeight="1">
      <c r="A313" s="41"/>
      <c r="B313" s="85" t="s">
        <v>483</v>
      </c>
      <c r="C313" s="163" t="str">
        <f>CONCATENATE(prefix_wld_az2_cidr,"9.104")</f>
        <v>10.24.9.104</v>
      </c>
      <c r="D313" s="18"/>
      <c r="E313" s="95" t="s">
        <v>3289</v>
      </c>
      <c r="F313" s="41"/>
      <c r="G313" s="41"/>
      <c r="H313" s="41"/>
      <c r="I313" s="41"/>
      <c r="J313" s="41"/>
      <c r="K313" s="41"/>
      <c r="L313" s="41"/>
      <c r="M313" s="41"/>
      <c r="N313" s="41"/>
      <c r="O313" s="41"/>
      <c r="P313" s="41"/>
      <c r="Q313" s="41"/>
      <c r="R313" s="41"/>
      <c r="S313" s="41"/>
      <c r="T313" s="41"/>
      <c r="U313" s="41"/>
      <c r="V313" s="41"/>
      <c r="W313" s="41"/>
      <c r="X313" s="41"/>
      <c r="Y313" s="41"/>
      <c r="Z313" s="41"/>
    </row>
    <row r="314" ht="19.5" customHeight="1">
      <c r="A314" s="41"/>
      <c r="B314" s="85" t="s">
        <v>483</v>
      </c>
      <c r="C314" s="163" t="str">
        <f>CONCATENATE(prefix_wld_az2_cidr,"9.105")</f>
        <v>10.24.9.105</v>
      </c>
      <c r="D314" s="18"/>
      <c r="E314" s="95" t="s">
        <v>3290</v>
      </c>
      <c r="F314" s="41"/>
      <c r="G314" s="41"/>
      <c r="H314" s="41"/>
      <c r="I314" s="41"/>
      <c r="J314" s="41"/>
      <c r="K314" s="41"/>
      <c r="L314" s="41"/>
      <c r="M314" s="41"/>
      <c r="N314" s="41"/>
      <c r="O314" s="41"/>
      <c r="P314" s="41"/>
      <c r="Q314" s="41"/>
      <c r="R314" s="41"/>
      <c r="S314" s="41"/>
      <c r="T314" s="41"/>
      <c r="U314" s="41"/>
      <c r="V314" s="41"/>
      <c r="W314" s="41"/>
      <c r="X314" s="41"/>
      <c r="Y314" s="41"/>
      <c r="Z314" s="41"/>
    </row>
    <row r="315" ht="19.5" customHeight="1">
      <c r="A315" s="41"/>
      <c r="B315" s="85" t="s">
        <v>483</v>
      </c>
      <c r="C315" s="163" t="str">
        <f>CONCATENATE(prefix_wld_az2_cidr,"9.106")</f>
        <v>10.24.9.106</v>
      </c>
      <c r="D315" s="18"/>
      <c r="E315" s="95" t="s">
        <v>3291</v>
      </c>
      <c r="F315" s="41"/>
      <c r="G315" s="41"/>
      <c r="H315" s="41"/>
      <c r="I315" s="41"/>
      <c r="J315" s="41"/>
      <c r="K315" s="41"/>
      <c r="L315" s="41"/>
      <c r="M315" s="41"/>
      <c r="N315" s="41"/>
      <c r="O315" s="41"/>
      <c r="P315" s="41"/>
      <c r="Q315" s="41"/>
      <c r="R315" s="41"/>
      <c r="S315" s="41"/>
      <c r="T315" s="41"/>
      <c r="U315" s="41"/>
      <c r="V315" s="41"/>
      <c r="W315" s="41"/>
      <c r="X315" s="41"/>
      <c r="Y315" s="41"/>
      <c r="Z315" s="41"/>
    </row>
    <row r="316" ht="19.5" customHeight="1">
      <c r="A316" s="41"/>
      <c r="B316" s="84" t="s">
        <v>483</v>
      </c>
      <c r="C316" s="163" t="str">
        <f>CONCATENATE(prefix_wld_az2_cidr,"9.107")</f>
        <v>10.24.9.107</v>
      </c>
      <c r="D316" s="18"/>
      <c r="E316" s="95" t="s">
        <v>3292</v>
      </c>
      <c r="F316" s="41"/>
      <c r="G316" s="41"/>
      <c r="H316" s="41"/>
      <c r="I316" s="41"/>
      <c r="J316" s="41"/>
      <c r="K316" s="41"/>
      <c r="L316" s="41"/>
      <c r="M316" s="41"/>
      <c r="N316" s="41"/>
      <c r="O316" s="41"/>
      <c r="P316" s="41"/>
      <c r="Q316" s="41"/>
      <c r="R316" s="41"/>
      <c r="S316" s="41"/>
      <c r="T316" s="41"/>
      <c r="U316" s="41"/>
      <c r="V316" s="41"/>
      <c r="W316" s="41"/>
      <c r="X316" s="41"/>
      <c r="Y316" s="41"/>
      <c r="Z316" s="41"/>
    </row>
    <row r="317" ht="19.5" customHeight="1">
      <c r="A317" s="41"/>
      <c r="B317" s="84" t="s">
        <v>483</v>
      </c>
      <c r="C317" s="163" t="str">
        <f>CONCATENATE(prefix_wld_az2_cidr,"9.108")</f>
        <v>10.24.9.108</v>
      </c>
      <c r="D317" s="18"/>
      <c r="E317" s="95" t="s">
        <v>3293</v>
      </c>
      <c r="F317" s="41"/>
      <c r="G317" s="41"/>
      <c r="H317" s="41"/>
      <c r="I317" s="41"/>
      <c r="J317" s="41"/>
      <c r="K317" s="41"/>
      <c r="L317" s="41"/>
      <c r="M317" s="41"/>
      <c r="N317" s="41"/>
      <c r="O317" s="41"/>
      <c r="P317" s="41"/>
      <c r="Q317" s="41"/>
      <c r="R317" s="41"/>
      <c r="S317" s="41"/>
      <c r="T317" s="41"/>
      <c r="U317" s="41"/>
      <c r="V317" s="41"/>
      <c r="W317" s="41"/>
      <c r="X317" s="41"/>
      <c r="Y317" s="41"/>
      <c r="Z317" s="41"/>
    </row>
    <row r="318" ht="19.5" customHeight="1">
      <c r="A318" s="41"/>
      <c r="B318" s="84" t="s">
        <v>483</v>
      </c>
      <c r="C318" s="163" t="str">
        <f>CONCATENATE(prefix_wld_az2_cidr,"9.109")</f>
        <v>10.24.9.109</v>
      </c>
      <c r="D318" s="18"/>
      <c r="E318" s="95" t="s">
        <v>3294</v>
      </c>
      <c r="F318" s="41"/>
      <c r="G318" s="41"/>
      <c r="H318" s="41"/>
      <c r="I318" s="41"/>
      <c r="J318" s="41"/>
      <c r="K318" s="41"/>
      <c r="L318" s="41"/>
      <c r="M318" s="41"/>
      <c r="N318" s="41"/>
      <c r="O318" s="41"/>
      <c r="P318" s="41"/>
      <c r="Q318" s="41"/>
      <c r="R318" s="41"/>
      <c r="S318" s="41"/>
      <c r="T318" s="41"/>
      <c r="U318" s="41"/>
      <c r="V318" s="41"/>
      <c r="W318" s="41"/>
      <c r="X318" s="41"/>
      <c r="Y318" s="41"/>
      <c r="Z318" s="41"/>
    </row>
    <row r="319" ht="19.5" customHeight="1">
      <c r="A319" s="41"/>
      <c r="B319" s="85" t="s">
        <v>483</v>
      </c>
      <c r="C319" s="163" t="str">
        <f>CONCATENATE(prefix_wld_az2_cidr,"9.110")</f>
        <v>10.24.9.110</v>
      </c>
      <c r="D319" s="18"/>
      <c r="E319" s="95" t="s">
        <v>3295</v>
      </c>
      <c r="F319" s="41"/>
      <c r="G319" s="41"/>
      <c r="H319" s="41"/>
      <c r="I319" s="41"/>
      <c r="J319" s="41"/>
      <c r="K319" s="41"/>
      <c r="L319" s="41"/>
      <c r="M319" s="41"/>
      <c r="N319" s="41"/>
      <c r="O319" s="41"/>
      <c r="P319" s="41"/>
      <c r="Q319" s="41"/>
      <c r="R319" s="41"/>
      <c r="S319" s="41"/>
      <c r="T319" s="41"/>
      <c r="U319" s="41"/>
      <c r="V319" s="41"/>
      <c r="W319" s="41"/>
      <c r="X319" s="41"/>
      <c r="Y319" s="41"/>
      <c r="Z319" s="41"/>
    </row>
    <row r="320" ht="19.5" customHeight="1">
      <c r="A320" s="41"/>
      <c r="B320" s="85" t="s">
        <v>483</v>
      </c>
      <c r="C320" s="163" t="str">
        <f>CONCATENATE(prefix_wld_az2_cidr,"9.111")</f>
        <v>10.24.9.111</v>
      </c>
      <c r="D320" s="18"/>
      <c r="E320" s="95" t="s">
        <v>3296</v>
      </c>
      <c r="F320" s="41"/>
      <c r="G320" s="41"/>
      <c r="H320" s="41"/>
      <c r="I320" s="41"/>
      <c r="J320" s="41"/>
      <c r="K320" s="41"/>
      <c r="L320" s="41"/>
      <c r="M320" s="41"/>
      <c r="N320" s="41"/>
      <c r="O320" s="41"/>
      <c r="P320" s="41"/>
      <c r="Q320" s="41"/>
      <c r="R320" s="41"/>
      <c r="S320" s="41"/>
      <c r="T320" s="41"/>
      <c r="U320" s="41"/>
      <c r="V320" s="41"/>
      <c r="W320" s="41"/>
      <c r="X320" s="41"/>
      <c r="Y320" s="41"/>
      <c r="Z320" s="41"/>
    </row>
    <row r="321" ht="19.5" customHeight="1">
      <c r="A321" s="41"/>
      <c r="B321" s="85" t="s">
        <v>483</v>
      </c>
      <c r="C321" s="163" t="str">
        <f>CONCATENATE(prefix_wld_az2_cidr,"9.112")</f>
        <v>10.24.9.112</v>
      </c>
      <c r="D321" s="18"/>
      <c r="E321" s="95" t="s">
        <v>3297</v>
      </c>
      <c r="F321" s="41"/>
      <c r="G321" s="41"/>
      <c r="H321" s="41"/>
      <c r="I321" s="41"/>
      <c r="J321" s="41"/>
      <c r="K321" s="41"/>
      <c r="L321" s="41"/>
      <c r="M321" s="41"/>
      <c r="N321" s="41"/>
      <c r="O321" s="41"/>
      <c r="P321" s="41"/>
      <c r="Q321" s="41"/>
      <c r="R321" s="41"/>
      <c r="S321" s="41"/>
      <c r="T321" s="41"/>
      <c r="U321" s="41"/>
      <c r="V321" s="41"/>
      <c r="W321" s="41"/>
      <c r="X321" s="41"/>
      <c r="Y321" s="41"/>
      <c r="Z321" s="41"/>
    </row>
    <row r="322" ht="19.5" customHeight="1">
      <c r="A322" s="41"/>
      <c r="B322" s="85" t="s">
        <v>483</v>
      </c>
      <c r="C322" s="163" t="str">
        <f>CONCATENATE(prefix_wld_az2_cidr,"9.113")</f>
        <v>10.24.9.113</v>
      </c>
      <c r="D322" s="18"/>
      <c r="E322" s="95" t="s">
        <v>3298</v>
      </c>
      <c r="F322" s="41"/>
      <c r="G322" s="41"/>
      <c r="H322" s="41"/>
      <c r="I322" s="41"/>
      <c r="J322" s="41"/>
      <c r="K322" s="41"/>
      <c r="L322" s="41"/>
      <c r="M322" s="41"/>
      <c r="N322" s="41"/>
      <c r="O322" s="41"/>
      <c r="P322" s="41"/>
      <c r="Q322" s="41"/>
      <c r="R322" s="41"/>
      <c r="S322" s="41"/>
      <c r="T322" s="41"/>
      <c r="U322" s="41"/>
      <c r="V322" s="41"/>
      <c r="W322" s="41"/>
      <c r="X322" s="41"/>
      <c r="Y322" s="41"/>
      <c r="Z322" s="41"/>
    </row>
    <row r="323" ht="19.5" customHeight="1">
      <c r="A323" s="41"/>
      <c r="B323" s="85" t="s">
        <v>483</v>
      </c>
      <c r="C323" s="163" t="str">
        <f>CONCATENATE(prefix_wld_az2_cidr,"9.114")</f>
        <v>10.24.9.114</v>
      </c>
      <c r="D323" s="18"/>
      <c r="E323" s="95" t="s">
        <v>3299</v>
      </c>
      <c r="F323" s="41"/>
      <c r="G323" s="41"/>
      <c r="H323" s="41"/>
      <c r="I323" s="41"/>
      <c r="J323" s="41"/>
      <c r="K323" s="41"/>
      <c r="L323" s="41"/>
      <c r="M323" s="41"/>
      <c r="N323" s="41"/>
      <c r="O323" s="41"/>
      <c r="P323" s="41"/>
      <c r="Q323" s="41"/>
      <c r="R323" s="41"/>
      <c r="S323" s="41"/>
      <c r="T323" s="41"/>
      <c r="U323" s="41"/>
      <c r="V323" s="41"/>
      <c r="W323" s="41"/>
      <c r="X323" s="41"/>
      <c r="Y323" s="41"/>
      <c r="Z323" s="41"/>
    </row>
    <row r="324" ht="19.5" customHeight="1">
      <c r="A324" s="41"/>
      <c r="B324" s="85" t="s">
        <v>483</v>
      </c>
      <c r="C324" s="163" t="str">
        <f>CONCATENATE(prefix_wld_az2_cidr,"9.115")</f>
        <v>10.24.9.115</v>
      </c>
      <c r="D324" s="18"/>
      <c r="E324" s="95" t="s">
        <v>3300</v>
      </c>
      <c r="F324" s="41"/>
      <c r="G324" s="41"/>
      <c r="H324" s="41"/>
      <c r="I324" s="41"/>
      <c r="J324" s="41"/>
      <c r="K324" s="41"/>
      <c r="L324" s="41"/>
      <c r="M324" s="41"/>
      <c r="N324" s="41"/>
      <c r="O324" s="41"/>
      <c r="P324" s="41"/>
      <c r="Q324" s="41"/>
      <c r="R324" s="41"/>
      <c r="S324" s="41"/>
      <c r="T324" s="41"/>
      <c r="U324" s="41"/>
      <c r="V324" s="41"/>
      <c r="W324" s="41"/>
      <c r="X324" s="41"/>
      <c r="Y324" s="41"/>
      <c r="Z324" s="41"/>
    </row>
    <row r="325" ht="19.5" customHeight="1">
      <c r="A325" s="41"/>
      <c r="B325" s="85" t="s">
        <v>483</v>
      </c>
      <c r="C325" s="163" t="str">
        <f>CONCATENATE(prefix_wld_az2_cidr,"9.116")</f>
        <v>10.24.9.116</v>
      </c>
      <c r="D325" s="18"/>
      <c r="E325" s="95" t="s">
        <v>3301</v>
      </c>
      <c r="F325" s="41"/>
      <c r="G325" s="41"/>
      <c r="H325" s="41"/>
      <c r="I325" s="41"/>
      <c r="J325" s="41"/>
      <c r="K325" s="41"/>
      <c r="L325" s="41"/>
      <c r="M325" s="41"/>
      <c r="N325" s="41"/>
      <c r="O325" s="41"/>
      <c r="P325" s="41"/>
      <c r="Q325" s="41"/>
      <c r="R325" s="41"/>
      <c r="S325" s="41"/>
      <c r="T325" s="41"/>
      <c r="U325" s="41"/>
      <c r="V325" s="41"/>
      <c r="W325" s="41"/>
      <c r="X325" s="41"/>
      <c r="Y325" s="41"/>
      <c r="Z325" s="41"/>
    </row>
    <row r="326" ht="19.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9.5" customHeight="1">
      <c r="A327" s="41"/>
      <c r="B327" s="197" t="s">
        <v>3303</v>
      </c>
      <c r="C327" s="13"/>
      <c r="D327" s="13"/>
      <c r="E327" s="14"/>
      <c r="F327" s="41"/>
      <c r="G327" s="41"/>
      <c r="H327" s="41"/>
      <c r="I327" s="41"/>
      <c r="J327" s="41"/>
      <c r="K327" s="41"/>
      <c r="L327" s="41"/>
      <c r="M327" s="41"/>
      <c r="N327" s="41"/>
      <c r="O327" s="41"/>
      <c r="P327" s="41"/>
      <c r="Q327" s="41"/>
      <c r="R327" s="41"/>
      <c r="S327" s="41"/>
      <c r="T327" s="41"/>
      <c r="U327" s="41"/>
      <c r="V327" s="41"/>
      <c r="W327" s="41"/>
      <c r="X327" s="41"/>
      <c r="Y327" s="41"/>
      <c r="Z327" s="41"/>
    </row>
    <row r="328" ht="19.5" customHeight="1">
      <c r="A328" s="41"/>
      <c r="B328" s="108" t="s">
        <v>256</v>
      </c>
      <c r="C328" s="108" t="s">
        <v>722</v>
      </c>
      <c r="D328" s="108" t="s">
        <v>274</v>
      </c>
      <c r="E328" s="108" t="s">
        <v>5</v>
      </c>
      <c r="F328" s="41"/>
      <c r="G328" s="41"/>
      <c r="H328" s="41"/>
      <c r="I328" s="41"/>
      <c r="J328" s="41"/>
      <c r="K328" s="41"/>
      <c r="L328" s="41"/>
      <c r="M328" s="41"/>
      <c r="N328" s="41"/>
      <c r="O328" s="41"/>
      <c r="P328" s="41"/>
      <c r="Q328" s="41"/>
      <c r="R328" s="41"/>
      <c r="S328" s="41"/>
      <c r="T328" s="41"/>
      <c r="U328" s="41"/>
      <c r="V328" s="41"/>
      <c r="W328" s="41"/>
      <c r="X328" s="41"/>
      <c r="Y328" s="41"/>
      <c r="Z328" s="41"/>
    </row>
    <row r="329" ht="19.5" customHeight="1">
      <c r="A329" s="41"/>
      <c r="B329" s="368" t="s">
        <v>3285</v>
      </c>
      <c r="C329" s="13"/>
      <c r="D329" s="13"/>
      <c r="E329" s="14"/>
      <c r="F329" s="41"/>
      <c r="G329" s="41"/>
      <c r="H329" s="41"/>
      <c r="I329" s="41"/>
      <c r="J329" s="41"/>
      <c r="K329" s="41"/>
      <c r="L329" s="41"/>
      <c r="M329" s="41"/>
      <c r="N329" s="41"/>
      <c r="O329" s="41"/>
      <c r="P329" s="41"/>
      <c r="Q329" s="41"/>
      <c r="R329" s="41"/>
      <c r="S329" s="41"/>
      <c r="T329" s="41"/>
      <c r="U329" s="41"/>
      <c r="V329" s="41"/>
      <c r="W329" s="41"/>
      <c r="X329" s="41"/>
      <c r="Y329" s="41"/>
      <c r="Z329" s="41"/>
    </row>
    <row r="330" ht="19.5" customHeight="1">
      <c r="A330" s="41"/>
      <c r="B330" s="84" t="s">
        <v>3304</v>
      </c>
      <c r="C330" s="111" t="str">
        <f>sample_wld_az1_host1_fqdn</f>
        <v>lax01-w01-r01-esx01.lax.rainpole.io</v>
      </c>
      <c r="D330" s="18" t="str">
        <f>wld_az1_host1_fqdn</f>
        <v>Value Missing</v>
      </c>
      <c r="E330" s="191"/>
      <c r="F330" s="41"/>
      <c r="G330" s="41"/>
      <c r="H330" s="41"/>
      <c r="I330" s="41"/>
      <c r="J330" s="41"/>
      <c r="K330" s="41"/>
      <c r="L330" s="41"/>
      <c r="M330" s="41"/>
      <c r="N330" s="41"/>
      <c r="O330" s="41"/>
      <c r="P330" s="41"/>
      <c r="Q330" s="41"/>
      <c r="R330" s="41"/>
      <c r="S330" s="41"/>
      <c r="T330" s="41"/>
      <c r="U330" s="41"/>
      <c r="V330" s="41"/>
      <c r="W330" s="41"/>
      <c r="X330" s="41"/>
      <c r="Y330" s="41"/>
      <c r="Z330" s="41"/>
    </row>
    <row r="331" ht="19.5" customHeight="1">
      <c r="A331" s="41"/>
      <c r="B331" s="84" t="s">
        <v>3305</v>
      </c>
      <c r="C331" s="110" t="str">
        <f>sample_wld_az1_vrms_gateway_ip</f>
        <v>10.23.9.1</v>
      </c>
      <c r="D331" s="18" t="str">
        <f>wld_az1_vrms_gateway_ip</f>
        <v>Value Missing</v>
      </c>
      <c r="E331" s="191"/>
      <c r="F331" s="41"/>
      <c r="G331" s="41"/>
      <c r="H331" s="41"/>
      <c r="I331" s="41"/>
      <c r="J331" s="41"/>
      <c r="K331" s="41"/>
      <c r="L331" s="41"/>
      <c r="M331" s="41"/>
      <c r="N331" s="41"/>
      <c r="O331" s="41"/>
      <c r="P331" s="41"/>
      <c r="Q331" s="41"/>
      <c r="R331" s="41"/>
      <c r="S331" s="41"/>
      <c r="T331" s="41"/>
      <c r="U331" s="41"/>
      <c r="V331" s="41"/>
      <c r="W331" s="41"/>
      <c r="X331" s="41"/>
      <c r="Y331" s="41"/>
      <c r="Z331" s="41"/>
    </row>
    <row r="332" ht="19.5" customHeight="1">
      <c r="A332" s="41"/>
      <c r="B332" s="85" t="s">
        <v>3306</v>
      </c>
      <c r="C332" s="110" t="str">
        <f t="array" ref="C332">sample_wld_vrms_recovery_replication_cidr</f>
        <v>10.11.9.0/24</v>
      </c>
      <c r="D332" s="18" t="str">
        <f t="array" ref="D332">wld_vrms_recovery_replication_cidr</f>
        <v>Value Missing</v>
      </c>
      <c r="E332" s="191"/>
      <c r="F332" s="41"/>
      <c r="G332" s="41"/>
      <c r="H332" s="41"/>
      <c r="I332" s="41"/>
      <c r="J332" s="41"/>
      <c r="K332" s="41"/>
      <c r="L332" s="41"/>
      <c r="M332" s="41"/>
      <c r="N332" s="41"/>
      <c r="O332" s="41"/>
      <c r="P332" s="41"/>
      <c r="Q332" s="41"/>
      <c r="R332" s="41"/>
      <c r="S332" s="41"/>
      <c r="T332" s="41"/>
      <c r="U332" s="41"/>
      <c r="V332" s="41"/>
      <c r="W332" s="41"/>
      <c r="X332" s="41"/>
      <c r="Y332" s="41"/>
      <c r="Z332" s="41"/>
    </row>
    <row r="333" ht="19.5" customHeight="1">
      <c r="A333" s="41"/>
      <c r="B333" s="85" t="s">
        <v>3307</v>
      </c>
      <c r="C333" s="111" t="str">
        <f>sample_wld_az1_host2_fqdn</f>
        <v>lax01-w01-r01-esx02.lax.rainpole.io</v>
      </c>
      <c r="D333" s="18" t="str">
        <f>wld_az1_host2_fqdn</f>
        <v>Value Missing</v>
      </c>
      <c r="E333" s="191"/>
      <c r="F333" s="41"/>
      <c r="G333" s="41"/>
      <c r="H333" s="41"/>
      <c r="I333" s="41"/>
      <c r="J333" s="41"/>
      <c r="K333" s="41"/>
      <c r="L333" s="41"/>
      <c r="M333" s="41"/>
      <c r="N333" s="41"/>
      <c r="O333" s="41"/>
      <c r="P333" s="41"/>
      <c r="Q333" s="41"/>
      <c r="R333" s="41"/>
      <c r="S333" s="41"/>
      <c r="T333" s="41"/>
      <c r="U333" s="41"/>
      <c r="V333" s="41"/>
      <c r="W333" s="41"/>
      <c r="X333" s="41"/>
      <c r="Y333" s="41"/>
      <c r="Z333" s="41"/>
    </row>
    <row r="334" ht="19.5" customHeight="1">
      <c r="A334" s="41"/>
      <c r="B334" s="85" t="s">
        <v>3308</v>
      </c>
      <c r="C334" s="110" t="str">
        <f>sample_wld_az1_vrms_gateway_ip</f>
        <v>10.23.9.1</v>
      </c>
      <c r="D334" s="18" t="str">
        <f>wld_az1_vrms_gateway_ip</f>
        <v>Value Missing</v>
      </c>
      <c r="E334" s="191"/>
      <c r="F334" s="41"/>
      <c r="G334" s="41"/>
      <c r="H334" s="41"/>
      <c r="I334" s="41"/>
      <c r="J334" s="41"/>
      <c r="K334" s="41"/>
      <c r="L334" s="41"/>
      <c r="M334" s="41"/>
      <c r="N334" s="41"/>
      <c r="O334" s="41"/>
      <c r="P334" s="41"/>
      <c r="Q334" s="41"/>
      <c r="R334" s="41"/>
      <c r="S334" s="41"/>
      <c r="T334" s="41"/>
      <c r="U334" s="41"/>
      <c r="V334" s="41"/>
      <c r="W334" s="41"/>
      <c r="X334" s="41"/>
      <c r="Y334" s="41"/>
      <c r="Z334" s="41"/>
    </row>
    <row r="335" ht="19.5" customHeight="1">
      <c r="A335" s="41"/>
      <c r="B335" s="85" t="s">
        <v>3309</v>
      </c>
      <c r="C335" s="110" t="str">
        <f t="array" ref="C335">sample_wld_vrms_recovery_replication_cidr</f>
        <v>10.11.9.0/24</v>
      </c>
      <c r="D335" s="18" t="str">
        <f t="array" ref="D335">wld_vrms_recovery_replication_cidr</f>
        <v>Value Missing</v>
      </c>
      <c r="E335" s="191"/>
      <c r="F335" s="41"/>
      <c r="G335" s="41"/>
      <c r="H335" s="41"/>
      <c r="I335" s="41"/>
      <c r="J335" s="41"/>
      <c r="K335" s="41"/>
      <c r="L335" s="41"/>
      <c r="M335" s="41"/>
      <c r="N335" s="41"/>
      <c r="O335" s="41"/>
      <c r="P335" s="41"/>
      <c r="Q335" s="41"/>
      <c r="R335" s="41"/>
      <c r="S335" s="41"/>
      <c r="T335" s="41"/>
      <c r="U335" s="41"/>
      <c r="V335" s="41"/>
      <c r="W335" s="41"/>
      <c r="X335" s="41"/>
      <c r="Y335" s="41"/>
      <c r="Z335" s="41"/>
    </row>
    <row r="336" ht="19.5" customHeight="1">
      <c r="A336" s="41"/>
      <c r="B336" s="85" t="s">
        <v>3310</v>
      </c>
      <c r="C336" s="111" t="str">
        <f>sample_wld_az1_host3_fqdn</f>
        <v>lax01-w01-r01-esx03.lax.rainpole.io</v>
      </c>
      <c r="D336" s="18" t="str">
        <f>wld_az1_host3_fqdn</f>
        <v>Value Missing</v>
      </c>
      <c r="E336" s="191"/>
      <c r="F336" s="41"/>
      <c r="G336" s="41"/>
      <c r="H336" s="41"/>
      <c r="I336" s="41"/>
      <c r="J336" s="41"/>
      <c r="K336" s="41"/>
      <c r="L336" s="41"/>
      <c r="M336" s="41"/>
      <c r="N336" s="41"/>
      <c r="O336" s="41"/>
      <c r="P336" s="41"/>
      <c r="Q336" s="41"/>
      <c r="R336" s="41"/>
      <c r="S336" s="41"/>
      <c r="T336" s="41"/>
      <c r="U336" s="41"/>
      <c r="V336" s="41"/>
      <c r="W336" s="41"/>
      <c r="X336" s="41"/>
      <c r="Y336" s="41"/>
      <c r="Z336" s="41"/>
    </row>
    <row r="337" ht="19.5" customHeight="1">
      <c r="A337" s="41"/>
      <c r="B337" s="84" t="s">
        <v>3311</v>
      </c>
      <c r="C337" s="110" t="str">
        <f>sample_wld_az1_vrms_gateway_ip</f>
        <v>10.23.9.1</v>
      </c>
      <c r="D337" s="18" t="str">
        <f>wld_az1_vrms_gateway_ip</f>
        <v>Value Missing</v>
      </c>
      <c r="E337" s="191"/>
      <c r="F337" s="41"/>
      <c r="G337" s="41"/>
      <c r="H337" s="41"/>
      <c r="I337" s="41"/>
      <c r="J337" s="41"/>
      <c r="K337" s="41"/>
      <c r="L337" s="41"/>
      <c r="M337" s="41"/>
      <c r="N337" s="41"/>
      <c r="O337" s="41"/>
      <c r="P337" s="41"/>
      <c r="Q337" s="41"/>
      <c r="R337" s="41"/>
      <c r="S337" s="41"/>
      <c r="T337" s="41"/>
      <c r="U337" s="41"/>
      <c r="V337" s="41"/>
      <c r="W337" s="41"/>
      <c r="X337" s="41"/>
      <c r="Y337" s="41"/>
      <c r="Z337" s="41"/>
    </row>
    <row r="338" ht="19.5" customHeight="1">
      <c r="A338" s="41"/>
      <c r="B338" s="84" t="s">
        <v>3312</v>
      </c>
      <c r="C338" s="110" t="str">
        <f t="array" ref="C338">sample_wld_vrms_recovery_replication_cidr</f>
        <v>10.11.9.0/24</v>
      </c>
      <c r="D338" s="18" t="str">
        <f t="array" ref="D338">wld_vrms_recovery_replication_cidr</f>
        <v>Value Missing</v>
      </c>
      <c r="E338" s="191"/>
      <c r="F338" s="41"/>
      <c r="G338" s="41"/>
      <c r="H338" s="41"/>
      <c r="I338" s="41"/>
      <c r="J338" s="41"/>
      <c r="K338" s="41"/>
      <c r="L338" s="41"/>
      <c r="M338" s="41"/>
      <c r="N338" s="41"/>
      <c r="O338" s="41"/>
      <c r="P338" s="41"/>
      <c r="Q338" s="41"/>
      <c r="R338" s="41"/>
      <c r="S338" s="41"/>
      <c r="T338" s="41"/>
      <c r="U338" s="41"/>
      <c r="V338" s="41"/>
      <c r="W338" s="41"/>
      <c r="X338" s="41"/>
      <c r="Y338" s="41"/>
      <c r="Z338" s="41"/>
    </row>
    <row r="339" ht="19.5" customHeight="1">
      <c r="A339" s="41"/>
      <c r="B339" s="85" t="s">
        <v>3313</v>
      </c>
      <c r="C339" s="111" t="str">
        <f>sample_wld_az1_host4_fqdn</f>
        <v>lax01-w01-r01-esx04.lax.rainpole.io</v>
      </c>
      <c r="D339" s="18" t="str">
        <f>wld_az1_host4_fqdn</f>
        <v>Value Missing</v>
      </c>
      <c r="E339" s="191"/>
      <c r="F339" s="41"/>
      <c r="G339" s="41"/>
      <c r="H339" s="41"/>
      <c r="I339" s="41"/>
      <c r="J339" s="41"/>
      <c r="K339" s="41"/>
      <c r="L339" s="41"/>
      <c r="M339" s="41"/>
      <c r="N339" s="41"/>
      <c r="O339" s="41"/>
      <c r="P339" s="41"/>
      <c r="Q339" s="41"/>
      <c r="R339" s="41"/>
      <c r="S339" s="41"/>
      <c r="T339" s="41"/>
      <c r="U339" s="41"/>
      <c r="V339" s="41"/>
      <c r="W339" s="41"/>
      <c r="X339" s="41"/>
      <c r="Y339" s="41"/>
      <c r="Z339" s="41"/>
    </row>
    <row r="340" ht="19.5" customHeight="1">
      <c r="A340" s="41"/>
      <c r="B340" s="85" t="s">
        <v>3314</v>
      </c>
      <c r="C340" s="110" t="str">
        <f>sample_wld_az1_vrms_gateway_ip</f>
        <v>10.23.9.1</v>
      </c>
      <c r="D340" s="18" t="str">
        <f>wld_az1_vrms_gateway_ip</f>
        <v>Value Missing</v>
      </c>
      <c r="E340" s="191"/>
      <c r="F340" s="41"/>
      <c r="G340" s="41"/>
      <c r="H340" s="41"/>
      <c r="I340" s="41"/>
      <c r="J340" s="41"/>
      <c r="K340" s="41"/>
      <c r="L340" s="41"/>
      <c r="M340" s="41"/>
      <c r="N340" s="41"/>
      <c r="O340" s="41"/>
      <c r="P340" s="41"/>
      <c r="Q340" s="41"/>
      <c r="R340" s="41"/>
      <c r="S340" s="41"/>
      <c r="T340" s="41"/>
      <c r="U340" s="41"/>
      <c r="V340" s="41"/>
      <c r="W340" s="41"/>
      <c r="X340" s="41"/>
      <c r="Y340" s="41"/>
      <c r="Z340" s="41"/>
    </row>
    <row r="341" ht="19.5" customHeight="1">
      <c r="A341" s="41"/>
      <c r="B341" s="84" t="s">
        <v>3315</v>
      </c>
      <c r="C341" s="110" t="str">
        <f t="array" ref="C341">sample_wld_vrms_recovery_replication_cidr</f>
        <v>10.11.9.0/24</v>
      </c>
      <c r="D341" s="18" t="str">
        <f t="array" ref="D341">wld_vrms_recovery_replication_cidr</f>
        <v>Value Missing</v>
      </c>
      <c r="E341" s="191"/>
      <c r="F341" s="41"/>
      <c r="G341" s="41"/>
      <c r="H341" s="41"/>
      <c r="I341" s="41"/>
      <c r="J341" s="41"/>
      <c r="K341" s="41"/>
      <c r="L341" s="41"/>
      <c r="M341" s="41"/>
      <c r="N341" s="41"/>
      <c r="O341" s="41"/>
      <c r="P341" s="41"/>
      <c r="Q341" s="41"/>
      <c r="R341" s="41"/>
      <c r="S341" s="41"/>
      <c r="T341" s="41"/>
      <c r="U341" s="41"/>
      <c r="V341" s="41"/>
      <c r="W341" s="41"/>
      <c r="X341" s="41"/>
      <c r="Y341" s="41"/>
      <c r="Z341" s="41"/>
    </row>
    <row r="342" ht="19.5" customHeight="1">
      <c r="A342" s="41"/>
      <c r="B342" s="368" t="s">
        <v>3302</v>
      </c>
      <c r="C342" s="13"/>
      <c r="D342" s="13"/>
      <c r="E342" s="14"/>
      <c r="F342" s="41"/>
      <c r="G342" s="41"/>
      <c r="H342" s="41"/>
      <c r="I342" s="41"/>
      <c r="J342" s="41"/>
      <c r="K342" s="41"/>
      <c r="L342" s="41"/>
      <c r="M342" s="41"/>
      <c r="N342" s="41"/>
      <c r="O342" s="41"/>
      <c r="P342" s="41"/>
      <c r="Q342" s="41"/>
      <c r="R342" s="41"/>
      <c r="S342" s="41"/>
      <c r="T342" s="41"/>
      <c r="U342" s="41"/>
      <c r="V342" s="41"/>
      <c r="W342" s="41"/>
      <c r="X342" s="41"/>
      <c r="Y342" s="41"/>
      <c r="Z342" s="41"/>
    </row>
    <row r="343" ht="19.5" customHeight="1">
      <c r="A343" s="41"/>
      <c r="B343" s="84" t="s">
        <v>3316</v>
      </c>
      <c r="C343" s="111" t="str">
        <f>sample_wld_az2_host1_fqdn</f>
        <v>lax02-w01-r01-esx01.lax.rainpole.io</v>
      </c>
      <c r="D343" s="18" t="str">
        <f>wld_az2_host1_fqdn</f>
        <v>Value Missing</v>
      </c>
      <c r="E343" s="19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84" t="s">
        <v>3317</v>
      </c>
      <c r="C344" s="110" t="str">
        <f>sample_wld_az1_vrms_gateway_ip</f>
        <v>10.23.9.1</v>
      </c>
      <c r="D344" s="18" t="str">
        <f>wld_az1_vrms_gateway_ip</f>
        <v>Value Missing</v>
      </c>
      <c r="E344" s="191"/>
      <c r="F344" s="41"/>
      <c r="G344" s="41"/>
      <c r="H344" s="41"/>
      <c r="I344" s="41"/>
      <c r="J344" s="41"/>
      <c r="K344" s="41"/>
      <c r="L344" s="41"/>
      <c r="M344" s="41"/>
      <c r="N344" s="41"/>
      <c r="O344" s="41"/>
      <c r="P344" s="41"/>
      <c r="Q344" s="41"/>
      <c r="R344" s="41"/>
      <c r="S344" s="41"/>
      <c r="T344" s="41"/>
      <c r="U344" s="41"/>
      <c r="V344" s="41"/>
      <c r="W344" s="41"/>
      <c r="X344" s="41"/>
      <c r="Y344" s="41"/>
      <c r="Z344" s="41"/>
    </row>
    <row r="345" ht="33.75" customHeight="1">
      <c r="A345" s="41"/>
      <c r="B345" s="85" t="s">
        <v>3318</v>
      </c>
      <c r="C345" s="110" t="str">
        <f t="array" ref="C345">sample_wld_vrms_recovery_replication_cidr</f>
        <v>10.11.9.0/24</v>
      </c>
      <c r="D345" s="18" t="str">
        <f t="array" ref="D345">wld_vrms_recovery_replication_cidr</f>
        <v>Value Missing</v>
      </c>
      <c r="E345" s="191"/>
      <c r="F345" s="41"/>
      <c r="G345" s="41"/>
      <c r="H345" s="41"/>
      <c r="I345" s="41"/>
      <c r="J345" s="41"/>
      <c r="K345" s="41"/>
      <c r="L345" s="41"/>
      <c r="M345" s="41"/>
      <c r="N345" s="41"/>
      <c r="O345" s="41"/>
      <c r="P345" s="41"/>
      <c r="Q345" s="41"/>
      <c r="R345" s="41"/>
      <c r="S345" s="41"/>
      <c r="T345" s="41"/>
      <c r="U345" s="41"/>
      <c r="V345" s="41"/>
      <c r="W345" s="41"/>
      <c r="X345" s="41"/>
      <c r="Y345" s="41"/>
      <c r="Z345" s="41"/>
    </row>
    <row r="346" ht="19.5" customHeight="1">
      <c r="A346" s="41"/>
      <c r="B346" s="85" t="s">
        <v>3319</v>
      </c>
      <c r="C346" s="111" t="str">
        <f>sample_wld_az2_host2_fqdn</f>
        <v>lax02-w01-r01-esx02.lax.rainpole.io</v>
      </c>
      <c r="D346" s="18" t="str">
        <f>wld_az2_host2_fqdn</f>
        <v>Value Missing</v>
      </c>
      <c r="E346" s="191"/>
      <c r="F346" s="41"/>
      <c r="G346" s="41"/>
      <c r="H346" s="41"/>
      <c r="I346" s="41"/>
      <c r="J346" s="41"/>
      <c r="K346" s="41"/>
      <c r="L346" s="41"/>
      <c r="M346" s="41"/>
      <c r="N346" s="41"/>
      <c r="O346" s="41"/>
      <c r="P346" s="41"/>
      <c r="Q346" s="41"/>
      <c r="R346" s="41"/>
      <c r="S346" s="41"/>
      <c r="T346" s="41"/>
      <c r="U346" s="41"/>
      <c r="V346" s="41"/>
      <c r="W346" s="41"/>
      <c r="X346" s="41"/>
      <c r="Y346" s="41"/>
      <c r="Z346" s="41"/>
    </row>
    <row r="347" ht="19.5" customHeight="1">
      <c r="A347" s="41"/>
      <c r="B347" s="85" t="s">
        <v>3320</v>
      </c>
      <c r="C347" s="110" t="str">
        <f>sample_wld_az1_vrms_gateway_ip</f>
        <v>10.23.9.1</v>
      </c>
      <c r="D347" s="18" t="str">
        <f>wld_az1_vrms_gateway_ip</f>
        <v>Value Missing</v>
      </c>
      <c r="E347" s="191"/>
      <c r="F347" s="41"/>
      <c r="G347" s="41"/>
      <c r="H347" s="41"/>
      <c r="I347" s="41"/>
      <c r="J347" s="41"/>
      <c r="K347" s="41"/>
      <c r="L347" s="41"/>
      <c r="M347" s="41"/>
      <c r="N347" s="41"/>
      <c r="O347" s="41"/>
      <c r="P347" s="41"/>
      <c r="Q347" s="41"/>
      <c r="R347" s="41"/>
      <c r="S347" s="41"/>
      <c r="T347" s="41"/>
      <c r="U347" s="41"/>
      <c r="V347" s="41"/>
      <c r="W347" s="41"/>
      <c r="X347" s="41"/>
      <c r="Y347" s="41"/>
      <c r="Z347" s="41"/>
    </row>
    <row r="348" ht="19.5" customHeight="1">
      <c r="A348" s="41"/>
      <c r="B348" s="85" t="s">
        <v>3321</v>
      </c>
      <c r="C348" s="110" t="str">
        <f t="array" ref="C348">sample_wld_vrms_recovery_replication_cidr</f>
        <v>10.11.9.0/24</v>
      </c>
      <c r="D348" s="18" t="str">
        <f t="array" ref="D348">wld_vrms_recovery_replication_cidr</f>
        <v>Value Missing</v>
      </c>
      <c r="E348" s="191"/>
      <c r="F348" s="41"/>
      <c r="G348" s="41"/>
      <c r="H348" s="41"/>
      <c r="I348" s="41"/>
      <c r="J348" s="41"/>
      <c r="K348" s="41"/>
      <c r="L348" s="41"/>
      <c r="M348" s="41"/>
      <c r="N348" s="41"/>
      <c r="O348" s="41"/>
      <c r="P348" s="41"/>
      <c r="Q348" s="41"/>
      <c r="R348" s="41"/>
      <c r="S348" s="41"/>
      <c r="T348" s="41"/>
      <c r="U348" s="41"/>
      <c r="V348" s="41"/>
      <c r="W348" s="41"/>
      <c r="X348" s="41"/>
      <c r="Y348" s="41"/>
      <c r="Z348" s="41"/>
    </row>
    <row r="349" ht="19.5" customHeight="1">
      <c r="A349" s="41"/>
      <c r="B349" s="85" t="s">
        <v>3322</v>
      </c>
      <c r="C349" s="111" t="str">
        <f>sample_wld_az2_host3_fqdn</f>
        <v>lax02-w01-r01-esx03.lax.rainpole.io</v>
      </c>
      <c r="D349" s="18" t="str">
        <f>wld_az2_host3_fqdn</f>
        <v>Value Missing</v>
      </c>
      <c r="E349" s="191"/>
      <c r="F349" s="41"/>
      <c r="G349" s="41"/>
      <c r="H349" s="41"/>
      <c r="I349" s="41"/>
      <c r="J349" s="41"/>
      <c r="K349" s="41"/>
      <c r="L349" s="41"/>
      <c r="M349" s="41"/>
      <c r="N349" s="41"/>
      <c r="O349" s="41"/>
      <c r="P349" s="41"/>
      <c r="Q349" s="41"/>
      <c r="R349" s="41"/>
      <c r="S349" s="41"/>
      <c r="T349" s="41"/>
      <c r="U349" s="41"/>
      <c r="V349" s="41"/>
      <c r="W349" s="41"/>
      <c r="X349" s="41"/>
      <c r="Y349" s="41"/>
      <c r="Z349" s="41"/>
    </row>
    <row r="350" ht="19.5" customHeight="1">
      <c r="A350" s="41"/>
      <c r="B350" s="84" t="s">
        <v>3323</v>
      </c>
      <c r="C350" s="110" t="str">
        <f>sample_wld_az1_vrms_gateway_ip</f>
        <v>10.23.9.1</v>
      </c>
      <c r="D350" s="18" t="str">
        <f>wld_az1_vrms_gateway_ip</f>
        <v>Value Missing</v>
      </c>
      <c r="E350" s="191"/>
      <c r="F350" s="41"/>
      <c r="G350" s="41"/>
      <c r="H350" s="41"/>
      <c r="I350" s="41"/>
      <c r="J350" s="41"/>
      <c r="K350" s="41"/>
      <c r="L350" s="41"/>
      <c r="M350" s="41"/>
      <c r="N350" s="41"/>
      <c r="O350" s="41"/>
      <c r="P350" s="41"/>
      <c r="Q350" s="41"/>
      <c r="R350" s="41"/>
      <c r="S350" s="41"/>
      <c r="T350" s="41"/>
      <c r="U350" s="41"/>
      <c r="V350" s="41"/>
      <c r="W350" s="41"/>
      <c r="X350" s="41"/>
      <c r="Y350" s="41"/>
      <c r="Z350" s="41"/>
    </row>
    <row r="351" ht="19.5" customHeight="1">
      <c r="A351" s="41"/>
      <c r="B351" s="84" t="s">
        <v>3324</v>
      </c>
      <c r="C351" s="110" t="str">
        <f t="array" ref="C351">sample_wld_vrms_recovery_replication_cidr</f>
        <v>10.11.9.0/24</v>
      </c>
      <c r="D351" s="18" t="str">
        <f t="array" ref="D351">wld_vrms_recovery_replication_cidr</f>
        <v>Value Missing</v>
      </c>
      <c r="E351" s="191"/>
      <c r="F351" s="41"/>
      <c r="G351" s="41"/>
      <c r="H351" s="41"/>
      <c r="I351" s="41"/>
      <c r="J351" s="41"/>
      <c r="K351" s="41"/>
      <c r="L351" s="41"/>
      <c r="M351" s="41"/>
      <c r="N351" s="41"/>
      <c r="O351" s="41"/>
      <c r="P351" s="41"/>
      <c r="Q351" s="41"/>
      <c r="R351" s="41"/>
      <c r="S351" s="41"/>
      <c r="T351" s="41"/>
      <c r="U351" s="41"/>
      <c r="V351" s="41"/>
      <c r="W351" s="41"/>
      <c r="X351" s="41"/>
      <c r="Y351" s="41"/>
      <c r="Z351" s="41"/>
    </row>
    <row r="352" ht="19.5" customHeight="1">
      <c r="A352" s="41"/>
      <c r="B352" s="85" t="s">
        <v>3325</v>
      </c>
      <c r="C352" s="111" t="str">
        <f>sample_wld_az2_host14_fqdn</f>
        <v>lax02-w01-r01-esx14.lax.rainpole.io</v>
      </c>
      <c r="D352" s="18" t="str">
        <f>wld_az2_host4_fqdn</f>
        <v>Value Missing</v>
      </c>
      <c r="E352" s="191"/>
      <c r="F352" s="41"/>
      <c r="G352" s="41"/>
      <c r="H352" s="41"/>
      <c r="I352" s="41"/>
      <c r="J352" s="41"/>
      <c r="K352" s="41"/>
      <c r="L352" s="41"/>
      <c r="M352" s="41"/>
      <c r="N352" s="41"/>
      <c r="O352" s="41"/>
      <c r="P352" s="41"/>
      <c r="Q352" s="41"/>
      <c r="R352" s="41"/>
      <c r="S352" s="41"/>
      <c r="T352" s="41"/>
      <c r="U352" s="41"/>
      <c r="V352" s="41"/>
      <c r="W352" s="41"/>
      <c r="X352" s="41"/>
      <c r="Y352" s="41"/>
      <c r="Z352" s="41"/>
    </row>
    <row r="353" ht="19.5" customHeight="1">
      <c r="A353" s="41"/>
      <c r="B353" s="85" t="s">
        <v>3326</v>
      </c>
      <c r="C353" s="110" t="str">
        <f>sample_wld_az1_vrms_gateway_ip</f>
        <v>10.23.9.1</v>
      </c>
      <c r="D353" s="18" t="str">
        <f>wld_az1_vrms_gateway_ip</f>
        <v>Value Missing</v>
      </c>
      <c r="E353" s="191"/>
      <c r="F353" s="41"/>
      <c r="G353" s="41"/>
      <c r="H353" s="41"/>
      <c r="I353" s="41"/>
      <c r="J353" s="41"/>
      <c r="K353" s="41"/>
      <c r="L353" s="41"/>
      <c r="M353" s="41"/>
      <c r="N353" s="41"/>
      <c r="O353" s="41"/>
      <c r="P353" s="41"/>
      <c r="Q353" s="41"/>
      <c r="R353" s="41"/>
      <c r="S353" s="41"/>
      <c r="T353" s="41"/>
      <c r="U353" s="41"/>
      <c r="V353" s="41"/>
      <c r="W353" s="41"/>
      <c r="X353" s="41"/>
      <c r="Y353" s="41"/>
      <c r="Z353" s="41"/>
    </row>
    <row r="354" ht="19.5" customHeight="1">
      <c r="A354" s="41"/>
      <c r="B354" s="84" t="s">
        <v>3327</v>
      </c>
      <c r="C354" s="110" t="str">
        <f>sample_wld_vrms_recovery_replication_cidr</f>
        <v>10.11.9.0/24</v>
      </c>
      <c r="D354" s="18" t="str">
        <f t="array" ref="D354">wld_vrms_recovery_replication_cidr</f>
        <v>Value Missing</v>
      </c>
      <c r="E354" s="191"/>
      <c r="F354" s="41"/>
      <c r="G354" s="41"/>
      <c r="H354" s="41"/>
      <c r="I354" s="41"/>
      <c r="J354" s="41"/>
      <c r="K354" s="41"/>
      <c r="L354" s="41"/>
      <c r="M354" s="41"/>
      <c r="N354" s="41"/>
      <c r="O354" s="41"/>
      <c r="P354" s="41"/>
      <c r="Q354" s="41"/>
      <c r="R354" s="41"/>
      <c r="S354" s="41"/>
      <c r="T354" s="41"/>
      <c r="U354" s="41"/>
      <c r="V354" s="41"/>
      <c r="W354" s="41"/>
      <c r="X354" s="41"/>
      <c r="Y354" s="41"/>
      <c r="Z354" s="41"/>
    </row>
    <row r="355" ht="19.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9.5" customHeight="1">
      <c r="A356" s="41"/>
      <c r="B356" s="184" t="s">
        <v>3328</v>
      </c>
      <c r="C356" s="13"/>
      <c r="D356" s="13"/>
      <c r="E356" s="14"/>
      <c r="F356" s="41"/>
      <c r="G356" s="41"/>
      <c r="H356" s="41"/>
      <c r="I356" s="41"/>
      <c r="J356" s="41"/>
      <c r="K356" s="41"/>
      <c r="L356" s="41"/>
      <c r="M356" s="41"/>
      <c r="N356" s="41"/>
      <c r="O356" s="41"/>
      <c r="P356" s="41"/>
      <c r="Q356" s="41"/>
      <c r="R356" s="41"/>
      <c r="S356" s="41"/>
      <c r="T356" s="41"/>
      <c r="U356" s="41"/>
      <c r="V356" s="41"/>
      <c r="W356" s="41"/>
      <c r="X356" s="41"/>
      <c r="Y356" s="41"/>
      <c r="Z356" s="41"/>
    </row>
    <row r="357" ht="19.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9.5" customHeight="1">
      <c r="A358" s="41"/>
      <c r="B358" s="197" t="s">
        <v>3329</v>
      </c>
      <c r="C358" s="13"/>
      <c r="D358" s="13"/>
      <c r="E358" s="14"/>
      <c r="F358" s="41"/>
      <c r="G358" s="41"/>
      <c r="H358" s="41"/>
      <c r="I358" s="41"/>
      <c r="J358" s="41"/>
      <c r="K358" s="41"/>
      <c r="L358" s="41"/>
      <c r="M358" s="41"/>
      <c r="N358" s="41"/>
      <c r="O358" s="41"/>
      <c r="P358" s="41"/>
      <c r="Q358" s="41"/>
      <c r="R358" s="41"/>
      <c r="S358" s="41"/>
      <c r="T358" s="41"/>
      <c r="U358" s="41"/>
      <c r="V358" s="41"/>
      <c r="W358" s="41"/>
      <c r="X358" s="41"/>
      <c r="Y358" s="41"/>
      <c r="Z358" s="41"/>
    </row>
    <row r="359" ht="19.5" customHeight="1">
      <c r="A359" s="41"/>
      <c r="B359" s="108" t="s">
        <v>256</v>
      </c>
      <c r="C359" s="108" t="s">
        <v>722</v>
      </c>
      <c r="D359" s="108" t="s">
        <v>274</v>
      </c>
      <c r="E359" s="108" t="s">
        <v>5</v>
      </c>
      <c r="F359" s="41"/>
      <c r="G359" s="41"/>
      <c r="H359" s="41"/>
      <c r="I359" s="41"/>
      <c r="J359" s="41"/>
      <c r="K359" s="41"/>
      <c r="L359" s="41"/>
      <c r="M359" s="41"/>
      <c r="N359" s="41"/>
      <c r="O359" s="41"/>
      <c r="P359" s="41"/>
      <c r="Q359" s="41"/>
      <c r="R359" s="41"/>
      <c r="S359" s="41"/>
      <c r="T359" s="41"/>
      <c r="U359" s="41"/>
      <c r="V359" s="41"/>
      <c r="W359" s="41"/>
      <c r="X359" s="41"/>
      <c r="Y359" s="41"/>
      <c r="Z359" s="41"/>
    </row>
    <row r="360" ht="19.5" customHeight="1">
      <c r="A360" s="41"/>
      <c r="B360" s="85" t="s">
        <v>826</v>
      </c>
      <c r="C360" s="111" t="str">
        <f>sample_mgmt_vc_fqdn</f>
        <v>lax-m01-vc01.lax.rainpole.io</v>
      </c>
      <c r="D360" s="18" t="str">
        <f>mgmt_vc_fqdn</f>
        <v>Value Missing</v>
      </c>
      <c r="E360" s="191"/>
      <c r="F360" s="41"/>
      <c r="G360" s="41"/>
      <c r="H360" s="41"/>
      <c r="I360" s="41"/>
      <c r="J360" s="41"/>
      <c r="K360" s="41"/>
      <c r="L360" s="41"/>
      <c r="M360" s="41"/>
      <c r="N360" s="41"/>
      <c r="O360" s="41"/>
      <c r="P360" s="41"/>
      <c r="Q360" s="41"/>
      <c r="R360" s="41"/>
      <c r="S360" s="41"/>
      <c r="T360" s="41"/>
      <c r="U360" s="41"/>
      <c r="V360" s="41"/>
      <c r="W360" s="41"/>
      <c r="X360" s="41"/>
      <c r="Y360" s="41"/>
      <c r="Z360" s="41"/>
    </row>
    <row r="361" ht="19.5" customHeight="1">
      <c r="A361" s="41"/>
      <c r="B361" s="84" t="s">
        <v>3163</v>
      </c>
      <c r="C361" s="110" t="str">
        <f>sample_wld_srm_vm_folder</f>
        <v>lax-w01-fd-srm</v>
      </c>
      <c r="D361" s="18" t="str">
        <f>wld_srm_vm_folder</f>
        <v>Value Missing</v>
      </c>
      <c r="E361" s="191"/>
      <c r="F361" s="41"/>
      <c r="G361" s="41"/>
      <c r="H361" s="41"/>
      <c r="I361" s="41"/>
      <c r="J361" s="41"/>
      <c r="K361" s="41"/>
      <c r="L361" s="41"/>
      <c r="M361" s="41"/>
      <c r="N361" s="41"/>
      <c r="O361" s="41"/>
      <c r="P361" s="41"/>
      <c r="Q361" s="41"/>
      <c r="R361" s="41"/>
      <c r="S361" s="41"/>
      <c r="T361" s="41"/>
      <c r="U361" s="41"/>
      <c r="V361" s="41"/>
      <c r="W361" s="41"/>
      <c r="X361" s="41"/>
      <c r="Y361" s="41"/>
      <c r="Z361" s="41"/>
    </row>
    <row r="362" ht="19.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9.5" customHeight="1">
      <c r="A363" s="41"/>
      <c r="B363" s="197" t="s">
        <v>3330</v>
      </c>
      <c r="C363" s="13"/>
      <c r="D363" s="13"/>
      <c r="E363" s="14"/>
      <c r="F363" s="41"/>
      <c r="G363" s="41"/>
      <c r="H363" s="41"/>
      <c r="I363" s="41"/>
      <c r="J363" s="41"/>
      <c r="K363" s="41"/>
      <c r="L363" s="41"/>
      <c r="M363" s="41"/>
      <c r="N363" s="41"/>
      <c r="O363" s="41"/>
      <c r="P363" s="41"/>
      <c r="Q363" s="41"/>
      <c r="R363" s="41"/>
      <c r="S363" s="41"/>
      <c r="T363" s="41"/>
      <c r="U363" s="41"/>
      <c r="V363" s="41"/>
      <c r="W363" s="41"/>
      <c r="X363" s="41"/>
      <c r="Y363" s="41"/>
      <c r="Z363" s="41"/>
    </row>
    <row r="364" ht="19.5" customHeight="1">
      <c r="A364" s="41"/>
      <c r="B364" s="108" t="s">
        <v>256</v>
      </c>
      <c r="C364" s="108" t="s">
        <v>722</v>
      </c>
      <c r="D364" s="108" t="s">
        <v>274</v>
      </c>
      <c r="E364" s="108" t="s">
        <v>5</v>
      </c>
      <c r="F364" s="41"/>
      <c r="G364" s="41"/>
      <c r="H364" s="41"/>
      <c r="I364" s="41"/>
      <c r="J364" s="41"/>
      <c r="K364" s="41"/>
      <c r="L364" s="41"/>
      <c r="M364" s="41"/>
      <c r="N364" s="41"/>
      <c r="O364" s="41"/>
      <c r="P364" s="41"/>
      <c r="Q364" s="41"/>
      <c r="R364" s="41"/>
      <c r="S364" s="41"/>
      <c r="T364" s="41"/>
      <c r="U364" s="41"/>
      <c r="V364" s="41"/>
      <c r="W364" s="41"/>
      <c r="X364" s="41"/>
      <c r="Y364" s="41"/>
      <c r="Z364" s="41"/>
    </row>
    <row r="365" ht="19.5" customHeight="1">
      <c r="A365" s="41"/>
      <c r="B365" s="84" t="s">
        <v>3331</v>
      </c>
      <c r="C365" s="111" t="str">
        <f>sample_mgmt_vc_fqdn</f>
        <v>lax-m01-vc01.lax.rainpole.io</v>
      </c>
      <c r="D365" s="18" t="str">
        <f>mgmt_vc_fqdn</f>
        <v>Value Missing</v>
      </c>
      <c r="E365" s="191"/>
      <c r="F365" s="41"/>
      <c r="G365" s="41"/>
      <c r="H365" s="41"/>
      <c r="I365" s="41"/>
      <c r="J365" s="41"/>
      <c r="K365" s="41"/>
      <c r="L365" s="41"/>
      <c r="M365" s="41"/>
      <c r="N365" s="41"/>
      <c r="O365" s="41"/>
      <c r="P365" s="41"/>
      <c r="Q365" s="41"/>
      <c r="R365" s="41"/>
      <c r="S365" s="41"/>
      <c r="T365" s="41"/>
      <c r="U365" s="41"/>
      <c r="V365" s="41"/>
      <c r="W365" s="41"/>
      <c r="X365" s="41"/>
      <c r="Y365" s="41"/>
      <c r="Z365" s="41"/>
    </row>
    <row r="366" ht="19.5" customHeight="1">
      <c r="A366" s="41"/>
      <c r="B366" s="85" t="s">
        <v>1178</v>
      </c>
      <c r="C366" s="110" t="str">
        <f>sample_mgmt_cl01_cluster</f>
        <v>lax-m01-cl01</v>
      </c>
      <c r="D366" s="18" t="str">
        <f>mgmt_cl01_cluster</f>
        <v>Value Missing</v>
      </c>
      <c r="E366" s="191"/>
      <c r="F366" s="41"/>
      <c r="G366" s="41"/>
      <c r="H366" s="41"/>
      <c r="I366" s="41"/>
      <c r="J366" s="41"/>
      <c r="K366" s="41"/>
      <c r="L366" s="41"/>
      <c r="M366" s="41"/>
      <c r="N366" s="41"/>
      <c r="O366" s="41"/>
      <c r="P366" s="41"/>
      <c r="Q366" s="41"/>
      <c r="R366" s="41"/>
      <c r="S366" s="41"/>
      <c r="T366" s="41"/>
      <c r="U366" s="41"/>
      <c r="V366" s="41"/>
      <c r="W366" s="41"/>
      <c r="X366" s="41"/>
      <c r="Y366" s="41"/>
      <c r="Z366" s="41"/>
    </row>
    <row r="367" ht="19.5" customHeight="1">
      <c r="A367" s="41"/>
      <c r="B367" s="85" t="s">
        <v>3254</v>
      </c>
      <c r="C367" s="110" t="str">
        <f>sample_wld_srm_hostname</f>
        <v>lax-w01-srm01</v>
      </c>
      <c r="D367" s="18" t="str">
        <f>wld_srm_hostname</f>
        <v>Value Missing</v>
      </c>
      <c r="E367" s="191"/>
      <c r="F367" s="41"/>
      <c r="G367" s="41"/>
      <c r="H367" s="41"/>
      <c r="I367" s="41"/>
      <c r="J367" s="41"/>
      <c r="K367" s="41"/>
      <c r="L367" s="41"/>
      <c r="M367" s="41"/>
      <c r="N367" s="41"/>
      <c r="O367" s="41"/>
      <c r="P367" s="41"/>
      <c r="Q367" s="41"/>
      <c r="R367" s="41"/>
      <c r="S367" s="41"/>
      <c r="T367" s="41"/>
      <c r="U367" s="41"/>
      <c r="V367" s="41"/>
      <c r="W367" s="41"/>
      <c r="X367" s="41"/>
      <c r="Y367" s="41"/>
      <c r="Z367" s="41"/>
    </row>
    <row r="368" ht="19.5" customHeight="1">
      <c r="A368" s="41"/>
      <c r="B368" s="85" t="s">
        <v>3255</v>
      </c>
      <c r="C368" s="110" t="str">
        <f>sample_wld_srm_vm_folder</f>
        <v>lax-w01-fd-srm</v>
      </c>
      <c r="D368" s="18" t="str">
        <f>wld_srm_vm_folder</f>
        <v>Value Missing</v>
      </c>
      <c r="E368" s="191"/>
      <c r="F368" s="41"/>
      <c r="G368" s="41"/>
      <c r="H368" s="41"/>
      <c r="I368" s="41"/>
      <c r="J368" s="41"/>
      <c r="K368" s="41"/>
      <c r="L368" s="41"/>
      <c r="M368" s="41"/>
      <c r="N368" s="41"/>
      <c r="O368" s="41"/>
      <c r="P368" s="41"/>
      <c r="Q368" s="41"/>
      <c r="R368" s="41"/>
      <c r="S368" s="41"/>
      <c r="T368" s="41"/>
      <c r="U368" s="41"/>
      <c r="V368" s="41"/>
      <c r="W368" s="41"/>
      <c r="X368" s="41"/>
      <c r="Y368" s="41"/>
      <c r="Z368" s="41"/>
    </row>
    <row r="369" ht="19.5" customHeight="1">
      <c r="A369" s="41"/>
      <c r="B369" s="85" t="s">
        <v>3256</v>
      </c>
      <c r="C369" s="110" t="str">
        <f>sample_mgmt_cl01_cluster</f>
        <v>lax-m01-cl01</v>
      </c>
      <c r="D369" s="18" t="str">
        <f>mgmt_cl01_cluster</f>
        <v>Value Missing</v>
      </c>
      <c r="E369" s="191"/>
      <c r="F369" s="41"/>
      <c r="G369" s="41"/>
      <c r="H369" s="41"/>
      <c r="I369" s="41"/>
      <c r="J369" s="41"/>
      <c r="K369" s="41"/>
      <c r="L369" s="41"/>
      <c r="M369" s="41"/>
      <c r="N369" s="41"/>
      <c r="O369" s="41"/>
      <c r="P369" s="41"/>
      <c r="Q369" s="41"/>
      <c r="R369" s="41"/>
      <c r="S369" s="41"/>
      <c r="T369" s="41"/>
      <c r="U369" s="41"/>
      <c r="V369" s="41"/>
      <c r="W369" s="41"/>
      <c r="X369" s="41"/>
      <c r="Y369" s="41"/>
      <c r="Z369" s="41"/>
    </row>
    <row r="370" ht="19.5" customHeight="1">
      <c r="A370" s="41"/>
      <c r="B370" s="85" t="s">
        <v>596</v>
      </c>
      <c r="C370" s="110" t="str">
        <f>sample_mgmt_cl01_vsan_datastore</f>
        <v>lax-m01-cl01-ds-nfs01</v>
      </c>
      <c r="D370" s="18" t="str">
        <f>mgmt_cl01_vsan_datastore</f>
        <v>Value Missing</v>
      </c>
      <c r="E370" s="191"/>
      <c r="F370" s="41"/>
      <c r="G370" s="41"/>
      <c r="H370" s="41"/>
      <c r="I370" s="41"/>
      <c r="J370" s="41"/>
      <c r="K370" s="41"/>
      <c r="L370" s="41"/>
      <c r="M370" s="41"/>
      <c r="N370" s="41"/>
      <c r="O370" s="41"/>
      <c r="P370" s="41"/>
      <c r="Q370" s="41"/>
      <c r="R370" s="41"/>
      <c r="S370" s="41"/>
      <c r="T370" s="41"/>
      <c r="U370" s="41"/>
      <c r="V370" s="41"/>
      <c r="W370" s="41"/>
      <c r="X370" s="41"/>
      <c r="Y370" s="41"/>
      <c r="Z370" s="41"/>
    </row>
    <row r="371" ht="19.5" customHeight="1">
      <c r="A371" s="41"/>
      <c r="B371" s="84" t="s">
        <v>3257</v>
      </c>
      <c r="C371" s="110" t="str">
        <f>sample_mgmt_cl01_az1_mgmt_pg</f>
        <v>lax-m01-cl01-vds01-pg-mgmt</v>
      </c>
      <c r="D371" s="18" t="str">
        <f>mgmt_cl01_az1_mgmt_pg</f>
        <v>Value Missing</v>
      </c>
      <c r="E371" s="191"/>
      <c r="F371" s="41"/>
      <c r="G371" s="41"/>
      <c r="H371" s="41"/>
      <c r="I371" s="41"/>
      <c r="J371" s="41"/>
      <c r="K371" s="41"/>
      <c r="L371" s="41"/>
      <c r="M371" s="41"/>
      <c r="N371" s="41"/>
      <c r="O371" s="41"/>
      <c r="P371" s="41"/>
      <c r="Q371" s="41"/>
      <c r="R371" s="41"/>
      <c r="S371" s="41"/>
      <c r="T371" s="41"/>
      <c r="U371" s="41"/>
      <c r="V371" s="41"/>
      <c r="W371" s="41"/>
      <c r="X371" s="41"/>
      <c r="Y371" s="41"/>
      <c r="Z371" s="41"/>
    </row>
    <row r="372" ht="19.5" customHeight="1">
      <c r="A372" s="41"/>
      <c r="B372" s="84" t="s">
        <v>3332</v>
      </c>
      <c r="C372" s="110" t="str">
        <f>sample_wld_srm_root_password</f>
        <v>VMw@re1!</v>
      </c>
      <c r="D372" s="18" t="str">
        <f>wld_srm_root_password</f>
        <v>Value Missing</v>
      </c>
      <c r="E372" s="19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85" t="s">
        <v>3333</v>
      </c>
      <c r="C373" s="110" t="str">
        <f>sample_wld_srm_admin_password</f>
        <v>VMw@re1!</v>
      </c>
      <c r="D373" s="18" t="str">
        <f>wld_srm_admin_password</f>
        <v>Value Missing</v>
      </c>
      <c r="E373" s="191"/>
      <c r="F373" s="41"/>
      <c r="G373" s="41"/>
      <c r="H373" s="41"/>
      <c r="I373" s="41"/>
      <c r="J373" s="41"/>
      <c r="K373" s="41"/>
      <c r="L373" s="41"/>
      <c r="M373" s="41"/>
      <c r="N373" s="41"/>
      <c r="O373" s="41"/>
      <c r="P373" s="41"/>
      <c r="Q373" s="41"/>
      <c r="R373" s="41"/>
      <c r="S373" s="41"/>
      <c r="T373" s="41"/>
      <c r="U373" s="41"/>
      <c r="V373" s="41"/>
      <c r="W373" s="41"/>
      <c r="X373" s="41"/>
      <c r="Y373" s="41"/>
      <c r="Z373" s="41"/>
    </row>
    <row r="374" ht="33.75" customHeight="1">
      <c r="A374" s="41"/>
      <c r="B374" s="85" t="s">
        <v>757</v>
      </c>
      <c r="C374" s="111" t="str">
        <f>sample_region_ntp1_server</f>
        <v>ntp0.lax.rainpole.io</v>
      </c>
      <c r="D374" s="18" t="str">
        <f>region_ntp1_server</f>
        <v>Value Missing</v>
      </c>
      <c r="E374" s="19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84" t="s">
        <v>760</v>
      </c>
      <c r="C375" s="111" t="str">
        <f>CONCATENATE(sample_wld_srm_hostname,".",sample_child_dns_zone)</f>
        <v>lax-w01-srm01.lax.rainpole.io</v>
      </c>
      <c r="D375" s="18" t="str">
        <f>wld_srm_fqdn</f>
        <v>Value Missing.Value Missing</v>
      </c>
      <c r="E375" s="191"/>
      <c r="F375" s="41"/>
      <c r="G375" s="41"/>
      <c r="H375" s="41"/>
      <c r="I375" s="41"/>
      <c r="J375" s="41"/>
      <c r="K375" s="41"/>
      <c r="L375" s="41"/>
      <c r="M375" s="41"/>
      <c r="N375" s="41"/>
      <c r="O375" s="41"/>
      <c r="P375" s="41"/>
      <c r="Q375" s="41"/>
      <c r="R375" s="41"/>
      <c r="S375" s="41"/>
      <c r="T375" s="41"/>
      <c r="U375" s="41"/>
      <c r="V375" s="41"/>
      <c r="W375" s="41"/>
      <c r="X375" s="41"/>
      <c r="Y375" s="41"/>
      <c r="Z375" s="41"/>
    </row>
    <row r="376" ht="33.75" customHeight="1">
      <c r="A376" s="41"/>
      <c r="B376" s="85" t="s">
        <v>3334</v>
      </c>
      <c r="C376" s="110" t="str">
        <f>sample_wld_srm_database_password</f>
        <v>VMw@re1!</v>
      </c>
      <c r="D376" s="18" t="str">
        <f>wld_srm_database_password</f>
        <v>Value Missing</v>
      </c>
      <c r="E376" s="191"/>
      <c r="F376" s="41"/>
      <c r="G376" s="41"/>
      <c r="H376" s="41"/>
      <c r="I376" s="41"/>
      <c r="J376" s="41"/>
      <c r="K376" s="41"/>
      <c r="L376" s="41"/>
      <c r="M376" s="41"/>
      <c r="N376" s="41"/>
      <c r="O376" s="41"/>
      <c r="P376" s="41"/>
      <c r="Q376" s="41"/>
      <c r="R376" s="41"/>
      <c r="S376" s="41"/>
      <c r="T376" s="41"/>
      <c r="U376" s="41"/>
      <c r="V376" s="41"/>
      <c r="W376" s="41"/>
      <c r="X376" s="41"/>
      <c r="Y376" s="41"/>
      <c r="Z376" s="41"/>
    </row>
    <row r="377" ht="19.5" customHeight="1">
      <c r="A377" s="41"/>
      <c r="B377" s="84" t="s">
        <v>719</v>
      </c>
      <c r="C377" s="110" t="str">
        <f>sample_mgmt_az1_mgmt_vm_gateway_ip</f>
        <v>10.21.10.1</v>
      </c>
      <c r="D377" s="18" t="str">
        <f>mgmt_az1_mgmt_vm_gateway_ip</f>
        <v>Value Missing</v>
      </c>
      <c r="E377" s="191"/>
      <c r="F377" s="41"/>
      <c r="G377" s="41"/>
      <c r="H377" s="41"/>
      <c r="I377" s="41"/>
      <c r="J377" s="41"/>
      <c r="K377" s="41"/>
      <c r="L377" s="41"/>
      <c r="M377" s="41"/>
      <c r="N377" s="41"/>
      <c r="O377" s="41"/>
      <c r="P377" s="41"/>
      <c r="Q377" s="41"/>
      <c r="R377" s="41"/>
      <c r="S377" s="41"/>
      <c r="T377" s="41"/>
      <c r="U377" s="41"/>
      <c r="V377" s="41"/>
      <c r="W377" s="41"/>
      <c r="X377" s="41"/>
      <c r="Y377" s="41"/>
      <c r="Z377" s="41"/>
    </row>
    <row r="378" ht="19.5" customHeight="1">
      <c r="A378" s="41"/>
      <c r="B378" s="85" t="s">
        <v>356</v>
      </c>
      <c r="C378" s="111" t="str">
        <f>sample_child_dns_zone</f>
        <v>lax.rainpole.io</v>
      </c>
      <c r="D378" s="18" t="str">
        <f>child_dns_zone</f>
        <v>Value Missing</v>
      </c>
      <c r="E378" s="191"/>
      <c r="F378" s="41"/>
      <c r="G378" s="41"/>
      <c r="H378" s="41"/>
      <c r="I378" s="41"/>
      <c r="J378" s="41"/>
      <c r="K378" s="41"/>
      <c r="L378" s="41"/>
      <c r="M378" s="41"/>
      <c r="N378" s="41"/>
      <c r="O378" s="41"/>
      <c r="P378" s="41"/>
      <c r="Q378" s="41"/>
      <c r="R378" s="41"/>
      <c r="S378" s="41"/>
      <c r="T378" s="41"/>
      <c r="U378" s="41"/>
      <c r="V378" s="41"/>
      <c r="W378" s="41"/>
      <c r="X378" s="41"/>
      <c r="Y378" s="41"/>
      <c r="Z378" s="41"/>
    </row>
    <row r="379" ht="19.5" customHeight="1">
      <c r="A379" s="41"/>
      <c r="B379" s="85" t="s">
        <v>3260</v>
      </c>
      <c r="C379" s="111" t="str">
        <f>sample_child_dns_zone</f>
        <v>lax.rainpole.io</v>
      </c>
      <c r="D379" s="18" t="str">
        <f>child_dns_zone</f>
        <v>Value Missing</v>
      </c>
      <c r="E379" s="19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85" t="s">
        <v>3261</v>
      </c>
      <c r="C380" s="110" t="str">
        <f>CONCATENATE(sample_region_dns1_ip,",",sample_region_dns2_ip)</f>
        <v>10.21.10.4,10.21.10.5</v>
      </c>
      <c r="D380" s="18" t="str">
        <f>CONCATENATE(region_dns1_ip,",",region_dns2_ip)</f>
        <v>Value Missing,Value Missing</v>
      </c>
      <c r="E380" s="191"/>
      <c r="F380" s="41"/>
      <c r="G380" s="41"/>
      <c r="H380" s="41"/>
      <c r="I380" s="41"/>
      <c r="J380" s="41"/>
      <c r="K380" s="41"/>
      <c r="L380" s="41"/>
      <c r="M380" s="41"/>
      <c r="N380" s="41"/>
      <c r="O380" s="41"/>
      <c r="P380" s="41"/>
      <c r="Q380" s="41"/>
      <c r="R380" s="41"/>
      <c r="S380" s="41"/>
      <c r="T380" s="41"/>
      <c r="U380" s="41"/>
      <c r="V380" s="41"/>
      <c r="W380" s="41"/>
      <c r="X380" s="41"/>
      <c r="Y380" s="41"/>
      <c r="Z380" s="41"/>
    </row>
    <row r="381" ht="33.75" customHeight="1">
      <c r="A381" s="41"/>
      <c r="B381" s="85" t="s">
        <v>3262</v>
      </c>
      <c r="C381" s="110" t="str">
        <f>sample_wld_srm_ip</f>
        <v>10.21.10.127</v>
      </c>
      <c r="D381" s="18" t="str">
        <f>wld_srm_ip</f>
        <v>Value Missing</v>
      </c>
      <c r="E381" s="191"/>
      <c r="F381" s="41"/>
      <c r="G381" s="41"/>
      <c r="H381" s="41"/>
      <c r="I381" s="41"/>
      <c r="J381" s="41"/>
      <c r="K381" s="41"/>
      <c r="L381" s="41"/>
      <c r="M381" s="41"/>
      <c r="N381" s="41"/>
      <c r="O381" s="41"/>
      <c r="P381" s="41"/>
      <c r="Q381" s="41"/>
      <c r="R381" s="41"/>
      <c r="S381" s="41"/>
      <c r="T381" s="41"/>
      <c r="U381" s="41"/>
      <c r="V381" s="41"/>
      <c r="W381" s="41"/>
      <c r="X381" s="41"/>
      <c r="Y381" s="41"/>
      <c r="Z381" s="41"/>
    </row>
    <row r="382" ht="19.5" customHeight="1">
      <c r="A382" s="41"/>
      <c r="B382" s="85" t="s">
        <v>3263</v>
      </c>
      <c r="C382" s="110">
        <f>INT(RIGHT(sample_mgmt_az1_mgmt_cidr,LEN(sample_mgmt_az1_mgmt_cidr)-FIND("/",sample_mgmt_az1_mgmt_cidr)))</f>
        <v>24</v>
      </c>
      <c r="D382" s="18" t="str">
        <f>IF(mgmt_az1_mgmt_cidr="Value Missing","Value Missing",INT(RIGHT(mgmt_az1_mgmt_cidr,LEN(mgmt_az1_mgmt_cidr)-FIND("/",mgmt_az1_mgmt_cidr))))</f>
        <v>Value Missing</v>
      </c>
      <c r="E382" s="191"/>
      <c r="F382" s="41"/>
      <c r="G382" s="41"/>
      <c r="H382" s="41"/>
      <c r="I382" s="41"/>
      <c r="J382" s="41"/>
      <c r="K382" s="41"/>
      <c r="L382" s="41"/>
      <c r="M382" s="41"/>
      <c r="N382" s="41"/>
      <c r="O382" s="41"/>
      <c r="P382" s="41"/>
      <c r="Q382" s="41"/>
      <c r="R382" s="41"/>
      <c r="S382" s="41"/>
      <c r="T382" s="41"/>
      <c r="U382" s="41"/>
      <c r="V382" s="41"/>
      <c r="W382" s="41"/>
      <c r="X382" s="41"/>
      <c r="Y382" s="41"/>
      <c r="Z382" s="41"/>
    </row>
    <row r="383" ht="19.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9.5" customHeight="1">
      <c r="A384" s="41"/>
      <c r="B384" s="197" t="s">
        <v>3335</v>
      </c>
      <c r="C384" s="13"/>
      <c r="D384" s="13"/>
      <c r="E384" s="14"/>
      <c r="F384" s="41"/>
      <c r="G384" s="41"/>
      <c r="H384" s="41"/>
      <c r="I384" s="41"/>
      <c r="J384" s="41"/>
      <c r="K384" s="41"/>
      <c r="L384" s="41"/>
      <c r="M384" s="41"/>
      <c r="N384" s="41"/>
      <c r="O384" s="41"/>
      <c r="P384" s="41"/>
      <c r="Q384" s="41"/>
      <c r="R384" s="41"/>
      <c r="S384" s="41"/>
      <c r="T384" s="41"/>
      <c r="U384" s="41"/>
      <c r="V384" s="41"/>
      <c r="W384" s="41"/>
      <c r="X384" s="41"/>
      <c r="Y384" s="41"/>
      <c r="Z384" s="41"/>
    </row>
    <row r="385" ht="19.5" customHeight="1">
      <c r="A385" s="41"/>
      <c r="B385" s="108" t="s">
        <v>256</v>
      </c>
      <c r="C385" s="108" t="s">
        <v>722</v>
      </c>
      <c r="D385" s="108" t="s">
        <v>274</v>
      </c>
      <c r="E385" s="108" t="s">
        <v>5</v>
      </c>
      <c r="F385" s="41"/>
      <c r="G385" s="41"/>
      <c r="H385" s="41"/>
      <c r="I385" s="41"/>
      <c r="J385" s="41"/>
      <c r="K385" s="41"/>
      <c r="L385" s="41"/>
      <c r="M385" s="41"/>
      <c r="N385" s="41"/>
      <c r="O385" s="41"/>
      <c r="P385" s="41"/>
      <c r="Q385" s="41"/>
      <c r="R385" s="41"/>
      <c r="S385" s="41"/>
      <c r="T385" s="41"/>
      <c r="U385" s="41"/>
      <c r="V385" s="41"/>
      <c r="W385" s="41"/>
      <c r="X385" s="41"/>
      <c r="Y385" s="41"/>
      <c r="Z385" s="41"/>
    </row>
    <row r="386" ht="19.5" customHeight="1">
      <c r="A386" s="41"/>
      <c r="B386" s="84" t="s">
        <v>3336</v>
      </c>
      <c r="C386" s="111" t="str">
        <f>CONCATENATE(sample_wld_srm_hostname,".",sample_child_dns_zone)</f>
        <v>lax-w01-srm01.lax.rainpole.io</v>
      </c>
      <c r="D386" s="18" t="str">
        <f>wld_srm_fqdn</f>
        <v>Value Missing.Value Missing</v>
      </c>
      <c r="E386" s="191"/>
      <c r="F386" s="41"/>
      <c r="G386" s="41"/>
      <c r="H386" s="41"/>
      <c r="I386" s="41"/>
      <c r="J386" s="41"/>
      <c r="K386" s="41"/>
      <c r="L386" s="41"/>
      <c r="M386" s="41"/>
      <c r="N386" s="41"/>
      <c r="O386" s="41"/>
      <c r="P386" s="41"/>
      <c r="Q386" s="41"/>
      <c r="R386" s="41"/>
      <c r="S386" s="41"/>
      <c r="T386" s="41"/>
      <c r="U386" s="41"/>
      <c r="V386" s="41"/>
      <c r="W386" s="41"/>
      <c r="X386" s="41"/>
      <c r="Y386" s="41"/>
      <c r="Z386" s="41"/>
    </row>
    <row r="387" ht="19.5" customHeight="1">
      <c r="A387" s="41"/>
      <c r="B387" s="84" t="s">
        <v>3337</v>
      </c>
      <c r="C387" s="110" t="str">
        <f>sample_wld_srm_p12_password</f>
        <v>VMw@re1!</v>
      </c>
      <c r="D387" s="18" t="str">
        <f>wld_srm_p12_password</f>
        <v>Value Missing</v>
      </c>
      <c r="E387" s="191"/>
      <c r="F387" s="41"/>
      <c r="G387" s="41"/>
      <c r="H387" s="41"/>
      <c r="I387" s="41"/>
      <c r="J387" s="41"/>
      <c r="K387" s="41"/>
      <c r="L387" s="41"/>
      <c r="M387" s="41"/>
      <c r="N387" s="41"/>
      <c r="O387" s="41"/>
      <c r="P387" s="41"/>
      <c r="Q387" s="41"/>
      <c r="R387" s="41"/>
      <c r="S387" s="41"/>
      <c r="T387" s="41"/>
      <c r="U387" s="41"/>
      <c r="V387" s="41"/>
      <c r="W387" s="41"/>
      <c r="X387" s="41"/>
      <c r="Y387" s="41"/>
      <c r="Z387" s="41"/>
    </row>
    <row r="388" ht="19.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9.5" customHeight="1">
      <c r="A389" s="41"/>
      <c r="B389" s="197" t="s">
        <v>3338</v>
      </c>
      <c r="C389" s="13"/>
      <c r="D389" s="13"/>
      <c r="E389" s="14"/>
      <c r="F389" s="41"/>
      <c r="G389" s="41"/>
      <c r="H389" s="41"/>
      <c r="I389" s="41"/>
      <c r="J389" s="41"/>
      <c r="K389" s="41"/>
      <c r="L389" s="41"/>
      <c r="M389" s="41"/>
      <c r="N389" s="41"/>
      <c r="O389" s="41"/>
      <c r="P389" s="41"/>
      <c r="Q389" s="41"/>
      <c r="R389" s="41"/>
      <c r="S389" s="41"/>
      <c r="T389" s="41"/>
      <c r="U389" s="41"/>
      <c r="V389" s="41"/>
      <c r="W389" s="41"/>
      <c r="X389" s="41"/>
      <c r="Y389" s="41"/>
      <c r="Z389" s="41"/>
    </row>
    <row r="390" ht="19.5" customHeight="1">
      <c r="A390" s="41"/>
      <c r="B390" s="108" t="s">
        <v>256</v>
      </c>
      <c r="C390" s="108" t="s">
        <v>722</v>
      </c>
      <c r="D390" s="108" t="s">
        <v>274</v>
      </c>
      <c r="E390" s="108" t="s">
        <v>5</v>
      </c>
      <c r="F390" s="41"/>
      <c r="G390" s="41"/>
      <c r="H390" s="41"/>
      <c r="I390" s="41"/>
      <c r="J390" s="41"/>
      <c r="K390" s="41"/>
      <c r="L390" s="41"/>
      <c r="M390" s="41"/>
      <c r="N390" s="41"/>
      <c r="O390" s="41"/>
      <c r="P390" s="41"/>
      <c r="Q390" s="41"/>
      <c r="R390" s="41"/>
      <c r="S390" s="41"/>
      <c r="T390" s="41"/>
      <c r="U390" s="41"/>
      <c r="V390" s="41"/>
      <c r="W390" s="41"/>
      <c r="X390" s="41"/>
      <c r="Y390" s="41"/>
      <c r="Z390" s="41"/>
    </row>
    <row r="391" ht="19.5" customHeight="1">
      <c r="A391" s="41"/>
      <c r="B391" s="84" t="s">
        <v>3336</v>
      </c>
      <c r="C391" s="111" t="str">
        <f>CONCATENATE(sample_wld_srm_hostname,".",sample_child_dns_zone)</f>
        <v>lax-w01-srm01.lax.rainpole.io</v>
      </c>
      <c r="D391" s="18" t="str">
        <f>wld_srm_fqdn</f>
        <v>Value Missing.Value Missing</v>
      </c>
      <c r="E391" s="191"/>
      <c r="F391" s="41"/>
      <c r="G391" s="41"/>
      <c r="H391" s="41"/>
      <c r="I391" s="41"/>
      <c r="J391" s="41"/>
      <c r="K391" s="41"/>
      <c r="L391" s="41"/>
      <c r="M391" s="41"/>
      <c r="N391" s="41"/>
      <c r="O391" s="41"/>
      <c r="P391" s="41"/>
      <c r="Q391" s="41"/>
      <c r="R391" s="41"/>
      <c r="S391" s="41"/>
      <c r="T391" s="41"/>
      <c r="U391" s="41"/>
      <c r="V391" s="41"/>
      <c r="W391" s="41"/>
      <c r="X391" s="41"/>
      <c r="Y391" s="41"/>
      <c r="Z391" s="41"/>
    </row>
    <row r="392" ht="19.5" customHeight="1">
      <c r="A392" s="41"/>
      <c r="B392" s="85" t="s">
        <v>3268</v>
      </c>
      <c r="C392" s="111" t="str">
        <f>sample_wld_vc_fqdn</f>
        <v>lax-w01-vc01.lax.rainpole.io</v>
      </c>
      <c r="D392" s="18" t="str">
        <f>wld_vc_fqdn</f>
        <v>Value Missing</v>
      </c>
      <c r="E392" s="191"/>
      <c r="F392" s="41"/>
      <c r="G392" s="41"/>
      <c r="H392" s="41"/>
      <c r="I392" s="41"/>
      <c r="J392" s="41"/>
      <c r="K392" s="41"/>
      <c r="L392" s="41"/>
      <c r="M392" s="41"/>
      <c r="N392" s="41"/>
      <c r="O392" s="41"/>
      <c r="P392" s="41"/>
      <c r="Q392" s="41"/>
      <c r="R392" s="41"/>
      <c r="S392" s="41"/>
      <c r="T392" s="41"/>
      <c r="U392" s="41"/>
      <c r="V392" s="41"/>
      <c r="W392" s="41"/>
      <c r="X392" s="41"/>
      <c r="Y392" s="41"/>
      <c r="Z392" s="41"/>
    </row>
    <row r="393" ht="19.5" customHeight="1">
      <c r="A393" s="41"/>
      <c r="B393" s="85" t="s">
        <v>575</v>
      </c>
      <c r="C393" s="110" t="s">
        <v>359</v>
      </c>
      <c r="D393" s="18" t="str">
        <f>C393</f>
        <v>administrator@vsphere.local</v>
      </c>
      <c r="E393" s="191"/>
      <c r="F393" s="41"/>
      <c r="G393" s="41"/>
      <c r="H393" s="41"/>
      <c r="I393" s="41"/>
      <c r="J393" s="41"/>
      <c r="K393" s="41"/>
      <c r="L393" s="41"/>
      <c r="M393" s="41"/>
      <c r="N393" s="41"/>
      <c r="O393" s="41"/>
      <c r="P393" s="41"/>
      <c r="Q393" s="41"/>
      <c r="R393" s="41"/>
      <c r="S393" s="41"/>
      <c r="T393" s="41"/>
      <c r="U393" s="41"/>
      <c r="V393" s="41"/>
      <c r="W393" s="41"/>
      <c r="X393" s="41"/>
      <c r="Y393" s="41"/>
      <c r="Z393" s="41"/>
    </row>
    <row r="394" ht="19.5" customHeight="1">
      <c r="A394" s="41"/>
      <c r="B394" s="85" t="s">
        <v>296</v>
      </c>
      <c r="C394" s="110" t="str">
        <f>sample_administrator_vsphere_local_password</f>
        <v>VMw@re1!VMw@re1!</v>
      </c>
      <c r="D394" s="18" t="str">
        <f>administrator_vsphere_local_password</f>
        <v>Value Missing</v>
      </c>
      <c r="E394" s="191"/>
      <c r="F394" s="41"/>
      <c r="G394" s="41"/>
      <c r="H394" s="41"/>
      <c r="I394" s="41"/>
      <c r="J394" s="41"/>
      <c r="K394" s="41"/>
      <c r="L394" s="41"/>
      <c r="M394" s="41"/>
      <c r="N394" s="41"/>
      <c r="O394" s="41"/>
      <c r="P394" s="41"/>
      <c r="Q394" s="41"/>
      <c r="R394" s="41"/>
      <c r="S394" s="41"/>
      <c r="T394" s="41"/>
      <c r="U394" s="41"/>
      <c r="V394" s="41"/>
      <c r="W394" s="41"/>
      <c r="X394" s="41"/>
      <c r="Y394" s="41"/>
      <c r="Z394" s="41"/>
    </row>
    <row r="395" ht="19.5" customHeight="1">
      <c r="A395" s="41"/>
      <c r="B395" s="85" t="s">
        <v>2081</v>
      </c>
      <c r="C395" s="111" t="str">
        <f>sample_wld_vc_fqdn</f>
        <v>lax-w01-vc01.lax.rainpole.io</v>
      </c>
      <c r="D395" s="18" t="str">
        <f>wld_vc_fqdn</f>
        <v>Value Missing</v>
      </c>
      <c r="E395" s="191"/>
      <c r="F395" s="41"/>
      <c r="G395" s="41"/>
      <c r="H395" s="41"/>
      <c r="I395" s="41"/>
      <c r="J395" s="41"/>
      <c r="K395" s="41"/>
      <c r="L395" s="41"/>
      <c r="M395" s="41"/>
      <c r="N395" s="41"/>
      <c r="O395" s="41"/>
      <c r="P395" s="41"/>
      <c r="Q395" s="41"/>
      <c r="R395" s="41"/>
      <c r="S395" s="41"/>
      <c r="T395" s="41"/>
      <c r="U395" s="41"/>
      <c r="V395" s="41"/>
      <c r="W395" s="41"/>
      <c r="X395" s="41"/>
      <c r="Y395" s="41"/>
      <c r="Z395" s="41"/>
    </row>
    <row r="396" ht="19.5" customHeight="1">
      <c r="A396" s="41"/>
      <c r="B396" s="85" t="s">
        <v>3143</v>
      </c>
      <c r="C396" s="110" t="str">
        <f>sample_wld_srm_site_name</f>
        <v>LAX-W01</v>
      </c>
      <c r="D396" s="18" t="str">
        <f>wld_srm_site_name</f>
        <v>Value Missing</v>
      </c>
      <c r="E396" s="191"/>
      <c r="F396" s="41"/>
      <c r="G396" s="41"/>
      <c r="H396" s="41"/>
      <c r="I396" s="41"/>
      <c r="J396" s="41"/>
      <c r="K396" s="41"/>
      <c r="L396" s="41"/>
      <c r="M396" s="41"/>
      <c r="N396" s="41"/>
      <c r="O396" s="41"/>
      <c r="P396" s="41"/>
      <c r="Q396" s="41"/>
      <c r="R396" s="41"/>
      <c r="S396" s="41"/>
      <c r="T396" s="41"/>
      <c r="U396" s="41"/>
      <c r="V396" s="41"/>
      <c r="W396" s="41"/>
      <c r="X396" s="41"/>
      <c r="Y396" s="41"/>
      <c r="Z396" s="41"/>
    </row>
    <row r="397" ht="19.5" customHeight="1">
      <c r="A397" s="41"/>
      <c r="B397" s="84" t="s">
        <v>3269</v>
      </c>
      <c r="C397" s="110" t="str">
        <f>sample_wld_srm_admin_email</f>
        <v>srm-administrator@rainpole.io</v>
      </c>
      <c r="D397" s="18" t="str">
        <f>wld_srm_admin_email</f>
        <v>Value Missing</v>
      </c>
      <c r="E397" s="191"/>
      <c r="F397" s="41"/>
      <c r="G397" s="41"/>
      <c r="H397" s="41"/>
      <c r="I397" s="41"/>
      <c r="J397" s="41"/>
      <c r="K397" s="41"/>
      <c r="L397" s="41"/>
      <c r="M397" s="41"/>
      <c r="N397" s="41"/>
      <c r="O397" s="41"/>
      <c r="P397" s="41"/>
      <c r="Q397" s="41"/>
      <c r="R397" s="41"/>
      <c r="S397" s="41"/>
      <c r="T397" s="41"/>
      <c r="U397" s="41"/>
      <c r="V397" s="41"/>
      <c r="W397" s="41"/>
      <c r="X397" s="41"/>
      <c r="Y397" s="41"/>
      <c r="Z397" s="41"/>
    </row>
    <row r="398" ht="19.5" customHeight="1">
      <c r="A398" s="41"/>
      <c r="B398" s="84" t="s">
        <v>3270</v>
      </c>
      <c r="C398" s="111" t="str">
        <f>CONCATENATE(sample_wld_srm_hostname,".",sample_child_dns_zone)</f>
        <v>lax-w01-srm01.lax.rainpole.io</v>
      </c>
      <c r="D398" s="18" t="str">
        <f>wld_srm_fqdn</f>
        <v>Value Missing.Value Missing</v>
      </c>
      <c r="E398" s="191"/>
      <c r="F398" s="41"/>
      <c r="G398" s="41"/>
      <c r="H398" s="41"/>
      <c r="I398" s="41"/>
      <c r="J398" s="41"/>
      <c r="K398" s="41"/>
      <c r="L398" s="41"/>
      <c r="M398" s="41"/>
      <c r="N398" s="41"/>
      <c r="O398" s="41"/>
      <c r="P398" s="41"/>
      <c r="Q398" s="41"/>
      <c r="R398" s="41"/>
      <c r="S398" s="41"/>
      <c r="T398" s="41"/>
      <c r="U398" s="41"/>
      <c r="V398" s="41"/>
      <c r="W398" s="41"/>
      <c r="X398" s="41"/>
      <c r="Y398" s="41"/>
      <c r="Z398" s="41"/>
    </row>
    <row r="399" ht="19.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9.5" customHeight="1">
      <c r="A400" s="41"/>
      <c r="B400" s="197" t="s">
        <v>3339</v>
      </c>
      <c r="C400" s="13"/>
      <c r="D400" s="13"/>
      <c r="E400" s="14"/>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108" t="s">
        <v>256</v>
      </c>
      <c r="C401" s="108" t="s">
        <v>722</v>
      </c>
      <c r="D401" s="108" t="s">
        <v>274</v>
      </c>
      <c r="E401" s="108" t="s">
        <v>5</v>
      </c>
      <c r="F401" s="41"/>
      <c r="G401" s="41"/>
      <c r="H401" s="41"/>
      <c r="I401" s="41"/>
      <c r="J401" s="41"/>
      <c r="K401" s="41"/>
      <c r="L401" s="41"/>
      <c r="M401" s="41"/>
      <c r="N401" s="41"/>
      <c r="O401" s="41"/>
      <c r="P401" s="41"/>
      <c r="Q401" s="41"/>
      <c r="R401" s="41"/>
      <c r="S401" s="41"/>
      <c r="T401" s="41"/>
      <c r="U401" s="41"/>
      <c r="V401" s="41"/>
      <c r="W401" s="41"/>
      <c r="X401" s="41"/>
      <c r="Y401" s="41"/>
      <c r="Z401" s="41"/>
    </row>
    <row r="402" ht="33.75" customHeight="1">
      <c r="A402" s="41"/>
      <c r="B402" s="85" t="s">
        <v>826</v>
      </c>
      <c r="C402" s="111" t="str">
        <f>sample_wld_vc_fqdn</f>
        <v>lax-w01-vc01.lax.rainpole.io</v>
      </c>
      <c r="D402" s="18" t="str">
        <f>wld_vc_fqdn</f>
        <v>Value Missing</v>
      </c>
      <c r="E402" s="191"/>
      <c r="F402" s="41"/>
      <c r="G402" s="41"/>
      <c r="H402" s="41"/>
      <c r="I402" s="41"/>
      <c r="J402" s="41"/>
      <c r="K402" s="41"/>
      <c r="L402" s="41"/>
      <c r="M402" s="41"/>
      <c r="N402" s="41"/>
      <c r="O402" s="41"/>
      <c r="P402" s="41"/>
      <c r="Q402" s="41"/>
      <c r="R402" s="41"/>
      <c r="S402" s="41"/>
      <c r="T402" s="41"/>
      <c r="U402" s="41"/>
      <c r="V402" s="41"/>
      <c r="W402" s="41"/>
      <c r="X402" s="41"/>
      <c r="Y402" s="41"/>
      <c r="Z402" s="41"/>
    </row>
    <row r="403" ht="19.5" customHeight="1">
      <c r="A403" s="41"/>
      <c r="B403" s="84" t="s">
        <v>3340</v>
      </c>
      <c r="C403" s="110"/>
      <c r="D403" s="18"/>
      <c r="E403" s="191"/>
      <c r="F403" s="41"/>
      <c r="G403" s="41"/>
      <c r="H403" s="41"/>
      <c r="I403" s="41"/>
      <c r="J403" s="41"/>
      <c r="K403" s="41"/>
      <c r="L403" s="41"/>
      <c r="M403" s="41"/>
      <c r="N403" s="41"/>
      <c r="O403" s="41"/>
      <c r="P403" s="41"/>
      <c r="Q403" s="41"/>
      <c r="R403" s="41"/>
      <c r="S403" s="41"/>
      <c r="T403" s="41"/>
      <c r="U403" s="41"/>
      <c r="V403" s="41"/>
      <c r="W403" s="41"/>
      <c r="X403" s="41"/>
      <c r="Y403" s="41"/>
      <c r="Z403" s="41"/>
    </row>
    <row r="404" ht="19.5" customHeight="1">
      <c r="A404" s="41"/>
      <c r="B404" s="85" t="s">
        <v>3341</v>
      </c>
      <c r="C404" s="110" t="s">
        <v>2523</v>
      </c>
      <c r="D404" s="18" t="str">
        <f>C404</f>
        <v>Site Recovery Manager</v>
      </c>
      <c r="E404" s="191"/>
      <c r="F404" s="41"/>
      <c r="G404" s="41"/>
      <c r="H404" s="41"/>
      <c r="I404" s="41"/>
      <c r="J404" s="41"/>
      <c r="K404" s="41"/>
      <c r="L404" s="41"/>
      <c r="M404" s="41"/>
      <c r="N404" s="41"/>
      <c r="O404" s="41"/>
      <c r="P404" s="41"/>
      <c r="Q404" s="41"/>
      <c r="R404" s="41"/>
      <c r="S404" s="41"/>
      <c r="T404" s="41"/>
      <c r="U404" s="41"/>
      <c r="V404" s="41"/>
      <c r="W404" s="41"/>
      <c r="X404" s="41"/>
      <c r="Y404" s="41"/>
      <c r="Z404" s="41"/>
    </row>
    <row r="405" ht="19.5" customHeight="1">
      <c r="A405" s="41"/>
      <c r="B405" s="85" t="s">
        <v>3342</v>
      </c>
      <c r="C405" s="110" t="str">
        <f>sample_wld_srm_site_name</f>
        <v>LAX-W01</v>
      </c>
      <c r="D405" s="18" t="str">
        <f>wld_srm_site_name</f>
        <v>Value Missing</v>
      </c>
      <c r="E405" s="19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85" t="s">
        <v>3343</v>
      </c>
      <c r="C406" s="110"/>
      <c r="D406" s="18"/>
      <c r="E406" s="191"/>
      <c r="F406" s="41"/>
      <c r="G406" s="41"/>
      <c r="H406" s="41"/>
      <c r="I406" s="41"/>
      <c r="J406" s="41"/>
      <c r="K406" s="41"/>
      <c r="L406" s="41"/>
      <c r="M406" s="41"/>
      <c r="N406" s="41"/>
      <c r="O406" s="41"/>
      <c r="P406" s="41"/>
      <c r="Q406" s="41"/>
      <c r="R406" s="41"/>
      <c r="S406" s="41"/>
      <c r="T406" s="41"/>
      <c r="U406" s="41"/>
      <c r="V406" s="41"/>
      <c r="W406" s="41"/>
      <c r="X406" s="41"/>
      <c r="Y406" s="41"/>
      <c r="Z406" s="41"/>
    </row>
    <row r="407" ht="33.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9.5" customHeight="1">
      <c r="A408" s="41"/>
      <c r="B408" s="184" t="s">
        <v>3344</v>
      </c>
      <c r="C408" s="13"/>
      <c r="D408" s="13"/>
      <c r="E408" s="14"/>
      <c r="F408" s="41"/>
      <c r="G408" s="41"/>
      <c r="H408" s="41"/>
      <c r="I408" s="41"/>
      <c r="J408" s="41"/>
      <c r="K408" s="41"/>
      <c r="L408" s="41"/>
      <c r="M408" s="41"/>
      <c r="N408" s="41"/>
      <c r="O408" s="41"/>
      <c r="P408" s="41"/>
      <c r="Q408" s="41"/>
      <c r="R408" s="41"/>
      <c r="S408" s="41"/>
      <c r="T408" s="41"/>
      <c r="U408" s="41"/>
      <c r="V408" s="41"/>
      <c r="W408" s="41"/>
      <c r="X408" s="41"/>
      <c r="Y408" s="41"/>
      <c r="Z408" s="41"/>
    </row>
    <row r="409" ht="19.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9.5" customHeight="1">
      <c r="A410" s="41"/>
      <c r="B410" s="197" t="s">
        <v>3345</v>
      </c>
      <c r="C410" s="13"/>
      <c r="D410" s="13"/>
      <c r="E410" s="14"/>
      <c r="F410" s="41"/>
      <c r="G410" s="41"/>
      <c r="H410" s="41"/>
      <c r="I410" s="41"/>
      <c r="J410" s="41"/>
      <c r="K410" s="41"/>
      <c r="L410" s="41"/>
      <c r="M410" s="41"/>
      <c r="N410" s="41"/>
      <c r="O410" s="41"/>
      <c r="P410" s="41"/>
      <c r="Q410" s="41"/>
      <c r="R410" s="41"/>
      <c r="S410" s="41"/>
      <c r="T410" s="41"/>
      <c r="U410" s="41"/>
      <c r="V410" s="41"/>
      <c r="W410" s="41"/>
      <c r="X410" s="41"/>
      <c r="Y410" s="41"/>
      <c r="Z410" s="41"/>
    </row>
    <row r="411" ht="19.5" customHeight="1">
      <c r="A411" s="41"/>
      <c r="B411" s="108" t="s">
        <v>256</v>
      </c>
      <c r="C411" s="108" t="s">
        <v>722</v>
      </c>
      <c r="D411" s="108" t="s">
        <v>274</v>
      </c>
      <c r="E411" s="108" t="s">
        <v>5</v>
      </c>
      <c r="F411" s="41"/>
      <c r="G411" s="41"/>
      <c r="H411" s="41"/>
      <c r="I411" s="41"/>
      <c r="J411" s="41"/>
      <c r="K411" s="41"/>
      <c r="L411" s="41"/>
      <c r="M411" s="41"/>
      <c r="N411" s="41"/>
      <c r="O411" s="41"/>
      <c r="P411" s="41"/>
      <c r="Q411" s="41"/>
      <c r="R411" s="41"/>
      <c r="S411" s="41"/>
      <c r="T411" s="41"/>
      <c r="U411" s="41"/>
      <c r="V411" s="41"/>
      <c r="W411" s="41"/>
      <c r="X411" s="41"/>
      <c r="Y411" s="41"/>
      <c r="Z411" s="41"/>
    </row>
    <row r="412" ht="19.5" customHeight="1">
      <c r="A412" s="41"/>
      <c r="B412" s="85" t="s">
        <v>3162</v>
      </c>
      <c r="C412" s="111" t="str">
        <f>sample_wld_vc_fqdn</f>
        <v>lax-w01-vc01.lax.rainpole.io</v>
      </c>
      <c r="D412" s="18" t="str">
        <f>wld_vc_fqdn</f>
        <v>Value Missing</v>
      </c>
      <c r="E412" s="191"/>
      <c r="F412" s="41"/>
      <c r="G412" s="41"/>
      <c r="H412" s="41"/>
      <c r="I412" s="41"/>
      <c r="J412" s="41"/>
      <c r="K412" s="41"/>
      <c r="L412" s="41"/>
      <c r="M412" s="41"/>
      <c r="N412" s="41"/>
      <c r="O412" s="41"/>
      <c r="P412" s="41"/>
      <c r="Q412" s="41"/>
      <c r="R412" s="41"/>
      <c r="S412" s="41"/>
      <c r="T412" s="41"/>
      <c r="U412" s="41"/>
      <c r="V412" s="41"/>
      <c r="W412" s="41"/>
      <c r="X412" s="41"/>
      <c r="Y412" s="41"/>
      <c r="Z412" s="41"/>
    </row>
    <row r="413" ht="19.5" customHeight="1">
      <c r="A413" s="41"/>
      <c r="B413" s="85" t="s">
        <v>3346</v>
      </c>
      <c r="C413" s="111" t="str">
        <f>sample_wld_vc_fqdn</f>
        <v>lax-w01-vc01.lax.rainpole.io</v>
      </c>
      <c r="D413" s="18" t="str">
        <f>wld_vc_fqdn</f>
        <v>Value Missing</v>
      </c>
      <c r="E413" s="191"/>
      <c r="F413" s="41"/>
      <c r="G413" s="41"/>
      <c r="H413" s="41"/>
      <c r="I413" s="41"/>
      <c r="J413" s="41"/>
      <c r="K413" s="41"/>
      <c r="L413" s="41"/>
      <c r="M413" s="41"/>
      <c r="N413" s="41"/>
      <c r="O413" s="41"/>
      <c r="P413" s="41"/>
      <c r="Q413" s="41"/>
      <c r="R413" s="41"/>
      <c r="S413" s="41"/>
      <c r="T413" s="41"/>
      <c r="U413" s="41"/>
      <c r="V413" s="41"/>
      <c r="W413" s="41"/>
      <c r="X413" s="41"/>
      <c r="Y413" s="41"/>
      <c r="Z413" s="41"/>
    </row>
    <row r="414" ht="19.5" customHeight="1">
      <c r="A414" s="41"/>
      <c r="B414" s="85" t="s">
        <v>3347</v>
      </c>
      <c r="C414" s="110" t="s">
        <v>3348</v>
      </c>
      <c r="D414" s="18" t="str">
        <f>IF(wld_srm_sso_domain_membership="Value Missing","Value Missing",IF(wld_srm_sso_domain_membership="Same SSO Domain","Pair with a peer vCenter Server located in the same SSO domain","Pair with a peer vCenter Server located in a different SSO domain"))</f>
        <v>Value Missing</v>
      </c>
      <c r="E414" s="191"/>
      <c r="F414" s="41"/>
      <c r="G414" s="41"/>
      <c r="H414" s="41"/>
      <c r="I414" s="41"/>
      <c r="J414" s="41"/>
      <c r="K414" s="41"/>
      <c r="L414" s="41"/>
      <c r="M414" s="41"/>
      <c r="N414" s="41"/>
      <c r="O414" s="41"/>
      <c r="P414" s="41"/>
      <c r="Q414" s="41"/>
      <c r="R414" s="41"/>
      <c r="S414" s="41"/>
      <c r="T414" s="41"/>
      <c r="U414" s="41"/>
      <c r="V414" s="41"/>
      <c r="W414" s="41"/>
      <c r="X414" s="41"/>
      <c r="Y414" s="41"/>
      <c r="Z414" s="41"/>
    </row>
    <row r="415" ht="19.5" customHeight="1">
      <c r="A415" s="41"/>
      <c r="B415" s="85" t="s">
        <v>3268</v>
      </c>
      <c r="C415" s="111" t="str">
        <f>sample_wld_srm_recovery_vcenter_fqdn</f>
        <v>sfo-w01-vc01.sfo.rainpole.io</v>
      </c>
      <c r="D415" s="18" t="str">
        <f>wld_srm_recovery_vcenter_fqdn</f>
        <v>Value Missing</v>
      </c>
      <c r="E415" s="191"/>
      <c r="F415" s="41"/>
      <c r="G415" s="41"/>
      <c r="H415" s="41"/>
      <c r="I415" s="41"/>
      <c r="J415" s="41"/>
      <c r="K415" s="41"/>
      <c r="L415" s="41"/>
      <c r="M415" s="41"/>
      <c r="N415" s="41"/>
      <c r="O415" s="41"/>
      <c r="P415" s="41"/>
      <c r="Q415" s="41"/>
      <c r="R415" s="41"/>
      <c r="S415" s="41"/>
      <c r="T415" s="41"/>
      <c r="U415" s="41"/>
      <c r="V415" s="41"/>
      <c r="W415" s="41"/>
      <c r="X415" s="41"/>
      <c r="Y415" s="41"/>
      <c r="Z415" s="41"/>
    </row>
    <row r="416" ht="19.5" customHeight="1">
      <c r="A416" s="41"/>
      <c r="B416" s="85" t="s">
        <v>575</v>
      </c>
      <c r="C416" s="110" t="str">
        <f>sample_wld_srm_recovery_vcenter_username</f>
        <v>administrator@vsphere.local</v>
      </c>
      <c r="D416" s="18" t="str">
        <f>wld_srm_recovery_vcenter_username</f>
        <v>Value Missing</v>
      </c>
      <c r="E416" s="19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84" t="s">
        <v>296</v>
      </c>
      <c r="C417" s="110" t="str">
        <f>sample_wld_srm_recovery_vcenter_password</f>
        <v>VMw@re1!</v>
      </c>
      <c r="D417" s="18" t="str">
        <f>wld_srm_recovery_vcenter_password</f>
        <v>Value Missing</v>
      </c>
      <c r="E417" s="191"/>
      <c r="F417" s="41"/>
      <c r="G417" s="41"/>
      <c r="H417" s="41"/>
      <c r="I417" s="41"/>
      <c r="J417" s="41"/>
      <c r="K417" s="41"/>
      <c r="L417" s="41"/>
      <c r="M417" s="41"/>
      <c r="N417" s="41"/>
      <c r="O417" s="41"/>
      <c r="P417" s="41"/>
      <c r="Q417" s="41"/>
      <c r="R417" s="41"/>
      <c r="S417" s="41"/>
      <c r="T417" s="41"/>
      <c r="U417" s="41"/>
      <c r="V417" s="41"/>
      <c r="W417" s="41"/>
      <c r="X417" s="41"/>
      <c r="Y417" s="41"/>
      <c r="Z417" s="41"/>
    </row>
    <row r="418" ht="33.75" customHeight="1">
      <c r="A418" s="41"/>
      <c r="B418" s="84" t="s">
        <v>3349</v>
      </c>
      <c r="C418" s="111" t="str">
        <f>sample_wld_srm_recovery_vcenter_fqdn</f>
        <v>sfo-w01-vc01.sfo.rainpole.io</v>
      </c>
      <c r="D418" s="18" t="str">
        <f>wld_srm_recovery_vcenter_fqdn</f>
        <v>Value Missing</v>
      </c>
      <c r="E418" s="191"/>
      <c r="F418" s="41"/>
      <c r="G418" s="41"/>
      <c r="H418" s="41"/>
      <c r="I418" s="41"/>
      <c r="J418" s="41"/>
      <c r="K418" s="41"/>
      <c r="L418" s="41"/>
      <c r="M418" s="41"/>
      <c r="N418" s="41"/>
      <c r="O418" s="41"/>
      <c r="P418" s="41"/>
      <c r="Q418" s="41"/>
      <c r="R418" s="41"/>
      <c r="S418" s="41"/>
      <c r="T418" s="41"/>
      <c r="U418" s="41"/>
      <c r="V418" s="41"/>
      <c r="W418" s="41"/>
      <c r="X418" s="41"/>
      <c r="Y418" s="41"/>
      <c r="Z418" s="41"/>
    </row>
    <row r="419" ht="19.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9.5" customHeight="1">
      <c r="B507" s="102" t="str">
        <f>IF(OR(cluster_secondary_storage_chosen="Secondary NFS Storage Network",wld_secondary_storage_chosen="Secondary NFS Storage Network"),"NFS Storage Network","vSAN Storage Client")</f>
        <v>vSAN Storage Client</v>
      </c>
      <c r="C507" s="13"/>
      <c r="D507" s="13"/>
      <c r="E507" s="14"/>
    </row>
    <row r="508" ht="19.5" customHeight="1">
      <c r="B508" s="84" t="s">
        <v>401</v>
      </c>
      <c r="C508" s="156" t="str">
        <f>IF(cluster_wld_domain_chosen&lt;&gt;"MGMT Workload Domain",CONCATENATE(prefix_wld_az1_rack_vlan,"26"),CONCATENATE(prefix_mgmt_az1_vlan,"26"))</f>
        <v>2326</v>
      </c>
      <c r="D508" s="18"/>
      <c r="E508" s="191"/>
    </row>
    <row r="509" ht="19.5" customHeight="1">
      <c r="B509" s="84" t="s">
        <v>404</v>
      </c>
      <c r="C509" s="156">
        <v>9000.0</v>
      </c>
      <c r="D509" s="18"/>
      <c r="E509" s="201"/>
    </row>
    <row r="510" ht="19.5" customHeight="1">
      <c r="B510" s="84" t="s">
        <v>403</v>
      </c>
      <c r="C510" s="156" t="str">
        <f>IF(cluster_wld_domain_chosen&lt;&gt;"MGMT Workload Domain",CONCATENATE(prefix_wld_az1_rack_cidr,"26.0"),CONCATENATE(prefix_mgmt_az1_cidr,"26.0"))</f>
        <v>10.23.26.0</v>
      </c>
      <c r="D510" s="18"/>
      <c r="E510" s="191"/>
    </row>
    <row r="511" ht="19.5" customHeight="1">
      <c r="B511" s="84" t="s">
        <v>743</v>
      </c>
      <c r="C511" s="156" t="s">
        <v>622</v>
      </c>
      <c r="D511" s="18"/>
      <c r="E511" s="191"/>
    </row>
    <row r="512" ht="19.5" customHeight="1">
      <c r="B512" s="84" t="s">
        <v>402</v>
      </c>
      <c r="C512" s="156" t="str">
        <f>IF(cluster_wld_domain_chosen&lt;&gt;"MGMT Workload Domain",CONCATENATE(prefix_wld_az1_rack_cidr,"26.1"),CONCATENATE(prefix_mgmt_az1_cidr,"26.1"))</f>
        <v>10.23.26.1</v>
      </c>
      <c r="D512" s="18"/>
      <c r="E512" s="191" t="str">
        <f>IF(AND(mgmt_stretched_cluster_result="Included",mgmt_dpg_reuse_result="Excluded"),"Stretched L2","")</f>
        <v/>
      </c>
    </row>
    <row r="513" ht="19.5" customHeight="1">
      <c r="B513" s="173" t="s">
        <v>465</v>
      </c>
      <c r="C513" s="156" t="str">
        <f>IF(cluster_wld_domain_chosen&lt;&gt;"MGMT Workload Domain",CONCATENATE(prefix_wld_az1_rack_cidr,"26.101"),CONCATENATE(prefix_mgmt_az1_cidr,"26.101"))</f>
        <v>10.23.26.101</v>
      </c>
      <c r="D513" s="51"/>
      <c r="E513" s="51"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ht="19.5" customHeight="1">
      <c r="B514" s="173" t="s">
        <v>466</v>
      </c>
      <c r="C514" s="156" t="str">
        <f>IF(cluster_wld_domain_chosen&lt;&gt;"MGMT Workload Domain",CONCATENATE(prefix_wld_az1_rack_cidr,"26.116"),CONCATENATE(prefix_mgmt_az1_cidr,"26.116"))</f>
        <v>10.23.26.116</v>
      </c>
      <c r="D514" s="51"/>
      <c r="E514" s="51"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ht="19.5" customHeight="1">
      <c r="B515" s="102" t="str">
        <f>IF(OR(cluster_secondary_storage_chosen="Secondary NFS Storage Network",wld_secondary_storage_chosen="Secondary NFS Storage Network"),"NFS Storage Network","vSAN Storage Client")</f>
        <v>vSAN Storage Client</v>
      </c>
      <c r="C515" s="13"/>
      <c r="D515" s="13"/>
      <c r="E515" s="14"/>
    </row>
    <row r="516" ht="19.5" customHeight="1">
      <c r="B516" s="84" t="s">
        <v>401</v>
      </c>
      <c r="C516" s="163" t="str">
        <f>IF(cluster_wld_domain_chosen&lt;&gt;"MGMT Workload Domain",CONCATENATE(prefix_wld_az1_rack_vlan,"37"),CONCATENATE(prefix_mgmt_az1_vlan,"37"))</f>
        <v>2337</v>
      </c>
      <c r="D516" s="18"/>
      <c r="E516" s="191"/>
    </row>
    <row r="517" ht="19.5" customHeight="1">
      <c r="B517" s="84" t="s">
        <v>404</v>
      </c>
      <c r="C517" s="163">
        <v>9000.0</v>
      </c>
      <c r="D517" s="18"/>
      <c r="E517" s="201"/>
    </row>
    <row r="518" ht="19.5" customHeight="1">
      <c r="B518" s="84" t="s">
        <v>403</v>
      </c>
      <c r="C518" s="163" t="str">
        <f>IF(cluster_wld_domain_chosen&lt;&gt;"MGMT Workload Domain",CONCATENATE(prefix_wld_az1_rack_cidr,"37.0"),CONCATENATE(prefix_mgmt_az1_cidr,"37.0"))</f>
        <v>10.23.37.0</v>
      </c>
      <c r="D518" s="18"/>
      <c r="E518" s="191"/>
    </row>
    <row r="519" ht="19.5" customHeight="1">
      <c r="B519" s="84" t="s">
        <v>743</v>
      </c>
      <c r="C519" s="163" t="s">
        <v>622</v>
      </c>
      <c r="D519" s="18"/>
      <c r="E519" s="191"/>
    </row>
    <row r="520" ht="19.5" customHeight="1">
      <c r="B520" s="84" t="s">
        <v>402</v>
      </c>
      <c r="C520" s="163" t="str">
        <f>IF(cluster_wld_domain_chosen&lt;&gt;"MGMT Workload Domain",CONCATENATE(prefix_wld_az1_rack_cidr,"37.1"),CONCATENATE(prefix_mgmt_az1_cidr,"37.1"))</f>
        <v>10.23.37.1</v>
      </c>
      <c r="D520" s="18"/>
      <c r="E520" s="191" t="str">
        <f>IF(AND(mgmt_stretched_cluster_result="Included",mgmt_dpg_reuse_result="Excluded"),"Stretched L2","")</f>
        <v/>
      </c>
    </row>
    <row r="521" ht="19.5" customHeight="1">
      <c r="B521" s="173" t="s">
        <v>465</v>
      </c>
      <c r="C521" s="163" t="str">
        <f>IF(cluster_wld_domain_chosen&lt;&gt;"MGMT Workload Domain",CONCATENATE(prefix_wld_az1_rack_cidr,"37.101"),CONCATENATE(prefix_mgmt_az1_cidr,"37.101"))</f>
        <v>10.23.37.101</v>
      </c>
      <c r="D521" s="18"/>
      <c r="E521" s="51"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ht="19.5" customHeight="1">
      <c r="B522" s="173" t="s">
        <v>466</v>
      </c>
      <c r="C522" s="163" t="str">
        <f>IF(cluster_wld_domain_chosen&lt;&gt;"MGMT Workload Domain",CONCATENATE(prefix_wld_az1_rack_cidr,"37.116"),CONCATENATE(prefix_mgmt_az1_cidr,"37.116"))</f>
        <v>10.23.37.116</v>
      </c>
      <c r="D522" s="18"/>
      <c r="E522" s="51"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ht="19.5" customHeight="1">
      <c r="B523" s="102" t="str">
        <f>IF(OR(cluster_secondary_storage_chosen="Secondary NFS Storage Network",wld_secondary_storage_chosen="Secondary NFS Storage Network"),"NFS Storage Network","vSAN Storage Client")</f>
        <v>vSAN Storage Client</v>
      </c>
      <c r="C523" s="13"/>
      <c r="D523" s="13"/>
      <c r="E523" s="14"/>
    </row>
    <row r="524" ht="19.5" customHeight="1">
      <c r="B524" s="84" t="s">
        <v>401</v>
      </c>
      <c r="C524" s="110" t="str">
        <f>IF(cluster_wld_domain_chosen&lt;&gt;"MGMT Workload Domain",CONCATENATE(prefix_wld_az1_rack_vlan,"48"),CONCATENATE(prefix_mgmt_az1_vlan,"48"))</f>
        <v>2348</v>
      </c>
      <c r="D524" s="18"/>
      <c r="E524" s="191"/>
    </row>
    <row r="525" ht="19.5" customHeight="1">
      <c r="B525" s="84" t="s">
        <v>404</v>
      </c>
      <c r="C525" s="110">
        <v>9000.0</v>
      </c>
      <c r="D525" s="18"/>
      <c r="E525" s="201"/>
    </row>
    <row r="526" ht="19.5" customHeight="1">
      <c r="B526" s="84" t="s">
        <v>403</v>
      </c>
      <c r="C526" s="203" t="str">
        <f>IF(cluster_wld_domain_chosen&lt;&gt;"MGMT Workload Domain",CONCATENATE(prefix_wld_az1_rack_cidr,"48.0"),CONCATENATE(prefix_mgmt_az1_cidr,"48.0"))</f>
        <v>10.23.48.0</v>
      </c>
      <c r="D526" s="18"/>
      <c r="E526" s="191"/>
    </row>
    <row r="527" ht="19.5" customHeight="1">
      <c r="B527" s="84" t="s">
        <v>743</v>
      </c>
      <c r="C527" s="203" t="s">
        <v>622</v>
      </c>
      <c r="D527" s="18"/>
      <c r="E527" s="191"/>
    </row>
    <row r="528" ht="19.5" customHeight="1">
      <c r="B528" s="84" t="s">
        <v>402</v>
      </c>
      <c r="C528" s="110" t="str">
        <f>IF(cluster_wld_domain_chosen&lt;&gt;"MGMT Workload Domain",CONCATENATE(prefix_wld_az1_rack_cidr,"48.1"),CONCATENATE(prefix_mgmt_az1_cidr,"48.1"))</f>
        <v>10.23.48.1</v>
      </c>
      <c r="D528" s="18"/>
      <c r="E528" s="191" t="str">
        <f>IF(AND(mgmt_stretched_cluster_result="Included",mgmt_dpg_reuse_result="Excluded"),"Stretched L2","")</f>
        <v/>
      </c>
    </row>
    <row r="529" ht="19.5" customHeight="1">
      <c r="B529" s="173" t="s">
        <v>465</v>
      </c>
      <c r="C529" s="110" t="str">
        <f>IF(cluster_wld_domain_chosen&lt;&gt;"MGMT Workload Domain",CONCATENATE(prefix_wld_az1_rack_cidr,"48.101"),CONCATENATE(prefix_mgmt_az1_cidr,"48.101"))</f>
        <v>10.23.48.101</v>
      </c>
      <c r="D529" s="18"/>
      <c r="E529" s="51"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ht="19.5" customHeight="1">
      <c r="B530" s="173" t="s">
        <v>466</v>
      </c>
      <c r="C530" s="110" t="str">
        <f>IF(cluster_wld_domain_chosen&lt;&gt;"MGMT Workload Domain",CONCATENATE(prefix_wld_az1_rack_cidr,"48.116"),CONCATENATE(prefix_mgmt_az1_cidr,"48.116"))</f>
        <v>10.23.48.116</v>
      </c>
      <c r="D530" s="18"/>
      <c r="E530" s="51"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ht="19.5" customHeight="1">
      <c r="B531" s="102" t="str">
        <f>IF(OR(cluster_secondary_storage_chosen="Secondary NFS Storage Network",wld_secondary_storage_chosen="Secondary NFS Storage Network"),"NFS Storage Network","vSAN Storage Client")</f>
        <v>vSAN Storage Client</v>
      </c>
      <c r="C531" s="13"/>
      <c r="D531" s="13"/>
      <c r="E531" s="14"/>
    </row>
    <row r="532" ht="19.5" customHeight="1">
      <c r="B532" s="84" t="s">
        <v>401</v>
      </c>
      <c r="C532" s="110" t="str">
        <f>IF(cluster_wld_domain_chosen&lt;&gt;"MGMT Workload Domain",CONCATENATE(prefix_wld_az1_rack_vlan,"59"),CONCATENATE(prefix_mgmt_az1_vlan,"59"))</f>
        <v>2359</v>
      </c>
      <c r="D532" s="18"/>
      <c r="E532" s="191"/>
    </row>
    <row r="533" ht="19.5" customHeight="1">
      <c r="B533" s="84" t="s">
        <v>404</v>
      </c>
      <c r="C533" s="110">
        <v>9000.0</v>
      </c>
      <c r="D533" s="18"/>
      <c r="E533" s="201"/>
    </row>
    <row r="534" ht="19.5" customHeight="1">
      <c r="B534" s="84" t="s">
        <v>403</v>
      </c>
      <c r="C534" s="203" t="str">
        <f>IF(cluster_wld_domain_chosen&lt;&gt;"MGMT Workload Domain",CONCATENATE(prefix_wld_az1_rack_cidr,"59.0"),CONCATENATE(prefix_mgmt_az1_cidr,"59.0"))</f>
        <v>10.23.59.0</v>
      </c>
      <c r="D534" s="18"/>
      <c r="E534" s="191"/>
    </row>
    <row r="535" ht="19.5" customHeight="1">
      <c r="B535" s="84" t="s">
        <v>743</v>
      </c>
      <c r="C535" s="203" t="s">
        <v>622</v>
      </c>
      <c r="D535" s="18"/>
      <c r="E535" s="191"/>
    </row>
    <row r="536" ht="19.5" customHeight="1">
      <c r="B536" s="84" t="s">
        <v>402</v>
      </c>
      <c r="C536" s="110" t="str">
        <f>IF(cluster_wld_domain_chosen&lt;&gt;"MGMT Workload Domain",CONCATENATE(prefix_wld_az1_rack_cidr,"59.1"),CONCATENATE(prefix_mgmt_az1_cidr,"59.1"))</f>
        <v>10.23.59.1</v>
      </c>
      <c r="D536" s="18"/>
      <c r="E536" s="191" t="str">
        <f>IF(AND(mgmt_stretched_cluster_result="Included",mgmt_dpg_reuse_result="Excluded"),"Stretched L2","")</f>
        <v/>
      </c>
    </row>
    <row r="537" ht="19.5" customHeight="1">
      <c r="B537" s="173" t="s">
        <v>465</v>
      </c>
      <c r="C537" s="110" t="str">
        <f>IF(cluster_wld_domain_chosen&lt;&gt;"MGMT Workload Domain",CONCATENATE(prefix_wld_az1_rack_cidr,"59.101"),CONCATENATE(prefix_mgmt_az1_cidr,"59.101"))</f>
        <v>10.23.59.101</v>
      </c>
      <c r="D537" s="18"/>
      <c r="E537" s="51"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ht="19.5" customHeight="1">
      <c r="B538" s="173" t="s">
        <v>466</v>
      </c>
      <c r="C538" s="110" t="str">
        <f>IF(cluster_wld_domain_chosen&lt;&gt;"MGMT Workload Domain",CONCATENATE(prefix_wld_az1_rack_cidr,"59.116"),CONCATENATE(prefix_mgmt_az1_cidr,"59.116"))</f>
        <v>10.23.59.116</v>
      </c>
      <c r="D538" s="18"/>
      <c r="E538" s="51"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ht="19.5" customHeight="1">
      <c r="B539" s="102" t="str">
        <f>IF(OR(cluster_secondary_storage_chosen="Secondary NFS Storage Network",wld_secondary_storage_chosen="Secondary NFS Storage Network"),"NFS Storage Network","vSAN Storage Client")</f>
        <v>vSAN Storage Client</v>
      </c>
      <c r="C539" s="13"/>
      <c r="D539" s="13"/>
      <c r="E539" s="14"/>
    </row>
    <row r="540" ht="19.5" customHeight="1">
      <c r="B540" s="84" t="s">
        <v>401</v>
      </c>
      <c r="C540" s="110" t="str">
        <f>IF(cluster_wld_domain_chosen&lt;&gt;"MGMT Workload Domain",CONCATENATE(prefix_wld_az1_rack_vlan,"70"),CONCATENATE(prefix_mgmt_az1_vlan,"70"))</f>
        <v>2370</v>
      </c>
      <c r="D540" s="18"/>
      <c r="E540" s="191"/>
    </row>
    <row r="541" ht="19.5" customHeight="1">
      <c r="B541" s="84" t="s">
        <v>404</v>
      </c>
      <c r="C541" s="110">
        <v>9000.0</v>
      </c>
      <c r="D541" s="18"/>
      <c r="E541" s="201"/>
    </row>
    <row r="542" ht="19.5" customHeight="1">
      <c r="B542" s="84" t="s">
        <v>403</v>
      </c>
      <c r="C542" s="203" t="str">
        <f>IF(cluster_wld_domain_chosen&lt;&gt;"MGMT Workload Domain",CONCATENATE(prefix_wld_az1_rack_cidr,"70.0"),CONCATENATE(prefix_mgmt_az1_cidr,"70.0"))</f>
        <v>10.23.70.0</v>
      </c>
      <c r="D542" s="18"/>
      <c r="E542" s="191"/>
    </row>
    <row r="543" ht="19.5" customHeight="1">
      <c r="B543" s="84" t="s">
        <v>743</v>
      </c>
      <c r="C543" s="203" t="s">
        <v>622</v>
      </c>
      <c r="D543" s="18"/>
      <c r="E543" s="191"/>
    </row>
    <row r="544" ht="19.5" customHeight="1">
      <c r="B544" s="84" t="s">
        <v>402</v>
      </c>
      <c r="C544" s="110" t="str">
        <f>IF(cluster_wld_domain_chosen&lt;&gt;"MGMT Workload Domain",CONCATENATE(prefix_wld_az1_rack_cidr,"70.1"),CONCATENATE(prefix_mgmt_az1_cidr,"70.1"))</f>
        <v>10.23.70.1</v>
      </c>
      <c r="D544" s="18"/>
      <c r="E544" s="191" t="str">
        <f>IF(AND(mgmt_stretched_cluster_result="Included",mgmt_dpg_reuse_result="Excluded"),"Stretched L2","")</f>
        <v/>
      </c>
    </row>
    <row r="545" ht="19.5" customHeight="1">
      <c r="B545" s="173" t="s">
        <v>465</v>
      </c>
      <c r="C545" s="110" t="str">
        <f>IF(cluster_wld_domain_chosen&lt;&gt;"MGMT Workload Domain",CONCATENATE(prefix_wld_az1_rack_cidr,"70.101"),CONCATENATE(prefix_mgmt_az1_cidr,"70.101"))</f>
        <v>10.23.70.101</v>
      </c>
      <c r="D545" s="18"/>
      <c r="E545" s="51"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ht="19.5" customHeight="1">
      <c r="B546" s="173" t="s">
        <v>466</v>
      </c>
      <c r="C546" s="110" t="str">
        <f>IF(cluster_wld_domain_chosen&lt;&gt;"MGMT Workload Domain",CONCATENATE(prefix_wld_az1_rack_cidr,"70.116"),CONCATENATE(prefix_mgmt_az1_cidr,"70.116"))</f>
        <v>10.23.70.116</v>
      </c>
      <c r="D546" s="18"/>
      <c r="E546" s="51"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ht="19.5" customHeight="1">
      <c r="B547" s="102" t="str">
        <f>IF(OR(cluster_secondary_storage_chosen="Secondary NFS Storage Network",wld_secondary_storage_chosen="Secondary NFS Storage Network"),"NFS Storage Network","vSAN Storage Client")</f>
        <v>vSAN Storage Client</v>
      </c>
      <c r="C547" s="13"/>
      <c r="D547" s="13"/>
      <c r="E547" s="14"/>
    </row>
    <row r="548" ht="19.5" customHeight="1">
      <c r="B548" s="84" t="s">
        <v>401</v>
      </c>
      <c r="C548" s="110" t="str">
        <f>IF(cluster_wld_domain_chosen&lt;&gt;"MGMT Workload Domain",CONCATENATE(prefix_wld_az1_rack_vlan,"81"),CONCATENATE(prefix_mgmt_az1_vlan,"81"))</f>
        <v>2381</v>
      </c>
      <c r="D548" s="18"/>
      <c r="E548" s="191"/>
    </row>
    <row r="549" ht="19.5" customHeight="1">
      <c r="B549" s="84" t="s">
        <v>404</v>
      </c>
      <c r="C549" s="110">
        <v>9000.0</v>
      </c>
      <c r="D549" s="18"/>
      <c r="E549" s="201"/>
    </row>
    <row r="550" ht="19.5" customHeight="1">
      <c r="B550" s="84" t="s">
        <v>403</v>
      </c>
      <c r="C550" s="203" t="str">
        <f>IF(cluster_wld_domain_chosen&lt;&gt;"MGMT Workload Domain",CONCATENATE(prefix_wld_az1_rack_cidr,"81.0"),CONCATENATE(prefix_mgmt_az1_cidr,"81.0"))</f>
        <v>10.23.81.0</v>
      </c>
      <c r="D550" s="18"/>
      <c r="E550" s="191"/>
    </row>
    <row r="551" ht="19.5" customHeight="1">
      <c r="B551" s="84" t="s">
        <v>743</v>
      </c>
      <c r="C551" s="203" t="s">
        <v>622</v>
      </c>
      <c r="D551" s="18"/>
      <c r="E551" s="191"/>
    </row>
    <row r="552" ht="19.5" customHeight="1">
      <c r="B552" s="84" t="s">
        <v>402</v>
      </c>
      <c r="C552" s="110" t="str">
        <f>IF(cluster_wld_domain_chosen&lt;&gt;"MGMT Workload Domain",CONCATENATE(prefix_wld_az1_rack_cidr,"81.1"),CONCATENATE(prefix_mgmt_az1_cidr,"81.1"))</f>
        <v>10.23.81.1</v>
      </c>
      <c r="D552" s="18"/>
      <c r="E552" s="191" t="str">
        <f>IF(AND(mgmt_stretched_cluster_result="Included",mgmt_dpg_reuse_result="Excluded"),"Stretched L2","")</f>
        <v/>
      </c>
    </row>
    <row r="553" ht="19.5" customHeight="1">
      <c r="B553" s="173" t="s">
        <v>465</v>
      </c>
      <c r="C553" s="110" t="str">
        <f>IF(cluster_wld_domain_chosen&lt;&gt;"MGMT Workload Domain",CONCATENATE(prefix_wld_az1_rack_cidr,"81.101"),CONCATENATE(prefix_mgmt_az1_cidr,"81.101"))</f>
        <v>10.23.81.101</v>
      </c>
      <c r="D553" s="18"/>
      <c r="E553" s="51"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ht="19.5" customHeight="1">
      <c r="B554" s="173" t="s">
        <v>466</v>
      </c>
      <c r="C554" s="110" t="str">
        <f>IF(cluster_wld_domain_chosen&lt;&gt;"MGMT Workload Domain",CONCATENATE(prefix_wld_az1_rack_cidr,"81.116"),CONCATENATE(prefix_mgmt_az1_cidr,"81.116"))</f>
        <v>10.23.81.116</v>
      </c>
      <c r="D554" s="18"/>
      <c r="E554" s="51"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ht="19.5" customHeight="1">
      <c r="B555" s="102" t="str">
        <f>IF(OR(cluster_secondary_storage_chosen="Secondary NFS Storage Network",wld_secondary_storage_chosen="Secondary NFS Storage Network"),"NFS Storage Network","vSAN Storage Client")</f>
        <v>vSAN Storage Client</v>
      </c>
      <c r="C555" s="13"/>
      <c r="D555" s="13"/>
      <c r="E555" s="14"/>
    </row>
    <row r="556" ht="19.5" customHeight="1">
      <c r="B556" s="84" t="s">
        <v>401</v>
      </c>
      <c r="C556" s="110" t="str">
        <f>IF(cluster_wld_domain_chosen&lt;&gt;"MGMT Workload Domain",CONCATENATE(prefix_wld_az1_rack_vlan,"92"),CONCATENATE(prefix_mgmt_az1_vlan,"92"))</f>
        <v>2392</v>
      </c>
      <c r="D556" s="18"/>
      <c r="E556" s="191"/>
    </row>
    <row r="557" ht="19.5" customHeight="1">
      <c r="B557" s="84" t="s">
        <v>404</v>
      </c>
      <c r="C557" s="110">
        <v>9200.0</v>
      </c>
      <c r="D557" s="18"/>
      <c r="E557" s="201"/>
    </row>
    <row r="558" ht="19.5" customHeight="1">
      <c r="B558" s="84" t="s">
        <v>403</v>
      </c>
      <c r="C558" s="203" t="str">
        <f>IF(cluster_wld_domain_chosen&lt;&gt;"MGMT Workload Domain",CONCATENATE(prefix_wld_az1_rack_cidr,"92.0"),CONCATENATE(prefix_mgmt_az1_cidr,"92.0"))</f>
        <v>10.23.92.0</v>
      </c>
      <c r="D558" s="18"/>
      <c r="E558" s="191"/>
    </row>
    <row r="559" ht="19.5" customHeight="1">
      <c r="B559" s="84" t="s">
        <v>743</v>
      </c>
      <c r="C559" s="203" t="s">
        <v>622</v>
      </c>
      <c r="D559" s="18"/>
      <c r="E559" s="191"/>
    </row>
    <row r="560" ht="19.5" customHeight="1">
      <c r="B560" s="84" t="s">
        <v>402</v>
      </c>
      <c r="C560" s="110" t="str">
        <f>IF(cluster_wld_domain_chosen&lt;&gt;"MGMT Workload Domain",CONCATENATE(prefix_wld_az1_rack_cidr,"92.1"),CONCATENATE(prefix_mgmt_az1_cidr,"92.1"))</f>
        <v>10.23.92.1</v>
      </c>
      <c r="D560" s="18"/>
      <c r="E560" s="191" t="str">
        <f>IF(AND(mgmt_stretched_cluster_result="Included",mgmt_dpg_reuse_result="Excluded"),"Stretched L2","")</f>
        <v/>
      </c>
    </row>
    <row r="561" ht="19.5" customHeight="1">
      <c r="B561" s="173" t="s">
        <v>465</v>
      </c>
      <c r="C561" s="110" t="str">
        <f>IF(cluster_wld_domain_chosen&lt;&gt;"MGMT Workload Domain",CONCATENATE(prefix_wld_az1_rack_cidr,"92.101"),CONCATENATE(prefix_mgmt_az1_cidr,"92.101"))</f>
        <v>10.23.92.101</v>
      </c>
      <c r="D561" s="18"/>
      <c r="E561" s="51"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ht="19.5" customHeight="1">
      <c r="B562" s="173" t="s">
        <v>466</v>
      </c>
      <c r="C562" s="110" t="str">
        <f>IF(cluster_wld_domain_chosen&lt;&gt;"MGMT Workload Domain",CONCATENATE(prefix_wld_az1_rack_cidr,"92.116"),CONCATENATE(prefix_mgmt_az1_cidr,"92.116"))</f>
        <v>10.23.92.116</v>
      </c>
      <c r="D562" s="18"/>
      <c r="E562" s="51"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262:E262"/>
    <mergeCell ref="B266:E266"/>
    <mergeCell ref="B273:E273"/>
    <mergeCell ref="B287:E287"/>
    <mergeCell ref="B292:E292"/>
    <mergeCell ref="B309:E309"/>
    <mergeCell ref="B327:E327"/>
    <mergeCell ref="B507:E507"/>
    <mergeCell ref="B515:E515"/>
    <mergeCell ref="B523:E523"/>
    <mergeCell ref="B531:E531"/>
    <mergeCell ref="B539:E539"/>
    <mergeCell ref="B547:E547"/>
    <mergeCell ref="B555:E555"/>
    <mergeCell ref="B329:E329"/>
    <mergeCell ref="B342:E342"/>
    <mergeCell ref="B356:E356"/>
    <mergeCell ref="B358:E358"/>
    <mergeCell ref="B363:E363"/>
    <mergeCell ref="B384:E384"/>
    <mergeCell ref="B389:E389"/>
    <mergeCell ref="B1:J1"/>
    <mergeCell ref="B2:J2"/>
    <mergeCell ref="H3:J3"/>
    <mergeCell ref="H5:J5"/>
    <mergeCell ref="H6:J6"/>
    <mergeCell ref="H7:J7"/>
    <mergeCell ref="B8:J8"/>
    <mergeCell ref="H9:J9"/>
    <mergeCell ref="H10:J10"/>
    <mergeCell ref="H11:J11"/>
    <mergeCell ref="H12:J12"/>
    <mergeCell ref="B14:E14"/>
    <mergeCell ref="B16:E16"/>
    <mergeCell ref="B25:E25"/>
    <mergeCell ref="B27:E27"/>
    <mergeCell ref="B35:E35"/>
    <mergeCell ref="B52:E52"/>
    <mergeCell ref="B54:E54"/>
    <mergeCell ref="B66:E66"/>
    <mergeCell ref="B68:E68"/>
    <mergeCell ref="B76:E76"/>
    <mergeCell ref="B84:E84"/>
    <mergeCell ref="B93:E93"/>
    <mergeCell ref="B95:E95"/>
    <mergeCell ref="B101:E101"/>
    <mergeCell ref="B109:E109"/>
    <mergeCell ref="B121:E121"/>
    <mergeCell ref="B127:E127"/>
    <mergeCell ref="B133:E133"/>
    <mergeCell ref="B139:E139"/>
    <mergeCell ref="B152:E152"/>
    <mergeCell ref="B160:E160"/>
    <mergeCell ref="B175:E175"/>
    <mergeCell ref="B181:E181"/>
    <mergeCell ref="B194:E194"/>
    <mergeCell ref="B201:E201"/>
    <mergeCell ref="B217:E217"/>
    <mergeCell ref="B219:E219"/>
    <mergeCell ref="B221:E221"/>
    <mergeCell ref="B226:E226"/>
    <mergeCell ref="B246:E246"/>
    <mergeCell ref="B251:E251"/>
    <mergeCell ref="B400:E400"/>
    <mergeCell ref="B408:E408"/>
    <mergeCell ref="B410:E410"/>
  </mergeCells>
  <conditionalFormatting sqref="D508:D514">
    <cfRule type="notContainsBlanks" dxfId="0" priority="1">
      <formula>LEN(TRIM(D508))&gt;0</formula>
    </cfRule>
  </conditionalFormatting>
  <conditionalFormatting sqref="D508:D514">
    <cfRule type="containsBlanks" dxfId="29" priority="2">
      <formula>LEN(TRIM(D508))=0</formula>
    </cfRule>
  </conditionalFormatting>
  <conditionalFormatting sqref="D516:D522">
    <cfRule type="notContainsBlanks" dxfId="0" priority="3">
      <formula>LEN(TRIM(D516))&gt;0</formula>
    </cfRule>
  </conditionalFormatting>
  <conditionalFormatting sqref="D516:D522">
    <cfRule type="containsBlanks" dxfId="29" priority="4">
      <formula>LEN(TRIM(D516))=0</formula>
    </cfRule>
  </conditionalFormatting>
  <conditionalFormatting sqref="D524:D530">
    <cfRule type="notContainsBlanks" dxfId="0" priority="5">
      <formula>LEN(TRIM(D524))&gt;0</formula>
    </cfRule>
  </conditionalFormatting>
  <conditionalFormatting sqref="D524:D530">
    <cfRule type="containsBlanks" dxfId="29" priority="6">
      <formula>LEN(TRIM(D524))=0</formula>
    </cfRule>
  </conditionalFormatting>
  <conditionalFormatting sqref="D532:D538">
    <cfRule type="notContainsBlanks" dxfId="0" priority="7">
      <formula>LEN(TRIM(D532))&gt;0</formula>
    </cfRule>
  </conditionalFormatting>
  <conditionalFormatting sqref="D532:D538">
    <cfRule type="containsBlanks" dxfId="29" priority="8">
      <formula>LEN(TRIM(D532))=0</formula>
    </cfRule>
  </conditionalFormatting>
  <conditionalFormatting sqref="D540:D546">
    <cfRule type="notContainsBlanks" dxfId="0" priority="9">
      <formula>LEN(TRIM(D540))&gt;0</formula>
    </cfRule>
  </conditionalFormatting>
  <conditionalFormatting sqref="D540:D546">
    <cfRule type="containsBlanks" dxfId="29" priority="10">
      <formula>LEN(TRIM(D540))=0</formula>
    </cfRule>
  </conditionalFormatting>
  <conditionalFormatting sqref="D548:D554">
    <cfRule type="notContainsBlanks" dxfId="0" priority="11">
      <formula>LEN(TRIM(D548))&gt;0</formula>
    </cfRule>
  </conditionalFormatting>
  <conditionalFormatting sqref="D548:D554">
    <cfRule type="containsBlanks" dxfId="29" priority="12">
      <formula>LEN(TRIM(D548))=0</formula>
    </cfRule>
  </conditionalFormatting>
  <conditionalFormatting sqref="D556:D562">
    <cfRule type="notContainsBlanks" dxfId="0" priority="13">
      <formula>LEN(TRIM(D556))&gt;0</formula>
    </cfRule>
  </conditionalFormatting>
  <conditionalFormatting sqref="D556:D562">
    <cfRule type="containsBlanks" dxfId="29" priority="14">
      <formula>LEN(TRIM(D556))=0</formula>
    </cfRule>
  </conditionalFormatting>
  <conditionalFormatting sqref="S7">
    <cfRule type="notContainsBlanks" dxfId="26" priority="15">
      <formula>LEN(TRIM(S7))&gt;0</formula>
    </cfRule>
  </conditionalFormatting>
  <conditionalFormatting sqref="S7">
    <cfRule type="containsBlanks" dxfId="1" priority="16">
      <formula>LEN(TRIM(S7))=0</formula>
    </cfRule>
  </conditionalFormatting>
  <dataValidations>
    <dataValidation type="list" allowBlank="1" showErrorMessage="1" sqref="C53:D53">
      <formula1>"User Interface,PowerShell"</formula1>
    </dataValidation>
    <dataValidation type="list" allowBlank="1" showErrorMessage="1" sqref="C15:D15 C26">
      <formula1>"Standard,Consolidated"</formula1>
    </dataValidation>
    <dataValidation type="list" allowBlank="1" showErrorMessage="1" sqref="C64:D64 C89:D89">
      <formula1>"Same SSO Domain,Different SSO Domain"</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4" width="75.78"/>
    <col customWidth="1" min="5" max="5" width="125.78"/>
    <col customWidth="1" min="6" max="26" width="11.0"/>
  </cols>
  <sheetData>
    <row r="1" ht="15.75" customHeight="1">
      <c r="A1" s="1"/>
      <c r="B1" s="1"/>
      <c r="C1" s="1"/>
      <c r="D1" s="1"/>
      <c r="E1" s="1"/>
      <c r="F1" s="41"/>
      <c r="G1" s="41"/>
      <c r="H1" s="41"/>
      <c r="I1" s="41"/>
      <c r="J1" s="41"/>
      <c r="K1" s="1"/>
      <c r="L1" s="1"/>
      <c r="M1" s="1"/>
      <c r="N1" s="1"/>
      <c r="O1" s="1"/>
      <c r="P1" s="1"/>
      <c r="Q1" s="1"/>
      <c r="R1" s="1"/>
      <c r="S1" s="1"/>
      <c r="T1" s="1"/>
      <c r="U1" s="1"/>
      <c r="V1" s="1"/>
      <c r="W1" s="1"/>
      <c r="X1" s="1"/>
      <c r="Y1" s="1"/>
      <c r="Z1" s="1"/>
    </row>
    <row r="2" ht="54.0" customHeight="1">
      <c r="A2" s="1"/>
      <c r="B2" s="179" t="s">
        <v>3350</v>
      </c>
      <c r="C2" s="13"/>
      <c r="D2" s="13"/>
      <c r="E2" s="14"/>
      <c r="F2" s="41"/>
      <c r="G2" s="41"/>
      <c r="H2" s="41"/>
      <c r="I2" s="41"/>
      <c r="J2" s="41"/>
      <c r="K2" s="1"/>
      <c r="L2" s="1"/>
      <c r="M2" s="1"/>
      <c r="N2" s="1"/>
      <c r="O2" s="1"/>
      <c r="P2" s="1"/>
      <c r="Q2" s="1"/>
      <c r="R2" s="1"/>
      <c r="S2" s="1"/>
      <c r="T2" s="1"/>
      <c r="U2" s="1"/>
      <c r="V2" s="1"/>
      <c r="W2" s="1"/>
      <c r="X2" s="1"/>
      <c r="Y2" s="1"/>
      <c r="Z2" s="1"/>
    </row>
    <row r="3" ht="19.5" customHeight="1">
      <c r="A3" s="1"/>
      <c r="B3" s="234" t="s">
        <v>1201</v>
      </c>
      <c r="C3" s="13"/>
      <c r="D3" s="13"/>
      <c r="E3" s="14"/>
      <c r="F3" s="41"/>
      <c r="G3" s="41"/>
      <c r="H3" s="41"/>
      <c r="I3" s="41"/>
      <c r="J3" s="41"/>
      <c r="K3" s="1"/>
      <c r="L3" s="1"/>
      <c r="M3" s="1"/>
      <c r="N3" s="1"/>
      <c r="O3" s="1"/>
      <c r="P3" s="1"/>
      <c r="Q3" s="1"/>
      <c r="R3" s="1"/>
      <c r="S3" s="1"/>
      <c r="T3" s="1"/>
      <c r="U3" s="1"/>
      <c r="V3" s="1"/>
      <c r="W3" s="1"/>
      <c r="X3" s="1"/>
      <c r="Y3" s="1"/>
      <c r="Z3" s="1"/>
    </row>
    <row r="4" ht="15.75" customHeight="1">
      <c r="A4" s="1"/>
      <c r="B4" s="1" t="s">
        <v>1441</v>
      </c>
      <c r="C4" s="1"/>
      <c r="D4" s="9"/>
      <c r="E4" s="10"/>
      <c r="F4" s="10"/>
      <c r="G4" s="1"/>
      <c r="H4" s="1"/>
      <c r="I4" s="1"/>
      <c r="J4" s="1"/>
      <c r="K4" s="1"/>
      <c r="L4" s="1"/>
      <c r="M4" s="1"/>
      <c r="N4" s="1"/>
      <c r="O4" s="1"/>
      <c r="P4" s="1"/>
      <c r="Q4" s="1"/>
      <c r="R4" s="1"/>
      <c r="S4" s="1"/>
      <c r="T4" s="1"/>
      <c r="U4" s="1"/>
      <c r="V4" s="1"/>
      <c r="W4" s="1"/>
      <c r="X4" s="1"/>
      <c r="Y4" s="1"/>
      <c r="Z4" s="1"/>
    </row>
    <row r="5" ht="15.75"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ht="33.75" customHeight="1">
      <c r="B6" s="197" t="s">
        <v>3351</v>
      </c>
      <c r="C6" s="13"/>
      <c r="D6" s="13"/>
      <c r="E6" s="14"/>
    </row>
    <row r="7" ht="19.5" customHeight="1">
      <c r="B7" s="108" t="s">
        <v>256</v>
      </c>
      <c r="C7" s="108" t="s">
        <v>722</v>
      </c>
      <c r="D7" s="108" t="s">
        <v>274</v>
      </c>
      <c r="E7" s="108" t="s">
        <v>462</v>
      </c>
    </row>
    <row r="8" ht="19.5" customHeight="1">
      <c r="B8" s="102" t="s">
        <v>400</v>
      </c>
      <c r="C8" s="13"/>
      <c r="D8" s="13"/>
      <c r="E8" s="14"/>
    </row>
    <row r="9" ht="19.5" customHeight="1">
      <c r="B9" s="84" t="s">
        <v>401</v>
      </c>
      <c r="C9" s="156" t="str">
        <f>IF(cluster_wld_domain_chosen&lt;&gt;"MGMT Workload Domain",CONCATENATE(prefix_wld_az1_rack_vlan,"22"),CONCATENATE(prefix_mgmt_az1_vlan,"22"))</f>
        <v>2322</v>
      </c>
      <c r="D9" s="18"/>
      <c r="E9" s="84"/>
    </row>
    <row r="10" ht="19.5" customHeight="1">
      <c r="B10" s="84" t="s">
        <v>402</v>
      </c>
      <c r="C10" s="156" t="str">
        <f>IF(cluster_wld_domain_chosen&lt;&gt;"MGMT Workload Domain",CONCATENATE(prefix_wld_az1_rack_cidr,"22.1"),CONCATENATE(prefix_mgmt_az1_cidr,"22.1"))</f>
        <v>10.23.22.1</v>
      </c>
      <c r="D10" s="18"/>
      <c r="E10" s="191"/>
    </row>
    <row r="11" ht="19.5" customHeight="1">
      <c r="B11" s="84" t="s">
        <v>403</v>
      </c>
      <c r="C11" s="156" t="str">
        <f>IF(cluster_wld_domain_chosen&lt;&gt;"MGMT Workload Domain",CONCATENATE(prefix_wld_az1_rack_cidr,"22.0/24"),CONCATENATE(prefix_mgmt_az1_cidr,"22.0/24"))</f>
        <v>10.23.22.0/24</v>
      </c>
      <c r="D11" s="18"/>
      <c r="E11" s="191"/>
    </row>
    <row r="12" ht="19.5" customHeight="1">
      <c r="B12" s="84" t="s">
        <v>404</v>
      </c>
      <c r="C12" s="156">
        <v>1500.0</v>
      </c>
      <c r="D12" s="18"/>
      <c r="E12" s="191"/>
    </row>
    <row r="13" ht="19.5" customHeight="1">
      <c r="B13" s="17" t="s">
        <v>481</v>
      </c>
      <c r="C13" s="13"/>
      <c r="D13" s="13"/>
      <c r="E13" s="14"/>
    </row>
    <row r="14" ht="19.5" customHeight="1">
      <c r="B14" s="173" t="s">
        <v>697</v>
      </c>
      <c r="C14" s="156" t="str">
        <f>IF(cluster_wld_domain_chosen&lt;&gt;"MGMT Workload Domain",CONCATENATE(prefix_wld_az1_rack_cidr,"22.101"),CONCATENATE(prefix_mgmt_az1_cidr,"22.101"))</f>
        <v>10.23.22.101</v>
      </c>
      <c r="D14" s="18"/>
      <c r="E14" s="199" t="s">
        <v>482</v>
      </c>
    </row>
    <row r="15" ht="19.5" customHeight="1">
      <c r="B15" s="173" t="s">
        <v>698</v>
      </c>
      <c r="C15" s="156" t="str">
        <f>IF(cluster_wld_domain_chosen&lt;&gt;"MGMT Workload Domain",CONCATENATE(prefix_wld_az1_rack_cidr,"22.102"),CONCATENATE(prefix_mgmt_az1_cidr,"22.102"))</f>
        <v>10.23.22.102</v>
      </c>
      <c r="D15" s="18"/>
      <c r="E15" s="199" t="s">
        <v>484</v>
      </c>
    </row>
    <row r="16" ht="19.5" customHeight="1">
      <c r="B16" s="173" t="s">
        <v>699</v>
      </c>
      <c r="C16" s="156" t="str">
        <f>IF(cluster_wld_domain_chosen&lt;&gt;"MGMT Workload Domain",CONCATENATE(prefix_wld_az1_rack_cidr,"22.103"),CONCATENATE(prefix_mgmt_az1_cidr,"22.103"))</f>
        <v>10.23.22.103</v>
      </c>
      <c r="D16" s="18"/>
      <c r="E16" s="199" t="s">
        <v>485</v>
      </c>
    </row>
    <row r="17" ht="19.5" customHeight="1">
      <c r="B17" s="173" t="s">
        <v>700</v>
      </c>
      <c r="C17" s="156" t="str">
        <f>IF(cluster_wld_domain_chosen&lt;&gt;"MGMT Workload Domain",CONCATENATE(prefix_wld_az1_rack_cidr,"22.104"),CONCATENATE(prefix_mgmt_az1_cidr,"22.104"))</f>
        <v>10.23.22.104</v>
      </c>
      <c r="D17" s="18"/>
      <c r="E17" s="199" t="s">
        <v>486</v>
      </c>
    </row>
    <row r="18" ht="19.5" customHeight="1">
      <c r="B18" s="173" t="s">
        <v>701</v>
      </c>
      <c r="C18" s="156" t="str">
        <f>IF(cluster_wld_domain_chosen&lt;&gt;"MGMT Workload Domain",CONCATENATE(prefix_wld_az1_rack_cidr,"22.105"),CONCATENATE(prefix_mgmt_az1_cidr,"22.105"))</f>
        <v>10.23.22.105</v>
      </c>
      <c r="D18" s="18"/>
      <c r="E18" s="199" t="s">
        <v>487</v>
      </c>
    </row>
    <row r="19" ht="19.5" customHeight="1">
      <c r="B19" s="173" t="s">
        <v>702</v>
      </c>
      <c r="C19" s="156" t="str">
        <f>IF(cluster_wld_domain_chosen&lt;&gt;"MGMT Workload Domain",CONCATENATE(prefix_wld_az1_rack_cidr,"22.106"),CONCATENATE(prefix_mgmt_az1_cidr,"22.106"))</f>
        <v>10.23.22.106</v>
      </c>
      <c r="D19" s="18"/>
      <c r="E19" s="199" t="s">
        <v>488</v>
      </c>
    </row>
    <row r="20" ht="19.5" customHeight="1">
      <c r="B20" s="173" t="s">
        <v>703</v>
      </c>
      <c r="C20" s="156" t="str">
        <f>IF(cluster_wld_domain_chosen&lt;&gt;"MGMT Workload Domain",CONCATENATE(prefix_wld_az1_rack_cidr,"22.107"),CONCATENATE(prefix_mgmt_az1_cidr,"22.107"))</f>
        <v>10.23.22.107</v>
      </c>
      <c r="D20" s="18"/>
      <c r="E20" s="199" t="s">
        <v>489</v>
      </c>
    </row>
    <row r="21" ht="19.5" customHeight="1">
      <c r="B21" s="173" t="s">
        <v>704</v>
      </c>
      <c r="C21" s="156" t="str">
        <f>IF(cluster_wld_domain_chosen&lt;&gt;"MGMT Workload Domain",CONCATENATE(prefix_wld_az1_rack_cidr,"22.108"),CONCATENATE(prefix_mgmt_az1_cidr,"22.108"))</f>
        <v>10.23.22.108</v>
      </c>
      <c r="D21" s="18"/>
      <c r="E21" s="199" t="s">
        <v>490</v>
      </c>
    </row>
    <row r="22" ht="19.5" customHeight="1">
      <c r="B22" s="173" t="s">
        <v>705</v>
      </c>
      <c r="C22" s="156" t="str">
        <f>IF(cluster_wld_domain_chosen&lt;&gt;"MGMT Workload Domain",CONCATENATE(prefix_wld_az1_rack_cidr,"22.109"),CONCATENATE(prefix_mgmt_az1_cidr,"22.109"))</f>
        <v>10.23.22.109</v>
      </c>
      <c r="D22" s="18"/>
      <c r="E22" s="199" t="s">
        <v>491</v>
      </c>
    </row>
    <row r="23" ht="19.5" customHeight="1">
      <c r="B23" s="173" t="s">
        <v>706</v>
      </c>
      <c r="C23" s="156" t="str">
        <f>IF(cluster_wld_domain_chosen&lt;&gt;"MGMT Workload Domain",CONCATENATE(prefix_wld_az1_rack_cidr,"22.110"),CONCATENATE(prefix_mgmt_az1_cidr,"22.110"))</f>
        <v>10.23.22.110</v>
      </c>
      <c r="D23" s="18"/>
      <c r="E23" s="199" t="s">
        <v>492</v>
      </c>
    </row>
    <row r="24" ht="19.5" customHeight="1">
      <c r="B24" s="173" t="s">
        <v>707</v>
      </c>
      <c r="C24" s="156" t="str">
        <f>IF(cluster_wld_domain_chosen&lt;&gt;"MGMT Workload Domain",CONCATENATE(prefix_wld_az1_rack_cidr,"22.111"),CONCATENATE(prefix_mgmt_az1_cidr,"22.111"))</f>
        <v>10.23.22.111</v>
      </c>
      <c r="D24" s="18"/>
      <c r="E24" s="199" t="s">
        <v>493</v>
      </c>
    </row>
    <row r="25" ht="19.5" customHeight="1">
      <c r="B25" s="173" t="s">
        <v>708</v>
      </c>
      <c r="C25" s="156" t="str">
        <f>IF(cluster_wld_domain_chosen&lt;&gt;"MGMT Workload Domain",CONCATENATE(prefix_wld_az1_rack_cidr,"22.112"),CONCATENATE(prefix_mgmt_az1_cidr,"22.112"))</f>
        <v>10.23.22.112</v>
      </c>
      <c r="D25" s="18"/>
      <c r="E25" s="199" t="s">
        <v>494</v>
      </c>
    </row>
    <row r="26" ht="19.5" customHeight="1">
      <c r="B26" s="173" t="s">
        <v>709</v>
      </c>
      <c r="C26" s="156" t="str">
        <f>IF(cluster_wld_domain_chosen&lt;&gt;"MGMT Workload Domain",CONCATENATE(prefix_wld_az1_rack_cidr,"22.113"),CONCATENATE(prefix_mgmt_az1_cidr,"22.113"))</f>
        <v>10.23.22.113</v>
      </c>
      <c r="D26" s="18"/>
      <c r="E26" s="199" t="s">
        <v>495</v>
      </c>
    </row>
    <row r="27" ht="19.5" customHeight="1">
      <c r="B27" s="173" t="s">
        <v>710</v>
      </c>
      <c r="C27" s="156" t="str">
        <f>IF(cluster_wld_domain_chosen&lt;&gt;"MGMT Workload Domain",CONCATENATE(prefix_wld_az1_rack_cidr,"22.114"),CONCATENATE(prefix_mgmt_az1_cidr,"22.114"))</f>
        <v>10.23.22.114</v>
      </c>
      <c r="D27" s="18"/>
      <c r="E27" s="199" t="s">
        <v>496</v>
      </c>
    </row>
    <row r="28" ht="19.5" customHeight="1">
      <c r="B28" s="173" t="s">
        <v>711</v>
      </c>
      <c r="C28" s="156" t="str">
        <f>IF(cluster_wld_domain_chosen&lt;&gt;"MGMT Workload Domain",CONCATENATE(prefix_wld_az1_rack_cidr,"22.115"),CONCATENATE(prefix_mgmt_az1_cidr,"22.115"))</f>
        <v>10.23.22.115</v>
      </c>
      <c r="D28" s="18"/>
      <c r="E28" s="199" t="s">
        <v>497</v>
      </c>
    </row>
    <row r="29" ht="19.5" customHeight="1">
      <c r="B29" s="173" t="s">
        <v>712</v>
      </c>
      <c r="C29" s="156" t="str">
        <f>IF(cluster_wld_domain_chosen&lt;&gt;"MGMT Workload Domain",CONCATENATE(prefix_wld_az1_rack_cidr,"22.116"),CONCATENATE(prefix_mgmt_az1_cidr,"22.116"))</f>
        <v>10.23.22.116</v>
      </c>
      <c r="D29" s="18"/>
      <c r="E29" s="199" t="s">
        <v>498</v>
      </c>
    </row>
    <row r="30" ht="15.75" customHeight="1">
      <c r="B30" s="41"/>
      <c r="C30" s="41"/>
      <c r="D30" s="41"/>
      <c r="E30" s="41"/>
    </row>
    <row r="31" ht="33.75" customHeight="1">
      <c r="B31" s="197" t="s">
        <v>3352</v>
      </c>
      <c r="C31" s="13"/>
      <c r="D31" s="13"/>
      <c r="E31" s="14"/>
    </row>
    <row r="32" ht="19.5" customHeight="1">
      <c r="B32" s="108" t="s">
        <v>256</v>
      </c>
      <c r="C32" s="108" t="s">
        <v>722</v>
      </c>
      <c r="D32" s="108" t="s">
        <v>274</v>
      </c>
      <c r="E32" s="108" t="s">
        <v>462</v>
      </c>
    </row>
    <row r="33" ht="19.5" customHeight="1">
      <c r="B33" s="84" t="s">
        <v>3353</v>
      </c>
      <c r="C33" s="110" t="s">
        <v>715</v>
      </c>
      <c r="D33" s="156" t="s">
        <v>715</v>
      </c>
      <c r="E33" s="84" t="str">
        <f>IF(wld_az1_rack2_reuse_vcf_networkpool_chosen="Re-use an existing  VCF Network Pool","An exisiting VCF Network Pool will be reused for Host TEP assignment","A new VCF Network Pool will be created")</f>
        <v>A new VCF Network Pool will be created</v>
      </c>
    </row>
    <row r="34" ht="19.5" customHeight="1">
      <c r="B34" s="173" t="s">
        <v>716</v>
      </c>
      <c r="C34" s="163" t="str">
        <f>IF(cluster_wld_domain_chosen="VI Workload Domain",CONCATENATE(this_instance,"01-w0",wld_domain_number_chosen,"-r02-network-pool-01"),CONCATENATE(this_instance,"01-m01","-r02-network-pool-01"))</f>
        <v>lax01-w01-r02-network-pool-01</v>
      </c>
      <c r="D34" s="51"/>
      <c r="E34" s="191"/>
    </row>
    <row r="35" ht="19.5" customHeight="1">
      <c r="B35" s="102" t="s">
        <v>407</v>
      </c>
      <c r="C35" s="13"/>
      <c r="D35" s="13"/>
      <c r="E35" s="14"/>
    </row>
    <row r="36" ht="19.5" customHeight="1">
      <c r="B36" s="84" t="s">
        <v>401</v>
      </c>
      <c r="C36" s="156" t="str">
        <f>IF(cluster_wld_domain_chosen&lt;&gt;"MGMT Workload Domain",CONCATENATE(prefix_wld_az1_rack_vlan,"23"),CONCATENATE(prefix_mgmt_az1_vlan,"23"))</f>
        <v>2323</v>
      </c>
      <c r="D36" s="18"/>
      <c r="E36" s="84"/>
    </row>
    <row r="37" ht="19.5" customHeight="1">
      <c r="B37" s="84" t="s">
        <v>404</v>
      </c>
      <c r="C37" s="156">
        <v>9000.0</v>
      </c>
      <c r="D37" s="18"/>
      <c r="E37" s="191"/>
    </row>
    <row r="38" ht="19.5" customHeight="1">
      <c r="B38" s="84" t="s">
        <v>403</v>
      </c>
      <c r="C38" s="156" t="str">
        <f>IF(cluster_wld_domain_chosen&lt;&gt;"MGMT Workload Domain",CONCATENATE(prefix_wld_az1_rack_cidr,"23.0"),CONCATENATE(prefix_mgmt_az1_cidr,"23.0"))</f>
        <v>10.23.23.0</v>
      </c>
      <c r="D38" s="18"/>
      <c r="E38" s="191"/>
    </row>
    <row r="39" ht="19.5" customHeight="1">
      <c r="B39" s="84" t="s">
        <v>743</v>
      </c>
      <c r="C39" s="156" t="s">
        <v>622</v>
      </c>
      <c r="D39" s="18"/>
      <c r="E39" s="191"/>
    </row>
    <row r="40" ht="19.5" customHeight="1">
      <c r="B40" s="84" t="s">
        <v>402</v>
      </c>
      <c r="C40" s="156" t="str">
        <f>IF(cluster_wld_domain_chosen&lt;&gt;"MGMT Workload Domain",CONCATENATE(prefix_wld_az1_rack_cidr,"23.1"),CONCATENATE(prefix_mgmt_az1_cidr,"23.1"))</f>
        <v>10.23.23.1</v>
      </c>
      <c r="D40" s="18"/>
      <c r="E40" s="191"/>
    </row>
    <row r="41" ht="19.5" customHeight="1">
      <c r="B41" s="173" t="s">
        <v>465</v>
      </c>
      <c r="C41" s="156" t="str">
        <f>IF(cluster_wld_domain_chosen&lt;&gt;"MGMT Workload Domain",CONCATENATE(prefix_wld_az1_rack_cidr,"23.101"),CONCATENATE(prefix_mgmt_az1_cidr,"23.101"))</f>
        <v>10.23.23.101</v>
      </c>
      <c r="D41" s="18"/>
      <c r="E41" s="95" t="s">
        <v>3354</v>
      </c>
    </row>
    <row r="42" ht="19.5" customHeight="1">
      <c r="B42" s="173" t="s">
        <v>466</v>
      </c>
      <c r="C42" s="156" t="str">
        <f>IF(cluster_wld_domain_chosen&lt;&gt;"MGMT Workload Domain",CONCATENATE(prefix_wld_az1_rack_cidr,"23.116"),CONCATENATE(prefix_mgmt_az1_cidr,"23.116"))</f>
        <v>10.23.23.116</v>
      </c>
      <c r="D42" s="18"/>
      <c r="E42" s="95" t="s">
        <v>3355</v>
      </c>
    </row>
    <row r="43" ht="19.5" customHeight="1">
      <c r="B43" s="102" t="s">
        <v>410</v>
      </c>
      <c r="C43" s="13"/>
      <c r="D43" s="13"/>
      <c r="E43" s="14"/>
    </row>
    <row r="44" ht="19.5" customHeight="1">
      <c r="B44" s="84" t="s">
        <v>401</v>
      </c>
      <c r="C44" s="156" t="str">
        <f>IF(cluster_wld_domain_chosen&lt;&gt;"MGMT Workload Domain",CONCATENATE(prefix_wld_az1_rack_vlan,"24"),CONCATENATE(prefix_mgmt_az1_vlan,"24"))</f>
        <v>2324</v>
      </c>
      <c r="D44" s="18"/>
      <c r="E44" s="191"/>
    </row>
    <row r="45" ht="19.5" customHeight="1">
      <c r="B45" s="84" t="s">
        <v>404</v>
      </c>
      <c r="C45" s="156">
        <v>9000.0</v>
      </c>
      <c r="D45" s="18"/>
      <c r="E45" s="191"/>
    </row>
    <row r="46" ht="19.5" customHeight="1">
      <c r="B46" s="84" t="s">
        <v>403</v>
      </c>
      <c r="C46" s="156" t="str">
        <f>IF(cluster_wld_domain_chosen&lt;&gt;"MGMT Workload Domain",CONCATENATE(prefix_wld_az1_rack_cidr,"24.0"),CONCATENATE(prefix_mgmt_az1_cidr,"24.0"))</f>
        <v>10.23.24.0</v>
      </c>
      <c r="D46" s="18"/>
      <c r="E46" s="201"/>
    </row>
    <row r="47" ht="19.5" customHeight="1">
      <c r="B47" s="84" t="s">
        <v>743</v>
      </c>
      <c r="C47" s="156" t="s">
        <v>622</v>
      </c>
      <c r="D47" s="18"/>
      <c r="E47" s="191"/>
    </row>
    <row r="48" ht="19.5" customHeight="1">
      <c r="B48" s="84" t="s">
        <v>402</v>
      </c>
      <c r="C48" s="156" t="str">
        <f>IF(cluster_wld_domain_chosen&lt;&gt;"MGMT Workload Domain",CONCATENATE(prefix_wld_az1_rack_cidr,"24.1"),CONCATENATE(prefix_mgmt_az1_cidr,"24.1"))</f>
        <v>10.23.24.1</v>
      </c>
      <c r="D48" s="18"/>
      <c r="E48" s="191" t="str">
        <f>IF(AND(mgmt_stretched_cluster_result="Included",mgmt_dpg_reuse_result="Excluded"),"Stretched L2","")</f>
        <v/>
      </c>
    </row>
    <row r="49" ht="19.5" customHeight="1">
      <c r="B49" s="173" t="s">
        <v>465</v>
      </c>
      <c r="C49" s="156" t="str">
        <f>IF(cluster_wld_domain_chosen&lt;&gt;"MGMT Workload Domain",CONCATENATE(prefix_wld_az1_rack_cidr,"24.101"),CONCATENATE(prefix_mgmt_az1_cidr,"24.101"))</f>
        <v>10.23.24.101</v>
      </c>
      <c r="D49" s="18"/>
      <c r="E49" s="95" t="s">
        <v>3356</v>
      </c>
    </row>
    <row r="50" ht="19.5" customHeight="1">
      <c r="B50" s="173" t="s">
        <v>466</v>
      </c>
      <c r="C50" s="156" t="str">
        <f>IF(cluster_wld_domain_chosen&lt;&gt;"MGMT Workload Domain",CONCATENATE(prefix_wld_az1_rack_cidr,"24.116"),CONCATENATE(prefix_mgmt_az1_cidr,"24.116"))</f>
        <v>10.23.24.116</v>
      </c>
      <c r="D50" s="18"/>
      <c r="E50" s="95" t="s">
        <v>3357</v>
      </c>
    </row>
    <row r="51" ht="15.75" customHeight="1">
      <c r="B51" s="41"/>
      <c r="C51" s="41"/>
      <c r="D51" s="41"/>
      <c r="E51" s="41"/>
    </row>
    <row r="52" ht="33.75" customHeight="1">
      <c r="B52" s="197" t="s">
        <v>3358</v>
      </c>
      <c r="C52" s="13"/>
      <c r="D52" s="13"/>
      <c r="E52" s="14"/>
    </row>
    <row r="53" ht="19.5" customHeight="1">
      <c r="B53" s="108" t="s">
        <v>256</v>
      </c>
      <c r="C53" s="108" t="s">
        <v>722</v>
      </c>
      <c r="D53" s="108" t="s">
        <v>274</v>
      </c>
      <c r="E53" s="108" t="s">
        <v>462</v>
      </c>
    </row>
    <row r="54" ht="19.5" customHeight="1">
      <c r="B54" s="173" t="s">
        <v>697</v>
      </c>
      <c r="C54" s="204" t="str">
        <f>IF(cluster_wld_domain_chosen&lt;&gt;"MGMT Workload Domain",CONCATENATE(this_instance,"01-w0",wld_domain_number_chosen,"-r02-esx01",".",sample_child_dns_zone),CONCATENATE(this_instance,"01-m01-r02-esx01",".",sample_child_dns_zone))</f>
        <v>lax01-w01-r02-esx01.lax.rainpole.io</v>
      </c>
      <c r="D54" s="18"/>
      <c r="E54" s="191"/>
    </row>
    <row r="55" ht="19.5" customHeight="1">
      <c r="B55" s="173" t="s">
        <v>698</v>
      </c>
      <c r="C55" s="204" t="str">
        <f>IF(cluster_wld_domain_chosen&lt;&gt;"MGMT Workload Domain",CONCATENATE(this_instance,"01-w0",wld_domain_number_chosen,"-r02-esx02",".",sample_child_dns_zone),CONCATENATE(this_instance,"01-m01-r02-esx02",".",sample_child_dns_zone))</f>
        <v>lax01-w01-r02-esx02.lax.rainpole.io</v>
      </c>
      <c r="D55" s="18"/>
      <c r="E55" s="191"/>
    </row>
    <row r="56" ht="19.5" customHeight="1">
      <c r="B56" s="173" t="s">
        <v>699</v>
      </c>
      <c r="C56" s="204" t="str">
        <f>IF(cluster_wld_domain_chosen&lt;&gt;"MGMT Workload Domain",CONCATENATE(this_instance,"01-w0",wld_domain_number_chosen,"-r02-esx03",".",sample_child_dns_zone),CONCATENATE(this_instance,"01-m01-r02-esx03",".",sample_child_dns_zone))</f>
        <v>lax01-w01-r02-esx03.lax.rainpole.io</v>
      </c>
      <c r="D56" s="18"/>
      <c r="E56" s="191"/>
    </row>
    <row r="57" ht="19.5" customHeight="1">
      <c r="B57" s="173" t="s">
        <v>700</v>
      </c>
      <c r="C57" s="204" t="str">
        <f>IF(cluster_wld_domain_chosen&lt;&gt;"MGMT Workload Domain",CONCATENATE(this_instance,"01-w0",wld_domain_number_chosen,"-r02-esx04",".",sample_child_dns_zone),CONCATENATE(this_instance,"01-m01-r02-esx04",".",sample_child_dns_zone))</f>
        <v>lax01-w01-r02-esx04.lax.rainpole.io</v>
      </c>
      <c r="D57" s="18"/>
      <c r="E57" s="191"/>
    </row>
    <row r="58" ht="19.5" customHeight="1">
      <c r="B58" s="173" t="s">
        <v>701</v>
      </c>
      <c r="C58" s="204" t="str">
        <f>IF(cluster_wld_domain_chosen&lt;&gt;"MGMT Workload Domain",CONCATENATE(this_instance,"01-w0",wld_domain_number_chosen,"-r02-esx05",".",sample_child_dns_zone),CONCATENATE(this_instance,"01-m01-r02-esx05",".",sample_child_dns_zone))</f>
        <v>lax01-w01-r02-esx05.lax.rainpole.io</v>
      </c>
      <c r="D58" s="18"/>
      <c r="E58" s="191"/>
    </row>
    <row r="59" ht="19.5" customHeight="1">
      <c r="B59" s="173" t="s">
        <v>702</v>
      </c>
      <c r="C59" s="204" t="str">
        <f>IF(cluster_wld_domain_chosen&lt;&gt;"MGMT Workload Domain",CONCATENATE(this_instance,"01-w0",wld_domain_number_chosen,"-r02-esx06",".",sample_child_dns_zone),CONCATENATE(this_instance,"01-m01-r02-esx06",".",sample_child_dns_zone))</f>
        <v>lax01-w01-r02-esx06.lax.rainpole.io</v>
      </c>
      <c r="D59" s="18"/>
      <c r="E59" s="191"/>
    </row>
    <row r="60" ht="19.5" customHeight="1">
      <c r="B60" s="173" t="s">
        <v>703</v>
      </c>
      <c r="C60" s="204" t="str">
        <f>IF(cluster_wld_domain_chosen&lt;&gt;"MGMT Workload Domain",CONCATENATE(this_instance,"01-w0",wld_domain_number_chosen,"-r02-esx07",".",sample_child_dns_zone),CONCATENATE(this_instance,"01-m01-r02-esx07",".",sample_child_dns_zone))</f>
        <v>lax01-w01-r02-esx07.lax.rainpole.io</v>
      </c>
      <c r="D60" s="18"/>
      <c r="E60" s="191"/>
    </row>
    <row r="61" ht="19.5" customHeight="1">
      <c r="B61" s="173" t="s">
        <v>704</v>
      </c>
      <c r="C61" s="204" t="str">
        <f>IF(cluster_wld_domain_chosen&lt;&gt;"MGMT Workload Domain",CONCATENATE(this_instance,"01-w0",wld_domain_number_chosen,"-r02-esx08",".",sample_child_dns_zone),CONCATENATE(this_instance,"01-m01-r02-esx08",".",sample_child_dns_zone))</f>
        <v>lax01-w01-r02-esx08.lax.rainpole.io</v>
      </c>
      <c r="D61" s="18"/>
      <c r="E61" s="191"/>
    </row>
    <row r="62" ht="19.5" customHeight="1">
      <c r="B62" s="173" t="s">
        <v>705</v>
      </c>
      <c r="C62" s="204" t="str">
        <f>IF(cluster_wld_domain_chosen&lt;&gt;"MGMT Workload Domain",CONCATENATE(this_instance,"01-w0",wld_domain_number_chosen,"-r02-esx09",".",sample_child_dns_zone),CONCATENATE(this_instance,"01-m01-r02-esx09",".",sample_child_dns_zone))</f>
        <v>lax01-w01-r02-esx09.lax.rainpole.io</v>
      </c>
      <c r="D62" s="18"/>
      <c r="E62" s="191"/>
    </row>
    <row r="63" ht="19.5" customHeight="1">
      <c r="B63" s="173" t="s">
        <v>706</v>
      </c>
      <c r="C63" s="204" t="str">
        <f>IF(cluster_wld_domain_chosen&lt;&gt;"MGMT Workload Domain",CONCATENATE(this_instance,"01-w0",wld_domain_number_chosen,"-r02-esx10",".",sample_child_dns_zone),CONCATENATE(this_instance,"01-m01-r02-esx10",".",sample_child_dns_zone))</f>
        <v>lax01-w01-r02-esx10.lax.rainpole.io</v>
      </c>
      <c r="D63" s="18"/>
      <c r="E63" s="191"/>
    </row>
    <row r="64" ht="19.5" customHeight="1">
      <c r="B64" s="173" t="s">
        <v>707</v>
      </c>
      <c r="C64" s="204" t="str">
        <f>IF(cluster_wld_domain_chosen&lt;&gt;"MGMT Workload Domain",CONCATENATE(this_instance,"01-w0",wld_domain_number_chosen,"-r02-esx11",".",sample_child_dns_zone),CONCATENATE(this_instance,"01-m01-r02-esx11",".",sample_child_dns_zone))</f>
        <v>lax01-w01-r02-esx11.lax.rainpole.io</v>
      </c>
      <c r="D64" s="18"/>
      <c r="E64" s="191"/>
    </row>
    <row r="65" ht="19.5" customHeight="1">
      <c r="B65" s="173" t="s">
        <v>708</v>
      </c>
      <c r="C65" s="204" t="str">
        <f>IF(cluster_wld_domain_chosen&lt;&gt;"MGMT Workload Domain",CONCATENATE(this_instance,"01-w0",wld_domain_number_chosen,"-r02-esx12",".",sample_child_dns_zone),CONCATENATE(this_instance,"01-m01-r02-esx12",".",sample_child_dns_zone))</f>
        <v>lax01-w01-r02-esx12.lax.rainpole.io</v>
      </c>
      <c r="D65" s="18"/>
      <c r="E65" s="191"/>
    </row>
    <row r="66" ht="19.5" customHeight="1">
      <c r="B66" s="173" t="s">
        <v>709</v>
      </c>
      <c r="C66" s="204" t="str">
        <f>IF(cluster_wld_domain_chosen&lt;&gt;"MGMT Workload Domain",CONCATENATE(this_instance,"01-w0",wld_domain_number_chosen,"-r02-esx13",".",sample_child_dns_zone),CONCATENATE(this_instance,"01-m01-r02-esx13",".",sample_child_dns_zone))</f>
        <v>lax01-w01-r02-esx13.lax.rainpole.io</v>
      </c>
      <c r="D66" s="18"/>
      <c r="E66" s="191"/>
    </row>
    <row r="67" ht="19.5" customHeight="1">
      <c r="B67" s="173" t="s">
        <v>710</v>
      </c>
      <c r="C67" s="204" t="str">
        <f>IF(cluster_wld_domain_chosen&lt;&gt;"MGMT Workload Domain",CONCATENATE(this_instance,"01-w0",wld_domain_number_chosen,"-r02-esx14",".",sample_child_dns_zone),CONCATENATE(this_instance,"01-m01-r02-esx14",".",sample_child_dns_zone))</f>
        <v>lax01-w01-r02-esx14.lax.rainpole.io</v>
      </c>
      <c r="D67" s="18"/>
      <c r="E67" s="191"/>
    </row>
    <row r="68" ht="19.5" customHeight="1">
      <c r="B68" s="173" t="s">
        <v>711</v>
      </c>
      <c r="C68" s="204" t="str">
        <f>IF(cluster_wld_domain_chosen&lt;&gt;"MGMT Workload Domain",CONCATENATE(this_instance,"01-w0",wld_domain_number_chosen,"-r02-esx14",".",sample_child_dns_zone),CONCATENATE(this_instance,"01-m01-r02-esx15",".",sample_child_dns_zone))</f>
        <v>lax01-w01-r02-esx14.lax.rainpole.io</v>
      </c>
      <c r="D68" s="18"/>
      <c r="E68" s="191"/>
    </row>
    <row r="69" ht="19.5" customHeight="1">
      <c r="B69" s="173" t="s">
        <v>712</v>
      </c>
      <c r="C69" s="204" t="str">
        <f>IF(cluster_wld_domain_chosen&lt;&gt;"MGMT Workload Domain",CONCATENATE(this_instance,"01-w0",wld_domain_number_chosen,"-r02-esx16",".",sample_child_dns_zone),CONCATENATE(this_instance,"01-m01-r02-esx16",".",sample_child_dns_zone))</f>
        <v>lax01-w01-r02-esx16.lax.rainpole.io</v>
      </c>
      <c r="D69" s="18"/>
      <c r="E69" s="191"/>
    </row>
    <row r="70" ht="19.5" customHeight="1">
      <c r="B70" s="173" t="s">
        <v>723</v>
      </c>
      <c r="C70" s="149" t="s">
        <v>724</v>
      </c>
      <c r="D70" s="18" t="s">
        <v>724</v>
      </c>
      <c r="E70" s="191"/>
    </row>
    <row r="71" ht="19.5" customHeight="1">
      <c r="B71" s="173" t="s">
        <v>725</v>
      </c>
      <c r="C71" s="149" t="s">
        <v>726</v>
      </c>
      <c r="D71" s="1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71" s="84"/>
    </row>
    <row r="72" ht="19.5" customHeight="1">
      <c r="B72" s="173" t="s">
        <v>727</v>
      </c>
      <c r="C72" s="149" t="s">
        <v>285</v>
      </c>
      <c r="D72" s="18" t="str">
        <f>IF(AND(vcf_granular_option_chosen="Create Cluster",cluster_principal_storage_chosen="vSAN-ESA"),"Selected",
IF(AND(vcf_granular_option_chosen="Create VI Workload Domain",wld_principal_storage_chosen="vSAN-ESA"),"Selected","Unselected"))</f>
        <v>Unselected</v>
      </c>
      <c r="E72" s="191"/>
    </row>
    <row r="73" ht="19.5" customHeight="1">
      <c r="B73" s="173" t="s">
        <v>716</v>
      </c>
      <c r="C73" s="149" t="str">
        <f>sample_wld_az1_rack2_pool_name</f>
        <v>lax01-w01-r02-network-pool-01</v>
      </c>
      <c r="D73" s="18" t="str">
        <f>wld_az1_rack2_pool_name</f>
        <v>Value Missing</v>
      </c>
      <c r="E73" s="191"/>
    </row>
    <row r="74" ht="19.5" customHeight="1">
      <c r="B74" s="173" t="s">
        <v>545</v>
      </c>
      <c r="C74" s="149" t="s">
        <v>728</v>
      </c>
      <c r="D74" s="1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74" s="191"/>
    </row>
    <row r="75" ht="19.5" customHeight="1">
      <c r="B75" s="173" t="s">
        <v>296</v>
      </c>
      <c r="C75" s="149" t="s">
        <v>382</v>
      </c>
      <c r="D75" s="1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75" s="191"/>
    </row>
    <row r="76" ht="15.75" customHeight="1"/>
    <row r="77" ht="33.75" customHeight="1">
      <c r="B77" s="197" t="s">
        <v>3359</v>
      </c>
      <c r="C77" s="13"/>
      <c r="D77" s="13"/>
      <c r="E77" s="14"/>
    </row>
    <row r="78" ht="19.5" customHeight="1">
      <c r="B78" s="84" t="s">
        <v>795</v>
      </c>
      <c r="C78" s="163" t="str">
        <f>IF(vcf_granular_option_chosen="Create Cluster",CONCATENATE(this_instance,"01-",sample_cluster_name,"-r02-network-profile"),
IF(cluster_wld_domain_chosen="VI Workload Domain",CONCATENATE(this_instance,"01-",sample_wld_cl01_cluster,"-r02-network-profile"),
CONCATENATE(this_instance,"01-",sample_mgmt_cl01_cluster,"-r02-network-profile")))</f>
        <v>lax01-lax-w01-cl01-r02-network-profile</v>
      </c>
      <c r="D78" s="156"/>
      <c r="E78" s="156"/>
    </row>
    <row r="79" ht="19.5" customHeight="1">
      <c r="B79" s="84" t="s">
        <v>3360</v>
      </c>
      <c r="C79" s="110" t="s">
        <v>797</v>
      </c>
      <c r="D79" s="156" t="s">
        <v>797</v>
      </c>
      <c r="E79" s="369" t="str">
        <f>IF(wld_az1_rack2_host_overlay_new_pool_chosen="Re-use an existing Pool","An exisitng Pool will be reused for Host TEP assignment","A new Pool will be created for Host TEP assignment")</f>
        <v>A new Pool will be created for Host TEP assignment</v>
      </c>
    </row>
    <row r="80" ht="19.5" customHeight="1">
      <c r="B80" s="84" t="s">
        <v>798</v>
      </c>
      <c r="C80" s="163" t="str">
        <f>IF(cluster_wld_domain_chosen="VI Workload Domain",CONCATENATE(this_instance,"01-w0",wld_domain_number_chosen,"-r02-ip-pool01-host"),CONCATENATE(this_instance,"01-m01","-r02-ip-pool01-host"))</f>
        <v>lax01-w01-r02-ip-pool01-host</v>
      </c>
      <c r="D80" s="156"/>
      <c r="E80" s="156"/>
    </row>
    <row r="81" ht="19.5" customHeight="1">
      <c r="B81" s="84" t="s">
        <v>799</v>
      </c>
      <c r="C81" s="163" t="str">
        <f>IF(cluster_wld_domain_chosen="VI Workload Domain",CONCATENATE(this_instance,"01-w0",wld_domain_number_chosen,"-r02-uplink-profile01"),CONCATENATE(this_instance,"01-m01","-r02-uplink-profile01"))</f>
        <v>lax01-w01-r02-uplink-profile01</v>
      </c>
      <c r="D81" s="156"/>
      <c r="E81" s="156"/>
    </row>
    <row r="82" ht="19.5" customHeight="1">
      <c r="B82" s="84" t="s">
        <v>3361</v>
      </c>
      <c r="C82" s="163" t="str">
        <f>IF(cluster_wld_domain_chosen="VI Workload Domain",CONCATENATE(this_instance,"01-w0",wld_domain_number_chosen,"-r02-ip-pool02-edge"),CONCATENATE(this_instance,"01-m01","-r02-ip-pool02-edge"))</f>
        <v>lax01-w01-r02-ip-pool02-edge</v>
      </c>
      <c r="D82" s="156"/>
      <c r="E82" s="156"/>
    </row>
    <row r="83" ht="19.5" customHeight="1">
      <c r="B83" s="84" t="s">
        <v>3362</v>
      </c>
      <c r="C83" s="163" t="str">
        <f>IF(cluster_wld_domain_chosen="VI Workload Domain",CONCATENATE(this_instance,"01-w0",wld_domain_number_chosen,"-r02-ip-pool03-rtep"),CONCATENATE(this_instance,"01-m01","-r02-ip-pool03-rtep"))</f>
        <v>lax01-w01-r02-ip-pool03-rtep</v>
      </c>
      <c r="D83" s="156"/>
      <c r="E83" s="156"/>
    </row>
    <row r="84" ht="19.5" customHeight="1">
      <c r="B84" s="102" t="s">
        <v>367</v>
      </c>
      <c r="C84" s="13"/>
      <c r="D84" s="13"/>
      <c r="E84" s="14"/>
    </row>
    <row r="85" ht="19.5" customHeight="1">
      <c r="B85" s="49" t="s">
        <v>256</v>
      </c>
      <c r="C85" s="49" t="s">
        <v>722</v>
      </c>
      <c r="D85" s="370" t="s">
        <v>274</v>
      </c>
      <c r="E85" s="49" t="s">
        <v>5</v>
      </c>
    </row>
    <row r="86" ht="19.5" customHeight="1">
      <c r="B86" s="84" t="s">
        <v>1873</v>
      </c>
      <c r="C86" s="156" t="str">
        <f>IF(cluster_wld_domain_chosen&lt;&gt;"MGMT Workload Domain",CONCATENATE(this_instance,"-w0",wld_domain_number_chosen,"-r02","-vsan-fault-domain"),CONCATENATE(this_instance,"-m01","-r02","-vsan-fault-domain"))</f>
        <v>lax-w01-r02-vsan-fault-domain</v>
      </c>
      <c r="D86" s="18"/>
      <c r="E86" s="18"/>
    </row>
    <row r="87" ht="15.75" customHeight="1"/>
    <row r="88" ht="33.75" customHeight="1">
      <c r="B88" s="197" t="s">
        <v>3363</v>
      </c>
      <c r="C88" s="13"/>
      <c r="D88" s="13"/>
      <c r="E88" s="14"/>
    </row>
    <row r="89" ht="19.5" customHeight="1">
      <c r="B89" s="108" t="s">
        <v>256</v>
      </c>
      <c r="C89" s="108" t="s">
        <v>722</v>
      </c>
      <c r="D89" s="108" t="s">
        <v>274</v>
      </c>
      <c r="E89" s="108" t="s">
        <v>5</v>
      </c>
    </row>
    <row r="90" ht="19.5" customHeight="1">
      <c r="B90" s="102" t="s">
        <v>472</v>
      </c>
      <c r="C90" s="13"/>
      <c r="D90" s="13"/>
      <c r="E90" s="14"/>
    </row>
    <row r="91" ht="19.5" customHeight="1">
      <c r="B91" s="84" t="s">
        <v>401</v>
      </c>
      <c r="C91" s="110" t="str">
        <f>IF(cluster_wld_domain_chosen&lt;&gt;"MGMT Workload Domain",CONCATENATE(prefix_wld_az1_rack_vlan,"25"),CONCATENATE(prefix_mgmt_az1_vlan,"25"))</f>
        <v>2325</v>
      </c>
      <c r="D91" s="18"/>
      <c r="E91" s="84"/>
    </row>
    <row r="92" ht="19.5" customHeight="1">
      <c r="B92" s="84" t="s">
        <v>404</v>
      </c>
      <c r="C92" s="110">
        <v>9000.0</v>
      </c>
      <c r="D92" s="18"/>
      <c r="E92" s="191"/>
    </row>
    <row r="93" ht="19.5" customHeight="1">
      <c r="B93" s="84" t="s">
        <v>403</v>
      </c>
      <c r="C93" s="110" t="str">
        <f>IF(cluster_wld_domain_chosen&lt;&gt;"MGMT Workload Domain",CONCATENATE(prefix_wld_az1_rack_cidr,"25.0"),CONCATENATE(prefix_mgmt_az1_cidr,"25.0"))</f>
        <v>10.23.25.0</v>
      </c>
      <c r="D93" s="18"/>
      <c r="E93" s="191"/>
    </row>
    <row r="94" ht="19.5" customHeight="1">
      <c r="B94" s="84" t="s">
        <v>743</v>
      </c>
      <c r="C94" s="203" t="s">
        <v>622</v>
      </c>
      <c r="D94" s="18"/>
      <c r="E94" s="191"/>
    </row>
    <row r="95" ht="19.5" customHeight="1">
      <c r="B95" s="84" t="s">
        <v>402</v>
      </c>
      <c r="C95" s="110" t="str">
        <f>IF(cluster_wld_domain_chosen&lt;&gt;"MGMT Workload Domain",CONCATENATE(prefix_wld_az1_rack_cidr,"25.1"),CONCATENATE(prefix_mgmt_az1_cidr,"25.1"))</f>
        <v>10.23.25.1</v>
      </c>
      <c r="D95" s="18"/>
      <c r="E95" s="191"/>
    </row>
    <row r="96" ht="19.5" customHeight="1">
      <c r="B96" s="173" t="s">
        <v>465</v>
      </c>
      <c r="C96" s="110" t="str">
        <f>IF(cluster_wld_domain_chosen&lt;&gt;"MGMT Workload Domain",CONCATENATE(prefix_wld_az1_rack_cidr,"25.101"),CONCATENATE(prefix_mgmt_az1_cidr,"25.101"))</f>
        <v>10.23.25.101</v>
      </c>
      <c r="D96" s="18"/>
      <c r="E96" s="95" t="s">
        <v>3364</v>
      </c>
    </row>
    <row r="97" ht="19.5" customHeight="1">
      <c r="B97" s="173" t="s">
        <v>466</v>
      </c>
      <c r="C97" s="110" t="str">
        <f>IF(cluster_wld_domain_chosen&lt;&gt;"MGMT Workload Domain",CONCATENATE(prefix_wld_az1_rack_cidr,"25.116"),CONCATENATE(prefix_mgmt_az1_cidr,"25.116"))</f>
        <v>10.23.25.116</v>
      </c>
      <c r="D97" s="18"/>
      <c r="E97" s="95" t="s">
        <v>3365</v>
      </c>
    </row>
    <row r="98" ht="15.75" customHeight="1">
      <c r="B98" s="80"/>
      <c r="C98" s="35"/>
      <c r="D98" s="1"/>
      <c r="E98" s="1"/>
    </row>
    <row r="99" ht="33.75" customHeight="1">
      <c r="B99" s="197" t="s">
        <v>3366</v>
      </c>
      <c r="C99" s="13"/>
      <c r="D99" s="13"/>
      <c r="E99" s="14"/>
    </row>
    <row r="100" ht="19.5" customHeight="1">
      <c r="B100" s="108" t="s">
        <v>256</v>
      </c>
      <c r="C100" s="108" t="s">
        <v>722</v>
      </c>
      <c r="D100" s="108" t="s">
        <v>274</v>
      </c>
      <c r="E100" s="108" t="s">
        <v>462</v>
      </c>
    </row>
    <row r="101" ht="19.5" customHeight="1">
      <c r="B101" s="102" t="s">
        <v>400</v>
      </c>
      <c r="C101" s="13"/>
      <c r="D101" s="13"/>
      <c r="E101" s="14"/>
    </row>
    <row r="102" ht="19.5" customHeight="1">
      <c r="B102" s="84" t="s">
        <v>401</v>
      </c>
      <c r="C102" s="163" t="str">
        <f>IF(cluster_wld_domain_chosen&lt;&gt;"MGMT Workload Domain",CONCATENATE(prefix_wld_az1_rack_vlan,"33"),CONCATENATE(prefix_mgmt_az1_vlan,"33"))</f>
        <v>2333</v>
      </c>
      <c r="D102" s="18"/>
      <c r="E102" s="84"/>
    </row>
    <row r="103" ht="19.5" customHeight="1">
      <c r="B103" s="84" t="s">
        <v>402</v>
      </c>
      <c r="C103" s="163" t="str">
        <f>IF(cluster_wld_domain_chosen&lt;&gt;"MGMT Workload Domain",CONCATENATE(prefix_wld_az1_rack_cidr,"33.1"),CONCATENATE(prefix_mgmt_az1_cidr,"33.1"))</f>
        <v>10.23.33.1</v>
      </c>
      <c r="D103" s="18"/>
      <c r="E103" s="191"/>
    </row>
    <row r="104" ht="19.5" customHeight="1">
      <c r="B104" s="84" t="s">
        <v>403</v>
      </c>
      <c r="C104" s="163" t="str">
        <f>IF(cluster_wld_domain_chosen&lt;&gt;"MGMT Workload Domain",CONCATENATE(prefix_wld_az1_rack_cidr,"33.0/24"),CONCATENATE(prefix_mgmt_az1_cidr,"33.0/24"))</f>
        <v>10.23.33.0/24</v>
      </c>
      <c r="D104" s="18"/>
      <c r="E104" s="191"/>
    </row>
    <row r="105" ht="19.5" customHeight="1">
      <c r="B105" s="84" t="s">
        <v>404</v>
      </c>
      <c r="C105" s="163">
        <v>1500.0</v>
      </c>
      <c r="D105" s="18"/>
      <c r="E105" s="191"/>
    </row>
    <row r="106" ht="19.5" customHeight="1">
      <c r="B106" s="17" t="s">
        <v>481</v>
      </c>
      <c r="C106" s="13"/>
      <c r="D106" s="13"/>
      <c r="E106" s="14"/>
    </row>
    <row r="107" ht="19.5" customHeight="1">
      <c r="B107" s="173" t="s">
        <v>697</v>
      </c>
      <c r="C107" s="163" t="str">
        <f>IF(cluster_wld_domain_chosen&lt;&gt;"MGMT Workload Domain",CONCATENATE(prefix_wld_az1_rack_cidr,"33.101"),CONCATENATE(prefix_mgmt_az1_cidr,"33.101"))</f>
        <v>10.23.33.101</v>
      </c>
      <c r="D107" s="18"/>
      <c r="E107" s="95" t="s">
        <v>482</v>
      </c>
    </row>
    <row r="108" ht="19.5" customHeight="1">
      <c r="B108" s="173" t="s">
        <v>698</v>
      </c>
      <c r="C108" s="163" t="str">
        <f>IF(cluster_wld_domain_chosen&lt;&gt;"MGMT Workload Domain",CONCATENATE(prefix_wld_az1_rack_cidr,"33.102"),CONCATENATE(prefix_mgmt_az1_cidr,"33.102"))</f>
        <v>10.23.33.102</v>
      </c>
      <c r="D108" s="18"/>
      <c r="E108" s="95" t="s">
        <v>484</v>
      </c>
    </row>
    <row r="109" ht="19.5" customHeight="1">
      <c r="B109" s="173" t="s">
        <v>699</v>
      </c>
      <c r="C109" s="163" t="str">
        <f>IF(cluster_wld_domain_chosen&lt;&gt;"MGMT Workload Domain",CONCATENATE(prefix_wld_az1_rack_cidr,"33.103"),CONCATENATE(prefix_mgmt_az1_cidr,"33.103"))</f>
        <v>10.23.33.103</v>
      </c>
      <c r="D109" s="18"/>
      <c r="E109" s="95" t="s">
        <v>485</v>
      </c>
    </row>
    <row r="110" ht="19.5" customHeight="1">
      <c r="B110" s="173" t="s">
        <v>700</v>
      </c>
      <c r="C110" s="163" t="str">
        <f>IF(cluster_wld_domain_chosen&lt;&gt;"MGMT Workload Domain",CONCATENATE(prefix_wld_az1_rack_cidr,"33.104"),CONCATENATE(prefix_mgmt_az1_cidr,"33.104"))</f>
        <v>10.23.33.104</v>
      </c>
      <c r="D110" s="18"/>
      <c r="E110" s="95" t="s">
        <v>486</v>
      </c>
    </row>
    <row r="111" ht="19.5" customHeight="1">
      <c r="B111" s="173" t="s">
        <v>701</v>
      </c>
      <c r="C111" s="163" t="str">
        <f>IF(cluster_wld_domain_chosen&lt;&gt;"MGMT Workload Domain",CONCATENATE(prefix_wld_az1_rack_cidr,"33.105"),CONCATENATE(prefix_mgmt_az1_cidr,"33.105"))</f>
        <v>10.23.33.105</v>
      </c>
      <c r="D111" s="18"/>
      <c r="E111" s="95" t="s">
        <v>487</v>
      </c>
    </row>
    <row r="112" ht="19.5" customHeight="1">
      <c r="B112" s="173" t="s">
        <v>702</v>
      </c>
      <c r="C112" s="163" t="str">
        <f>IF(cluster_wld_domain_chosen&lt;&gt;"MGMT Workload Domain",CONCATENATE(prefix_wld_az1_rack_cidr,"33.106"),CONCATENATE(prefix_mgmt_az1_cidr,"33.106"))</f>
        <v>10.23.33.106</v>
      </c>
      <c r="D112" s="18"/>
      <c r="E112" s="95" t="s">
        <v>488</v>
      </c>
    </row>
    <row r="113" ht="19.5" customHeight="1">
      <c r="B113" s="173" t="s">
        <v>703</v>
      </c>
      <c r="C113" s="163" t="str">
        <f>IF(cluster_wld_domain_chosen&lt;&gt;"MGMT Workload Domain",CONCATENATE(prefix_wld_az1_rack_cidr,"33.107"),CONCATENATE(prefix_mgmt_az1_cidr,"33.107"))</f>
        <v>10.23.33.107</v>
      </c>
      <c r="D113" s="18"/>
      <c r="E113" s="95" t="s">
        <v>489</v>
      </c>
    </row>
    <row r="114" ht="19.5" customHeight="1">
      <c r="B114" s="173" t="s">
        <v>704</v>
      </c>
      <c r="C114" s="163" t="str">
        <f>IF(cluster_wld_domain_chosen&lt;&gt;"MGMT Workload Domain",CONCATENATE(prefix_wld_az1_rack_cidr,"33.108"),CONCATENATE(prefix_mgmt_az1_cidr,"33.108"))</f>
        <v>10.23.33.108</v>
      </c>
      <c r="D114" s="18"/>
      <c r="E114" s="95" t="s">
        <v>490</v>
      </c>
    </row>
    <row r="115" ht="19.5" customHeight="1">
      <c r="B115" s="173" t="s">
        <v>705</v>
      </c>
      <c r="C115" s="163" t="str">
        <f>IF(cluster_wld_domain_chosen&lt;&gt;"MGMT Workload Domain",CONCATENATE(prefix_wld_az1_rack_cidr,"33.109"),CONCATENATE(prefix_mgmt_az1_cidr,"33.109"))</f>
        <v>10.23.33.109</v>
      </c>
      <c r="D115" s="18"/>
      <c r="E115" s="95" t="s">
        <v>491</v>
      </c>
    </row>
    <row r="116" ht="19.5" customHeight="1">
      <c r="B116" s="173" t="s">
        <v>706</v>
      </c>
      <c r="C116" s="163" t="str">
        <f>IF(cluster_wld_domain_chosen&lt;&gt;"MGMT Workload Domain",CONCATENATE(prefix_wld_az1_rack_cidr,"33.110"),CONCATENATE(prefix_mgmt_az1_cidr,"33.110"))</f>
        <v>10.23.33.110</v>
      </c>
      <c r="D116" s="18"/>
      <c r="E116" s="95" t="s">
        <v>492</v>
      </c>
    </row>
    <row r="117" ht="19.5" customHeight="1">
      <c r="B117" s="173" t="s">
        <v>707</v>
      </c>
      <c r="C117" s="163" t="str">
        <f>IF(cluster_wld_domain_chosen&lt;&gt;"MGMT Workload Domain",CONCATENATE(prefix_wld_az1_rack_cidr,"33.111"),CONCATENATE(prefix_mgmt_az1_cidr,"33.111"))</f>
        <v>10.23.33.111</v>
      </c>
      <c r="D117" s="18"/>
      <c r="E117" s="95" t="s">
        <v>493</v>
      </c>
    </row>
    <row r="118" ht="19.5" customHeight="1">
      <c r="B118" s="173" t="s">
        <v>708</v>
      </c>
      <c r="C118" s="163" t="str">
        <f>IF(cluster_wld_domain_chosen&lt;&gt;"MGMT Workload Domain",CONCATENATE(prefix_wld_az1_rack_cidr,"33.112"),CONCATENATE(prefix_mgmt_az1_cidr,"33.112"))</f>
        <v>10.23.33.112</v>
      </c>
      <c r="D118" s="18"/>
      <c r="E118" s="95" t="s">
        <v>494</v>
      </c>
    </row>
    <row r="119" ht="19.5" customHeight="1">
      <c r="B119" s="173" t="s">
        <v>709</v>
      </c>
      <c r="C119" s="163" t="str">
        <f>IF(cluster_wld_domain_chosen&lt;&gt;"MGMT Workload Domain",CONCATENATE(prefix_wld_az1_rack_cidr,"33.113"),CONCATENATE(prefix_mgmt_az1_cidr,"33.113"))</f>
        <v>10.23.33.113</v>
      </c>
      <c r="D119" s="18"/>
      <c r="E119" s="95" t="s">
        <v>495</v>
      </c>
    </row>
    <row r="120" ht="19.5" customHeight="1">
      <c r="B120" s="173" t="s">
        <v>710</v>
      </c>
      <c r="C120" s="163" t="str">
        <f>IF(cluster_wld_domain_chosen&lt;&gt;"MGMT Workload Domain",CONCATENATE(prefix_wld_az1_rack_cidr,"33.114"),CONCATENATE(prefix_mgmt_az1_cidr,"33.114"))</f>
        <v>10.23.33.114</v>
      </c>
      <c r="D120" s="18"/>
      <c r="E120" s="95" t="s">
        <v>496</v>
      </c>
    </row>
    <row r="121" ht="19.5" customHeight="1">
      <c r="B121" s="173" t="s">
        <v>711</v>
      </c>
      <c r="C121" s="163" t="str">
        <f>IF(cluster_wld_domain_chosen&lt;&gt;"MGMT Workload Domain",CONCATENATE(prefix_wld_az1_rack_cidr,"33.115"),CONCATENATE(prefix_mgmt_az1_cidr,"33.115"))</f>
        <v>10.23.33.115</v>
      </c>
      <c r="D121" s="18"/>
      <c r="E121" s="95" t="s">
        <v>497</v>
      </c>
    </row>
    <row r="122" ht="19.5" customHeight="1">
      <c r="B122" s="173" t="s">
        <v>712</v>
      </c>
      <c r="C122" s="163" t="str">
        <f>IF(cluster_wld_domain_chosen&lt;&gt;"MGMT Workload Domain",CONCATENATE(prefix_wld_az1_rack_cidr,"33.116"),CONCATENATE(prefix_mgmt_az1_cidr,"33.116"))</f>
        <v>10.23.33.116</v>
      </c>
      <c r="D122" s="18"/>
      <c r="E122" s="95" t="s">
        <v>498</v>
      </c>
    </row>
    <row r="123" ht="15.75" customHeight="1">
      <c r="B123" s="41"/>
      <c r="C123" s="41"/>
      <c r="D123" s="41"/>
      <c r="E123" s="41"/>
    </row>
    <row r="124" ht="33.75" customHeight="1">
      <c r="B124" s="197" t="s">
        <v>3367</v>
      </c>
      <c r="C124" s="13"/>
      <c r="D124" s="13"/>
      <c r="E124" s="14"/>
    </row>
    <row r="125" ht="19.5" customHeight="1">
      <c r="B125" s="108" t="s">
        <v>256</v>
      </c>
      <c r="C125" s="108" t="s">
        <v>722</v>
      </c>
      <c r="D125" s="108" t="s">
        <v>274</v>
      </c>
      <c r="E125" s="108" t="s">
        <v>462</v>
      </c>
    </row>
    <row r="126" ht="19.5" customHeight="1">
      <c r="B126" s="84" t="s">
        <v>3353</v>
      </c>
      <c r="C126" s="110" t="s">
        <v>715</v>
      </c>
      <c r="D126" s="156" t="s">
        <v>715</v>
      </c>
      <c r="E126" s="84" t="str">
        <f>IF(wld_az1_rack3_reuse_vcf_networkpool_chosen="Re-use an existing  VCF Network Pool","An exisiting VCF Network Pool will be reused for Host TEP assignment","A new VCF Network Pool will be created")</f>
        <v>A new VCF Network Pool will be created</v>
      </c>
    </row>
    <row r="127" ht="19.5" customHeight="1">
      <c r="B127" s="173" t="s">
        <v>716</v>
      </c>
      <c r="C127" s="163" t="str">
        <f>IF(cluster_wld_domain_chosen="VI Workload Domain",CONCATENATE(this_instance,"01-w0",wld_domain_number_chosen,"-r03-network-pool-01"),CONCATENATE(this_instance,"01-m01","-r03-network-pool-01"))</f>
        <v>lax01-w01-r03-network-pool-01</v>
      </c>
      <c r="D127" s="18"/>
      <c r="E127" s="191"/>
    </row>
    <row r="128" ht="19.5" customHeight="1">
      <c r="B128" s="102" t="s">
        <v>407</v>
      </c>
      <c r="C128" s="13"/>
      <c r="D128" s="13"/>
      <c r="E128" s="14"/>
    </row>
    <row r="129" ht="19.5" customHeight="1">
      <c r="B129" s="84" t="s">
        <v>401</v>
      </c>
      <c r="C129" s="163" t="str">
        <f>IF(cluster_wld_domain_chosen&lt;&gt;"MGMT Workload Domain",CONCATENATE(prefix_wld_az1_rack_vlan,"34"),CONCATENATE(prefix_mgmt_az1_vlan,"34"))</f>
        <v>2334</v>
      </c>
      <c r="D129" s="18"/>
      <c r="E129" s="84"/>
    </row>
    <row r="130" ht="19.5" customHeight="1">
      <c r="B130" s="84" t="s">
        <v>404</v>
      </c>
      <c r="C130" s="163">
        <v>9000.0</v>
      </c>
      <c r="D130" s="18"/>
      <c r="E130" s="191"/>
    </row>
    <row r="131" ht="19.5" customHeight="1">
      <c r="B131" s="84" t="s">
        <v>403</v>
      </c>
      <c r="C131" s="163" t="str">
        <f>IF(cluster_wld_domain_chosen&lt;&gt;"MGMT Workload Domain",CONCATENATE(prefix_wld_az1_rack_cidr,"34.0"),CONCATENATE(prefix_mgmt_az1_cidr,"34.0"))</f>
        <v>10.23.34.0</v>
      </c>
      <c r="D131" s="18"/>
      <c r="E131" s="191"/>
    </row>
    <row r="132" ht="19.5" customHeight="1">
      <c r="B132" s="84" t="s">
        <v>743</v>
      </c>
      <c r="C132" s="163" t="s">
        <v>622</v>
      </c>
      <c r="D132" s="18"/>
      <c r="E132" s="191"/>
    </row>
    <row r="133" ht="19.5" customHeight="1">
      <c r="B133" s="84" t="s">
        <v>402</v>
      </c>
      <c r="C133" s="163" t="str">
        <f>IF(cluster_wld_domain_chosen&lt;&gt;"MGMT Workload Domain",CONCATENATE(prefix_wld_az1_rack_cidr,"34.1"),CONCATENATE(prefix_mgmt_az1_cidr,"34.1"))</f>
        <v>10.23.34.1</v>
      </c>
      <c r="D133" s="18"/>
      <c r="E133" s="191"/>
    </row>
    <row r="134" ht="19.5" customHeight="1">
      <c r="B134" s="173" t="s">
        <v>465</v>
      </c>
      <c r="C134" s="163" t="str">
        <f>IF(cluster_wld_domain_chosen&lt;&gt;"MGMT Workload Domain",CONCATENATE(prefix_wld_az1_rack_cidr,"34.101"),CONCATENATE(prefix_mgmt_az1_cidr,"34.101"))</f>
        <v>10.23.34.101</v>
      </c>
      <c r="D134" s="18"/>
      <c r="E134" s="95" t="s">
        <v>3354</v>
      </c>
    </row>
    <row r="135" ht="19.5" customHeight="1">
      <c r="B135" s="173" t="s">
        <v>466</v>
      </c>
      <c r="C135" s="163" t="str">
        <f>IF(cluster_wld_domain_chosen&lt;&gt;"MGMT Workload Domain",CONCATENATE(prefix_wld_az1_rack_cidr,"34.116"),CONCATENATE(prefix_mgmt_az1_cidr,"34.116"))</f>
        <v>10.23.34.116</v>
      </c>
      <c r="D135" s="18"/>
      <c r="E135" s="95" t="s">
        <v>3355</v>
      </c>
    </row>
    <row r="136" ht="19.5" customHeight="1">
      <c r="B136" s="102" t="s">
        <v>410</v>
      </c>
      <c r="C136" s="13"/>
      <c r="D136" s="13"/>
      <c r="E136" s="14"/>
    </row>
    <row r="137" ht="19.5" customHeight="1">
      <c r="B137" s="84" t="s">
        <v>401</v>
      </c>
      <c r="C137" s="163" t="str">
        <f>IF(cluster_wld_domain_chosen&lt;&gt;"MGMT Workload Domain",CONCATENATE(prefix_wld_az1_rack_vlan,"35"),CONCATENATE(prefix_mgmt_az1_vlan,"35"))</f>
        <v>2335</v>
      </c>
      <c r="D137" s="18"/>
      <c r="E137" s="191"/>
    </row>
    <row r="138" ht="19.5" customHeight="1">
      <c r="B138" s="84" t="s">
        <v>404</v>
      </c>
      <c r="C138" s="163">
        <v>9000.0</v>
      </c>
      <c r="D138" s="18"/>
      <c r="E138" s="191"/>
    </row>
    <row r="139" ht="19.5" customHeight="1">
      <c r="B139" s="84" t="s">
        <v>403</v>
      </c>
      <c r="C139" s="163" t="str">
        <f>IF(cluster_wld_domain_chosen&lt;&gt;"MGMT Workload Domain",CONCATENATE(prefix_wld_az1_rack_cidr,"35.0"),CONCATENATE(prefix_mgmt_az1_cidr,"35.0"))</f>
        <v>10.23.35.0</v>
      </c>
      <c r="D139" s="18"/>
      <c r="E139" s="201"/>
    </row>
    <row r="140" ht="19.5" customHeight="1">
      <c r="B140" s="84" t="s">
        <v>743</v>
      </c>
      <c r="C140" s="163" t="s">
        <v>622</v>
      </c>
      <c r="D140" s="18"/>
      <c r="E140" s="191"/>
    </row>
    <row r="141" ht="19.5" customHeight="1">
      <c r="B141" s="84" t="s">
        <v>402</v>
      </c>
      <c r="C141" s="163" t="str">
        <f>IF(cluster_wld_domain_chosen&lt;&gt;"MGMT Workload Domain",CONCATENATE(prefix_wld_az1_rack_cidr,"35.1"),CONCATENATE(prefix_mgmt_az1_cidr,"35.1"))</f>
        <v>10.23.35.1</v>
      </c>
      <c r="D141" s="18"/>
      <c r="E141" s="191" t="str">
        <f>IF(AND(mgmt_stretched_cluster_result="Included",mgmt_dpg_reuse_result="Excluded"),"Stretched L2","")</f>
        <v/>
      </c>
    </row>
    <row r="142" ht="19.5" customHeight="1">
      <c r="B142" s="173" t="s">
        <v>465</v>
      </c>
      <c r="C142" s="163" t="str">
        <f>IF(cluster_wld_domain_chosen&lt;&gt;"MGMT Workload Domain",CONCATENATE(prefix_wld_az1_rack_cidr,"35.101"),CONCATENATE(prefix_mgmt_az1_cidr,"35.101"))</f>
        <v>10.23.35.101</v>
      </c>
      <c r="D142" s="18"/>
      <c r="E142" s="95" t="s">
        <v>3356</v>
      </c>
    </row>
    <row r="143" ht="19.5" customHeight="1">
      <c r="B143" s="173" t="s">
        <v>466</v>
      </c>
      <c r="C143" s="163" t="str">
        <f>IF(cluster_wld_domain_chosen&lt;&gt;"MGMT Workload Domain",CONCATENATE(prefix_wld_az1_rack_cidr,"35.116"),CONCATENATE(prefix_mgmt_az1_cidr,"35.116"))</f>
        <v>10.23.35.116</v>
      </c>
      <c r="D143" s="18"/>
      <c r="E143" s="95" t="s">
        <v>3357</v>
      </c>
    </row>
    <row r="144" ht="15.75" customHeight="1">
      <c r="B144" s="41"/>
      <c r="C144" s="41"/>
      <c r="D144" s="41"/>
      <c r="E144" s="41"/>
    </row>
    <row r="145" ht="33.75" customHeight="1">
      <c r="B145" s="197" t="s">
        <v>3368</v>
      </c>
      <c r="C145" s="13"/>
      <c r="D145" s="13"/>
      <c r="E145" s="14"/>
    </row>
    <row r="146" ht="19.5" customHeight="1">
      <c r="B146" s="108" t="s">
        <v>256</v>
      </c>
      <c r="C146" s="108" t="s">
        <v>722</v>
      </c>
      <c r="D146" s="108" t="s">
        <v>274</v>
      </c>
      <c r="E146" s="108" t="s">
        <v>462</v>
      </c>
    </row>
    <row r="147" ht="19.5" customHeight="1">
      <c r="B147" s="173" t="s">
        <v>697</v>
      </c>
      <c r="C147" s="160" t="str">
        <f>IF(cluster_wld_domain_chosen&lt;&gt;"MGMT Workload Domain",CONCATENATE(this_instance,"01-w0",wld_domain_number_chosen,"-r03-esx01",".",sample_child_dns_zone),CONCATENATE(this_instance,"01-m01-r03-esx01",".",sample_child_dns_zone))</f>
        <v>lax01-w01-r03-esx01.lax.rainpole.io</v>
      </c>
      <c r="D147" s="18"/>
      <c r="E147" s="191"/>
    </row>
    <row r="148" ht="19.5" customHeight="1">
      <c r="B148" s="173" t="s">
        <v>698</v>
      </c>
      <c r="C148" s="160" t="str">
        <f>IF(cluster_wld_domain_chosen&lt;&gt;"MGMT Workload Domain",CONCATENATE(this_instance,"01-w0",wld_domain_number_chosen,"-r03-esx02",".",sample_child_dns_zone),CONCATENATE(this_instance,"01-m01-r03-esx02",".",sample_child_dns_zone))</f>
        <v>lax01-w01-r03-esx02.lax.rainpole.io</v>
      </c>
      <c r="D148" s="18"/>
      <c r="E148" s="191"/>
    </row>
    <row r="149" ht="19.5" customHeight="1">
      <c r="B149" s="173" t="s">
        <v>699</v>
      </c>
      <c r="C149" s="160" t="str">
        <f>IF(cluster_wld_domain_chosen&lt;&gt;"MGMT Workload Domain",CONCATENATE(this_instance,"01-w0",wld_domain_number_chosen,"-r03-esx03",".",sample_child_dns_zone),CONCATENATE(this_instance,"01-m01-r03-esx03",".",sample_child_dns_zone))</f>
        <v>lax01-w01-r03-esx03.lax.rainpole.io</v>
      </c>
      <c r="D149" s="18"/>
      <c r="E149" s="191"/>
    </row>
    <row r="150" ht="19.5" customHeight="1">
      <c r="B150" s="173" t="s">
        <v>700</v>
      </c>
      <c r="C150" s="160" t="str">
        <f>IF(cluster_wld_domain_chosen&lt;&gt;"MGMT Workload Domain",CONCATENATE(this_instance,"01-w0",wld_domain_number_chosen,"-r03-esx04",".",sample_child_dns_zone),CONCATENATE(this_instance,"01-m01-r03-esx04",".",sample_child_dns_zone))</f>
        <v>lax01-w01-r03-esx04.lax.rainpole.io</v>
      </c>
      <c r="D150" s="18"/>
      <c r="E150" s="191"/>
    </row>
    <row r="151" ht="19.5" customHeight="1">
      <c r="B151" s="173" t="s">
        <v>701</v>
      </c>
      <c r="C151" s="160" t="str">
        <f>IF(cluster_wld_domain_chosen&lt;&gt;"MGMT Workload Domain",CONCATENATE(this_instance,"01-w0",wld_domain_number_chosen,"-r03-esx05",".",sample_child_dns_zone),CONCATENATE(this_instance,"01-m01-r03-esx05",".",sample_child_dns_zone))</f>
        <v>lax01-w01-r03-esx05.lax.rainpole.io</v>
      </c>
      <c r="D151" s="18"/>
      <c r="E151" s="191"/>
    </row>
    <row r="152" ht="19.5" customHeight="1">
      <c r="B152" s="173" t="s">
        <v>702</v>
      </c>
      <c r="C152" s="160" t="str">
        <f>IF(cluster_wld_domain_chosen&lt;&gt;"MGMT Workload Domain",CONCATENATE(this_instance,"01-w0",wld_domain_number_chosen,"-r03-esx06",".",sample_child_dns_zone),CONCATENATE(this_instance,"01-m01-r03-esx06",".",sample_child_dns_zone))</f>
        <v>lax01-w01-r03-esx06.lax.rainpole.io</v>
      </c>
      <c r="D152" s="18"/>
      <c r="E152" s="191"/>
    </row>
    <row r="153" ht="19.5" customHeight="1">
      <c r="B153" s="173" t="s">
        <v>703</v>
      </c>
      <c r="C153" s="160" t="str">
        <f>IF(cluster_wld_domain_chosen&lt;&gt;"MGMT Workload Domain",CONCATENATE(this_instance,"01-w0",wld_domain_number_chosen,"-r03-esx07",".",sample_child_dns_zone),CONCATENATE(this_instance,"01-m01-r03-esx07",".",sample_child_dns_zone))</f>
        <v>lax01-w01-r03-esx07.lax.rainpole.io</v>
      </c>
      <c r="D153" s="18"/>
      <c r="E153" s="191"/>
    </row>
    <row r="154" ht="19.5" customHeight="1">
      <c r="B154" s="173" t="s">
        <v>704</v>
      </c>
      <c r="C154" s="160" t="str">
        <f>IF(cluster_wld_domain_chosen&lt;&gt;"MGMT Workload Domain",CONCATENATE(this_instance,"01-w0",wld_domain_number_chosen,"-r03-esx08",".",sample_child_dns_zone),CONCATENATE(this_instance,"01-m01-r03-esx08",".",sample_child_dns_zone))</f>
        <v>lax01-w01-r03-esx08.lax.rainpole.io</v>
      </c>
      <c r="D154" s="18"/>
      <c r="E154" s="191"/>
    </row>
    <row r="155" ht="19.5" customHeight="1">
      <c r="B155" s="173" t="s">
        <v>705</v>
      </c>
      <c r="C155" s="160" t="str">
        <f>IF(cluster_wld_domain_chosen&lt;&gt;"MGMT Workload Domain",CONCATENATE(this_instance,"01-w0",wld_domain_number_chosen,"-r03-esx09",".",sample_child_dns_zone),CONCATENATE(this_instance,"01-m01-r03-esx09",".",sample_child_dns_zone))</f>
        <v>lax01-w01-r03-esx09.lax.rainpole.io</v>
      </c>
      <c r="D155" s="18"/>
      <c r="E155" s="191"/>
    </row>
    <row r="156" ht="19.5" customHeight="1">
      <c r="B156" s="173" t="s">
        <v>706</v>
      </c>
      <c r="C156" s="160" t="str">
        <f>IF(cluster_wld_domain_chosen&lt;&gt;"MGMT Workload Domain",CONCATENATE(this_instance,"01-w0",wld_domain_number_chosen,"-r03-esx10",".",sample_child_dns_zone),CONCATENATE(this_instance,"01-m01-r03-esx10",".",sample_child_dns_zone))</f>
        <v>lax01-w01-r03-esx10.lax.rainpole.io</v>
      </c>
      <c r="D156" s="18"/>
      <c r="E156" s="191"/>
    </row>
    <row r="157" ht="19.5" customHeight="1">
      <c r="B157" s="173" t="s">
        <v>707</v>
      </c>
      <c r="C157" s="160" t="str">
        <f>IF(cluster_wld_domain_chosen&lt;&gt;"MGMT Workload Domain",CONCATENATE(this_instance,"01-w0",wld_domain_number_chosen,"-r03-esx11",".",sample_child_dns_zone),CONCATENATE(this_instance,"01-m01-r03-esx11",".",sample_child_dns_zone))</f>
        <v>lax01-w01-r03-esx11.lax.rainpole.io</v>
      </c>
      <c r="D157" s="18"/>
      <c r="E157" s="191"/>
    </row>
    <row r="158" ht="19.5" customHeight="1">
      <c r="B158" s="173" t="s">
        <v>708</v>
      </c>
      <c r="C158" s="160" t="str">
        <f>IF(cluster_wld_domain_chosen&lt;&gt;"MGMT Workload Domain",CONCATENATE(this_instance,"01-w0",wld_domain_number_chosen,"-r03-esx12",".",sample_child_dns_zone),CONCATENATE(this_instance,"01-m01-r03-esx12",".",sample_child_dns_zone))</f>
        <v>lax01-w01-r03-esx12.lax.rainpole.io</v>
      </c>
      <c r="D158" s="18"/>
      <c r="E158" s="191"/>
    </row>
    <row r="159" ht="19.5" customHeight="1">
      <c r="B159" s="173" t="s">
        <v>709</v>
      </c>
      <c r="C159" s="160" t="str">
        <f>IF(cluster_wld_domain_chosen&lt;&gt;"MGMT Workload Domain",CONCATENATE(this_instance,"01-w0",wld_domain_number_chosen,"-r03-esx13",".",sample_child_dns_zone),CONCATENATE(this_instance,"01-m01-r03-esx13",".",sample_child_dns_zone))</f>
        <v>lax01-w01-r03-esx13.lax.rainpole.io</v>
      </c>
      <c r="D159" s="18"/>
      <c r="E159" s="191"/>
    </row>
    <row r="160" ht="19.5" customHeight="1">
      <c r="B160" s="173" t="s">
        <v>710</v>
      </c>
      <c r="C160" s="160" t="str">
        <f>IF(cluster_wld_domain_chosen&lt;&gt;"MGMT Workload Domain",CONCATENATE(this_instance,"01-w0",wld_domain_number_chosen,"-r03-esx14",".",sample_child_dns_zone),CONCATENATE(this_instance,"01-m01-r03-esx14",".",sample_child_dns_zone))</f>
        <v>lax01-w01-r03-esx14.lax.rainpole.io</v>
      </c>
      <c r="D160" s="18"/>
      <c r="E160" s="191"/>
    </row>
    <row r="161" ht="19.5" customHeight="1">
      <c r="B161" s="173" t="s">
        <v>711</v>
      </c>
      <c r="C161" s="160" t="str">
        <f>IF(cluster_wld_domain_chosen&lt;&gt;"MGMT Workload Domain",CONCATENATE(this_instance,"01-w0",wld_domain_number_chosen,"-r03-esx14",".",sample_child_dns_zone),CONCATENATE(this_instance,"01-m01-r03-esx15",".",sample_child_dns_zone))</f>
        <v>lax01-w01-r03-esx14.lax.rainpole.io</v>
      </c>
      <c r="D161" s="18"/>
      <c r="E161" s="191"/>
    </row>
    <row r="162" ht="19.5" customHeight="1">
      <c r="B162" s="173" t="s">
        <v>712</v>
      </c>
      <c r="C162" s="160" t="str">
        <f>IF(cluster_wld_domain_chosen&lt;&gt;"MGMT Workload Domain",CONCATENATE(this_instance,"01-w0",wld_domain_number_chosen,"-r03-esx16",".",sample_child_dns_zone),CONCATENATE(this_instance,"01-m01-r03-esx16",".",sample_child_dns_zone))</f>
        <v>lax01-w01-r03-esx16.lax.rainpole.io</v>
      </c>
      <c r="D162" s="18"/>
      <c r="E162" s="191"/>
    </row>
    <row r="163" ht="19.5" customHeight="1">
      <c r="B163" s="173" t="s">
        <v>723</v>
      </c>
      <c r="C163" s="163" t="s">
        <v>370</v>
      </c>
      <c r="D163" s="18" t="s">
        <v>724</v>
      </c>
      <c r="E163" s="191"/>
    </row>
    <row r="164" ht="19.5" customHeight="1">
      <c r="B164" s="173" t="s">
        <v>725</v>
      </c>
      <c r="C164" s="163" t="s">
        <v>726</v>
      </c>
      <c r="D164" s="1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164" s="84"/>
    </row>
    <row r="165" ht="19.5" customHeight="1">
      <c r="B165" s="173" t="s">
        <v>727</v>
      </c>
      <c r="C165" s="163" t="s">
        <v>285</v>
      </c>
      <c r="D165" s="18" t="str">
        <f>IF(AND(vcf_granular_option_chosen="Create Cluster",cluster_principal_storage_chosen="vSAN-ESA"),"Selected",
IF(AND(vcf_granular_option_chosen="Create VI Workload Domain",wld_principal_storage_chosen="vSAN-ESA"),"Selected","Unselected"))</f>
        <v>Unselected</v>
      </c>
      <c r="E165" s="191"/>
    </row>
    <row r="166" ht="19.5" customHeight="1">
      <c r="B166" s="173" t="s">
        <v>716</v>
      </c>
      <c r="C166" s="163" t="str">
        <f>sample_wld_az1_rack3_pool_name</f>
        <v>lax01-w01-r03-network-pool-01</v>
      </c>
      <c r="D166" s="18" t="str">
        <f>wld_az1_rack3_pool_name</f>
        <v>Value Missing</v>
      </c>
      <c r="E166" s="191"/>
    </row>
    <row r="167" ht="19.5" customHeight="1">
      <c r="B167" s="173" t="s">
        <v>545</v>
      </c>
      <c r="C167" s="163" t="s">
        <v>728</v>
      </c>
      <c r="D167" s="1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167" s="191"/>
    </row>
    <row r="168" ht="19.5" customHeight="1">
      <c r="B168" s="173" t="s">
        <v>296</v>
      </c>
      <c r="C168" s="163" t="s">
        <v>382</v>
      </c>
      <c r="D168" s="1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168" s="191"/>
    </row>
    <row r="169" ht="15.75" customHeight="1"/>
    <row r="170" ht="33.75" customHeight="1">
      <c r="B170" s="197" t="s">
        <v>3369</v>
      </c>
      <c r="C170" s="13"/>
      <c r="D170" s="13"/>
      <c r="E170" s="14"/>
    </row>
    <row r="171" ht="19.5" customHeight="1">
      <c r="B171" s="84" t="s">
        <v>795</v>
      </c>
      <c r="C171" s="163" t="str">
        <f>IF(vcf_granular_option_chosen="Create Cluster",CONCATENATE(this_instance,"01-",sample_cluster_name,"-r03-network-profile"),
IF(cluster_wld_domain_chosen="VI Workload Domain",CONCATENATE(this_instance,"01-",sample_wld_cl01_cluster,"-r03-network-profile"),
CONCATENATE(this_instance,"01-",sample_mgmt_cl01_cluster,"-r03-network-profile")))</f>
        <v>lax01-lax-w01-cl01-r03-network-profile</v>
      </c>
      <c r="D171" s="371"/>
      <c r="E171" s="156"/>
    </row>
    <row r="172" ht="19.5" customHeight="1">
      <c r="B172" s="84" t="s">
        <v>3360</v>
      </c>
      <c r="C172" s="110" t="s">
        <v>797</v>
      </c>
      <c r="D172" s="156" t="s">
        <v>797</v>
      </c>
      <c r="E172" s="372" t="str">
        <f>IF(wld_az1_rack3_host_overlay_new_pool_chosen="Re-use an existing Pool","An exisitng Pool will be reused for Host TEP assignment","A new Pool will be created for Host TEP assignment")</f>
        <v>A new Pool will be created for Host TEP assignment</v>
      </c>
    </row>
    <row r="173" ht="19.5" customHeight="1">
      <c r="B173" s="84" t="s">
        <v>798</v>
      </c>
      <c r="C173" s="163" t="str">
        <f>IF(cluster_wld_domain_chosen="VI Workload Domain",CONCATENATE(this_instance,"01-w0",wld_domain_number_chosen,"-r03-ip-pool01-host"),CONCATENATE(this_instance,"01-m01","-r03-ip-pool01-host"))</f>
        <v>lax01-w01-r03-ip-pool01-host</v>
      </c>
      <c r="D173" s="371"/>
      <c r="E173" s="156"/>
    </row>
    <row r="174" ht="19.5" customHeight="1">
      <c r="B174" s="84" t="s">
        <v>799</v>
      </c>
      <c r="C174" s="163" t="str">
        <f>IF(cluster_wld_domain_chosen="VI Workload Domain",CONCATENATE(this_instance,"01-w0",wld_domain_number_chosen,"-r03-uplink-profile01"),CONCATENATE(this_instance,"01-m01","-r03-uplink-profile01"))</f>
        <v>lax01-w01-r03-uplink-profile01</v>
      </c>
      <c r="D174" s="371"/>
      <c r="E174" s="156"/>
    </row>
    <row r="175" ht="19.5" customHeight="1">
      <c r="B175" s="84" t="s">
        <v>3361</v>
      </c>
      <c r="C175" s="163" t="str">
        <f>IF(cluster_wld_domain_chosen="VI Workload Domain",CONCATENATE(this_instance,"01-w0",wld_domain_number_chosen,"-r03-ip-pool02-edge"),CONCATENATE(this_instance,"01-m01","-r03-ip-pool02-edge"))</f>
        <v>lax01-w01-r03-ip-pool02-edge</v>
      </c>
      <c r="D175" s="371"/>
      <c r="E175" s="156"/>
    </row>
    <row r="176" ht="19.5" customHeight="1">
      <c r="B176" s="84" t="s">
        <v>3362</v>
      </c>
      <c r="C176" s="163" t="str">
        <f>IF(cluster_wld_domain_chosen="VI Workload Domain",CONCATENATE(this_instance,"01-w0",wld_domain_number_chosen,"-r03-ip-pool03-rtep"),CONCATENATE(this_instance,"01-m01","-r03-ip-pool03-rtep"))</f>
        <v>lax01-w01-r03-ip-pool03-rtep</v>
      </c>
      <c r="D176" s="18"/>
      <c r="E176" s="156"/>
    </row>
    <row r="177" ht="19.5" customHeight="1">
      <c r="B177" s="102" t="s">
        <v>367</v>
      </c>
      <c r="C177" s="13"/>
      <c r="D177" s="13"/>
      <c r="E177" s="14"/>
    </row>
    <row r="178" ht="19.5" customHeight="1">
      <c r="B178" s="49" t="s">
        <v>256</v>
      </c>
      <c r="C178" s="49" t="s">
        <v>722</v>
      </c>
      <c r="D178" s="370" t="s">
        <v>274</v>
      </c>
      <c r="E178" s="49" t="s">
        <v>5</v>
      </c>
    </row>
    <row r="179" ht="19.5" customHeight="1">
      <c r="B179" s="84" t="s">
        <v>1873</v>
      </c>
      <c r="C179" s="156" t="str">
        <f>IF(cluster_wld_domain_chosen&lt;&gt;"MGMT Workload Domain",CONCATENATE(this_instance,"-w0",wld_domain_number_chosen,"-r03","-vsan-fault-domain"),CONCATENATE(this_instance,"-m01","-r03","-vsan-fault-domain"))</f>
        <v>lax-w01-r03-vsan-fault-domain</v>
      </c>
      <c r="D179" s="18"/>
      <c r="E179" s="18"/>
    </row>
    <row r="180" ht="15.75" customHeight="1"/>
    <row r="181" ht="33.75" customHeight="1">
      <c r="B181" s="197" t="s">
        <v>3370</v>
      </c>
      <c r="C181" s="13"/>
      <c r="D181" s="13"/>
      <c r="E181" s="14"/>
    </row>
    <row r="182" ht="19.5" customHeight="1">
      <c r="B182" s="108" t="s">
        <v>256</v>
      </c>
      <c r="C182" s="108" t="s">
        <v>722</v>
      </c>
      <c r="D182" s="108" t="s">
        <v>274</v>
      </c>
      <c r="E182" s="108" t="s">
        <v>5</v>
      </c>
    </row>
    <row r="183" ht="19.5" customHeight="1">
      <c r="B183" s="102" t="s">
        <v>472</v>
      </c>
      <c r="C183" s="13"/>
      <c r="D183" s="13"/>
      <c r="E183" s="14"/>
    </row>
    <row r="184" ht="19.5" customHeight="1">
      <c r="B184" s="84" t="s">
        <v>401</v>
      </c>
      <c r="C184" s="110" t="str">
        <f>IF(cluster_wld_domain_chosen&lt;&gt;"MGMT Workload Domain",CONCATENATE(prefix_wld_az1_rack_vlan,"36"),CONCATENATE(prefix_mgmt_az1_vlan,"36"))</f>
        <v>2336</v>
      </c>
      <c r="D184" s="18"/>
      <c r="E184" s="84"/>
    </row>
    <row r="185" ht="19.5" customHeight="1">
      <c r="B185" s="84" t="s">
        <v>404</v>
      </c>
      <c r="C185" s="110">
        <v>9000.0</v>
      </c>
      <c r="D185" s="18"/>
      <c r="E185" s="191"/>
    </row>
    <row r="186" ht="19.5" customHeight="1">
      <c r="B186" s="84" t="s">
        <v>403</v>
      </c>
      <c r="C186" s="110" t="str">
        <f>IF(cluster_wld_domain_chosen&lt;&gt;"MGMT Workload Domain",CONCATENATE(prefix_wld_az1_rack_cidr,"36.0"),CONCATENATE(prefix_mgmt_az1_cidr,"36.0"))</f>
        <v>10.23.36.0</v>
      </c>
      <c r="D186" s="18"/>
      <c r="E186" s="191"/>
    </row>
    <row r="187" ht="19.5" customHeight="1">
      <c r="B187" s="84" t="s">
        <v>743</v>
      </c>
      <c r="C187" s="203" t="s">
        <v>622</v>
      </c>
      <c r="D187" s="18"/>
      <c r="E187" s="191"/>
    </row>
    <row r="188" ht="19.5" customHeight="1">
      <c r="B188" s="84" t="s">
        <v>402</v>
      </c>
      <c r="C188" s="110" t="str">
        <f>IF(cluster_wld_domain_chosen&lt;&gt;"MGMT Workload Domain",CONCATENATE(prefix_wld_az1_rack_cidr,"36.1"),CONCATENATE(prefix_mgmt_az1_cidr,"36.1"))</f>
        <v>10.23.36.1</v>
      </c>
      <c r="D188" s="18"/>
      <c r="E188" s="191"/>
    </row>
    <row r="189" ht="19.5" customHeight="1">
      <c r="B189" s="173" t="s">
        <v>465</v>
      </c>
      <c r="C189" s="110" t="str">
        <f>IF(cluster_wld_domain_chosen&lt;&gt;"MGMT Workload Domain",CONCATENATE(prefix_wld_az1_rack_cidr,"36.101"),CONCATENATE(prefix_mgmt_az1_cidr,"36.101"))</f>
        <v>10.23.36.101</v>
      </c>
      <c r="D189" s="18"/>
      <c r="E189" s="95" t="s">
        <v>3364</v>
      </c>
    </row>
    <row r="190" ht="19.5" customHeight="1">
      <c r="B190" s="173" t="s">
        <v>466</v>
      </c>
      <c r="C190" s="110" t="str">
        <f>IF(cluster_wld_domain_chosen&lt;&gt;"MGMT Workload Domain",CONCATENATE(prefix_wld_az1_rack_cidr,"36.116"),CONCATENATE(prefix_mgmt_az1_cidr,"36.116"))</f>
        <v>10.23.36.116</v>
      </c>
      <c r="D190" s="18"/>
      <c r="E190" s="95" t="s">
        <v>3365</v>
      </c>
    </row>
    <row r="191" ht="15.75" customHeight="1"/>
    <row r="192" ht="33.75" customHeight="1">
      <c r="B192" s="197" t="s">
        <v>3371</v>
      </c>
      <c r="C192" s="13"/>
      <c r="D192" s="13"/>
      <c r="E192" s="14"/>
    </row>
    <row r="193" ht="19.5" customHeight="1">
      <c r="B193" s="108" t="s">
        <v>256</v>
      </c>
      <c r="C193" s="108" t="s">
        <v>722</v>
      </c>
      <c r="D193" s="108" t="s">
        <v>274</v>
      </c>
      <c r="E193" s="108" t="s">
        <v>462</v>
      </c>
    </row>
    <row r="194" ht="19.5" customHeight="1">
      <c r="B194" s="102" t="s">
        <v>400</v>
      </c>
      <c r="C194" s="13"/>
      <c r="D194" s="13"/>
      <c r="E194" s="14"/>
    </row>
    <row r="195" ht="19.5" customHeight="1">
      <c r="B195" s="84" t="s">
        <v>401</v>
      </c>
      <c r="C195" s="110" t="str">
        <f>IF(cluster_wld_domain_chosen&lt;&gt;"MGMT Workload Domain",CONCATENATE(prefix_wld_az1_rack_vlan,"44"),CONCATENATE(prefix_mgmt_az1_vlan,"44"))</f>
        <v>2344</v>
      </c>
      <c r="D195" s="18"/>
      <c r="E195" s="84"/>
    </row>
    <row r="196" ht="19.5" customHeight="1">
      <c r="B196" s="84" t="s">
        <v>402</v>
      </c>
      <c r="C196" s="110" t="str">
        <f>IF(cluster_wld_domain_chosen&lt;&gt;"MGMT Workload Domain",CONCATENATE(prefix_wld_az1_rack_cidr,"44.1"),CONCATENATE(prefix_mgmt_az1_cidr,"44.1"))</f>
        <v>10.23.44.1</v>
      </c>
      <c r="D196" s="18"/>
      <c r="E196" s="191"/>
    </row>
    <row r="197" ht="19.5" customHeight="1">
      <c r="B197" s="84" t="s">
        <v>403</v>
      </c>
      <c r="C197" s="110" t="str">
        <f>IF(cluster_wld_domain_chosen&lt;&gt;"MGMT Workload Domain",CONCATENATE(prefix_wld_az1_rack_cidr,"44.0/24"),CONCATENATE(prefix_mgmt_az1_cidr,"44.0/24"))</f>
        <v>10.23.44.0/24</v>
      </c>
      <c r="D197" s="18"/>
      <c r="E197" s="191"/>
    </row>
    <row r="198" ht="19.5" customHeight="1">
      <c r="B198" s="84" t="s">
        <v>404</v>
      </c>
      <c r="C198" s="110">
        <v>1500.0</v>
      </c>
      <c r="D198" s="18"/>
      <c r="E198" s="191"/>
    </row>
    <row r="199" ht="19.5" customHeight="1">
      <c r="B199" s="17" t="s">
        <v>481</v>
      </c>
      <c r="C199" s="13"/>
      <c r="D199" s="13"/>
      <c r="E199" s="14"/>
    </row>
    <row r="200" ht="19.5" customHeight="1">
      <c r="B200" s="173" t="s">
        <v>697</v>
      </c>
      <c r="C200" s="203" t="str">
        <f>IF(cluster_wld_domain_chosen&lt;&gt;"MGMT Workload Domain",CONCATENATE(prefix_wld_az1_rack_cidr,"44.101"),CONCATENATE(prefix_mgmt_az1_cidr,"44.101"))</f>
        <v>10.23.44.101</v>
      </c>
      <c r="D200" s="18"/>
      <c r="E200" s="95" t="s">
        <v>482</v>
      </c>
    </row>
    <row r="201" ht="19.5" customHeight="1">
      <c r="B201" s="173" t="s">
        <v>698</v>
      </c>
      <c r="C201" s="203" t="str">
        <f>IF(cluster_wld_domain_chosen&lt;&gt;"MGMT Workload Domain",CONCATENATE(prefix_wld_az1_rack_cidr,"44.102"),CONCATENATE(prefix_mgmt_az1_cidr,"44.102"))</f>
        <v>10.23.44.102</v>
      </c>
      <c r="D201" s="18"/>
      <c r="E201" s="95" t="s">
        <v>484</v>
      </c>
    </row>
    <row r="202" ht="19.5" customHeight="1">
      <c r="B202" s="173" t="s">
        <v>699</v>
      </c>
      <c r="C202" s="203" t="str">
        <f>IF(cluster_wld_domain_chosen&lt;&gt;"MGMT Workload Domain",CONCATENATE(prefix_wld_az1_rack_cidr,"44.103"),CONCATENATE(prefix_mgmt_az1_cidr,"44.103"))</f>
        <v>10.23.44.103</v>
      </c>
      <c r="D202" s="18"/>
      <c r="E202" s="95" t="s">
        <v>485</v>
      </c>
    </row>
    <row r="203" ht="19.5" customHeight="1">
      <c r="B203" s="173" t="s">
        <v>700</v>
      </c>
      <c r="C203" s="203" t="str">
        <f>IF(cluster_wld_domain_chosen&lt;&gt;"MGMT Workload Domain",CONCATENATE(prefix_wld_az1_rack_cidr,"44.104"),CONCATENATE(prefix_mgmt_az1_cidr,"44.104"))</f>
        <v>10.23.44.104</v>
      </c>
      <c r="D203" s="18"/>
      <c r="E203" s="95" t="s">
        <v>486</v>
      </c>
    </row>
    <row r="204" ht="19.5" customHeight="1">
      <c r="B204" s="173" t="s">
        <v>701</v>
      </c>
      <c r="C204" s="203" t="str">
        <f>IF(cluster_wld_domain_chosen&lt;&gt;"MGMT Workload Domain",CONCATENATE(prefix_wld_az1_rack_cidr,"44.105"),CONCATENATE(prefix_mgmt_az1_cidr,"44.105"))</f>
        <v>10.23.44.105</v>
      </c>
      <c r="D204" s="18"/>
      <c r="E204" s="95" t="s">
        <v>487</v>
      </c>
    </row>
    <row r="205" ht="19.5" customHeight="1">
      <c r="B205" s="173" t="s">
        <v>702</v>
      </c>
      <c r="C205" s="203" t="str">
        <f>IF(cluster_wld_domain_chosen&lt;&gt;"MGMT Workload Domain",CONCATENATE(prefix_wld_az1_rack_cidr,"44.106"),CONCATENATE(prefix_mgmt_az1_cidr,"44.106"))</f>
        <v>10.23.44.106</v>
      </c>
      <c r="D205" s="18"/>
      <c r="E205" s="95" t="s">
        <v>488</v>
      </c>
    </row>
    <row r="206" ht="19.5" customHeight="1">
      <c r="B206" s="173" t="s">
        <v>703</v>
      </c>
      <c r="C206" s="203" t="str">
        <f>IF(cluster_wld_domain_chosen&lt;&gt;"MGMT Workload Domain",CONCATENATE(prefix_wld_az1_rack_cidr,"44.107"),CONCATENATE(prefix_mgmt_az1_cidr,"44.107"))</f>
        <v>10.23.44.107</v>
      </c>
      <c r="D206" s="18"/>
      <c r="E206" s="95" t="s">
        <v>489</v>
      </c>
    </row>
    <row r="207" ht="19.5" customHeight="1">
      <c r="B207" s="173" t="s">
        <v>704</v>
      </c>
      <c r="C207" s="203" t="str">
        <f>IF(cluster_wld_domain_chosen&lt;&gt;"MGMT Workload Domain",CONCATENATE(prefix_wld_az1_rack_cidr,"44.108"),CONCATENATE(prefix_mgmt_az1_cidr,"44.108"))</f>
        <v>10.23.44.108</v>
      </c>
      <c r="D207" s="18"/>
      <c r="E207" s="95" t="s">
        <v>490</v>
      </c>
    </row>
    <row r="208" ht="19.5" customHeight="1">
      <c r="B208" s="173" t="s">
        <v>705</v>
      </c>
      <c r="C208" s="203" t="str">
        <f>IF(cluster_wld_domain_chosen&lt;&gt;"MGMT Workload Domain",CONCATENATE(prefix_wld_az1_rack_cidr,"44.109"),CONCATENATE(prefix_mgmt_az1_cidr,"44.109"))</f>
        <v>10.23.44.109</v>
      </c>
      <c r="D208" s="18"/>
      <c r="E208" s="95" t="s">
        <v>491</v>
      </c>
    </row>
    <row r="209" ht="19.5" customHeight="1">
      <c r="B209" s="173" t="s">
        <v>706</v>
      </c>
      <c r="C209" s="203" t="str">
        <f>IF(cluster_wld_domain_chosen&lt;&gt;"MGMT Workload Domain",CONCATENATE(prefix_wld_az1_rack_cidr,"44.110"),CONCATENATE(prefix_mgmt_az1_cidr,"44.110"))</f>
        <v>10.23.44.110</v>
      </c>
      <c r="D209" s="18"/>
      <c r="E209" s="95" t="s">
        <v>492</v>
      </c>
    </row>
    <row r="210" ht="19.5" customHeight="1">
      <c r="B210" s="173" t="s">
        <v>707</v>
      </c>
      <c r="C210" s="203" t="str">
        <f>IF(cluster_wld_domain_chosen&lt;&gt;"MGMT Workload Domain",CONCATENATE(prefix_wld_az1_rack_cidr,"44.111"),CONCATENATE(prefix_mgmt_az1_cidr,"44.111"))</f>
        <v>10.23.44.111</v>
      </c>
      <c r="D210" s="18"/>
      <c r="E210" s="95" t="s">
        <v>493</v>
      </c>
    </row>
    <row r="211" ht="19.5" customHeight="1">
      <c r="B211" s="173" t="s">
        <v>708</v>
      </c>
      <c r="C211" s="203" t="str">
        <f>IF(cluster_wld_domain_chosen&lt;&gt;"MGMT Workload Domain",CONCATENATE(prefix_wld_az1_rack_cidr,"44.112"),CONCATENATE(prefix_mgmt_az1_cidr,"44.112"))</f>
        <v>10.23.44.112</v>
      </c>
      <c r="D211" s="18"/>
      <c r="E211" s="95" t="s">
        <v>494</v>
      </c>
    </row>
    <row r="212" ht="19.5" customHeight="1">
      <c r="B212" s="173" t="s">
        <v>709</v>
      </c>
      <c r="C212" s="203" t="str">
        <f>IF(cluster_wld_domain_chosen&lt;&gt;"MGMT Workload Domain",CONCATENATE(prefix_wld_az1_rack_cidr,"44.113"),CONCATENATE(prefix_mgmt_az1_cidr,"44.113"))</f>
        <v>10.23.44.113</v>
      </c>
      <c r="D212" s="18"/>
      <c r="E212" s="95" t="s">
        <v>495</v>
      </c>
    </row>
    <row r="213" ht="19.5" customHeight="1">
      <c r="B213" s="173" t="s">
        <v>710</v>
      </c>
      <c r="C213" s="203" t="str">
        <f>IF(cluster_wld_domain_chosen&lt;&gt;"MGMT Workload Domain",CONCATENATE(prefix_wld_az1_rack_cidr,"44.114"),CONCATENATE(prefix_mgmt_az1_cidr,"44.114"))</f>
        <v>10.23.44.114</v>
      </c>
      <c r="D213" s="18"/>
      <c r="E213" s="95" t="s">
        <v>496</v>
      </c>
    </row>
    <row r="214" ht="19.5" customHeight="1">
      <c r="B214" s="173" t="s">
        <v>711</v>
      </c>
      <c r="C214" s="203" t="str">
        <f>IF(cluster_wld_domain_chosen&lt;&gt;"MGMT Workload Domain",CONCATENATE(prefix_wld_az1_rack_cidr,"44.115"),CONCATENATE(prefix_mgmt_az1_cidr,"44.115"))</f>
        <v>10.23.44.115</v>
      </c>
      <c r="D214" s="18"/>
      <c r="E214" s="95" t="s">
        <v>497</v>
      </c>
    </row>
    <row r="215" ht="19.5" customHeight="1">
      <c r="B215" s="173" t="s">
        <v>712</v>
      </c>
      <c r="C215" s="203" t="str">
        <f>IF(cluster_wld_domain_chosen&lt;&gt;"MGMT Workload Domain",CONCATENATE(prefix_wld_az1_rack_cidr,"44.116"),CONCATENATE(prefix_mgmt_az1_cidr,"44.116"))</f>
        <v>10.23.44.116</v>
      </c>
      <c r="D215" s="18"/>
      <c r="E215" s="95" t="s">
        <v>498</v>
      </c>
    </row>
    <row r="216" ht="15.75" customHeight="1">
      <c r="B216" s="41"/>
      <c r="C216" s="41"/>
      <c r="D216" s="41"/>
      <c r="E216" s="41"/>
    </row>
    <row r="217" ht="33.75" customHeight="1">
      <c r="B217" s="197" t="s">
        <v>3372</v>
      </c>
      <c r="C217" s="13"/>
      <c r="D217" s="13"/>
      <c r="E217" s="14"/>
    </row>
    <row r="218" ht="19.5" customHeight="1">
      <c r="B218" s="108" t="s">
        <v>256</v>
      </c>
      <c r="C218" s="108" t="s">
        <v>722</v>
      </c>
      <c r="D218" s="108" t="s">
        <v>274</v>
      </c>
      <c r="E218" s="108" t="s">
        <v>462</v>
      </c>
    </row>
    <row r="219" ht="19.5" customHeight="1">
      <c r="B219" s="84" t="s">
        <v>3353</v>
      </c>
      <c r="C219" s="110" t="s">
        <v>715</v>
      </c>
      <c r="D219" s="156" t="s">
        <v>715</v>
      </c>
      <c r="E219" s="84" t="str">
        <f>IF(wld_az1_rack4_reuse_vcf_networkpool_chosen="Re-use an existing  VCF Network Pool","An exisiting VCF Network Pool will be reused for Host TEP assignment","A new VCF Network Pool will be created")</f>
        <v>A new VCF Network Pool will be created</v>
      </c>
    </row>
    <row r="220" ht="19.5" customHeight="1">
      <c r="B220" s="173" t="s">
        <v>716</v>
      </c>
      <c r="C220" s="163" t="str">
        <f>IF(cluster_wld_domain_chosen="VI Workload Domain",CONCATENATE(this_instance,"01-w0",wld_domain_number_chosen,"-r04-network-pool-01"),CONCATENATE(this_instance,"01-m01","-r04-network-pool-01"))</f>
        <v>lax01-w01-r04-network-pool-01</v>
      </c>
      <c r="D220" s="18"/>
      <c r="E220" s="191"/>
    </row>
    <row r="221" ht="19.5" customHeight="1">
      <c r="B221" s="102" t="s">
        <v>407</v>
      </c>
      <c r="C221" s="13"/>
      <c r="D221" s="13"/>
      <c r="E221" s="14"/>
    </row>
    <row r="222" ht="19.5" customHeight="1">
      <c r="B222" s="84" t="s">
        <v>401</v>
      </c>
      <c r="C222" s="110" t="str">
        <f>IF(cluster_wld_domain_chosen&lt;&gt;"MGMT Workload Domain",CONCATENATE(prefix_wld_az1_rack_vlan,"45"),CONCATENATE(prefix_mgmt_az1_vlan,"45"))</f>
        <v>2345</v>
      </c>
      <c r="D222" s="18"/>
      <c r="E222" s="84"/>
    </row>
    <row r="223" ht="19.5" customHeight="1">
      <c r="B223" s="84" t="s">
        <v>404</v>
      </c>
      <c r="C223" s="110">
        <v>9000.0</v>
      </c>
      <c r="D223" s="18"/>
      <c r="E223" s="191"/>
    </row>
    <row r="224" ht="19.5" customHeight="1">
      <c r="B224" s="84" t="s">
        <v>403</v>
      </c>
      <c r="C224" s="203" t="str">
        <f>IF(cluster_wld_domain_chosen&lt;&gt;"MGMT Workload Domain",CONCATENATE(prefix_wld_az1_rack_cidr,"45.0"),CONCATENATE(prefix_mgmt_az1_cidr,"45.0"))</f>
        <v>10.23.45.0</v>
      </c>
      <c r="D224" s="18"/>
      <c r="E224" s="191"/>
    </row>
    <row r="225" ht="19.5" customHeight="1">
      <c r="B225" s="84" t="s">
        <v>743</v>
      </c>
      <c r="C225" s="203" t="s">
        <v>622</v>
      </c>
      <c r="D225" s="18"/>
      <c r="E225" s="191"/>
    </row>
    <row r="226" ht="19.5" customHeight="1">
      <c r="B226" s="84" t="s">
        <v>402</v>
      </c>
      <c r="C226" s="110" t="str">
        <f>IF(cluster_wld_domain_chosen&lt;&gt;"MGMT Workload Domain",CONCATENATE(prefix_wld_az1_rack_cidr,"45.1"),CONCATENATE(prefix_mgmt_az1_cidr,"45.1"))</f>
        <v>10.23.45.1</v>
      </c>
      <c r="D226" s="18"/>
      <c r="E226" s="191"/>
    </row>
    <row r="227" ht="19.5" customHeight="1">
      <c r="B227" s="173" t="s">
        <v>465</v>
      </c>
      <c r="C227" s="110" t="str">
        <f>IF(cluster_wld_domain_chosen&lt;&gt;"MGMT Workload Domain",CONCATENATE(prefix_wld_az1_rack_cidr,"45.101"),CONCATENATE(prefix_mgmt_az1_cidr,"45.101"))</f>
        <v>10.23.45.101</v>
      </c>
      <c r="D227" s="18"/>
      <c r="E227" s="95" t="s">
        <v>3373</v>
      </c>
    </row>
    <row r="228" ht="19.5" customHeight="1">
      <c r="B228" s="173" t="s">
        <v>466</v>
      </c>
      <c r="C228" s="110" t="str">
        <f>IF(cluster_wld_domain_chosen&lt;&gt;"MGMT Workload Domain",CONCATENATE(prefix_wld_az1_rack_cidr,"45.116"),CONCATENATE(prefix_mgmt_az1_cidr,"45.116"))</f>
        <v>10.23.45.116</v>
      </c>
      <c r="D228" s="18"/>
      <c r="E228" s="95" t="s">
        <v>3374</v>
      </c>
    </row>
    <row r="229" ht="19.5" customHeight="1">
      <c r="B229" s="102" t="s">
        <v>410</v>
      </c>
      <c r="C229" s="13"/>
      <c r="D229" s="13"/>
      <c r="E229" s="14"/>
    </row>
    <row r="230" ht="19.5" customHeight="1">
      <c r="B230" s="84" t="s">
        <v>401</v>
      </c>
      <c r="C230" s="110" t="str">
        <f>IF(cluster_wld_domain_chosen&lt;&gt;"MGMT Workload Domain",CONCATENATE(prefix_wld_az1_rack_vlan,"46"),CONCATENATE(prefix_mgmt_az1_vlan,"46"))</f>
        <v>2346</v>
      </c>
      <c r="D230" s="18"/>
      <c r="E230" s="191"/>
    </row>
    <row r="231" ht="19.5" customHeight="1">
      <c r="B231" s="84" t="s">
        <v>404</v>
      </c>
      <c r="C231" s="110">
        <v>9000.0</v>
      </c>
      <c r="D231" s="18"/>
      <c r="E231" s="191"/>
    </row>
    <row r="232" ht="19.5" customHeight="1">
      <c r="B232" s="84" t="s">
        <v>403</v>
      </c>
      <c r="C232" s="203" t="str">
        <f>IF(cluster_wld_domain_chosen&lt;&gt;"MGMT Workload Domain",CONCATENATE(prefix_wld_az1_rack_cidr,"46.0"),CONCATENATE(prefix_mgmt_az1_cidr,"46.0"))</f>
        <v>10.23.46.0</v>
      </c>
      <c r="D232" s="18"/>
      <c r="E232" s="201"/>
    </row>
    <row r="233" ht="19.5" customHeight="1">
      <c r="B233" s="84" t="s">
        <v>743</v>
      </c>
      <c r="C233" s="203" t="s">
        <v>622</v>
      </c>
      <c r="D233" s="18"/>
      <c r="E233" s="191"/>
    </row>
    <row r="234" ht="19.5" customHeight="1">
      <c r="B234" s="84" t="s">
        <v>402</v>
      </c>
      <c r="C234" s="110" t="str">
        <f>IF(cluster_wld_domain_chosen&lt;&gt;"MGMT Workload Domain",CONCATENATE(prefix_wld_az1_rack_cidr,"46.1"),CONCATENATE(prefix_mgmt_az1_cidr,"46.1"))</f>
        <v>10.23.46.1</v>
      </c>
      <c r="D234" s="18"/>
      <c r="E234" s="191" t="str">
        <f>IF(AND(mgmt_stretched_cluster_result="Included",mgmt_dpg_reuse_result="Excluded"),"Stretched L2","")</f>
        <v/>
      </c>
    </row>
    <row r="235" ht="19.5" customHeight="1">
      <c r="B235" s="173" t="s">
        <v>465</v>
      </c>
      <c r="C235" s="110" t="str">
        <f>IF(cluster_wld_domain_chosen&lt;&gt;"MGMT Workload Domain",CONCATENATE(prefix_wld_az1_rack_cidr,"46.101"),CONCATENATE(prefix_mgmt_az1_cidr,"46.101"))</f>
        <v>10.23.46.101</v>
      </c>
      <c r="D235" s="18"/>
      <c r="E235" s="95" t="s">
        <v>3356</v>
      </c>
    </row>
    <row r="236" ht="19.5" customHeight="1">
      <c r="B236" s="173" t="s">
        <v>466</v>
      </c>
      <c r="C236" s="110" t="str">
        <f>IF(cluster_wld_domain_chosen&lt;&gt;"MGMT Workload Domain",CONCATENATE(prefix_wld_az1_rack_cidr,"46.116"),CONCATENATE(prefix_mgmt_az1_cidr,"46.116"))</f>
        <v>10.23.46.116</v>
      </c>
      <c r="D236" s="18"/>
      <c r="E236" s="95" t="s">
        <v>3357</v>
      </c>
    </row>
    <row r="237" ht="15.75" customHeight="1">
      <c r="B237" s="41"/>
      <c r="C237" s="41"/>
      <c r="D237" s="41"/>
      <c r="E237" s="41"/>
    </row>
    <row r="238" ht="33.75" customHeight="1">
      <c r="B238" s="197" t="s">
        <v>3375</v>
      </c>
      <c r="C238" s="13"/>
      <c r="D238" s="13"/>
      <c r="E238" s="14"/>
    </row>
    <row r="239" ht="19.5" customHeight="1">
      <c r="B239" s="108" t="s">
        <v>256</v>
      </c>
      <c r="C239" s="108" t="s">
        <v>722</v>
      </c>
      <c r="D239" s="108" t="s">
        <v>274</v>
      </c>
      <c r="E239" s="108" t="s">
        <v>462</v>
      </c>
    </row>
    <row r="240" ht="19.5" customHeight="1">
      <c r="B240" s="173" t="s">
        <v>697</v>
      </c>
      <c r="C240" s="188" t="str">
        <f>IF(cluster_wld_domain_chosen&lt;&gt;"MGMT Workload Domain",CONCATENATE(this_instance,"01-w0",wld_domain_number_chosen,"-r04-esx01",".",sample_child_dns_zone),CONCATENATE(this_instance,"01-m01-r04-esx01",".",sample_child_dns_zone))</f>
        <v>lax01-w01-r04-esx01.lax.rainpole.io</v>
      </c>
      <c r="D240" s="18"/>
      <c r="E240" s="191"/>
    </row>
    <row r="241" ht="19.5" customHeight="1">
      <c r="B241" s="173" t="s">
        <v>698</v>
      </c>
      <c r="C241" s="188" t="str">
        <f>IF(cluster_wld_domain_chosen&lt;&gt;"MGMT Workload Domain",CONCATENATE(this_instance,"01-w0",wld_domain_number_chosen,"-r04-esx02",".",sample_child_dns_zone),CONCATENATE(this_instance,"01-m01-r04-esx02",".",sample_child_dns_zone))</f>
        <v>lax01-w01-r04-esx02.lax.rainpole.io</v>
      </c>
      <c r="D241" s="18"/>
      <c r="E241" s="191"/>
    </row>
    <row r="242" ht="19.5" customHeight="1">
      <c r="B242" s="173" t="s">
        <v>699</v>
      </c>
      <c r="C242" s="188" t="str">
        <f>IF(cluster_wld_domain_chosen&lt;&gt;"MGMT Workload Domain",CONCATENATE(this_instance,"01-w0",wld_domain_number_chosen,"-r04-esx03",".",sample_child_dns_zone),CONCATENATE(this_instance,"01-m01-r04-esx03",".",sample_child_dns_zone))</f>
        <v>lax01-w01-r04-esx03.lax.rainpole.io</v>
      </c>
      <c r="D242" s="18"/>
      <c r="E242" s="191"/>
    </row>
    <row r="243" ht="19.5" customHeight="1">
      <c r="B243" s="173" t="s">
        <v>700</v>
      </c>
      <c r="C243" s="188" t="str">
        <f>IF(cluster_wld_domain_chosen&lt;&gt;"MGMT Workload Domain",CONCATENATE(this_instance,"01-w0",wld_domain_number_chosen,"-r04-esx04",".",sample_child_dns_zone),CONCATENATE(this_instance,"01-m01-r04-esx04",".",sample_child_dns_zone))</f>
        <v>lax01-w01-r04-esx04.lax.rainpole.io</v>
      </c>
      <c r="D243" s="18"/>
      <c r="E243" s="191"/>
    </row>
    <row r="244" ht="19.5" customHeight="1">
      <c r="B244" s="173" t="s">
        <v>701</v>
      </c>
      <c r="C244" s="188" t="str">
        <f>IF(cluster_wld_domain_chosen&lt;&gt;"MGMT Workload Domain",CONCATENATE(this_instance,"01-w0",wld_domain_number_chosen,"-r04-esx05",".",sample_child_dns_zone),CONCATENATE(this_instance,"01-m01-r04-esx05",".",sample_child_dns_zone))</f>
        <v>lax01-w01-r04-esx05.lax.rainpole.io</v>
      </c>
      <c r="D244" s="18"/>
      <c r="E244" s="191"/>
    </row>
    <row r="245" ht="19.5" customHeight="1">
      <c r="B245" s="173" t="s">
        <v>702</v>
      </c>
      <c r="C245" s="188" t="str">
        <f>IF(cluster_wld_domain_chosen&lt;&gt;"MGMT Workload Domain",CONCATENATE(this_instance,"01-w0",wld_domain_number_chosen,"-r04-esx06",".",sample_child_dns_zone),CONCATENATE(this_instance,"01-m01-r04-esx06",".",sample_child_dns_zone))</f>
        <v>lax01-w01-r04-esx06.lax.rainpole.io</v>
      </c>
      <c r="D245" s="18"/>
      <c r="E245" s="191"/>
    </row>
    <row r="246" ht="19.5" customHeight="1">
      <c r="B246" s="173" t="s">
        <v>703</v>
      </c>
      <c r="C246" s="188" t="str">
        <f>IF(cluster_wld_domain_chosen&lt;&gt;"MGMT Workload Domain",CONCATENATE(this_instance,"01-w0",wld_domain_number_chosen,"-r04-esx07",".",sample_child_dns_zone),CONCATENATE(this_instance,"01-m01-r04-esx07",".",sample_child_dns_zone))</f>
        <v>lax01-w01-r04-esx07.lax.rainpole.io</v>
      </c>
      <c r="D246" s="18"/>
      <c r="E246" s="191"/>
    </row>
    <row r="247" ht="19.5" customHeight="1">
      <c r="B247" s="173" t="s">
        <v>704</v>
      </c>
      <c r="C247" s="188" t="str">
        <f>IF(cluster_wld_domain_chosen&lt;&gt;"MGMT Workload Domain",CONCATENATE(this_instance,"01-w0",wld_domain_number_chosen,"-r04-esx08",".",sample_child_dns_zone),CONCATENATE(this_instance,"01-m01-r04-esx08",".",sample_child_dns_zone))</f>
        <v>lax01-w01-r04-esx08.lax.rainpole.io</v>
      </c>
      <c r="D247" s="18"/>
      <c r="E247" s="191"/>
    </row>
    <row r="248" ht="19.5" customHeight="1">
      <c r="B248" s="173" t="s">
        <v>705</v>
      </c>
      <c r="C248" s="188" t="str">
        <f>IF(cluster_wld_domain_chosen&lt;&gt;"MGMT Workload Domain",CONCATENATE(this_instance,"01-w0",wld_domain_number_chosen,"-r04-esx09",".",sample_child_dns_zone),CONCATENATE(this_instance,"01-m01-r04-esx09",".",sample_child_dns_zone))</f>
        <v>lax01-w01-r04-esx09.lax.rainpole.io</v>
      </c>
      <c r="D248" s="18"/>
      <c r="E248" s="191"/>
    </row>
    <row r="249" ht="19.5" customHeight="1">
      <c r="B249" s="173" t="s">
        <v>706</v>
      </c>
      <c r="C249" s="188" t="str">
        <f>IF(cluster_wld_domain_chosen&lt;&gt;"MGMT Workload Domain",CONCATENATE(this_instance,"01-w0",wld_domain_number_chosen,"-r04-esx10",".",sample_child_dns_zone),CONCATENATE(this_instance,"01-m01-r04-esx10",".",sample_child_dns_zone))</f>
        <v>lax01-w01-r04-esx10.lax.rainpole.io</v>
      </c>
      <c r="D249" s="18"/>
      <c r="E249" s="191"/>
    </row>
    <row r="250" ht="19.5" customHeight="1">
      <c r="B250" s="173" t="s">
        <v>707</v>
      </c>
      <c r="C250" s="188" t="str">
        <f>IF(cluster_wld_domain_chosen&lt;&gt;"MGMT Workload Domain",CONCATENATE(this_instance,"01-w0",wld_domain_number_chosen,"-r04-esx11",".",sample_child_dns_zone),CONCATENATE(this_instance,"01-m01-r04-esx11",".",sample_child_dns_zone))</f>
        <v>lax01-w01-r04-esx11.lax.rainpole.io</v>
      </c>
      <c r="D250" s="18"/>
      <c r="E250" s="191"/>
    </row>
    <row r="251" ht="19.5" customHeight="1">
      <c r="B251" s="173" t="s">
        <v>708</v>
      </c>
      <c r="C251" s="188" t="str">
        <f>IF(cluster_wld_domain_chosen&lt;&gt;"MGMT Workload Domain",CONCATENATE(this_instance,"01-w0",wld_domain_number_chosen,"-r04-esx12",".",sample_child_dns_zone),CONCATENATE(this_instance,"01-m01-r04-esx12",".",sample_child_dns_zone))</f>
        <v>lax01-w01-r04-esx12.lax.rainpole.io</v>
      </c>
      <c r="D251" s="18"/>
      <c r="E251" s="191"/>
    </row>
    <row r="252" ht="19.5" customHeight="1">
      <c r="B252" s="173" t="s">
        <v>709</v>
      </c>
      <c r="C252" s="188" t="str">
        <f>IF(cluster_wld_domain_chosen&lt;&gt;"MGMT Workload Domain",CONCATENATE(this_instance,"01-w0",wld_domain_number_chosen,"-r04-esx13",".",sample_child_dns_zone),CONCATENATE(this_instance,"01-m01-r04-esx13",".",sample_child_dns_zone))</f>
        <v>lax01-w01-r04-esx13.lax.rainpole.io</v>
      </c>
      <c r="D252" s="18"/>
      <c r="E252" s="191"/>
    </row>
    <row r="253" ht="19.5" customHeight="1">
      <c r="B253" s="173" t="s">
        <v>710</v>
      </c>
      <c r="C253" s="188" t="str">
        <f>IF(cluster_wld_domain_chosen&lt;&gt;"MGMT Workload Domain",CONCATENATE(this_instance,"01-w0",wld_domain_number_chosen,"-r04-esx14",".",sample_child_dns_zone),CONCATENATE(this_instance,"01-m01-r04-esx14",".",sample_child_dns_zone))</f>
        <v>lax01-w01-r04-esx14.lax.rainpole.io</v>
      </c>
      <c r="D253" s="18"/>
      <c r="E253" s="191"/>
    </row>
    <row r="254" ht="19.5" customHeight="1">
      <c r="B254" s="173" t="s">
        <v>711</v>
      </c>
      <c r="C254" s="188" t="str">
        <f>IF(cluster_wld_domain_chosen&lt;&gt;"MGMT Workload Domain",CONCATENATE(this_instance,"01-w0",wld_domain_number_chosen,"-r04-esx14",".",sample_child_dns_zone),CONCATENATE(this_instance,"01-m01-r04-esx15",".",sample_child_dns_zone))</f>
        <v>lax01-w01-r04-esx14.lax.rainpole.io</v>
      </c>
      <c r="D254" s="18"/>
      <c r="E254" s="191"/>
    </row>
    <row r="255" ht="19.5" customHeight="1">
      <c r="B255" s="173" t="s">
        <v>712</v>
      </c>
      <c r="C255" s="188" t="str">
        <f>IF(cluster_wld_domain_chosen&lt;&gt;"MGMT Workload Domain",CONCATENATE(this_instance,"01-w0",wld_domain_number_chosen,"-r04-esx16",".",sample_child_dns_zone),CONCATENATE(this_instance,"01-m01-r04-esx16",".",sample_child_dns_zone))</f>
        <v>lax01-w01-r04-esx16.lax.rainpole.io</v>
      </c>
      <c r="D255" s="18"/>
      <c r="E255" s="191"/>
    </row>
    <row r="256" ht="19.5" customHeight="1">
      <c r="B256" s="173" t="s">
        <v>723</v>
      </c>
      <c r="C256" s="203" t="s">
        <v>370</v>
      </c>
      <c r="D256" s="18" t="s">
        <v>724</v>
      </c>
      <c r="E256" s="191"/>
    </row>
    <row r="257" ht="19.5" customHeight="1">
      <c r="B257" s="173" t="s">
        <v>725</v>
      </c>
      <c r="C257" s="203" t="s">
        <v>726</v>
      </c>
      <c r="D257" s="1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257" s="84"/>
    </row>
    <row r="258" ht="19.5" customHeight="1">
      <c r="B258" s="173" t="s">
        <v>727</v>
      </c>
      <c r="C258" s="203" t="s">
        <v>285</v>
      </c>
      <c r="D258" s="18" t="str">
        <f>IF(AND(vcf_granular_option_chosen="Create Cluster",cluster_principal_storage_chosen="vSAN-ESA"),"Selected",
IF(AND(vcf_granular_option_chosen="Create VI Workload Domain",wld_principal_storage_chosen="vSAN-ESA"),"Selected","Unselected"))</f>
        <v>Unselected</v>
      </c>
      <c r="E258" s="191"/>
    </row>
    <row r="259" ht="19.5" customHeight="1">
      <c r="B259" s="173" t="s">
        <v>716</v>
      </c>
      <c r="C259" s="203" t="str">
        <f>sample_wld_az1_rack4_pool_name</f>
        <v>lax01-w01-r04-network-pool-01</v>
      </c>
      <c r="D259" s="18" t="str">
        <f>wld_az1_rack4_pool_name</f>
        <v>Value Missing</v>
      </c>
      <c r="E259" s="191"/>
    </row>
    <row r="260" ht="19.5" customHeight="1">
      <c r="B260" s="173" t="s">
        <v>545</v>
      </c>
      <c r="C260" s="203" t="s">
        <v>728</v>
      </c>
      <c r="D260" s="1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260" s="191"/>
    </row>
    <row r="261" ht="19.5" customHeight="1">
      <c r="B261" s="173" t="s">
        <v>296</v>
      </c>
      <c r="C261" s="203" t="s">
        <v>382</v>
      </c>
      <c r="D261" s="1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261" s="191"/>
    </row>
    <row r="262" ht="15.75" customHeight="1"/>
    <row r="263" ht="33.75" customHeight="1">
      <c r="B263" s="197" t="s">
        <v>3376</v>
      </c>
      <c r="C263" s="13"/>
      <c r="D263" s="13"/>
      <c r="E263" s="14"/>
    </row>
    <row r="264" ht="19.5" customHeight="1">
      <c r="B264" s="84" t="s">
        <v>795</v>
      </c>
      <c r="C264" s="163" t="str">
        <f>IF(vcf_granular_option_chosen="Create Cluster",CONCATENATE(this_instance,"01-",sample_cluster_name,"-r04-network-profile"),
IF(cluster_wld_domain_chosen="VI Workload Domain",CONCATENATE(this_instance,"01-",sample_wld_cl01_cluster,"-r04-network-profile"),
CONCATENATE(this_instance,"01-",sample_mgmt_cl01_cluster,"-r04-network-profile")))</f>
        <v>lax01-lax-w01-cl01-r04-network-profile</v>
      </c>
      <c r="D264" s="18"/>
      <c r="E264" s="156"/>
    </row>
    <row r="265" ht="19.5" customHeight="1">
      <c r="B265" s="84" t="s">
        <v>3360</v>
      </c>
      <c r="C265" s="110" t="s">
        <v>797</v>
      </c>
      <c r="D265" s="156" t="s">
        <v>797</v>
      </c>
      <c r="E265" s="84" t="str">
        <f>IF(wld_az1_rack4_host_overlay_new_pool_chosen="Re-use an existing Pool","An exisitng Pool will be reused for Host TEP assignment","A new Pool will be created for Host TEP assignment")</f>
        <v>A new Pool will be created for Host TEP assignment</v>
      </c>
    </row>
    <row r="266" ht="19.5" customHeight="1">
      <c r="B266" s="84" t="s">
        <v>798</v>
      </c>
      <c r="C266" s="163" t="str">
        <f>IF(cluster_wld_domain_chosen="VI Workload Domain",CONCATENATE(this_instance,"01-w0",wld_domain_number_chosen,"-r04-ip-pool01-host"),CONCATENATE(this_instance,"01-m01","-r04-ip-pool01-host"))</f>
        <v>lax01-w01-r04-ip-pool01-host</v>
      </c>
      <c r="D266" s="18"/>
      <c r="E266" s="156"/>
    </row>
    <row r="267" ht="19.5" customHeight="1">
      <c r="B267" s="84" t="s">
        <v>799</v>
      </c>
      <c r="C267" s="163" t="str">
        <f>IF(cluster_wld_domain_chosen="VI Workload Domain",CONCATENATE(this_instance,"01-w0",wld_domain_number_chosen,"-r04-uplink-profile01"),CONCATENATE(this_instance,"01-m01","-r04-uplink-profile01"))</f>
        <v>lax01-w01-r04-uplink-profile01</v>
      </c>
      <c r="D267" s="18"/>
      <c r="E267" s="156"/>
    </row>
    <row r="268" ht="19.5" customHeight="1">
      <c r="B268" s="84" t="s">
        <v>3361</v>
      </c>
      <c r="C268" s="163" t="str">
        <f>IF(cluster_wld_domain_chosen="VI Workload Domain",CONCATENATE(this_instance,"01-w0",wld_domain_number_chosen,"-r04-ip-pool02-edge"),CONCATENATE(this_instance,"01-m01","-r04-ip-pool02-edge"))</f>
        <v>lax01-w01-r04-ip-pool02-edge</v>
      </c>
      <c r="D268" s="18"/>
      <c r="E268" s="156"/>
    </row>
    <row r="269" ht="19.5" customHeight="1">
      <c r="B269" s="84" t="s">
        <v>3362</v>
      </c>
      <c r="C269" s="163" t="str">
        <f>IF(cluster_wld_domain_chosen="VI Workload Domain",CONCATENATE(this_instance,"01-w0",wld_domain_number_chosen,"-r02-ip-pool04-rtep"),CONCATENATE(this_instance,"01-m01","-r04-ip-pool03-rtep"))</f>
        <v>lax01-w01-r02-ip-pool04-rtep</v>
      </c>
      <c r="D269" s="18"/>
      <c r="E269" s="156"/>
    </row>
    <row r="270" ht="19.5" customHeight="1">
      <c r="B270" s="102" t="s">
        <v>367</v>
      </c>
      <c r="C270" s="13"/>
      <c r="D270" s="13"/>
      <c r="E270" s="14"/>
    </row>
    <row r="271" ht="19.5" customHeight="1">
      <c r="B271" s="49" t="s">
        <v>256</v>
      </c>
      <c r="C271" s="49" t="s">
        <v>722</v>
      </c>
      <c r="D271" s="370" t="s">
        <v>274</v>
      </c>
      <c r="E271" s="49" t="s">
        <v>5</v>
      </c>
    </row>
    <row r="272" ht="19.5" customHeight="1">
      <c r="B272" s="84" t="s">
        <v>1873</v>
      </c>
      <c r="C272" s="156" t="str">
        <f>IF(cluster_wld_domain_chosen&lt;&gt;"MGMT Workload Domain",CONCATENATE(this_instance,"-w0",wld_domain_number_chosen,"-r04","-vsan-fault-domain"),CONCATENATE(this_instance,"-m01","-r04","-vsan-fault-domain"))</f>
        <v>lax-w01-r04-vsan-fault-domain</v>
      </c>
      <c r="D272" s="18"/>
      <c r="E272" s="18"/>
    </row>
    <row r="273" ht="15.75" customHeight="1"/>
    <row r="274" ht="33.75" customHeight="1">
      <c r="B274" s="197" t="s">
        <v>3377</v>
      </c>
      <c r="C274" s="13"/>
      <c r="D274" s="13"/>
      <c r="E274" s="14"/>
    </row>
    <row r="275" ht="19.5" customHeight="1">
      <c r="B275" s="108" t="s">
        <v>256</v>
      </c>
      <c r="C275" s="108" t="s">
        <v>722</v>
      </c>
      <c r="D275" s="108" t="s">
        <v>274</v>
      </c>
      <c r="E275" s="108" t="s">
        <v>5</v>
      </c>
    </row>
    <row r="276" ht="19.5" customHeight="1">
      <c r="B276" s="102" t="s">
        <v>472</v>
      </c>
      <c r="C276" s="13"/>
      <c r="D276" s="13"/>
      <c r="E276" s="14"/>
    </row>
    <row r="277" ht="19.5" customHeight="1">
      <c r="B277" s="84" t="s">
        <v>401</v>
      </c>
      <c r="C277" s="110" t="str">
        <f>IF(cluster_wld_domain_chosen&lt;&gt;"MGMT Workload Domain",CONCATENATE(prefix_wld_az1_rack_vlan,"47"),CONCATENATE(prefix_mgmt_az1_vlan,"47"))</f>
        <v>2347</v>
      </c>
      <c r="D277" s="18"/>
      <c r="E277" s="84"/>
    </row>
    <row r="278" ht="19.5" customHeight="1">
      <c r="B278" s="84" t="s">
        <v>404</v>
      </c>
      <c r="C278" s="110">
        <v>9000.0</v>
      </c>
      <c r="D278" s="18"/>
      <c r="E278" s="191"/>
    </row>
    <row r="279" ht="19.5" customHeight="1">
      <c r="B279" s="84" t="s">
        <v>403</v>
      </c>
      <c r="C279" s="110" t="str">
        <f>IF(cluster_wld_domain_chosen&lt;&gt;"MGMT Workload Domain",CONCATENATE(prefix_wld_az1_rack_cidr,"47.0"),CONCATENATE(prefix_mgmt_az1_cidr,"47.0"))</f>
        <v>10.23.47.0</v>
      </c>
      <c r="D279" s="18"/>
      <c r="E279" s="191"/>
    </row>
    <row r="280" ht="19.5" customHeight="1">
      <c r="B280" s="84" t="s">
        <v>743</v>
      </c>
      <c r="C280" s="203" t="s">
        <v>622</v>
      </c>
      <c r="D280" s="18"/>
      <c r="E280" s="191"/>
    </row>
    <row r="281" ht="19.5" customHeight="1">
      <c r="B281" s="84" t="s">
        <v>402</v>
      </c>
      <c r="C281" s="110" t="str">
        <f>IF(cluster_wld_domain_chosen&lt;&gt;"MGMT Workload Domain",CONCATENATE(prefix_wld_az1_rack_cidr,"47.1"),CONCATENATE(prefix_mgmt_az1_cidr,"47.1"))</f>
        <v>10.23.47.1</v>
      </c>
      <c r="D281" s="18"/>
      <c r="E281" s="191"/>
    </row>
    <row r="282" ht="19.5" customHeight="1">
      <c r="B282" s="173" t="s">
        <v>465</v>
      </c>
      <c r="C282" s="110" t="str">
        <f>IF(cluster_wld_domain_chosen&lt;&gt;"MGMT Workload Domain",CONCATENATE(prefix_wld_az1_rack_cidr,"47.101"),CONCATENATE(prefix_mgmt_az1_cidr,"47.101"))</f>
        <v>10.23.47.101</v>
      </c>
      <c r="D282" s="18"/>
      <c r="E282" s="95" t="s">
        <v>3364</v>
      </c>
    </row>
    <row r="283" ht="19.5" customHeight="1">
      <c r="B283" s="173" t="s">
        <v>466</v>
      </c>
      <c r="C283" s="110" t="str">
        <f>IF(cluster_wld_domain_chosen&lt;&gt;"MGMT Workload Domain",CONCATENATE(prefix_wld_az1_rack_cidr,"47.132"),CONCATENATE(prefix_mgmt_az1_cidr,"47.132"))</f>
        <v>10.23.47.132</v>
      </c>
      <c r="D283" s="18"/>
      <c r="E283" s="95" t="s">
        <v>3378</v>
      </c>
    </row>
    <row r="284" ht="15.75" customHeight="1"/>
    <row r="285" ht="33.75" customHeight="1">
      <c r="B285" s="197" t="s">
        <v>3379</v>
      </c>
      <c r="C285" s="13"/>
      <c r="D285" s="13"/>
      <c r="E285" s="14"/>
    </row>
    <row r="286" ht="19.5" customHeight="1">
      <c r="B286" s="108" t="s">
        <v>256</v>
      </c>
      <c r="C286" s="108" t="s">
        <v>722</v>
      </c>
      <c r="D286" s="108" t="s">
        <v>274</v>
      </c>
      <c r="E286" s="108" t="s">
        <v>462</v>
      </c>
    </row>
    <row r="287" ht="19.5" customHeight="1">
      <c r="B287" s="102" t="s">
        <v>400</v>
      </c>
      <c r="C287" s="13"/>
      <c r="D287" s="13"/>
      <c r="E287" s="14"/>
    </row>
    <row r="288" ht="19.5" customHeight="1">
      <c r="B288" s="84" t="s">
        <v>401</v>
      </c>
      <c r="C288" s="110" t="str">
        <f>IF(cluster_wld_domain_chosen&lt;&gt;"MGMT Workload Domain",CONCATENATE(prefix_wld_az1_rack_vlan,"55"),CONCATENATE(prefix_mgmt_az1_vlan,"55"))</f>
        <v>2355</v>
      </c>
      <c r="D288" s="18"/>
      <c r="E288" s="84"/>
    </row>
    <row r="289" ht="19.5" customHeight="1">
      <c r="B289" s="84" t="s">
        <v>402</v>
      </c>
      <c r="C289" s="110" t="str">
        <f>IF(cluster_wld_domain_chosen&lt;&gt;"MGMT Workload Domain",CONCATENATE(prefix_wld_az1_rack_cidr,"55.1"),CONCATENATE(prefix_mgmt_az1_cidr,"55.1"))</f>
        <v>10.23.55.1</v>
      </c>
      <c r="D289" s="18"/>
      <c r="E289" s="191"/>
    </row>
    <row r="290" ht="19.5" customHeight="1">
      <c r="B290" s="84" t="s">
        <v>403</v>
      </c>
      <c r="C290" s="110" t="str">
        <f>IF(cluster_wld_domain_chosen&lt;&gt;"MGMT Workload Domain",CONCATENATE(prefix_wld_az1_rack_cidr,"55.0/24"),CONCATENATE(prefix_mgmt_az1_cidr,"55.0/24"))</f>
        <v>10.23.55.0/24</v>
      </c>
      <c r="D290" s="18"/>
      <c r="E290" s="191"/>
    </row>
    <row r="291" ht="19.5" customHeight="1">
      <c r="B291" s="84" t="s">
        <v>404</v>
      </c>
      <c r="C291" s="110">
        <v>1500.0</v>
      </c>
      <c r="D291" s="18"/>
      <c r="E291" s="191"/>
    </row>
    <row r="292" ht="19.5" customHeight="1">
      <c r="B292" s="17" t="s">
        <v>481</v>
      </c>
      <c r="C292" s="13"/>
      <c r="D292" s="13"/>
      <c r="E292" s="14"/>
    </row>
    <row r="293" ht="19.5" customHeight="1">
      <c r="B293" s="173" t="s">
        <v>697</v>
      </c>
      <c r="C293" s="203" t="str">
        <f>IF(cluster_wld_domain_chosen&lt;&gt;"MGMT Workload Domain",CONCATENATE(prefix_wld_az1_rack_cidr,"55.101"),CONCATENATE(prefix_mgmt_az1_cidr,"55.101"))</f>
        <v>10.23.55.101</v>
      </c>
      <c r="D293" s="18"/>
      <c r="E293" s="95" t="s">
        <v>482</v>
      </c>
    </row>
    <row r="294" ht="19.5" customHeight="1">
      <c r="B294" s="173" t="s">
        <v>698</v>
      </c>
      <c r="C294" s="203" t="str">
        <f>IF(cluster_wld_domain_chosen&lt;&gt;"MGMT Workload Domain",CONCATENATE(prefix_wld_az1_rack_cidr,"55.102"),CONCATENATE(prefix_mgmt_az1_cidr,"55.102"))</f>
        <v>10.23.55.102</v>
      </c>
      <c r="D294" s="18"/>
      <c r="E294" s="95" t="s">
        <v>484</v>
      </c>
    </row>
    <row r="295" ht="19.5" customHeight="1">
      <c r="B295" s="173" t="s">
        <v>699</v>
      </c>
      <c r="C295" s="203" t="str">
        <f>IF(cluster_wld_domain_chosen&lt;&gt;"MGMT Workload Domain",CONCATENATE(prefix_wld_az1_rack_cidr,"55.103"),CONCATENATE(prefix_mgmt_az1_cidr,"55.103"))</f>
        <v>10.23.55.103</v>
      </c>
      <c r="D295" s="18"/>
      <c r="E295" s="95" t="s">
        <v>485</v>
      </c>
    </row>
    <row r="296" ht="19.5" customHeight="1">
      <c r="B296" s="173" t="s">
        <v>700</v>
      </c>
      <c r="C296" s="203" t="str">
        <f>IF(cluster_wld_domain_chosen&lt;&gt;"MGMT Workload Domain",CONCATENATE(prefix_wld_az1_rack_cidr,"55.104"),CONCATENATE(prefix_mgmt_az1_cidr,"55.104"))</f>
        <v>10.23.55.104</v>
      </c>
      <c r="D296" s="18"/>
      <c r="E296" s="95" t="s">
        <v>486</v>
      </c>
    </row>
    <row r="297" ht="19.5" customHeight="1">
      <c r="B297" s="173" t="s">
        <v>701</v>
      </c>
      <c r="C297" s="203" t="str">
        <f>IF(cluster_wld_domain_chosen&lt;&gt;"MGMT Workload Domain",CONCATENATE(prefix_wld_az1_rack_cidr,"55.105"),CONCATENATE(prefix_mgmt_az1_cidr,"55.105"))</f>
        <v>10.23.55.105</v>
      </c>
      <c r="D297" s="18"/>
      <c r="E297" s="95" t="s">
        <v>487</v>
      </c>
    </row>
    <row r="298" ht="19.5" customHeight="1">
      <c r="B298" s="173" t="s">
        <v>702</v>
      </c>
      <c r="C298" s="203" t="str">
        <f>IF(cluster_wld_domain_chosen&lt;&gt;"MGMT Workload Domain",CONCATENATE(prefix_wld_az1_rack_cidr,"55.106"),CONCATENATE(prefix_mgmt_az1_cidr,"55.106"))</f>
        <v>10.23.55.106</v>
      </c>
      <c r="D298" s="18"/>
      <c r="E298" s="95" t="s">
        <v>488</v>
      </c>
    </row>
    <row r="299" ht="19.5" customHeight="1">
      <c r="B299" s="173" t="s">
        <v>703</v>
      </c>
      <c r="C299" s="203" t="str">
        <f>IF(cluster_wld_domain_chosen&lt;&gt;"MGMT Workload Domain",CONCATENATE(prefix_wld_az1_rack_cidr,"55.107"),CONCATENATE(prefix_mgmt_az1_cidr,"55.107"))</f>
        <v>10.23.55.107</v>
      </c>
      <c r="D299" s="18"/>
      <c r="E299" s="95" t="s">
        <v>489</v>
      </c>
    </row>
    <row r="300" ht="19.5" customHeight="1">
      <c r="B300" s="173" t="s">
        <v>704</v>
      </c>
      <c r="C300" s="203" t="str">
        <f>IF(cluster_wld_domain_chosen&lt;&gt;"MGMT Workload Domain",CONCATENATE(prefix_wld_az1_rack_cidr,"55.108"),CONCATENATE(prefix_mgmt_az1_cidr,"55.108"))</f>
        <v>10.23.55.108</v>
      </c>
      <c r="D300" s="18"/>
      <c r="E300" s="95" t="s">
        <v>490</v>
      </c>
    </row>
    <row r="301" ht="19.5" customHeight="1">
      <c r="B301" s="173" t="s">
        <v>705</v>
      </c>
      <c r="C301" s="203" t="str">
        <f>IF(cluster_wld_domain_chosen&lt;&gt;"MGMT Workload Domain",CONCATENATE(prefix_wld_az1_rack_cidr,"55.109"),CONCATENATE(prefix_mgmt_az1_cidr,"55.109"))</f>
        <v>10.23.55.109</v>
      </c>
      <c r="D301" s="18"/>
      <c r="E301" s="95" t="s">
        <v>491</v>
      </c>
    </row>
    <row r="302" ht="19.5" customHeight="1">
      <c r="B302" s="173" t="s">
        <v>706</v>
      </c>
      <c r="C302" s="203" t="str">
        <f>IF(cluster_wld_domain_chosen&lt;&gt;"MGMT Workload Domain",CONCATENATE(prefix_wld_az1_rack_cidr,"55.110"),CONCATENATE(prefix_mgmt_az1_cidr,"55.110"))</f>
        <v>10.23.55.110</v>
      </c>
      <c r="D302" s="18"/>
      <c r="E302" s="95" t="s">
        <v>492</v>
      </c>
    </row>
    <row r="303" ht="19.5" customHeight="1">
      <c r="B303" s="173" t="s">
        <v>707</v>
      </c>
      <c r="C303" s="203" t="str">
        <f>IF(cluster_wld_domain_chosen&lt;&gt;"MGMT Workload Domain",CONCATENATE(prefix_wld_az1_rack_cidr,"55.111"),CONCATENATE(prefix_mgmt_az1_cidr,"55.111"))</f>
        <v>10.23.55.111</v>
      </c>
      <c r="D303" s="18"/>
      <c r="E303" s="95" t="s">
        <v>493</v>
      </c>
    </row>
    <row r="304" ht="19.5" customHeight="1">
      <c r="B304" s="173" t="s">
        <v>708</v>
      </c>
      <c r="C304" s="203" t="str">
        <f>IF(cluster_wld_domain_chosen&lt;&gt;"MGMT Workload Domain",CONCATENATE(prefix_wld_az1_rack_cidr,"55.112"),CONCATENATE(prefix_mgmt_az1_cidr,"55.112"))</f>
        <v>10.23.55.112</v>
      </c>
      <c r="D304" s="18"/>
      <c r="E304" s="95" t="s">
        <v>494</v>
      </c>
    </row>
    <row r="305" ht="19.5" customHeight="1">
      <c r="B305" s="173" t="s">
        <v>709</v>
      </c>
      <c r="C305" s="203" t="str">
        <f>IF(cluster_wld_domain_chosen&lt;&gt;"MGMT Workload Domain",CONCATENATE(prefix_wld_az1_rack_cidr,"55.113"),CONCATENATE(prefix_mgmt_az1_cidr,"55.113"))</f>
        <v>10.23.55.113</v>
      </c>
      <c r="D305" s="18"/>
      <c r="E305" s="95" t="s">
        <v>495</v>
      </c>
    </row>
    <row r="306" ht="19.5" customHeight="1">
      <c r="B306" s="173" t="s">
        <v>710</v>
      </c>
      <c r="C306" s="203" t="str">
        <f>IF(cluster_wld_domain_chosen&lt;&gt;"MGMT Workload Domain",CONCATENATE(prefix_wld_az1_rack_cidr,"55.114"),CONCATENATE(prefix_mgmt_az1_cidr,"55.114"))</f>
        <v>10.23.55.114</v>
      </c>
      <c r="D306" s="18"/>
      <c r="E306" s="95" t="s">
        <v>496</v>
      </c>
    </row>
    <row r="307" ht="19.5" customHeight="1">
      <c r="B307" s="173" t="s">
        <v>711</v>
      </c>
      <c r="C307" s="203" t="str">
        <f>IF(cluster_wld_domain_chosen&lt;&gt;"MGMT Workload Domain",CONCATENATE(prefix_wld_az1_rack_cidr,"55.115"),CONCATENATE(prefix_mgmt_az1_cidr,"55.115"))</f>
        <v>10.23.55.115</v>
      </c>
      <c r="D307" s="18"/>
      <c r="E307" s="95" t="s">
        <v>497</v>
      </c>
    </row>
    <row r="308" ht="19.5" customHeight="1">
      <c r="B308" s="173" t="s">
        <v>712</v>
      </c>
      <c r="C308" s="203" t="str">
        <f>IF(cluster_wld_domain_chosen&lt;&gt;"MGMT Workload Domain",CONCATENATE(prefix_wld_az1_rack_cidr,"55.116"),CONCATENATE(prefix_mgmt_az1_cidr,"55.116"))</f>
        <v>10.23.55.116</v>
      </c>
      <c r="D308" s="18"/>
      <c r="E308" s="95" t="s">
        <v>498</v>
      </c>
    </row>
    <row r="309" ht="15.75" customHeight="1">
      <c r="B309" s="41"/>
      <c r="C309" s="41"/>
      <c r="D309" s="41"/>
      <c r="E309" s="41"/>
    </row>
    <row r="310" ht="33.75" customHeight="1">
      <c r="B310" s="197" t="s">
        <v>3380</v>
      </c>
      <c r="C310" s="13"/>
      <c r="D310" s="13"/>
      <c r="E310" s="14"/>
    </row>
    <row r="311" ht="19.5" customHeight="1">
      <c r="B311" s="108" t="s">
        <v>256</v>
      </c>
      <c r="C311" s="108" t="s">
        <v>722</v>
      </c>
      <c r="D311" s="108" t="s">
        <v>274</v>
      </c>
      <c r="E311" s="108" t="s">
        <v>462</v>
      </c>
    </row>
    <row r="312" ht="19.5" customHeight="1">
      <c r="B312" s="84" t="s">
        <v>3353</v>
      </c>
      <c r="C312" s="110" t="s">
        <v>715</v>
      </c>
      <c r="D312" s="156" t="s">
        <v>715</v>
      </c>
      <c r="E312" s="84" t="str">
        <f>IF(wld_az1_rack5_reuse_vcf_networkpool_chosen="Re-use an existing  VCF Network Pool","An exisiting VCF Network Pool will be reused for Host TEP assignment","A new VCF Network Pool will be created")</f>
        <v>A new VCF Network Pool will be created</v>
      </c>
    </row>
    <row r="313" ht="19.5" customHeight="1">
      <c r="B313" s="173" t="s">
        <v>716</v>
      </c>
      <c r="C313" s="163" t="str">
        <f>IF(cluster_wld_domain_chosen="VI Workload Domain",CONCATENATE(this_instance,"01-w0",wld_domain_number_chosen,"-r05-network-pool-01"),CONCATENATE(this_instance,"01-m01","-r05-network-pool-01"))</f>
        <v>lax01-w01-r05-network-pool-01</v>
      </c>
      <c r="D313" s="18"/>
      <c r="E313" s="191"/>
    </row>
    <row r="314" ht="19.5" customHeight="1">
      <c r="B314" s="102" t="s">
        <v>407</v>
      </c>
      <c r="C314" s="13"/>
      <c r="D314" s="13"/>
      <c r="E314" s="14"/>
    </row>
    <row r="315" ht="19.5" customHeight="1">
      <c r="B315" s="84" t="s">
        <v>401</v>
      </c>
      <c r="C315" s="110" t="str">
        <f>IF(cluster_wld_domain_chosen&lt;&gt;"MGMT Workload Domain",CONCATENATE(prefix_wld_az1_rack_vlan,"56"),CONCATENATE(prefix_mgmt_az1_vlan,"56"))</f>
        <v>2356</v>
      </c>
      <c r="D315" s="18"/>
      <c r="E315" s="84"/>
    </row>
    <row r="316" ht="19.5" customHeight="1">
      <c r="B316" s="84" t="s">
        <v>404</v>
      </c>
      <c r="C316" s="110">
        <v>9000.0</v>
      </c>
      <c r="D316" s="18"/>
      <c r="E316" s="191"/>
    </row>
    <row r="317" ht="19.5" customHeight="1">
      <c r="B317" s="84" t="s">
        <v>403</v>
      </c>
      <c r="C317" s="203" t="str">
        <f>IF(cluster_wld_domain_chosen&lt;&gt;"MGMT Workload Domain",CONCATENATE(prefix_wld_az1_rack_cidr,"56.0"),CONCATENATE(prefix_mgmt_az1_cidr,"56.0"))</f>
        <v>10.23.56.0</v>
      </c>
      <c r="D317" s="18"/>
      <c r="E317" s="191"/>
    </row>
    <row r="318" ht="19.5" customHeight="1">
      <c r="B318" s="84" t="s">
        <v>743</v>
      </c>
      <c r="C318" s="203" t="s">
        <v>622</v>
      </c>
      <c r="D318" s="18"/>
      <c r="E318" s="191"/>
    </row>
    <row r="319" ht="19.5" customHeight="1">
      <c r="B319" s="84" t="s">
        <v>402</v>
      </c>
      <c r="C319" s="110" t="str">
        <f>IF(cluster_wld_domain_chosen&lt;&gt;"MGMT Workload Domain",CONCATENATE(prefix_wld_az1_rack_cidr,"56.1"),CONCATENATE(prefix_mgmt_az1_cidr,"56.1"))</f>
        <v>10.23.56.1</v>
      </c>
      <c r="D319" s="18"/>
      <c r="E319" s="191"/>
    </row>
    <row r="320" ht="19.5" customHeight="1">
      <c r="B320" s="173" t="s">
        <v>465</v>
      </c>
      <c r="C320" s="110" t="str">
        <f>IF(cluster_wld_domain_chosen&lt;&gt;"MGMT Workload Domain",CONCATENATE(prefix_wld_az1_rack_cidr,"56.101"),CONCATENATE(prefix_mgmt_az1_cidr,"56.101"))</f>
        <v>10.23.56.101</v>
      </c>
      <c r="D320" s="18"/>
      <c r="E320" s="95" t="s">
        <v>3373</v>
      </c>
    </row>
    <row r="321" ht="19.5" customHeight="1">
      <c r="B321" s="173" t="s">
        <v>466</v>
      </c>
      <c r="C321" s="110" t="str">
        <f>IF(cluster_wld_domain_chosen&lt;&gt;"MGMT Workload Domain",CONCATENATE(prefix_wld_az1_rack_cidr,"56.116"),CONCATENATE(prefix_mgmt_az1_cidr,"56.116"))</f>
        <v>10.23.56.116</v>
      </c>
      <c r="D321" s="18"/>
      <c r="E321" s="95" t="s">
        <v>3374</v>
      </c>
    </row>
    <row r="322" ht="19.5" customHeight="1">
      <c r="B322" s="102" t="s">
        <v>410</v>
      </c>
      <c r="C322" s="13"/>
      <c r="D322" s="13"/>
      <c r="E322" s="14"/>
    </row>
    <row r="323" ht="19.5" customHeight="1">
      <c r="B323" s="84" t="s">
        <v>401</v>
      </c>
      <c r="C323" s="110" t="str">
        <f>IF(cluster_wld_domain_chosen&lt;&gt;"MGMT Workload Domain",CONCATENATE(prefix_wld_az1_rack_vlan,"57"),CONCATENATE(prefix_mgmt_az1_vlan,"57"))</f>
        <v>2357</v>
      </c>
      <c r="D323" s="18"/>
      <c r="E323" s="191"/>
    </row>
    <row r="324" ht="19.5" customHeight="1">
      <c r="B324" s="84" t="s">
        <v>404</v>
      </c>
      <c r="C324" s="110">
        <v>9000.0</v>
      </c>
      <c r="D324" s="18"/>
      <c r="E324" s="191"/>
    </row>
    <row r="325" ht="19.5" customHeight="1">
      <c r="B325" s="84" t="s">
        <v>403</v>
      </c>
      <c r="C325" s="203" t="str">
        <f>IF(cluster_wld_domain_chosen&lt;&gt;"MGMT Workload Domain",CONCATENATE(prefix_wld_az1_rack_cidr,"57.0"),CONCATENATE(prefix_mgmt_az1_cidr,"57.0"))</f>
        <v>10.23.57.0</v>
      </c>
      <c r="D325" s="18"/>
      <c r="E325" s="201"/>
    </row>
    <row r="326" ht="19.5" customHeight="1">
      <c r="B326" s="84" t="s">
        <v>743</v>
      </c>
      <c r="C326" s="203" t="s">
        <v>622</v>
      </c>
      <c r="D326" s="18"/>
      <c r="E326" s="191"/>
    </row>
    <row r="327" ht="19.5" customHeight="1">
      <c r="B327" s="84" t="s">
        <v>402</v>
      </c>
      <c r="C327" s="110" t="str">
        <f>IF(cluster_wld_domain_chosen&lt;&gt;"MGMT Workload Domain",CONCATENATE(prefix_wld_az1_rack_cidr,"57.1"),CONCATENATE(prefix_mgmt_az1_cidr,"57.1"))</f>
        <v>10.23.57.1</v>
      </c>
      <c r="D327" s="18"/>
      <c r="E327" s="191" t="str">
        <f>IF(AND(mgmt_stretched_cluster_result="Included",mgmt_dpg_reuse_result="Excluded"),"Stretched L2","")</f>
        <v/>
      </c>
    </row>
    <row r="328" ht="19.5" customHeight="1">
      <c r="B328" s="173" t="s">
        <v>465</v>
      </c>
      <c r="C328" s="110" t="str">
        <f>IF(cluster_wld_domain_chosen&lt;&gt;"MGMT Workload Domain",CONCATENATE(prefix_wld_az1_rack_cidr,"57.101"),CONCATENATE(prefix_mgmt_az1_cidr,"57.101"))</f>
        <v>10.23.57.101</v>
      </c>
      <c r="D328" s="18"/>
      <c r="E328" s="95" t="s">
        <v>3356</v>
      </c>
    </row>
    <row r="329" ht="19.5" customHeight="1">
      <c r="B329" s="173" t="s">
        <v>466</v>
      </c>
      <c r="C329" s="110" t="str">
        <f>IF(cluster_wld_domain_chosen&lt;&gt;"MGMT Workload Domain",CONCATENATE(prefix_wld_az1_rack_cidr,"57.116"),CONCATENATE(prefix_mgmt_az1_cidr,"57.116"))</f>
        <v>10.23.57.116</v>
      </c>
      <c r="D329" s="18"/>
      <c r="E329" s="95" t="s">
        <v>3357</v>
      </c>
    </row>
    <row r="330" ht="15.75" customHeight="1">
      <c r="B330" s="41"/>
      <c r="C330" s="41"/>
      <c r="D330" s="41"/>
      <c r="E330" s="41"/>
    </row>
    <row r="331" ht="33.75" customHeight="1">
      <c r="B331" s="197" t="s">
        <v>3381</v>
      </c>
      <c r="C331" s="13"/>
      <c r="D331" s="13"/>
      <c r="E331" s="14"/>
    </row>
    <row r="332" ht="19.5" customHeight="1">
      <c r="B332" s="108" t="s">
        <v>256</v>
      </c>
      <c r="C332" s="108" t="s">
        <v>722</v>
      </c>
      <c r="D332" s="108" t="s">
        <v>274</v>
      </c>
      <c r="E332" s="108" t="s">
        <v>462</v>
      </c>
    </row>
    <row r="333" ht="19.5" customHeight="1">
      <c r="B333" s="173" t="s">
        <v>697</v>
      </c>
      <c r="C333" s="188" t="str">
        <f>IF(cluster_wld_domain_chosen&lt;&gt;"MGMT Workload Domain",CONCATENATE(this_instance,"01-w0",wld_domain_number_chosen,"-r05-esx01",".",sample_child_dns_zone),CONCATENATE(this_instance,"01-m01-r05-esx01",".",sample_child_dns_zone))</f>
        <v>lax01-w01-r05-esx01.lax.rainpole.io</v>
      </c>
      <c r="D333" s="18"/>
      <c r="E333" s="191"/>
    </row>
    <row r="334" ht="19.5" customHeight="1">
      <c r="B334" s="173" t="s">
        <v>698</v>
      </c>
      <c r="C334" s="188" t="str">
        <f>IF(cluster_wld_domain_chosen&lt;&gt;"MGMT Workload Domain",CONCATENATE(this_instance,"01-w0",wld_domain_number_chosen,"-r05-esx02",".",sample_child_dns_zone),CONCATENATE(this_instance,"01-m01-r05-esx02",".",sample_child_dns_zone))</f>
        <v>lax01-w01-r05-esx02.lax.rainpole.io</v>
      </c>
      <c r="D334" s="18"/>
      <c r="E334" s="191"/>
    </row>
    <row r="335" ht="19.5" customHeight="1">
      <c r="B335" s="173" t="s">
        <v>699</v>
      </c>
      <c r="C335" s="188" t="str">
        <f>IF(cluster_wld_domain_chosen&lt;&gt;"MGMT Workload Domain",CONCATENATE(this_instance,"01-w0",wld_domain_number_chosen,"-r05-esx03",".",sample_child_dns_zone),CONCATENATE(this_instance,"01-m01-r05-esx03",".",sample_child_dns_zone))</f>
        <v>lax01-w01-r05-esx03.lax.rainpole.io</v>
      </c>
      <c r="D335" s="18"/>
      <c r="E335" s="191"/>
    </row>
    <row r="336" ht="19.5" customHeight="1">
      <c r="B336" s="173" t="s">
        <v>700</v>
      </c>
      <c r="C336" s="188" t="str">
        <f>IF(cluster_wld_domain_chosen&lt;&gt;"MGMT Workload Domain",CONCATENATE(this_instance,"01-w0",wld_domain_number_chosen,"-r05-esx04",".",sample_child_dns_zone),CONCATENATE(this_instance,"01-m01-r05-esx04",".",sample_child_dns_zone))</f>
        <v>lax01-w01-r05-esx04.lax.rainpole.io</v>
      </c>
      <c r="D336" s="18"/>
      <c r="E336" s="191"/>
    </row>
    <row r="337" ht="19.5" customHeight="1">
      <c r="B337" s="173" t="s">
        <v>701</v>
      </c>
      <c r="C337" s="188" t="str">
        <f>IF(cluster_wld_domain_chosen&lt;&gt;"MGMT Workload Domain",CONCATENATE(this_instance,"01-w0",wld_domain_number_chosen,"-r05-esx05",".",sample_child_dns_zone),CONCATENATE(this_instance,"01-m01-r05-esx05",".",sample_child_dns_zone))</f>
        <v>lax01-w01-r05-esx05.lax.rainpole.io</v>
      </c>
      <c r="D337" s="18"/>
      <c r="E337" s="191"/>
    </row>
    <row r="338" ht="19.5" customHeight="1">
      <c r="B338" s="173" t="s">
        <v>702</v>
      </c>
      <c r="C338" s="188" t="str">
        <f>IF(cluster_wld_domain_chosen&lt;&gt;"MGMT Workload Domain",CONCATENATE(this_instance,"01-w0",wld_domain_number_chosen,"-r05-esx06",".",sample_child_dns_zone),CONCATENATE(this_instance,"01-m01-r05-esx06",".",sample_child_dns_zone))</f>
        <v>lax01-w01-r05-esx06.lax.rainpole.io</v>
      </c>
      <c r="D338" s="18"/>
      <c r="E338" s="191"/>
    </row>
    <row r="339" ht="19.5" customHeight="1">
      <c r="B339" s="173" t="s">
        <v>703</v>
      </c>
      <c r="C339" s="188" t="str">
        <f>IF(cluster_wld_domain_chosen&lt;&gt;"MGMT Workload Domain",CONCATENATE(this_instance,"01-w0",wld_domain_number_chosen,"-r05-esx07",".",sample_child_dns_zone),CONCATENATE(this_instance,"01-m01-r05-esx07",".",sample_child_dns_zone))</f>
        <v>lax01-w01-r05-esx07.lax.rainpole.io</v>
      </c>
      <c r="D339" s="18"/>
      <c r="E339" s="191"/>
    </row>
    <row r="340" ht="19.5" customHeight="1">
      <c r="B340" s="173" t="s">
        <v>704</v>
      </c>
      <c r="C340" s="188" t="str">
        <f>IF(cluster_wld_domain_chosen&lt;&gt;"MGMT Workload Domain",CONCATENATE(this_instance,"01-w0",wld_domain_number_chosen,"-r05-esx08",".",sample_child_dns_zone),CONCATENATE(this_instance,"01-m01-r05-esx08",".",sample_child_dns_zone))</f>
        <v>lax01-w01-r05-esx08.lax.rainpole.io</v>
      </c>
      <c r="D340" s="18"/>
      <c r="E340" s="191"/>
    </row>
    <row r="341" ht="19.5" customHeight="1">
      <c r="B341" s="173" t="s">
        <v>705</v>
      </c>
      <c r="C341" s="188" t="str">
        <f>IF(cluster_wld_domain_chosen&lt;&gt;"MGMT Workload Domain",CONCATENATE(this_instance,"01-w0",wld_domain_number_chosen,"-r05-esx09",".",sample_child_dns_zone),CONCATENATE(this_instance,"01-m01-r05-esx09",".",sample_child_dns_zone))</f>
        <v>lax01-w01-r05-esx09.lax.rainpole.io</v>
      </c>
      <c r="D341" s="18"/>
      <c r="E341" s="191"/>
    </row>
    <row r="342" ht="19.5" customHeight="1">
      <c r="B342" s="173" t="s">
        <v>706</v>
      </c>
      <c r="C342" s="188" t="str">
        <f>IF(cluster_wld_domain_chosen&lt;&gt;"MGMT Workload Domain",CONCATENATE(this_instance,"01-w0",wld_domain_number_chosen,"-r05-esx10",".",sample_child_dns_zone),CONCATENATE(this_instance,"01-m01-r05-esx10",".",sample_child_dns_zone))</f>
        <v>lax01-w01-r05-esx10.lax.rainpole.io</v>
      </c>
      <c r="D342" s="18"/>
      <c r="E342" s="191"/>
    </row>
    <row r="343" ht="19.5" customHeight="1">
      <c r="B343" s="173" t="s">
        <v>707</v>
      </c>
      <c r="C343" s="188" t="str">
        <f>IF(cluster_wld_domain_chosen&lt;&gt;"MGMT Workload Domain",CONCATENATE(this_instance,"01-w0",wld_domain_number_chosen,"-r05-esx11",".",sample_child_dns_zone),CONCATENATE(this_instance,"01-m01-r05-esx11",".",sample_child_dns_zone))</f>
        <v>lax01-w01-r05-esx11.lax.rainpole.io</v>
      </c>
      <c r="D343" s="18"/>
      <c r="E343" s="191"/>
    </row>
    <row r="344" ht="19.5" customHeight="1">
      <c r="B344" s="173" t="s">
        <v>708</v>
      </c>
      <c r="C344" s="188" t="str">
        <f>IF(cluster_wld_domain_chosen&lt;&gt;"MGMT Workload Domain",CONCATENATE(this_instance,"01-w0",wld_domain_number_chosen,"-r05-esx12",".",sample_child_dns_zone),CONCATENATE(this_instance,"01-m01-r05-esx12",".",sample_child_dns_zone))</f>
        <v>lax01-w01-r05-esx12.lax.rainpole.io</v>
      </c>
      <c r="D344" s="18"/>
      <c r="E344" s="191"/>
    </row>
    <row r="345" ht="19.5" customHeight="1">
      <c r="B345" s="173" t="s">
        <v>709</v>
      </c>
      <c r="C345" s="188" t="str">
        <f>IF(cluster_wld_domain_chosen&lt;&gt;"MGMT Workload Domain",CONCATENATE(this_instance,"01-w0",wld_domain_number_chosen,"-r05-esx13",".",sample_child_dns_zone),CONCATENATE(this_instance,"01-m01-r05-esx13",".",sample_child_dns_zone))</f>
        <v>lax01-w01-r05-esx13.lax.rainpole.io</v>
      </c>
      <c r="D345" s="18"/>
      <c r="E345" s="191"/>
    </row>
    <row r="346" ht="19.5" customHeight="1">
      <c r="B346" s="173" t="s">
        <v>710</v>
      </c>
      <c r="C346" s="188" t="str">
        <f>IF(cluster_wld_domain_chosen&lt;&gt;"MGMT Workload Domain",CONCATENATE(this_instance,"01-w0",wld_domain_number_chosen,"-r05-esx14",".",sample_child_dns_zone),CONCATENATE(this_instance,"01-m01-r05-esx14",".",sample_child_dns_zone))</f>
        <v>lax01-w01-r05-esx14.lax.rainpole.io</v>
      </c>
      <c r="D346" s="18"/>
      <c r="E346" s="191"/>
    </row>
    <row r="347" ht="19.5" customHeight="1">
      <c r="B347" s="173" t="s">
        <v>711</v>
      </c>
      <c r="C347" s="188" t="str">
        <f>IF(cluster_wld_domain_chosen&lt;&gt;"MGMT Workload Domain",CONCATENATE(this_instance,"01-w0",wld_domain_number_chosen,"-r05-esx14",".",sample_child_dns_zone),CONCATENATE(this_instance,"01-m01-r05-esx15",".",sample_child_dns_zone))</f>
        <v>lax01-w01-r05-esx14.lax.rainpole.io</v>
      </c>
      <c r="D347" s="18"/>
      <c r="E347" s="191"/>
    </row>
    <row r="348" ht="19.5" customHeight="1">
      <c r="B348" s="173" t="s">
        <v>712</v>
      </c>
      <c r="C348" s="188" t="str">
        <f>IF(cluster_wld_domain_chosen&lt;&gt;"MGMT Workload Domain",CONCATENATE(this_instance,"01-w0",wld_domain_number_chosen,"-r05-esx16",".",sample_child_dns_zone),CONCATENATE(this_instance,"01-m01-r05-esx16",".",sample_child_dns_zone))</f>
        <v>lax01-w01-r05-esx16.lax.rainpole.io</v>
      </c>
      <c r="D348" s="18"/>
      <c r="E348" s="191"/>
    </row>
    <row r="349" ht="19.5" customHeight="1">
      <c r="B349" s="173" t="s">
        <v>723</v>
      </c>
      <c r="C349" s="203" t="s">
        <v>370</v>
      </c>
      <c r="D349" s="18" t="s">
        <v>724</v>
      </c>
      <c r="E349" s="191"/>
    </row>
    <row r="350" ht="19.5" customHeight="1">
      <c r="B350" s="173" t="s">
        <v>725</v>
      </c>
      <c r="C350" s="203" t="s">
        <v>726</v>
      </c>
      <c r="D350" s="1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350" s="84"/>
    </row>
    <row r="351" ht="19.5" customHeight="1">
      <c r="B351" s="173" t="s">
        <v>727</v>
      </c>
      <c r="C351" s="203" t="s">
        <v>285</v>
      </c>
      <c r="D351" s="18" t="str">
        <f>IF(AND(vcf_granular_option_chosen="Create Cluster",cluster_principal_storage_chosen="vSAN-ESA"),"Selected",
IF(AND(vcf_granular_option_chosen="Create VI Workload Domain",wld_principal_storage_chosen="vSAN-ESA"),"Selected","Unselected"))</f>
        <v>Unselected</v>
      </c>
      <c r="E351" s="191"/>
    </row>
    <row r="352" ht="19.5" customHeight="1">
      <c r="B352" s="173" t="s">
        <v>716</v>
      </c>
      <c r="C352" s="203" t="str">
        <f>sample_wld_az1_rack5_pool_name</f>
        <v>lax01-w01-r05-network-pool-01</v>
      </c>
      <c r="D352" s="18" t="str">
        <f>wld_az1_rack5_pool_name</f>
        <v>Value Missing</v>
      </c>
      <c r="E352" s="191"/>
    </row>
    <row r="353" ht="19.5" customHeight="1">
      <c r="B353" s="173" t="s">
        <v>545</v>
      </c>
      <c r="C353" s="203" t="s">
        <v>728</v>
      </c>
      <c r="D353" s="1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353" s="191"/>
    </row>
    <row r="354" ht="19.5" customHeight="1">
      <c r="B354" s="173" t="s">
        <v>296</v>
      </c>
      <c r="C354" s="203" t="s">
        <v>382</v>
      </c>
      <c r="D354" s="1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354" s="191"/>
    </row>
    <row r="355" ht="15.75" customHeight="1"/>
    <row r="356" ht="33.75" customHeight="1">
      <c r="B356" s="197" t="s">
        <v>3382</v>
      </c>
      <c r="C356" s="13"/>
      <c r="D356" s="13"/>
      <c r="E356" s="14"/>
    </row>
    <row r="357" ht="19.5" customHeight="1">
      <c r="B357" s="84" t="s">
        <v>795</v>
      </c>
      <c r="C357" s="163" t="str">
        <f>IF(vcf_granular_option_chosen="Create Cluster",CONCATENATE(this_instance,"01-",sample_cluster_name,"-r05-network-profile"),
IF(cluster_wld_domain_chosen="VI Workload Domain",CONCATENATE(this_instance,"01-",sample_wld_cl01_cluster,"-r05-network-profile"),
CONCATENATE(this_instance,"01-",sample_mgmt_cl01_cluster,"-r05-network-profile")))</f>
        <v>lax01-lax-w01-cl01-r05-network-profile</v>
      </c>
      <c r="D357" s="18"/>
      <c r="E357" s="156"/>
    </row>
    <row r="358" ht="19.5" customHeight="1">
      <c r="B358" s="84" t="s">
        <v>3360</v>
      </c>
      <c r="C358" s="110" t="s">
        <v>797</v>
      </c>
      <c r="D358" s="156" t="s">
        <v>797</v>
      </c>
      <c r="E358" s="84" t="str">
        <f>IF(wld_az1_rack5_host_overlay_new_pool_chosen="Re-use an existing Pool","An exisitng Pool will be reused for Host TEP assignment","A new Pool will be created for Host TEP assignment")</f>
        <v>A new Pool will be created for Host TEP assignment</v>
      </c>
    </row>
    <row r="359" ht="19.5" customHeight="1">
      <c r="B359" s="84" t="s">
        <v>798</v>
      </c>
      <c r="C359" s="163" t="str">
        <f>IF(cluster_wld_domain_chosen="VI Workload Domain",CONCATENATE(this_instance,"01-w0",wld_domain_number_chosen,"-r05-ip-pool01-host"),CONCATENATE(this_instance,"01-m01","-r05-ip-pool01-host"))</f>
        <v>lax01-w01-r05-ip-pool01-host</v>
      </c>
      <c r="D359" s="18"/>
      <c r="E359" s="156"/>
    </row>
    <row r="360" ht="19.5" customHeight="1">
      <c r="B360" s="84" t="s">
        <v>799</v>
      </c>
      <c r="C360" s="163" t="str">
        <f>IF(cluster_wld_domain_chosen="VI Workload Domain",CONCATENATE(this_instance,"01-w0",wld_domain_number_chosen,"-r05-uplink-profile01"),CONCATENATE(this_instance,"01-m01","-r05-uplink-profile01"))</f>
        <v>lax01-w01-r05-uplink-profile01</v>
      </c>
      <c r="D360" s="18"/>
      <c r="E360" s="156"/>
    </row>
    <row r="361" ht="19.5" customHeight="1">
      <c r="B361" s="84" t="s">
        <v>3361</v>
      </c>
      <c r="C361" s="163" t="str">
        <f>IF(cluster_wld_domain_chosen="VI Workload Domain",CONCATENATE(this_instance,"01-w0",wld_domain_number_chosen,"-r05-ip-pool02-edge"),CONCATENATE(this_instance,"01-m01","-r05-ip-pool02-edge"))</f>
        <v>lax01-w01-r05-ip-pool02-edge</v>
      </c>
      <c r="D361" s="18"/>
      <c r="E361" s="156"/>
    </row>
    <row r="362" ht="19.5" customHeight="1">
      <c r="B362" s="84" t="s">
        <v>3362</v>
      </c>
      <c r="C362" s="163" t="str">
        <f>IF(cluster_wld_domain_chosen="VI Workload Domain",CONCATENATE(this_instance,"01-w0",wld_domain_number_chosen,"-r05-ip-pool03-rtep"),CONCATENATE(this_instance,"01-m01","-r05-ip-pool03-rtep"))</f>
        <v>lax01-w01-r05-ip-pool03-rtep</v>
      </c>
      <c r="D362" s="18"/>
      <c r="E362" s="156"/>
    </row>
    <row r="363" ht="19.5" customHeight="1">
      <c r="B363" s="102" t="s">
        <v>367</v>
      </c>
      <c r="C363" s="13"/>
      <c r="D363" s="13"/>
      <c r="E363" s="14"/>
    </row>
    <row r="364" ht="19.5" customHeight="1">
      <c r="B364" s="49" t="s">
        <v>256</v>
      </c>
      <c r="C364" s="49" t="s">
        <v>722</v>
      </c>
      <c r="D364" s="370" t="s">
        <v>274</v>
      </c>
      <c r="E364" s="49" t="s">
        <v>5</v>
      </c>
    </row>
    <row r="365" ht="19.5" customHeight="1">
      <c r="B365" s="84" t="s">
        <v>1873</v>
      </c>
      <c r="C365" s="156" t="str">
        <f>IF(cluster_wld_domain_chosen&lt;&gt;"MGMT Workload Domain",CONCATENATE(this_instance,"-w0",wld_domain_number_chosen,"-r05","-vsan-fault-domain"),CONCATENATE(this_instance,"-m01","-r05","-vsan-fault-domain"))</f>
        <v>lax-w01-r05-vsan-fault-domain</v>
      </c>
      <c r="D365" s="18"/>
      <c r="E365" s="18"/>
    </row>
    <row r="366" ht="15.75" customHeight="1"/>
    <row r="367" ht="33.75" customHeight="1">
      <c r="B367" s="197" t="s">
        <v>3383</v>
      </c>
      <c r="C367" s="13"/>
      <c r="D367" s="13"/>
      <c r="E367" s="14"/>
    </row>
    <row r="368" ht="19.5" customHeight="1">
      <c r="B368" s="108" t="s">
        <v>256</v>
      </c>
      <c r="C368" s="108" t="s">
        <v>722</v>
      </c>
      <c r="D368" s="108" t="s">
        <v>274</v>
      </c>
      <c r="E368" s="108" t="s">
        <v>5</v>
      </c>
    </row>
    <row r="369" ht="19.5" customHeight="1">
      <c r="B369" s="102" t="s">
        <v>472</v>
      </c>
      <c r="C369" s="13"/>
      <c r="D369" s="13"/>
      <c r="E369" s="14"/>
    </row>
    <row r="370" ht="19.5" customHeight="1">
      <c r="B370" s="84" t="s">
        <v>401</v>
      </c>
      <c r="C370" s="110" t="str">
        <f>IF(cluster_wld_domain_chosen&lt;&gt;"MGMT Workload Domain",CONCATENATE(prefix_wld_az1_rack_vlan,"58"),CONCATENATE(prefix_mgmt_az1_vlan,"58"))</f>
        <v>2358</v>
      </c>
      <c r="D370" s="18"/>
      <c r="E370" s="84"/>
    </row>
    <row r="371" ht="19.5" customHeight="1">
      <c r="B371" s="84" t="s">
        <v>404</v>
      </c>
      <c r="C371" s="110">
        <v>9000.0</v>
      </c>
      <c r="D371" s="18"/>
      <c r="E371" s="191"/>
    </row>
    <row r="372" ht="19.5" customHeight="1">
      <c r="B372" s="84" t="s">
        <v>403</v>
      </c>
      <c r="C372" s="110" t="str">
        <f>IF(cluster_wld_domain_chosen&lt;&gt;"MGMT Workload Domain",CONCATENATE(prefix_wld_az1_rack_cidr,"58.0"),CONCATENATE(prefix_mgmt_az1_cidr,"58.0"))</f>
        <v>10.23.58.0</v>
      </c>
      <c r="D372" s="18"/>
      <c r="E372" s="191"/>
    </row>
    <row r="373" ht="19.5" customHeight="1">
      <c r="B373" s="84" t="s">
        <v>743</v>
      </c>
      <c r="C373" s="110" t="s">
        <v>622</v>
      </c>
      <c r="D373" s="18"/>
      <c r="E373" s="191"/>
    </row>
    <row r="374" ht="19.5" customHeight="1">
      <c r="B374" s="84" t="s">
        <v>402</v>
      </c>
      <c r="C374" s="110" t="str">
        <f>IF(cluster_wld_domain_chosen&lt;&gt;"MGMT Workload Domain",CONCATENATE(prefix_wld_az1_rack_cidr,"58.1"),CONCATENATE(prefix_mgmt_az1_cidr,"58.1"))</f>
        <v>10.23.58.1</v>
      </c>
      <c r="D374" s="18"/>
      <c r="E374" s="191"/>
    </row>
    <row r="375" ht="19.5" customHeight="1">
      <c r="B375" s="173" t="s">
        <v>465</v>
      </c>
      <c r="C375" s="110" t="str">
        <f>IF(cluster_wld_domain_chosen&lt;&gt;"MGMT Workload Domain",CONCATENATE(prefix_wld_az1_rack_cidr,"58.101"),CONCATENATE(prefix_mgmt_az1_cidr,"58.101"))</f>
        <v>10.23.58.101</v>
      </c>
      <c r="D375" s="18"/>
      <c r="E375" s="95" t="s">
        <v>3364</v>
      </c>
    </row>
    <row r="376" ht="19.5" customHeight="1">
      <c r="B376" s="173" t="s">
        <v>466</v>
      </c>
      <c r="C376" s="110" t="str">
        <f>IF(cluster_wld_domain_chosen&lt;&gt;"MGMT Workload Domain",CONCATENATE(prefix_wld_az1_rack_cidr,"58.116"),CONCATENATE(prefix_mgmt_az1_cidr,"58.116"))</f>
        <v>10.23.58.116</v>
      </c>
      <c r="D376" s="18"/>
      <c r="E376" s="95" t="s">
        <v>3365</v>
      </c>
    </row>
    <row r="377" ht="15.75" customHeight="1"/>
    <row r="378" ht="33.75" customHeight="1">
      <c r="B378" s="197" t="s">
        <v>3384</v>
      </c>
      <c r="C378" s="13"/>
      <c r="D378" s="13"/>
      <c r="E378" s="14"/>
    </row>
    <row r="379" ht="19.5" customHeight="1">
      <c r="B379" s="108" t="s">
        <v>256</v>
      </c>
      <c r="C379" s="108" t="s">
        <v>722</v>
      </c>
      <c r="D379" s="108" t="s">
        <v>274</v>
      </c>
      <c r="E379" s="108" t="s">
        <v>462</v>
      </c>
    </row>
    <row r="380" ht="19.5" customHeight="1">
      <c r="B380" s="102" t="s">
        <v>400</v>
      </c>
      <c r="C380" s="13"/>
      <c r="D380" s="13"/>
      <c r="E380" s="14"/>
    </row>
    <row r="381" ht="19.5" customHeight="1">
      <c r="B381" s="84" t="s">
        <v>401</v>
      </c>
      <c r="C381" s="110" t="str">
        <f>IF(cluster_wld_domain_chosen&lt;&gt;"MGMT Workload Domain",CONCATENATE(prefix_wld_az1_rack_vlan,"66"),CONCATENATE(prefix_mgmt_az1_vlan,"66"))</f>
        <v>2366</v>
      </c>
      <c r="D381" s="18"/>
      <c r="E381" s="84"/>
    </row>
    <row r="382" ht="19.5" customHeight="1">
      <c r="B382" s="84" t="s">
        <v>402</v>
      </c>
      <c r="C382" s="110" t="str">
        <f>IF(cluster_wld_domain_chosen&lt;&gt;"MGMT Workload Domain",CONCATENATE(prefix_wld_az1_rack_cidr,"66.1"),CONCATENATE(prefix_mgmt_az1_cidr,"66.1"))</f>
        <v>10.23.66.1</v>
      </c>
      <c r="D382" s="18"/>
      <c r="E382" s="191"/>
    </row>
    <row r="383" ht="19.5" customHeight="1">
      <c r="B383" s="84" t="s">
        <v>403</v>
      </c>
      <c r="C383" s="110" t="str">
        <f>IF(cluster_wld_domain_chosen&lt;&gt;"MGMT Workload Domain",CONCATENATE(prefix_wld_az1_rack_cidr,"66.0/24"),CONCATENATE(prefix_mgmt_az1_cidr,"66.0/24"))</f>
        <v>10.23.66.0/24</v>
      </c>
      <c r="D383" s="18"/>
      <c r="E383" s="191"/>
    </row>
    <row r="384" ht="19.5" customHeight="1">
      <c r="B384" s="84" t="s">
        <v>404</v>
      </c>
      <c r="C384" s="110">
        <v>1500.0</v>
      </c>
      <c r="D384" s="18"/>
      <c r="E384" s="191"/>
    </row>
    <row r="385" ht="19.5" customHeight="1">
      <c r="B385" s="17" t="s">
        <v>481</v>
      </c>
      <c r="C385" s="13"/>
      <c r="D385" s="13"/>
      <c r="E385" s="14"/>
    </row>
    <row r="386" ht="19.5" customHeight="1">
      <c r="B386" s="173" t="s">
        <v>697</v>
      </c>
      <c r="C386" s="203" t="str">
        <f>IF(cluster_wld_domain_chosen&lt;&gt;"MGMT Workload Domain",CONCATENATE(prefix_wld_az1_rack_cidr,"66.101"),CONCATENATE(prefix_mgmt_az1_cidr,"66.101"))</f>
        <v>10.23.66.101</v>
      </c>
      <c r="D386" s="18"/>
      <c r="E386" s="95" t="s">
        <v>482</v>
      </c>
    </row>
    <row r="387" ht="19.5" customHeight="1">
      <c r="B387" s="173" t="s">
        <v>698</v>
      </c>
      <c r="C387" s="203" t="str">
        <f>IF(cluster_wld_domain_chosen&lt;&gt;"MGMT Workload Domain",CONCATENATE(prefix_wld_az1_rack_cidr,"66.102"),CONCATENATE(prefix_mgmt_az1_cidr,"66.102"))</f>
        <v>10.23.66.102</v>
      </c>
      <c r="D387" s="18"/>
      <c r="E387" s="95" t="s">
        <v>484</v>
      </c>
    </row>
    <row r="388" ht="19.5" customHeight="1">
      <c r="B388" s="173" t="s">
        <v>699</v>
      </c>
      <c r="C388" s="203" t="str">
        <f>IF(cluster_wld_domain_chosen&lt;&gt;"MGMT Workload Domain",CONCATENATE(prefix_wld_az1_rack_cidr,"66.103"),CONCATENATE(prefix_mgmt_az1_cidr,"66.103"))</f>
        <v>10.23.66.103</v>
      </c>
      <c r="D388" s="18"/>
      <c r="E388" s="95" t="s">
        <v>485</v>
      </c>
    </row>
    <row r="389" ht="19.5" customHeight="1">
      <c r="B389" s="173" t="s">
        <v>700</v>
      </c>
      <c r="C389" s="203" t="str">
        <f>IF(cluster_wld_domain_chosen&lt;&gt;"MGMT Workload Domain",CONCATENATE(prefix_wld_az1_rack_cidr,"66.104"),CONCATENATE(prefix_mgmt_az1_cidr,"66.104"))</f>
        <v>10.23.66.104</v>
      </c>
      <c r="D389" s="18"/>
      <c r="E389" s="95" t="s">
        <v>486</v>
      </c>
    </row>
    <row r="390" ht="19.5" customHeight="1">
      <c r="B390" s="173" t="s">
        <v>701</v>
      </c>
      <c r="C390" s="203" t="str">
        <f>IF(cluster_wld_domain_chosen&lt;&gt;"MGMT Workload Domain",CONCATENATE(prefix_wld_az1_rack_cidr,"66.105"),CONCATENATE(prefix_mgmt_az1_cidr,"66.105"))</f>
        <v>10.23.66.105</v>
      </c>
      <c r="D390" s="18"/>
      <c r="E390" s="95" t="s">
        <v>487</v>
      </c>
    </row>
    <row r="391" ht="19.5" customHeight="1">
      <c r="B391" s="173" t="s">
        <v>702</v>
      </c>
      <c r="C391" s="203" t="str">
        <f>IF(cluster_wld_domain_chosen&lt;&gt;"MGMT Workload Domain",CONCATENATE(prefix_wld_az1_rack_cidr,"66.106"),CONCATENATE(prefix_mgmt_az1_cidr,"66.106"))</f>
        <v>10.23.66.106</v>
      </c>
      <c r="D391" s="18"/>
      <c r="E391" s="95" t="s">
        <v>488</v>
      </c>
    </row>
    <row r="392" ht="19.5" customHeight="1">
      <c r="B392" s="173" t="s">
        <v>703</v>
      </c>
      <c r="C392" s="203" t="str">
        <f>IF(cluster_wld_domain_chosen&lt;&gt;"MGMT Workload Domain",CONCATENATE(prefix_wld_az1_rack_cidr,"66.107"),CONCATENATE(prefix_mgmt_az1_cidr,"66.107"))</f>
        <v>10.23.66.107</v>
      </c>
      <c r="D392" s="18"/>
      <c r="E392" s="95" t="s">
        <v>489</v>
      </c>
    </row>
    <row r="393" ht="19.5" customHeight="1">
      <c r="B393" s="173" t="s">
        <v>704</v>
      </c>
      <c r="C393" s="203" t="str">
        <f>IF(cluster_wld_domain_chosen&lt;&gt;"MGMT Workload Domain",CONCATENATE(prefix_wld_az1_rack_cidr,"66.108"),CONCATENATE(prefix_mgmt_az1_cidr,"66.108"))</f>
        <v>10.23.66.108</v>
      </c>
      <c r="D393" s="18"/>
      <c r="E393" s="95" t="s">
        <v>490</v>
      </c>
    </row>
    <row r="394" ht="19.5" customHeight="1">
      <c r="B394" s="173" t="s">
        <v>705</v>
      </c>
      <c r="C394" s="203" t="str">
        <f>IF(cluster_wld_domain_chosen&lt;&gt;"MGMT Workload Domain",CONCATENATE(prefix_wld_az1_rack_cidr,"66.109"),CONCATENATE(prefix_mgmt_az1_cidr,"66.109"))</f>
        <v>10.23.66.109</v>
      </c>
      <c r="D394" s="18"/>
      <c r="E394" s="95" t="s">
        <v>491</v>
      </c>
    </row>
    <row r="395" ht="19.5" customHeight="1">
      <c r="B395" s="173" t="s">
        <v>706</v>
      </c>
      <c r="C395" s="203" t="str">
        <f>IF(cluster_wld_domain_chosen&lt;&gt;"MGMT Workload Domain",CONCATENATE(prefix_wld_az1_rack_cidr,"66.110"),CONCATENATE(prefix_mgmt_az1_cidr,"66.110"))</f>
        <v>10.23.66.110</v>
      </c>
      <c r="D395" s="18"/>
      <c r="E395" s="95" t="s">
        <v>492</v>
      </c>
    </row>
    <row r="396" ht="19.5" customHeight="1">
      <c r="B396" s="173" t="s">
        <v>707</v>
      </c>
      <c r="C396" s="203" t="str">
        <f>IF(cluster_wld_domain_chosen&lt;&gt;"MGMT Workload Domain",CONCATENATE(prefix_wld_az1_rack_cidr,"66.111"),CONCATENATE(prefix_mgmt_az1_cidr,"66.111"))</f>
        <v>10.23.66.111</v>
      </c>
      <c r="D396" s="18"/>
      <c r="E396" s="95" t="s">
        <v>493</v>
      </c>
    </row>
    <row r="397" ht="19.5" customHeight="1">
      <c r="B397" s="173" t="s">
        <v>708</v>
      </c>
      <c r="C397" s="203" t="str">
        <f>IF(cluster_wld_domain_chosen&lt;&gt;"MGMT Workload Domain",CONCATENATE(prefix_wld_az1_rack_cidr,"66.112"),CONCATENATE(prefix_mgmt_az1_cidr,"66.112"))</f>
        <v>10.23.66.112</v>
      </c>
      <c r="D397" s="18"/>
      <c r="E397" s="95" t="s">
        <v>494</v>
      </c>
    </row>
    <row r="398" ht="19.5" customHeight="1">
      <c r="B398" s="173" t="s">
        <v>709</v>
      </c>
      <c r="C398" s="203" t="str">
        <f>IF(cluster_wld_domain_chosen&lt;&gt;"MGMT Workload Domain",CONCATENATE(prefix_wld_az1_rack_cidr,"66.113"),CONCATENATE(prefix_mgmt_az1_cidr,"66.113"))</f>
        <v>10.23.66.113</v>
      </c>
      <c r="D398" s="18"/>
      <c r="E398" s="95" t="s">
        <v>495</v>
      </c>
    </row>
    <row r="399" ht="19.5" customHeight="1">
      <c r="B399" s="173" t="s">
        <v>710</v>
      </c>
      <c r="C399" s="203" t="str">
        <f>IF(cluster_wld_domain_chosen&lt;&gt;"MGMT Workload Domain",CONCATENATE(prefix_wld_az1_rack_cidr,"66.114"),CONCATENATE(prefix_mgmt_az1_cidr,"66.114"))</f>
        <v>10.23.66.114</v>
      </c>
      <c r="D399" s="18"/>
      <c r="E399" s="95" t="s">
        <v>496</v>
      </c>
    </row>
    <row r="400" ht="19.5" customHeight="1">
      <c r="B400" s="173" t="s">
        <v>711</v>
      </c>
      <c r="C400" s="203" t="str">
        <f>IF(cluster_wld_domain_chosen&lt;&gt;"MGMT Workload Domain",CONCATENATE(prefix_wld_az1_rack_cidr,"66.115"),CONCATENATE(prefix_mgmt_az1_cidr,"66.115"))</f>
        <v>10.23.66.115</v>
      </c>
      <c r="D400" s="18"/>
      <c r="E400" s="95" t="s">
        <v>497</v>
      </c>
    </row>
    <row r="401" ht="19.5" customHeight="1">
      <c r="B401" s="173" t="s">
        <v>712</v>
      </c>
      <c r="C401" s="203" t="str">
        <f>IF(cluster_wld_domain_chosen&lt;&gt;"MGMT Workload Domain",CONCATENATE(prefix_wld_az1_rack_cidr,"66.116"),CONCATENATE(prefix_mgmt_az1_cidr,"66.116"))</f>
        <v>10.23.66.116</v>
      </c>
      <c r="D401" s="18"/>
      <c r="E401" s="95" t="s">
        <v>498</v>
      </c>
    </row>
    <row r="402" ht="15.75" customHeight="1">
      <c r="B402" s="41"/>
      <c r="C402" s="41"/>
      <c r="D402" s="41"/>
      <c r="E402" s="41"/>
    </row>
    <row r="403" ht="33.75" customHeight="1">
      <c r="B403" s="197" t="s">
        <v>3385</v>
      </c>
      <c r="C403" s="13"/>
      <c r="D403" s="13"/>
      <c r="E403" s="14"/>
    </row>
    <row r="404" ht="19.5" customHeight="1">
      <c r="B404" s="108" t="s">
        <v>256</v>
      </c>
      <c r="C404" s="108" t="s">
        <v>722</v>
      </c>
      <c r="D404" s="108" t="s">
        <v>274</v>
      </c>
      <c r="E404" s="108" t="s">
        <v>462</v>
      </c>
    </row>
    <row r="405" ht="19.5" customHeight="1">
      <c r="B405" s="84" t="s">
        <v>3353</v>
      </c>
      <c r="C405" s="110" t="s">
        <v>715</v>
      </c>
      <c r="D405" s="156" t="s">
        <v>715</v>
      </c>
      <c r="E405" s="84" t="str">
        <f>IF(wld_az1_rack6_reuse_vcf_networkpool_chosen="Re-use an existing  VCF Network Pool","An exisiting VCF Network Pool will be reused for Host TEP assignment","A new VCF Network Pool will be created")</f>
        <v>A new VCF Network Pool will be created</v>
      </c>
    </row>
    <row r="406" ht="19.5" customHeight="1">
      <c r="B406" s="173" t="s">
        <v>716</v>
      </c>
      <c r="C406" s="163" t="str">
        <f>IF(cluster_wld_domain_chosen="VI Workload Domain",CONCATENATE(this_instance,"01-w0",wld_domain_number_chosen,"-r06-network-pool-01"),CONCATENATE(this_instance,"01-m01","-r06-network-pool-01"))</f>
        <v>lax01-w01-r06-network-pool-01</v>
      </c>
      <c r="D406" s="18"/>
      <c r="E406" s="191"/>
    </row>
    <row r="407" ht="19.5" customHeight="1">
      <c r="B407" s="102" t="s">
        <v>407</v>
      </c>
      <c r="C407" s="13"/>
      <c r="D407" s="13"/>
      <c r="E407" s="14"/>
    </row>
    <row r="408" ht="19.5" customHeight="1">
      <c r="B408" s="84" t="s">
        <v>401</v>
      </c>
      <c r="C408" s="110" t="str">
        <f>IF(cluster_wld_domain_chosen&lt;&gt;"MGMT Workload Domain",CONCATENATE(prefix_wld_az1_rack_vlan,"67"),CONCATENATE(prefix_mgmt_az1_vlan,"67"))</f>
        <v>2367</v>
      </c>
      <c r="D408" s="18"/>
      <c r="E408" s="84"/>
    </row>
    <row r="409" ht="19.5" customHeight="1">
      <c r="B409" s="84" t="s">
        <v>404</v>
      </c>
      <c r="C409" s="110">
        <v>9000.0</v>
      </c>
      <c r="D409" s="18"/>
      <c r="E409" s="191"/>
    </row>
    <row r="410" ht="19.5" customHeight="1">
      <c r="B410" s="84" t="s">
        <v>403</v>
      </c>
      <c r="C410" s="203" t="str">
        <f>IF(cluster_wld_domain_chosen&lt;&gt;"MGMT Workload Domain",CONCATENATE(prefix_wld_az1_rack_cidr,"67.0"),CONCATENATE(prefix_mgmt_az1_cidr,"67.0"))</f>
        <v>10.23.67.0</v>
      </c>
      <c r="D410" s="18"/>
      <c r="E410" s="191"/>
    </row>
    <row r="411" ht="19.5" customHeight="1">
      <c r="B411" s="84" t="s">
        <v>743</v>
      </c>
      <c r="C411" s="203" t="s">
        <v>622</v>
      </c>
      <c r="D411" s="18"/>
      <c r="E411" s="191"/>
    </row>
    <row r="412" ht="19.5" customHeight="1">
      <c r="B412" s="84" t="s">
        <v>402</v>
      </c>
      <c r="C412" s="110" t="str">
        <f>IF(cluster_wld_domain_chosen&lt;&gt;"MGMT Workload Domain",CONCATENATE(prefix_wld_az1_rack_cidr,"67.1"),CONCATENATE(prefix_mgmt_az1_cidr,"67.1"))</f>
        <v>10.23.67.1</v>
      </c>
      <c r="D412" s="18"/>
      <c r="E412" s="191"/>
    </row>
    <row r="413" ht="19.5" customHeight="1">
      <c r="B413" s="173" t="s">
        <v>465</v>
      </c>
      <c r="C413" s="110" t="str">
        <f>IF(cluster_wld_domain_chosen&lt;&gt;"MGMT Workload Domain",CONCATENATE(prefix_wld_az1_rack_cidr,"67.101"),CONCATENATE(prefix_mgmt_az1_cidr,"67.101"))</f>
        <v>10.23.67.101</v>
      </c>
      <c r="D413" s="18"/>
      <c r="E413" s="95" t="s">
        <v>3354</v>
      </c>
    </row>
    <row r="414" ht="19.5" customHeight="1">
      <c r="B414" s="173" t="s">
        <v>466</v>
      </c>
      <c r="C414" s="110" t="str">
        <f>IF(cluster_wld_domain_chosen&lt;&gt;"MGMT Workload Domain",CONCATENATE(prefix_wld_az1_rack_cidr,"67.116"),CONCATENATE(prefix_mgmt_az1_cidr,"67.116"))</f>
        <v>10.23.67.116</v>
      </c>
      <c r="D414" s="18"/>
      <c r="E414" s="95" t="s">
        <v>3355</v>
      </c>
    </row>
    <row r="415" ht="19.5" customHeight="1">
      <c r="B415" s="102" t="s">
        <v>410</v>
      </c>
      <c r="C415" s="13"/>
      <c r="D415" s="13"/>
      <c r="E415" s="14"/>
    </row>
    <row r="416" ht="19.5" customHeight="1">
      <c r="B416" s="84" t="s">
        <v>401</v>
      </c>
      <c r="C416" s="110" t="str">
        <f>IF(cluster_wld_domain_chosen&lt;&gt;"MGMT Workload Domain",CONCATENATE(prefix_wld_az1_rack_vlan,"68"),CONCATENATE(prefix_mgmt_az1_vlan,"68"))</f>
        <v>2368</v>
      </c>
      <c r="D416" s="18"/>
      <c r="E416" s="191"/>
    </row>
    <row r="417" ht="19.5" customHeight="1">
      <c r="B417" s="84" t="s">
        <v>404</v>
      </c>
      <c r="C417" s="110">
        <v>9000.0</v>
      </c>
      <c r="D417" s="18"/>
      <c r="E417" s="191"/>
    </row>
    <row r="418" ht="19.5" customHeight="1">
      <c r="B418" s="84" t="s">
        <v>403</v>
      </c>
      <c r="C418" s="203" t="str">
        <f>IF(cluster_wld_domain_chosen&lt;&gt;"MGMT Workload Domain",CONCATENATE(prefix_wld_az1_rack_cidr,"68.0"),CONCATENATE(prefix_mgmt_az1_cidr,"68.0"))</f>
        <v>10.23.68.0</v>
      </c>
      <c r="D418" s="18"/>
      <c r="E418" s="201"/>
    </row>
    <row r="419" ht="19.5" customHeight="1">
      <c r="B419" s="84" t="s">
        <v>743</v>
      </c>
      <c r="C419" s="203" t="s">
        <v>622</v>
      </c>
      <c r="D419" s="18"/>
      <c r="E419" s="191"/>
    </row>
    <row r="420" ht="19.5" customHeight="1">
      <c r="B420" s="84" t="s">
        <v>402</v>
      </c>
      <c r="C420" s="110" t="str">
        <f>IF(cluster_wld_domain_chosen&lt;&gt;"MGMT Workload Domain",CONCATENATE(prefix_wld_az1_rack_cidr,"68.1"),CONCATENATE(prefix_mgmt_az1_cidr,"68.1"))</f>
        <v>10.23.68.1</v>
      </c>
      <c r="D420" s="18"/>
      <c r="E420" s="191" t="str">
        <f>IF(AND(mgmt_stretched_cluster_result="Included",mgmt_dpg_reuse_result="Excluded"),"Stretched L2","")</f>
        <v/>
      </c>
    </row>
    <row r="421" ht="19.5" customHeight="1">
      <c r="B421" s="173" t="s">
        <v>465</v>
      </c>
      <c r="C421" s="110" t="str">
        <f>IF(cluster_wld_domain_chosen&lt;&gt;"MGMT Workload Domain",CONCATENATE(prefix_wld_az1_rack_cidr,"68.101"),CONCATENATE(prefix_mgmt_az1_cidr,"68.101"))</f>
        <v>10.23.68.101</v>
      </c>
      <c r="D421" s="18"/>
      <c r="E421" s="95" t="s">
        <v>3356</v>
      </c>
    </row>
    <row r="422" ht="19.5" customHeight="1">
      <c r="B422" s="173" t="s">
        <v>466</v>
      </c>
      <c r="C422" s="110" t="str">
        <f>IF(cluster_wld_domain_chosen&lt;&gt;"MGMT Workload Domain",CONCATENATE(prefix_wld_az1_rack_cidr,"68.116"),CONCATENATE(prefix_mgmt_az1_cidr,"68.116"))</f>
        <v>10.23.68.116</v>
      </c>
      <c r="D422" s="18"/>
      <c r="E422" s="95" t="s">
        <v>3357</v>
      </c>
    </row>
    <row r="423" ht="15.75" customHeight="1">
      <c r="B423" s="41"/>
      <c r="C423" s="41"/>
      <c r="D423" s="41"/>
      <c r="E423" s="41"/>
    </row>
    <row r="424" ht="33.75" customHeight="1">
      <c r="B424" s="197" t="s">
        <v>3386</v>
      </c>
      <c r="C424" s="13"/>
      <c r="D424" s="13"/>
      <c r="E424" s="14"/>
    </row>
    <row r="425" ht="19.5" customHeight="1">
      <c r="B425" s="108" t="s">
        <v>256</v>
      </c>
      <c r="C425" s="108" t="s">
        <v>722</v>
      </c>
      <c r="D425" s="108" t="s">
        <v>274</v>
      </c>
      <c r="E425" s="108" t="s">
        <v>462</v>
      </c>
    </row>
    <row r="426" ht="19.5" customHeight="1">
      <c r="B426" s="173" t="s">
        <v>697</v>
      </c>
      <c r="C426" s="188" t="str">
        <f>IF(cluster_wld_domain_chosen&lt;&gt;"MGMT Workload Domain",CONCATENATE(this_instance,"01-w0",wld_domain_number_chosen,"-r06-esx01",".",sample_child_dns_zone),CONCATENATE(this_instance,"01-m01-r06-esx01",".",sample_child_dns_zone))</f>
        <v>lax01-w01-r06-esx01.lax.rainpole.io</v>
      </c>
      <c r="D426" s="18"/>
      <c r="E426" s="191"/>
    </row>
    <row r="427" ht="19.5" customHeight="1">
      <c r="B427" s="173" t="s">
        <v>698</v>
      </c>
      <c r="C427" s="188" t="str">
        <f>IF(cluster_wld_domain_chosen&lt;&gt;"MGMT Workload Domain",CONCATENATE(this_instance,"01-w0",wld_domain_number_chosen,"-r06-esx02",".",sample_child_dns_zone),CONCATENATE(this_instance,"01-m01-r06-esx02",".",sample_child_dns_zone))</f>
        <v>lax01-w01-r06-esx02.lax.rainpole.io</v>
      </c>
      <c r="D427" s="18"/>
      <c r="E427" s="191"/>
    </row>
    <row r="428" ht="19.5" customHeight="1">
      <c r="B428" s="173" t="s">
        <v>699</v>
      </c>
      <c r="C428" s="188" t="str">
        <f>IF(cluster_wld_domain_chosen&lt;&gt;"MGMT Workload Domain",CONCATENATE(this_instance,"01-w0",wld_domain_number_chosen,"-r06-esx03",".",sample_child_dns_zone),CONCATENATE(this_instance,"01-m01-r06-esx03",".",sample_child_dns_zone))</f>
        <v>lax01-w01-r06-esx03.lax.rainpole.io</v>
      </c>
      <c r="D428" s="18"/>
      <c r="E428" s="191"/>
    </row>
    <row r="429" ht="19.5" customHeight="1">
      <c r="B429" s="173" t="s">
        <v>700</v>
      </c>
      <c r="C429" s="188" t="str">
        <f>IF(cluster_wld_domain_chosen&lt;&gt;"MGMT Workload Domain",CONCATENATE(this_instance,"01-w0",wld_domain_number_chosen,"-r06-esx04",".",sample_child_dns_zone),CONCATENATE(this_instance,"01-m01-r06-esx04",".",sample_child_dns_zone))</f>
        <v>lax01-w01-r06-esx04.lax.rainpole.io</v>
      </c>
      <c r="D429" s="18"/>
      <c r="E429" s="191"/>
    </row>
    <row r="430" ht="19.5" customHeight="1">
      <c r="B430" s="173" t="s">
        <v>701</v>
      </c>
      <c r="C430" s="188" t="str">
        <f>IF(cluster_wld_domain_chosen&lt;&gt;"MGMT Workload Domain",CONCATENATE(this_instance,"01-w0",wld_domain_number_chosen,"-r06-esx05",".",sample_child_dns_zone),CONCATENATE(this_instance,"01-m01-r06-esx05",".",sample_child_dns_zone))</f>
        <v>lax01-w01-r06-esx05.lax.rainpole.io</v>
      </c>
      <c r="D430" s="18"/>
      <c r="E430" s="191"/>
    </row>
    <row r="431" ht="19.5" customHeight="1">
      <c r="B431" s="173" t="s">
        <v>702</v>
      </c>
      <c r="C431" s="188" t="str">
        <f>IF(cluster_wld_domain_chosen&lt;&gt;"MGMT Workload Domain",CONCATENATE(this_instance,"01-w0",wld_domain_number_chosen,"-r06-esx06",".",sample_child_dns_zone),CONCATENATE(this_instance,"01-m01-r06-esx06",".",sample_child_dns_zone))</f>
        <v>lax01-w01-r06-esx06.lax.rainpole.io</v>
      </c>
      <c r="D431" s="18"/>
      <c r="E431" s="191"/>
    </row>
    <row r="432" ht="19.5" customHeight="1">
      <c r="B432" s="173" t="s">
        <v>703</v>
      </c>
      <c r="C432" s="188" t="str">
        <f>IF(cluster_wld_domain_chosen&lt;&gt;"MGMT Workload Domain",CONCATENATE(this_instance,"01-w0",wld_domain_number_chosen,"-r06-esx07",".",sample_child_dns_zone),CONCATENATE(this_instance,"01-m01-r06-esx07",".",sample_child_dns_zone))</f>
        <v>lax01-w01-r06-esx07.lax.rainpole.io</v>
      </c>
      <c r="D432" s="18"/>
      <c r="E432" s="191"/>
    </row>
    <row r="433" ht="19.5" customHeight="1">
      <c r="B433" s="173" t="s">
        <v>704</v>
      </c>
      <c r="C433" s="188" t="str">
        <f>IF(cluster_wld_domain_chosen&lt;&gt;"MGMT Workload Domain",CONCATENATE(this_instance,"01-w0",wld_domain_number_chosen,"-r06-esx08",".",sample_child_dns_zone),CONCATENATE(this_instance,"01-m01-r06-esx08",".",sample_child_dns_zone))</f>
        <v>lax01-w01-r06-esx08.lax.rainpole.io</v>
      </c>
      <c r="D433" s="18"/>
      <c r="E433" s="191"/>
    </row>
    <row r="434" ht="19.5" customHeight="1">
      <c r="B434" s="173" t="s">
        <v>705</v>
      </c>
      <c r="C434" s="188" t="str">
        <f>IF(cluster_wld_domain_chosen&lt;&gt;"MGMT Workload Domain",CONCATENATE(this_instance,"01-w0",wld_domain_number_chosen,"-r06-esx09",".",sample_child_dns_zone),CONCATENATE(this_instance,"01-m01-r06-esx09",".",sample_child_dns_zone))</f>
        <v>lax01-w01-r06-esx09.lax.rainpole.io</v>
      </c>
      <c r="D434" s="18"/>
      <c r="E434" s="191"/>
    </row>
    <row r="435" ht="19.5" customHeight="1">
      <c r="B435" s="173" t="s">
        <v>706</v>
      </c>
      <c r="C435" s="188" t="str">
        <f>IF(cluster_wld_domain_chosen&lt;&gt;"MGMT Workload Domain",CONCATENATE(this_instance,"01-w0",wld_domain_number_chosen,"-r06-esx10",".",sample_child_dns_zone),CONCATENATE(this_instance,"01-m01-r06-esx10",".",sample_child_dns_zone))</f>
        <v>lax01-w01-r06-esx10.lax.rainpole.io</v>
      </c>
      <c r="D435" s="18"/>
      <c r="E435" s="191"/>
    </row>
    <row r="436" ht="19.5" customHeight="1">
      <c r="B436" s="173" t="s">
        <v>707</v>
      </c>
      <c r="C436" s="188" t="str">
        <f>IF(cluster_wld_domain_chosen&lt;&gt;"MGMT Workload Domain",CONCATENATE(this_instance,"01-w0",wld_domain_number_chosen,"-r06-esx11",".",sample_child_dns_zone),CONCATENATE(this_instance,"01-m01-r06-esx11",".",sample_child_dns_zone))</f>
        <v>lax01-w01-r06-esx11.lax.rainpole.io</v>
      </c>
      <c r="D436" s="18"/>
      <c r="E436" s="191"/>
    </row>
    <row r="437" ht="19.5" customHeight="1">
      <c r="B437" s="173" t="s">
        <v>708</v>
      </c>
      <c r="C437" s="188" t="str">
        <f>IF(cluster_wld_domain_chosen&lt;&gt;"MGMT Workload Domain",CONCATENATE(this_instance,"01-w0",wld_domain_number_chosen,"-r06-esx12",".",sample_child_dns_zone),CONCATENATE(this_instance,"01-m01-r06-esx12",".",sample_child_dns_zone))</f>
        <v>lax01-w01-r06-esx12.lax.rainpole.io</v>
      </c>
      <c r="D437" s="18"/>
      <c r="E437" s="191"/>
    </row>
    <row r="438" ht="19.5" customHeight="1">
      <c r="B438" s="173" t="s">
        <v>709</v>
      </c>
      <c r="C438" s="188" t="str">
        <f>IF(cluster_wld_domain_chosen&lt;&gt;"MGMT Workload Domain",CONCATENATE(this_instance,"01-w0",wld_domain_number_chosen,"-r06-esx13",".",sample_child_dns_zone),CONCATENATE(this_instance,"01-m01-r06-esx13",".",sample_child_dns_zone))</f>
        <v>lax01-w01-r06-esx13.lax.rainpole.io</v>
      </c>
      <c r="D438" s="18"/>
      <c r="E438" s="191"/>
    </row>
    <row r="439" ht="19.5" customHeight="1">
      <c r="B439" s="173" t="s">
        <v>710</v>
      </c>
      <c r="C439" s="188" t="str">
        <f>IF(cluster_wld_domain_chosen&lt;&gt;"MGMT Workload Domain",CONCATENATE(this_instance,"01-w0",wld_domain_number_chosen,"-r06-esx14",".",sample_child_dns_zone),CONCATENATE(this_instance,"01-m01-r06-esx14",".",sample_child_dns_zone))</f>
        <v>lax01-w01-r06-esx14.lax.rainpole.io</v>
      </c>
      <c r="D439" s="18"/>
      <c r="E439" s="191"/>
    </row>
    <row r="440" ht="19.5" customHeight="1">
      <c r="B440" s="173" t="s">
        <v>711</v>
      </c>
      <c r="C440" s="188" t="str">
        <f>IF(cluster_wld_domain_chosen&lt;&gt;"MGMT Workload Domain",CONCATENATE(this_instance,"01-w0",wld_domain_number_chosen,"-r06-esx14",".",sample_child_dns_zone),CONCATENATE(this_instance,"01-m01-r06-esx15",".",sample_child_dns_zone))</f>
        <v>lax01-w01-r06-esx14.lax.rainpole.io</v>
      </c>
      <c r="D440" s="18"/>
      <c r="E440" s="191"/>
    </row>
    <row r="441" ht="19.5" customHeight="1">
      <c r="B441" s="173" t="s">
        <v>712</v>
      </c>
      <c r="C441" s="188" t="str">
        <f>IF(cluster_wld_domain_chosen&lt;&gt;"MGMT Workload Domain",CONCATENATE(this_instance,"01-w0",wld_domain_number_chosen,"-r06-esx16",".",sample_child_dns_zone),CONCATENATE(this_instance,"01-m01-r06-esx16",".",sample_child_dns_zone))</f>
        <v>lax01-w01-r06-esx16.lax.rainpole.io</v>
      </c>
      <c r="D441" s="18"/>
      <c r="E441" s="191"/>
    </row>
    <row r="442" ht="19.5" customHeight="1">
      <c r="B442" s="173" t="s">
        <v>723</v>
      </c>
      <c r="C442" s="203" t="s">
        <v>370</v>
      </c>
      <c r="D442" s="18" t="s">
        <v>724</v>
      </c>
      <c r="E442" s="191"/>
    </row>
    <row r="443" ht="19.5" customHeight="1">
      <c r="B443" s="173" t="s">
        <v>725</v>
      </c>
      <c r="C443" s="203" t="s">
        <v>726</v>
      </c>
      <c r="D443" s="1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443" s="84"/>
    </row>
    <row r="444" ht="19.5" customHeight="1">
      <c r="B444" s="173" t="s">
        <v>727</v>
      </c>
      <c r="C444" s="203" t="s">
        <v>285</v>
      </c>
      <c r="D444" s="18" t="str">
        <f>IF(AND(vcf_granular_option_chosen="Create Cluster",cluster_principal_storage_chosen="vSAN-ESA"),"Selected",
IF(AND(vcf_granular_option_chosen="Create VI Workload Domain",wld_principal_storage_chosen="vSAN-ESA"),"Selected","Unselected"))</f>
        <v>Unselected</v>
      </c>
      <c r="E444" s="191"/>
    </row>
    <row r="445" ht="19.5" customHeight="1">
      <c r="B445" s="173" t="s">
        <v>716</v>
      </c>
      <c r="C445" s="203" t="str">
        <f>sample_wld_az1_rack6_pool_name</f>
        <v>lax01-w01-r06-network-pool-01</v>
      </c>
      <c r="D445" s="18" t="str">
        <f>wld_az1_rack6_pool_name</f>
        <v>Value Missing</v>
      </c>
      <c r="E445" s="191"/>
    </row>
    <row r="446" ht="19.5" customHeight="1">
      <c r="B446" s="173" t="s">
        <v>545</v>
      </c>
      <c r="C446" s="203" t="s">
        <v>728</v>
      </c>
      <c r="D446" s="1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446" s="191"/>
    </row>
    <row r="447" ht="19.5" customHeight="1">
      <c r="B447" s="173" t="s">
        <v>296</v>
      </c>
      <c r="C447" s="203" t="s">
        <v>382</v>
      </c>
      <c r="D447" s="1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447" s="191"/>
    </row>
    <row r="448" ht="15.75" customHeight="1"/>
    <row r="449" ht="33.75" customHeight="1">
      <c r="B449" s="197" t="s">
        <v>3387</v>
      </c>
      <c r="C449" s="13"/>
      <c r="D449" s="13"/>
      <c r="E449" s="14"/>
    </row>
    <row r="450" ht="19.5" customHeight="1">
      <c r="B450" s="84" t="s">
        <v>795</v>
      </c>
      <c r="C450" s="163" t="str">
        <f>IF(vcf_granular_option_chosen="Create Cluster",CONCATENATE(this_instance,"01-",sample_cluster_name,"-r06-network-profile"),
IF(cluster_wld_domain_chosen="VI Workload Domain",CONCATENATE(this_instance,"01-",sample_wld_cl01_cluster,"-r06-network-profile"),
CONCATENATE(this_instance,"01-",sample_mgmt_cl01_cluster,"-r06-network-profile")))</f>
        <v>lax01-lax-w01-cl01-r06-network-profile</v>
      </c>
      <c r="D450" s="18"/>
      <c r="E450" s="156"/>
    </row>
    <row r="451" ht="19.5" customHeight="1">
      <c r="B451" s="84" t="s">
        <v>3360</v>
      </c>
      <c r="C451" s="110" t="s">
        <v>797</v>
      </c>
      <c r="D451" s="156" t="s">
        <v>797</v>
      </c>
      <c r="E451" s="84" t="str">
        <f>IF(wld_az1_rack6_host_overlay_new_pool_chosen="Re-use an existing Pool","An exisitng Pool will be reused for Host TEP assignment","A new Pool will be created for Host TEP assignment")</f>
        <v>A new Pool will be created for Host TEP assignment</v>
      </c>
    </row>
    <row r="452" ht="19.5" customHeight="1">
      <c r="B452" s="84" t="s">
        <v>798</v>
      </c>
      <c r="C452" s="163" t="str">
        <f>IF(cluster_wld_domain_chosen="VI Workload Domain",CONCATENATE(this_instance,"01-w0",wld_domain_number_chosen,"-r06-ip-pool01-host"),CONCATENATE(this_instance,"01-m01","-r06-ip-pool01-host"))</f>
        <v>lax01-w01-r06-ip-pool01-host</v>
      </c>
      <c r="D452" s="18"/>
      <c r="E452" s="156"/>
    </row>
    <row r="453" ht="19.5" customHeight="1">
      <c r="B453" s="84" t="s">
        <v>799</v>
      </c>
      <c r="C453" s="163" t="str">
        <f>IF(cluster_wld_domain_chosen="VI Workload Domain",CONCATENATE(this_instance,"01-w0",wld_domain_number_chosen,"-r06-uplink-profile01"),CONCATENATE(this_instance,"01-m01","-r06-uplink-profile01"))</f>
        <v>lax01-w01-r06-uplink-profile01</v>
      </c>
      <c r="D453" s="18"/>
      <c r="E453" s="156"/>
    </row>
    <row r="454" ht="19.5" customHeight="1">
      <c r="B454" s="84" t="s">
        <v>3361</v>
      </c>
      <c r="C454" s="163" t="str">
        <f>IF(cluster_wld_domain_chosen="VI Workload Domain",CONCATENATE(this_instance,"01-w0",wld_domain_number_chosen,"-r06-ip-pool02-edge"),CONCATENATE(this_instance,"01-m01","-r06-ip-pool02-edge"))</f>
        <v>lax01-w01-r06-ip-pool02-edge</v>
      </c>
      <c r="D454" s="18"/>
      <c r="E454" s="156"/>
    </row>
    <row r="455" ht="19.5" customHeight="1">
      <c r="B455" s="84" t="s">
        <v>3362</v>
      </c>
      <c r="C455" s="163" t="str">
        <f>IF(cluster_wld_domain_chosen="VI Workload Domain",CONCATENATE(this_instance,"01-w0",wld_domain_number_chosen,"-r06-ip-pool03-rtep"),CONCATENATE(this_instance,"01-m01","-r06-ip-pool03-rtep"))</f>
        <v>lax01-w01-r06-ip-pool03-rtep</v>
      </c>
      <c r="D455" s="18"/>
      <c r="E455" s="156"/>
    </row>
    <row r="456" ht="19.5" customHeight="1">
      <c r="B456" s="17" t="s">
        <v>367</v>
      </c>
      <c r="C456" s="13"/>
      <c r="D456" s="13"/>
      <c r="E456" s="14"/>
    </row>
    <row r="457" ht="19.5" customHeight="1">
      <c r="B457" s="49" t="s">
        <v>256</v>
      </c>
      <c r="C457" s="49" t="s">
        <v>722</v>
      </c>
      <c r="D457" s="370" t="s">
        <v>274</v>
      </c>
      <c r="E457" s="49" t="s">
        <v>5</v>
      </c>
    </row>
    <row r="458" ht="19.5" customHeight="1">
      <c r="B458" s="84" t="s">
        <v>1873</v>
      </c>
      <c r="C458" s="156" t="str">
        <f>IF(cluster_wld_domain_chosen&lt;&gt;"MGMT Workload Domain",CONCATENATE(this_instance,"-w0",wld_domain_number_chosen,"-r06","-vsan-fault-domain"),CONCATENATE(this_instance,"-m01","-r06","-vsan-fault-domain"))</f>
        <v>lax-w01-r06-vsan-fault-domain</v>
      </c>
      <c r="D458" s="18"/>
      <c r="E458" s="18"/>
    </row>
    <row r="459" ht="15.75" customHeight="1"/>
    <row r="460" ht="33.75" customHeight="1">
      <c r="B460" s="197" t="s">
        <v>3388</v>
      </c>
      <c r="C460" s="13"/>
      <c r="D460" s="13"/>
      <c r="E460" s="14"/>
    </row>
    <row r="461" ht="19.5" customHeight="1">
      <c r="B461" s="108" t="s">
        <v>256</v>
      </c>
      <c r="C461" s="108" t="s">
        <v>722</v>
      </c>
      <c r="D461" s="108" t="s">
        <v>274</v>
      </c>
      <c r="E461" s="108" t="s">
        <v>5</v>
      </c>
    </row>
    <row r="462" ht="19.5" customHeight="1">
      <c r="B462" s="102" t="s">
        <v>472</v>
      </c>
      <c r="C462" s="13"/>
      <c r="D462" s="13"/>
      <c r="E462" s="14"/>
    </row>
    <row r="463" ht="19.5" customHeight="1">
      <c r="B463" s="84" t="s">
        <v>401</v>
      </c>
      <c r="C463" s="110" t="str">
        <f>IF(cluster_wld_domain_chosen&lt;&gt;"MGMT Workload Domain",CONCATENATE(prefix_wld_az1_rack_vlan,"69"),CONCATENATE(prefix_mgmt_az1_vlan,"69"))</f>
        <v>2369</v>
      </c>
      <c r="D463" s="18"/>
      <c r="E463" s="84"/>
    </row>
    <row r="464" ht="19.5" customHeight="1">
      <c r="B464" s="84" t="s">
        <v>404</v>
      </c>
      <c r="C464" s="110">
        <v>9000.0</v>
      </c>
      <c r="D464" s="18"/>
      <c r="E464" s="191"/>
    </row>
    <row r="465" ht="19.5" customHeight="1">
      <c r="B465" s="84" t="s">
        <v>403</v>
      </c>
      <c r="C465" s="110" t="str">
        <f>IF(cluster_wld_domain_chosen&lt;&gt;"MGMT Workload Domain",CONCATENATE(prefix_wld_az1_rack_cidr,"69.0"),CONCATENATE(prefix_mgmt_az1_cidr,"69.0"))</f>
        <v>10.23.69.0</v>
      </c>
      <c r="D465" s="18"/>
      <c r="E465" s="191"/>
    </row>
    <row r="466" ht="19.5" customHeight="1">
      <c r="B466" s="84" t="s">
        <v>743</v>
      </c>
      <c r="C466" s="110" t="s">
        <v>622</v>
      </c>
      <c r="D466" s="18"/>
      <c r="E466" s="191"/>
    </row>
    <row r="467" ht="19.5" customHeight="1">
      <c r="B467" s="84" t="s">
        <v>402</v>
      </c>
      <c r="C467" s="110" t="str">
        <f>IF(cluster_wld_domain_chosen&lt;&gt;"MGMT Workload Domain",CONCATENATE(prefix_wld_az1_rack_cidr,"69.1"),CONCATENATE(prefix_mgmt_az1_cidr,"69.1"))</f>
        <v>10.23.69.1</v>
      </c>
      <c r="D467" s="18"/>
      <c r="E467" s="191"/>
    </row>
    <row r="468" ht="19.5" customHeight="1">
      <c r="B468" s="173" t="s">
        <v>465</v>
      </c>
      <c r="C468" s="110" t="str">
        <f>IF(cluster_wld_domain_chosen&lt;&gt;"MGMT Workload Domain",CONCATENATE(prefix_wld_az1_rack_cidr,"69.101"),CONCATENATE(prefix_mgmt_az1_cidr,"69.101"))</f>
        <v>10.23.69.101</v>
      </c>
      <c r="D468" s="18"/>
      <c r="E468" s="95" t="s">
        <v>3364</v>
      </c>
    </row>
    <row r="469" ht="19.5" customHeight="1">
      <c r="B469" s="173" t="s">
        <v>466</v>
      </c>
      <c r="C469" s="110" t="str">
        <f>IF(cluster_wld_domain_chosen&lt;&gt;"MGMT Workload Domain",CONCATENATE(prefix_wld_az1_rack_cidr,"69.116"),CONCATENATE(prefix_mgmt_az1_cidr,"69.116"))</f>
        <v>10.23.69.116</v>
      </c>
      <c r="D469" s="18"/>
      <c r="E469" s="95" t="s">
        <v>3365</v>
      </c>
    </row>
    <row r="470" ht="15.75" customHeight="1"/>
    <row r="471" ht="33.75" customHeight="1">
      <c r="B471" s="197" t="s">
        <v>3389</v>
      </c>
      <c r="C471" s="13"/>
      <c r="D471" s="13"/>
      <c r="E471" s="14"/>
    </row>
    <row r="472" ht="19.5" customHeight="1">
      <c r="B472" s="108" t="s">
        <v>256</v>
      </c>
      <c r="C472" s="108" t="s">
        <v>722</v>
      </c>
      <c r="D472" s="108" t="s">
        <v>274</v>
      </c>
      <c r="E472" s="108" t="s">
        <v>5</v>
      </c>
    </row>
    <row r="473" ht="19.5" customHeight="1">
      <c r="B473" s="102" t="s">
        <v>400</v>
      </c>
      <c r="C473" s="13"/>
      <c r="D473" s="13"/>
      <c r="E473" s="14"/>
    </row>
    <row r="474" ht="19.5" customHeight="1">
      <c r="B474" s="84" t="s">
        <v>401</v>
      </c>
      <c r="C474" s="110" t="str">
        <f>IF(cluster_wld_domain_chosen&lt;&gt;"MGMT Workload Domain",CONCATENATE(prefix_wld_az1_rack_vlan,"77"),CONCATENATE(prefix_mgmt_az1_vlan,"77"))</f>
        <v>2377</v>
      </c>
      <c r="D474" s="18"/>
      <c r="E474" s="84"/>
    </row>
    <row r="475" ht="19.5" customHeight="1">
      <c r="B475" s="84" t="s">
        <v>402</v>
      </c>
      <c r="C475" s="110" t="str">
        <f>IF(cluster_wld_domain_chosen&lt;&gt;"MGMT Workload Domain",CONCATENATE(prefix_wld_az1_rack_cidr,"77.1"),CONCATENATE(prefix_mgmt_az1_cidr,"77.1"))</f>
        <v>10.23.77.1</v>
      </c>
      <c r="D475" s="18"/>
      <c r="E475" s="191"/>
    </row>
    <row r="476" ht="19.5" customHeight="1">
      <c r="B476" s="84" t="s">
        <v>403</v>
      </c>
      <c r="C476" s="110" t="str">
        <f>IF(cluster_wld_domain_chosen&lt;&gt;"MGMT Workload Domain",CONCATENATE(prefix_wld_az1_rack_cidr,"77.0/24"),CONCATENATE(prefix_mgmt_az1_cidr,"77.0/24"))</f>
        <v>10.23.77.0/24</v>
      </c>
      <c r="D476" s="18"/>
      <c r="E476" s="191"/>
    </row>
    <row r="477" ht="19.5" customHeight="1">
      <c r="B477" s="84" t="s">
        <v>404</v>
      </c>
      <c r="C477" s="110">
        <v>1500.0</v>
      </c>
      <c r="D477" s="18"/>
      <c r="E477" s="191"/>
    </row>
    <row r="478" ht="19.5" customHeight="1">
      <c r="B478" s="17" t="s">
        <v>481</v>
      </c>
      <c r="C478" s="13"/>
      <c r="D478" s="13"/>
      <c r="E478" s="14"/>
    </row>
    <row r="479" ht="19.5" customHeight="1">
      <c r="B479" s="173" t="s">
        <v>697</v>
      </c>
      <c r="C479" s="203" t="str">
        <f>IF(cluster_wld_domain_chosen&lt;&gt;"MGMT Workload Domain",CONCATENATE(prefix_wld_az1_rack_cidr,"77.101"),CONCATENATE(prefix_mgmt_az1_cidr,"77.101"))</f>
        <v>10.23.77.101</v>
      </c>
      <c r="D479" s="18"/>
      <c r="E479" s="95" t="s">
        <v>482</v>
      </c>
    </row>
    <row r="480" ht="19.5" customHeight="1">
      <c r="B480" s="173" t="s">
        <v>698</v>
      </c>
      <c r="C480" s="203" t="str">
        <f>IF(cluster_wld_domain_chosen&lt;&gt;"MGMT Workload Domain",CONCATENATE(prefix_wld_az1_rack_cidr,"77.102"),CONCATENATE(prefix_mgmt_az1_cidr,"77.102"))</f>
        <v>10.23.77.102</v>
      </c>
      <c r="D480" s="18"/>
      <c r="E480" s="95" t="s">
        <v>484</v>
      </c>
    </row>
    <row r="481" ht="19.5" customHeight="1">
      <c r="B481" s="173" t="s">
        <v>699</v>
      </c>
      <c r="C481" s="203" t="str">
        <f>IF(cluster_wld_domain_chosen&lt;&gt;"MGMT Workload Domain",CONCATENATE(prefix_wld_az1_rack_cidr,"77.103"),CONCATENATE(prefix_mgmt_az1_cidr,"77.103"))</f>
        <v>10.23.77.103</v>
      </c>
      <c r="D481" s="18"/>
      <c r="E481" s="95" t="s">
        <v>485</v>
      </c>
    </row>
    <row r="482" ht="19.5" customHeight="1">
      <c r="B482" s="173" t="s">
        <v>700</v>
      </c>
      <c r="C482" s="203" t="str">
        <f>IF(cluster_wld_domain_chosen&lt;&gt;"MGMT Workload Domain",CONCATENATE(prefix_wld_az1_rack_cidr,"77.104"),CONCATENATE(prefix_mgmt_az1_cidr,"77.104"))</f>
        <v>10.23.77.104</v>
      </c>
      <c r="D482" s="18"/>
      <c r="E482" s="95" t="s">
        <v>486</v>
      </c>
    </row>
    <row r="483" ht="19.5" customHeight="1">
      <c r="B483" s="173" t="s">
        <v>701</v>
      </c>
      <c r="C483" s="203" t="str">
        <f>IF(cluster_wld_domain_chosen&lt;&gt;"MGMT Workload Domain",CONCATENATE(prefix_wld_az1_rack_cidr,"77.105"),CONCATENATE(prefix_mgmt_az1_cidr,"77.105"))</f>
        <v>10.23.77.105</v>
      </c>
      <c r="D483" s="18"/>
      <c r="E483" s="95" t="s">
        <v>487</v>
      </c>
    </row>
    <row r="484" ht="19.5" customHeight="1">
      <c r="B484" s="173" t="s">
        <v>702</v>
      </c>
      <c r="C484" s="203" t="str">
        <f>IF(cluster_wld_domain_chosen&lt;&gt;"MGMT Workload Domain",CONCATENATE(prefix_wld_az1_rack_cidr,"77.106"),CONCATENATE(prefix_mgmt_az1_cidr,"77.106"))</f>
        <v>10.23.77.106</v>
      </c>
      <c r="D484" s="18"/>
      <c r="E484" s="95" t="s">
        <v>488</v>
      </c>
    </row>
    <row r="485" ht="19.5" customHeight="1">
      <c r="B485" s="173" t="s">
        <v>703</v>
      </c>
      <c r="C485" s="203" t="str">
        <f>IF(cluster_wld_domain_chosen&lt;&gt;"MGMT Workload Domain",CONCATENATE(prefix_wld_az1_rack_cidr,"77.107"),CONCATENATE(prefix_mgmt_az1_cidr,"77.107"))</f>
        <v>10.23.77.107</v>
      </c>
      <c r="D485" s="18"/>
      <c r="E485" s="95" t="s">
        <v>489</v>
      </c>
    </row>
    <row r="486" ht="19.5" customHeight="1">
      <c r="B486" s="173" t="s">
        <v>704</v>
      </c>
      <c r="C486" s="203" t="str">
        <f>IF(cluster_wld_domain_chosen&lt;&gt;"MGMT Workload Domain",CONCATENATE(prefix_wld_az1_rack_cidr,"77.108"),CONCATENATE(prefix_mgmt_az1_cidr,"77.108"))</f>
        <v>10.23.77.108</v>
      </c>
      <c r="D486" s="18"/>
      <c r="E486" s="95" t="s">
        <v>490</v>
      </c>
    </row>
    <row r="487" ht="19.5" customHeight="1">
      <c r="B487" s="173" t="s">
        <v>705</v>
      </c>
      <c r="C487" s="203" t="str">
        <f>IF(cluster_wld_domain_chosen&lt;&gt;"MGMT Workload Domain",CONCATENATE(prefix_wld_az1_rack_cidr,"77.109"),CONCATENATE(prefix_mgmt_az1_cidr,"77.109"))</f>
        <v>10.23.77.109</v>
      </c>
      <c r="D487" s="18"/>
      <c r="E487" s="95" t="s">
        <v>491</v>
      </c>
    </row>
    <row r="488" ht="19.5" customHeight="1">
      <c r="B488" s="173" t="s">
        <v>706</v>
      </c>
      <c r="C488" s="203" t="str">
        <f>IF(cluster_wld_domain_chosen&lt;&gt;"MGMT Workload Domain",CONCATENATE(prefix_wld_az1_rack_cidr,"77.110"),CONCATENATE(prefix_mgmt_az1_cidr,"77.110"))</f>
        <v>10.23.77.110</v>
      </c>
      <c r="D488" s="18"/>
      <c r="E488" s="95" t="s">
        <v>492</v>
      </c>
    </row>
    <row r="489" ht="19.5" customHeight="1">
      <c r="B489" s="173" t="s">
        <v>707</v>
      </c>
      <c r="C489" s="203" t="str">
        <f>IF(cluster_wld_domain_chosen&lt;&gt;"MGMT Workload Domain",CONCATENATE(prefix_wld_az1_rack_cidr,"77.111"),CONCATENATE(prefix_mgmt_az1_cidr,"77.111"))</f>
        <v>10.23.77.111</v>
      </c>
      <c r="D489" s="18"/>
      <c r="E489" s="95" t="s">
        <v>493</v>
      </c>
    </row>
    <row r="490" ht="19.5" customHeight="1">
      <c r="B490" s="173" t="s">
        <v>708</v>
      </c>
      <c r="C490" s="203" t="str">
        <f>IF(cluster_wld_domain_chosen&lt;&gt;"MGMT Workload Domain",CONCATENATE(prefix_wld_az1_rack_cidr,"77.112"),CONCATENATE(prefix_mgmt_az1_cidr,"77.112"))</f>
        <v>10.23.77.112</v>
      </c>
      <c r="D490" s="18"/>
      <c r="E490" s="95" t="s">
        <v>494</v>
      </c>
    </row>
    <row r="491" ht="19.5" customHeight="1">
      <c r="B491" s="173" t="s">
        <v>709</v>
      </c>
      <c r="C491" s="203" t="str">
        <f>IF(cluster_wld_domain_chosen&lt;&gt;"MGMT Workload Domain",CONCATENATE(prefix_wld_az1_rack_cidr,"77.113"),CONCATENATE(prefix_mgmt_az1_cidr,"77.113"))</f>
        <v>10.23.77.113</v>
      </c>
      <c r="D491" s="18"/>
      <c r="E491" s="95" t="s">
        <v>495</v>
      </c>
    </row>
    <row r="492" ht="19.5" customHeight="1">
      <c r="B492" s="173" t="s">
        <v>710</v>
      </c>
      <c r="C492" s="203" t="str">
        <f>IF(cluster_wld_domain_chosen&lt;&gt;"MGMT Workload Domain",CONCATENATE(prefix_wld_az1_rack_cidr,"77.114"),CONCATENATE(prefix_mgmt_az1_cidr,"77.114"))</f>
        <v>10.23.77.114</v>
      </c>
      <c r="D492" s="18"/>
      <c r="E492" s="95" t="s">
        <v>496</v>
      </c>
    </row>
    <row r="493" ht="19.5" customHeight="1">
      <c r="B493" s="173" t="s">
        <v>711</v>
      </c>
      <c r="C493" s="203" t="str">
        <f>IF(cluster_wld_domain_chosen&lt;&gt;"MGMT Workload Domain",CONCATENATE(prefix_wld_az1_rack_cidr,"77.115"),CONCATENATE(prefix_mgmt_az1_cidr,"77.115"))</f>
        <v>10.23.77.115</v>
      </c>
      <c r="D493" s="18"/>
      <c r="E493" s="95" t="s">
        <v>497</v>
      </c>
    </row>
    <row r="494" ht="19.5" customHeight="1">
      <c r="B494" s="173" t="s">
        <v>712</v>
      </c>
      <c r="C494" s="203" t="str">
        <f>IF(cluster_wld_domain_chosen&lt;&gt;"MGMT Workload Domain",CONCATENATE(prefix_wld_az1_rack_cidr,"77.116"),CONCATENATE(prefix_mgmt_az1_cidr,"77.116"))</f>
        <v>10.23.77.116</v>
      </c>
      <c r="D494" s="18"/>
      <c r="E494" s="95" t="s">
        <v>498</v>
      </c>
    </row>
    <row r="495" ht="15.75" customHeight="1">
      <c r="B495" s="41"/>
      <c r="C495" s="41"/>
      <c r="D495" s="41"/>
      <c r="E495" s="41"/>
    </row>
    <row r="496" ht="33.75" customHeight="1">
      <c r="B496" s="197" t="s">
        <v>3390</v>
      </c>
      <c r="C496" s="13"/>
      <c r="D496" s="13"/>
      <c r="E496" s="14"/>
    </row>
    <row r="497" ht="19.5" customHeight="1">
      <c r="B497" s="108" t="s">
        <v>256</v>
      </c>
      <c r="C497" s="108" t="s">
        <v>722</v>
      </c>
      <c r="D497" s="108" t="s">
        <v>274</v>
      </c>
      <c r="E497" s="108" t="s">
        <v>5</v>
      </c>
    </row>
    <row r="498" ht="19.5" customHeight="1">
      <c r="B498" s="84" t="s">
        <v>3353</v>
      </c>
      <c r="C498" s="110" t="s">
        <v>715</v>
      </c>
      <c r="D498" s="156" t="s">
        <v>715</v>
      </c>
      <c r="E498" s="84" t="str">
        <f>IF(wld_az1_rack7_reuse_vcf_networkpool_chosen="Re-use an existing  VCF Network Pool","An exisiting VCF Network Pool will be reused for Host TEP assignment","A new VCF Network Pool will be created")</f>
        <v>A new VCF Network Pool will be created</v>
      </c>
    </row>
    <row r="499" ht="19.5" customHeight="1">
      <c r="B499" s="173" t="s">
        <v>716</v>
      </c>
      <c r="C499" s="163" t="str">
        <f>IF(cluster_wld_domain_chosen="VI Workload Domain",CONCATENATE(this_instance,"01-w0",wld_domain_number_chosen,"-r07-network-pool-01"),CONCATENATE(this_instance,"01-m01","-r07-network-pool-01"))</f>
        <v>lax01-w01-r07-network-pool-01</v>
      </c>
      <c r="D499" s="18"/>
      <c r="E499" s="191"/>
    </row>
    <row r="500" ht="19.5" customHeight="1">
      <c r="B500" s="102" t="s">
        <v>407</v>
      </c>
      <c r="C500" s="13"/>
      <c r="D500" s="13"/>
      <c r="E500" s="14"/>
    </row>
    <row r="501" ht="19.5" customHeight="1">
      <c r="B501" s="84" t="s">
        <v>401</v>
      </c>
      <c r="C501" s="110" t="str">
        <f>IF(cluster_wld_domain_chosen&lt;&gt;"MGMT Workload Domain",CONCATENATE(prefix_wld_az1_rack_vlan,"78"),CONCATENATE(prefix_mgmt_az1_vlan,"78"))</f>
        <v>2378</v>
      </c>
      <c r="D501" s="18"/>
      <c r="E501" s="84"/>
    </row>
    <row r="502" ht="19.5" customHeight="1">
      <c r="B502" s="84" t="s">
        <v>404</v>
      </c>
      <c r="C502" s="110">
        <v>9000.0</v>
      </c>
      <c r="D502" s="18"/>
      <c r="E502" s="191"/>
    </row>
    <row r="503" ht="19.5" customHeight="1">
      <c r="B503" s="84" t="s">
        <v>403</v>
      </c>
      <c r="C503" s="203" t="str">
        <f>IF(cluster_wld_domain_chosen&lt;&gt;"MGMT Workload Domain",CONCATENATE(prefix_wld_az1_rack_cidr,"78.0"),CONCATENATE(prefix_mgmt_az1_cidr,"78.0"))</f>
        <v>10.23.78.0</v>
      </c>
      <c r="D503" s="18"/>
      <c r="E503" s="191"/>
    </row>
    <row r="504" ht="19.5" customHeight="1">
      <c r="B504" s="84" t="s">
        <v>743</v>
      </c>
      <c r="C504" s="203" t="s">
        <v>622</v>
      </c>
      <c r="D504" s="18"/>
      <c r="E504" s="191"/>
    </row>
    <row r="505" ht="19.5" customHeight="1">
      <c r="B505" s="84" t="s">
        <v>402</v>
      </c>
      <c r="C505" s="110" t="str">
        <f>IF(cluster_wld_domain_chosen&lt;&gt;"MGMT Workload Domain",CONCATENATE(prefix_wld_az1_rack_cidr,"78.1"),CONCATENATE(prefix_mgmt_az1_cidr,"78.1"))</f>
        <v>10.23.78.1</v>
      </c>
      <c r="D505" s="18"/>
      <c r="E505" s="191"/>
    </row>
    <row r="506" ht="19.5" customHeight="1">
      <c r="B506" s="173" t="s">
        <v>465</v>
      </c>
      <c r="C506" s="110" t="str">
        <f>IF(cluster_wld_domain_chosen&lt;&gt;"MGMT Workload Domain",CONCATENATE(prefix_wld_az1_rack_cidr,"78.101"),CONCATENATE(prefix_mgmt_az1_cidr,"78.101"))</f>
        <v>10.23.78.101</v>
      </c>
      <c r="D506" s="18"/>
      <c r="E506" s="95" t="s">
        <v>3354</v>
      </c>
    </row>
    <row r="507" ht="19.5" customHeight="1">
      <c r="B507" s="173" t="s">
        <v>466</v>
      </c>
      <c r="C507" s="110" t="str">
        <f>IF(cluster_wld_domain_chosen&lt;&gt;"MGMT Workload Domain",CONCATENATE(prefix_wld_az1_rack_cidr,"78.116"),CONCATENATE(prefix_mgmt_az1_cidr,"78.116"))</f>
        <v>10.23.78.116</v>
      </c>
      <c r="D507" s="18"/>
      <c r="E507" s="95" t="s">
        <v>3355</v>
      </c>
    </row>
    <row r="508" ht="19.5" customHeight="1">
      <c r="B508" s="102" t="s">
        <v>410</v>
      </c>
      <c r="C508" s="13"/>
      <c r="D508" s="13"/>
      <c r="E508" s="14"/>
    </row>
    <row r="509" ht="19.5" customHeight="1">
      <c r="B509" s="84" t="s">
        <v>401</v>
      </c>
      <c r="C509" s="110" t="str">
        <f>IF(cluster_wld_domain_chosen&lt;&gt;"MGMT Workload Domain",CONCATENATE(prefix_wld_az1_rack_vlan,"79"),CONCATENATE(prefix_mgmt_az1_vlan,"79"))</f>
        <v>2379</v>
      </c>
      <c r="D509" s="18"/>
      <c r="E509" s="191"/>
    </row>
    <row r="510" ht="19.5" customHeight="1">
      <c r="B510" s="84" t="s">
        <v>404</v>
      </c>
      <c r="C510" s="110">
        <v>9000.0</v>
      </c>
      <c r="D510" s="18"/>
      <c r="E510" s="191"/>
    </row>
    <row r="511" ht="19.5" customHeight="1">
      <c r="B511" s="84" t="s">
        <v>403</v>
      </c>
      <c r="C511" s="203" t="str">
        <f>IF(cluster_wld_domain_chosen&lt;&gt;"MGMT Workload Domain",CONCATENATE(prefix_wld_az1_rack_cidr,"79.0"),CONCATENATE(prefix_mgmt_az1_cidr,"79.0"))</f>
        <v>10.23.79.0</v>
      </c>
      <c r="D511" s="18"/>
      <c r="E511" s="201"/>
    </row>
    <row r="512" ht="19.5" customHeight="1">
      <c r="B512" s="84" t="s">
        <v>743</v>
      </c>
      <c r="C512" s="203" t="s">
        <v>622</v>
      </c>
      <c r="D512" s="18"/>
      <c r="E512" s="191"/>
    </row>
    <row r="513" ht="19.5" customHeight="1">
      <c r="B513" s="84" t="s">
        <v>402</v>
      </c>
      <c r="C513" s="110" t="str">
        <f>IF(cluster_wld_domain_chosen&lt;&gt;"MGMT Workload Domain",CONCATENATE(prefix_wld_az1_rack_cidr,"79.1"),CONCATENATE(prefix_mgmt_az1_cidr,"79.1"))</f>
        <v>10.23.79.1</v>
      </c>
      <c r="D513" s="18"/>
      <c r="E513" s="191" t="str">
        <f>IF(AND(mgmt_stretched_cluster_result="Included",mgmt_dpg_reuse_result="Excluded"),"Stretched L2","")</f>
        <v/>
      </c>
    </row>
    <row r="514" ht="19.5" customHeight="1">
      <c r="B514" s="173" t="s">
        <v>465</v>
      </c>
      <c r="C514" s="110" t="str">
        <f>IF(cluster_wld_domain_chosen&lt;&gt;"MGMT Workload Domain",CONCATENATE(prefix_wld_az1_rack_cidr,"79.101"),CONCATENATE(prefix_mgmt_az1_cidr,"79.101"))</f>
        <v>10.23.79.101</v>
      </c>
      <c r="D514" s="18"/>
      <c r="E514" s="95" t="s">
        <v>3356</v>
      </c>
    </row>
    <row r="515" ht="19.5" customHeight="1">
      <c r="B515" s="173" t="s">
        <v>466</v>
      </c>
      <c r="C515" s="110" t="str">
        <f>IF(cluster_wld_domain_chosen&lt;&gt;"MGMT Workload Domain",CONCATENATE(prefix_wld_az1_rack_cidr,"79.116"),CONCATENATE(prefix_mgmt_az1_cidr,"79.116"))</f>
        <v>10.23.79.116</v>
      </c>
      <c r="D515" s="18"/>
      <c r="E515" s="95" t="s">
        <v>3357</v>
      </c>
    </row>
    <row r="516" ht="15.75" customHeight="1">
      <c r="B516" s="41"/>
      <c r="C516" s="41"/>
      <c r="D516" s="41"/>
      <c r="E516" s="41"/>
    </row>
    <row r="517" ht="33.75" customHeight="1">
      <c r="B517" s="197" t="s">
        <v>3391</v>
      </c>
      <c r="C517" s="13"/>
      <c r="D517" s="13"/>
      <c r="E517" s="14"/>
    </row>
    <row r="518" ht="19.5" customHeight="1">
      <c r="B518" s="108" t="s">
        <v>256</v>
      </c>
      <c r="C518" s="108" t="s">
        <v>722</v>
      </c>
      <c r="D518" s="108" t="s">
        <v>274</v>
      </c>
      <c r="E518" s="108" t="s">
        <v>5</v>
      </c>
    </row>
    <row r="519" ht="19.5" customHeight="1">
      <c r="B519" s="173" t="s">
        <v>697</v>
      </c>
      <c r="C519" s="188" t="str">
        <f>IF(cluster_wld_domain_chosen&lt;&gt;"MGMT Workload Domain",CONCATENATE(this_instance,"01-w0",wld_domain_number_chosen,"-r07-esx01",".",sample_child_dns_zone),CONCATENATE(this_instance,"01-m01-r07-esx01",".",sample_child_dns_zone))</f>
        <v>lax01-w01-r07-esx01.lax.rainpole.io</v>
      </c>
      <c r="D519" s="18"/>
      <c r="E519" s="191"/>
    </row>
    <row r="520" ht="19.5" customHeight="1">
      <c r="B520" s="173" t="s">
        <v>698</v>
      </c>
      <c r="C520" s="188" t="str">
        <f>IF(cluster_wld_domain_chosen&lt;&gt;"MGMT Workload Domain",CONCATENATE(this_instance,"01-w0",wld_domain_number_chosen,"-r07-esx02",".",sample_child_dns_zone),CONCATENATE(this_instance,"01-m01-r07-esx02",".",sample_child_dns_zone))</f>
        <v>lax01-w01-r07-esx02.lax.rainpole.io</v>
      </c>
      <c r="D520" s="18"/>
      <c r="E520" s="191"/>
    </row>
    <row r="521" ht="19.5" customHeight="1">
      <c r="B521" s="173" t="s">
        <v>699</v>
      </c>
      <c r="C521" s="188" t="str">
        <f>IF(cluster_wld_domain_chosen&lt;&gt;"MGMT Workload Domain",CONCATENATE(this_instance,"01-w0",wld_domain_number_chosen,"-r07-esx03",".",sample_child_dns_zone),CONCATENATE(this_instance,"01-m01-r07-esx03",".",sample_child_dns_zone))</f>
        <v>lax01-w01-r07-esx03.lax.rainpole.io</v>
      </c>
      <c r="D521" s="18"/>
      <c r="E521" s="191"/>
    </row>
    <row r="522" ht="19.5" customHeight="1">
      <c r="B522" s="173" t="s">
        <v>700</v>
      </c>
      <c r="C522" s="188" t="str">
        <f>IF(cluster_wld_domain_chosen&lt;&gt;"MGMT Workload Domain",CONCATENATE(this_instance,"01-w0",wld_domain_number_chosen,"-r07-esx04",".",sample_child_dns_zone),CONCATENATE(this_instance,"01-m01-r07-esx04",".",sample_child_dns_zone))</f>
        <v>lax01-w01-r07-esx04.lax.rainpole.io</v>
      </c>
      <c r="D522" s="18"/>
      <c r="E522" s="191"/>
    </row>
    <row r="523" ht="19.5" customHeight="1">
      <c r="B523" s="173" t="s">
        <v>701</v>
      </c>
      <c r="C523" s="188" t="str">
        <f>IF(cluster_wld_domain_chosen&lt;&gt;"MGMT Workload Domain",CONCATENATE(this_instance,"01-w0",wld_domain_number_chosen,"-r07-esx05",".",sample_child_dns_zone),CONCATENATE(this_instance,"01-m01-r07-esx05",".",sample_child_dns_zone))</f>
        <v>lax01-w01-r07-esx05.lax.rainpole.io</v>
      </c>
      <c r="D523" s="18"/>
      <c r="E523" s="191"/>
    </row>
    <row r="524" ht="19.5" customHeight="1">
      <c r="B524" s="173" t="s">
        <v>702</v>
      </c>
      <c r="C524" s="188" t="str">
        <f>IF(cluster_wld_domain_chosen&lt;&gt;"MGMT Workload Domain",CONCATENATE(this_instance,"01-w0",wld_domain_number_chosen,"-r07-esx06",".",sample_child_dns_zone),CONCATENATE(this_instance,"01-m01-r07-esx06",".",sample_child_dns_zone))</f>
        <v>lax01-w01-r07-esx06.lax.rainpole.io</v>
      </c>
      <c r="D524" s="18"/>
      <c r="E524" s="191"/>
    </row>
    <row r="525" ht="19.5" customHeight="1">
      <c r="B525" s="173" t="s">
        <v>703</v>
      </c>
      <c r="C525" s="188" t="str">
        <f>IF(cluster_wld_domain_chosen&lt;&gt;"MGMT Workload Domain",CONCATENATE(this_instance,"01-w0",wld_domain_number_chosen,"-r07-esx07",".",sample_child_dns_zone),CONCATENATE(this_instance,"01-m01-r07-esx07",".",sample_child_dns_zone))</f>
        <v>lax01-w01-r07-esx07.lax.rainpole.io</v>
      </c>
      <c r="D525" s="18"/>
      <c r="E525" s="191"/>
    </row>
    <row r="526" ht="19.5" customHeight="1">
      <c r="B526" s="173" t="s">
        <v>704</v>
      </c>
      <c r="C526" s="188" t="str">
        <f>IF(cluster_wld_domain_chosen&lt;&gt;"MGMT Workload Domain",CONCATENATE(this_instance,"01-w0",wld_domain_number_chosen,"-r07-esx08",".",sample_child_dns_zone),CONCATENATE(this_instance,"01-m01-r07-esx08",".",sample_child_dns_zone))</f>
        <v>lax01-w01-r07-esx08.lax.rainpole.io</v>
      </c>
      <c r="D526" s="18"/>
      <c r="E526" s="191"/>
    </row>
    <row r="527" ht="19.5" customHeight="1">
      <c r="B527" s="173" t="s">
        <v>705</v>
      </c>
      <c r="C527" s="188" t="str">
        <f>IF(cluster_wld_domain_chosen&lt;&gt;"MGMT Workload Domain",CONCATENATE(this_instance,"01-w0",wld_domain_number_chosen,"-r07-esx09",".",sample_child_dns_zone),CONCATENATE(this_instance,"01-m01-r07-esx09",".",sample_child_dns_zone))</f>
        <v>lax01-w01-r07-esx09.lax.rainpole.io</v>
      </c>
      <c r="D527" s="18"/>
      <c r="E527" s="191"/>
    </row>
    <row r="528" ht="19.5" customHeight="1">
      <c r="B528" s="173" t="s">
        <v>706</v>
      </c>
      <c r="C528" s="188" t="str">
        <f>IF(cluster_wld_domain_chosen&lt;&gt;"MGMT Workload Domain",CONCATENATE(this_instance,"01-w0",wld_domain_number_chosen,"-r07-esx10",".",sample_child_dns_zone),CONCATENATE(this_instance,"01-m01-r07-esx10",".",sample_child_dns_zone))</f>
        <v>lax01-w01-r07-esx10.lax.rainpole.io</v>
      </c>
      <c r="D528" s="18"/>
      <c r="E528" s="191"/>
    </row>
    <row r="529" ht="19.5" customHeight="1">
      <c r="B529" s="173" t="s">
        <v>707</v>
      </c>
      <c r="C529" s="188" t="str">
        <f>IF(cluster_wld_domain_chosen&lt;&gt;"MGMT Workload Domain",CONCATENATE(this_instance,"01-w0",wld_domain_number_chosen,"-r07-esx11",".",sample_child_dns_zone),CONCATENATE(this_instance,"01-m01-r07-esx11",".",sample_child_dns_zone))</f>
        <v>lax01-w01-r07-esx11.lax.rainpole.io</v>
      </c>
      <c r="D529" s="18"/>
      <c r="E529" s="191"/>
    </row>
    <row r="530" ht="19.5" customHeight="1">
      <c r="B530" s="173" t="s">
        <v>708</v>
      </c>
      <c r="C530" s="188" t="str">
        <f>IF(cluster_wld_domain_chosen&lt;&gt;"MGMT Workload Domain",CONCATENATE(this_instance,"01-w0",wld_domain_number_chosen,"-r07-esx12",".",sample_child_dns_zone),CONCATENATE(this_instance,"01-m01-r07-esx12",".",sample_child_dns_zone))</f>
        <v>lax01-w01-r07-esx12.lax.rainpole.io</v>
      </c>
      <c r="D530" s="18"/>
      <c r="E530" s="191"/>
    </row>
    <row r="531" ht="19.5" customHeight="1">
      <c r="B531" s="173" t="s">
        <v>709</v>
      </c>
      <c r="C531" s="188" t="str">
        <f>IF(cluster_wld_domain_chosen&lt;&gt;"MGMT Workload Domain",CONCATENATE(this_instance,"01-w0",wld_domain_number_chosen,"-r07-esx13",".",sample_child_dns_zone),CONCATENATE(this_instance,"01-m01-r07-esx13",".",sample_child_dns_zone))</f>
        <v>lax01-w01-r07-esx13.lax.rainpole.io</v>
      </c>
      <c r="D531" s="18"/>
      <c r="E531" s="191"/>
    </row>
    <row r="532" ht="19.5" customHeight="1">
      <c r="B532" s="173" t="s">
        <v>710</v>
      </c>
      <c r="C532" s="188" t="str">
        <f>IF(cluster_wld_domain_chosen&lt;&gt;"MGMT Workload Domain",CONCATENATE(this_instance,"01-w0",wld_domain_number_chosen,"-r07-esx14",".",sample_child_dns_zone),CONCATENATE(this_instance,"01-m01-r07-esx14",".",sample_child_dns_zone))</f>
        <v>lax01-w01-r07-esx14.lax.rainpole.io</v>
      </c>
      <c r="D532" s="18"/>
      <c r="E532" s="191"/>
    </row>
    <row r="533" ht="19.5" customHeight="1">
      <c r="B533" s="173" t="s">
        <v>711</v>
      </c>
      <c r="C533" s="188" t="str">
        <f>IF(cluster_wld_domain_chosen&lt;&gt;"MGMT Workload Domain",CONCATENATE(this_instance,"01-w0",wld_domain_number_chosen,"-r07-esx14",".",sample_child_dns_zone),CONCATENATE(this_instance,"01-m01-r07-esx15",".",sample_child_dns_zone))</f>
        <v>lax01-w01-r07-esx14.lax.rainpole.io</v>
      </c>
      <c r="D533" s="18"/>
      <c r="E533" s="191"/>
    </row>
    <row r="534" ht="19.5" customHeight="1">
      <c r="B534" s="173" t="s">
        <v>712</v>
      </c>
      <c r="C534" s="188" t="str">
        <f>IF(cluster_wld_domain_chosen&lt;&gt;"MGMT Workload Domain",CONCATENATE(this_instance,"01-w0",wld_domain_number_chosen,"-r07-esx16",".",sample_child_dns_zone),CONCATENATE(this_instance,"01-m01-r07-esx16",".",sample_child_dns_zone))</f>
        <v>lax01-w01-r07-esx16.lax.rainpole.io</v>
      </c>
      <c r="D534" s="18"/>
      <c r="E534" s="191"/>
    </row>
    <row r="535" ht="19.5" customHeight="1">
      <c r="B535" s="173" t="s">
        <v>723</v>
      </c>
      <c r="C535" s="203" t="s">
        <v>370</v>
      </c>
      <c r="D535" s="18" t="s">
        <v>724</v>
      </c>
      <c r="E535" s="191"/>
    </row>
    <row r="536" ht="19.5" customHeight="1">
      <c r="B536" s="173" t="s">
        <v>725</v>
      </c>
      <c r="C536" s="203" t="s">
        <v>726</v>
      </c>
      <c r="D536" s="1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536" s="84"/>
    </row>
    <row r="537" ht="19.5" customHeight="1">
      <c r="B537" s="173" t="s">
        <v>727</v>
      </c>
      <c r="C537" s="203" t="s">
        <v>285</v>
      </c>
      <c r="D537" s="18" t="str">
        <f>IF(AND(vcf_granular_option_chosen="Create Cluster",cluster_principal_storage_chosen="vSAN-ESA"),"Selected",
IF(AND(vcf_granular_option_chosen="Create VI Workload Domain",wld_principal_storage_chosen="vSAN-ESA"),"Selected","Unselected"))</f>
        <v>Unselected</v>
      </c>
      <c r="E537" s="191"/>
    </row>
    <row r="538" ht="19.5" customHeight="1">
      <c r="B538" s="173" t="s">
        <v>716</v>
      </c>
      <c r="C538" s="203" t="str">
        <f>sample_wld_az1_rack7_pool_name</f>
        <v>lax01-w01-r07-network-pool-01</v>
      </c>
      <c r="D538" s="18" t="str">
        <f>wld_az1_rack7_pool_name</f>
        <v>Value Missing</v>
      </c>
      <c r="E538" s="191"/>
    </row>
    <row r="539" ht="19.5" customHeight="1">
      <c r="B539" s="173" t="s">
        <v>545</v>
      </c>
      <c r="C539" s="203" t="s">
        <v>728</v>
      </c>
      <c r="D539" s="1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539" s="191"/>
    </row>
    <row r="540" ht="19.5" customHeight="1">
      <c r="B540" s="173" t="s">
        <v>296</v>
      </c>
      <c r="C540" s="203" t="s">
        <v>382</v>
      </c>
      <c r="D540" s="1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540" s="191"/>
    </row>
    <row r="541" ht="15.75" customHeight="1"/>
    <row r="542" ht="33.75" customHeight="1">
      <c r="B542" s="197" t="s">
        <v>3392</v>
      </c>
      <c r="C542" s="13"/>
      <c r="D542" s="13"/>
      <c r="E542" s="14"/>
    </row>
    <row r="543" ht="19.5" customHeight="1">
      <c r="B543" s="84" t="s">
        <v>795</v>
      </c>
      <c r="C543" s="163" t="str">
        <f>IF(vcf_granular_option_chosen="Create Cluster",CONCATENATE(this_instance,"01-",sample_cluster_name,"-r07-network-profile"),
IF(cluster_wld_domain_chosen="VI Workload Domain",CONCATENATE(this_instance,"01-",sample_wld_cl01_cluster,"-r07-network-profile"),
CONCATENATE(this_instance,"01-",sample_mgmt_cl01_cluster,"-r07-network-profile")))</f>
        <v>lax01-lax-w01-cl01-r07-network-profile</v>
      </c>
      <c r="D543" s="18"/>
      <c r="E543" s="156"/>
    </row>
    <row r="544" ht="19.5" customHeight="1">
      <c r="B544" s="84" t="s">
        <v>3360</v>
      </c>
      <c r="C544" s="110" t="s">
        <v>797</v>
      </c>
      <c r="D544" s="156" t="s">
        <v>797</v>
      </c>
      <c r="E544" s="84" t="str">
        <f>IF(wld_az1_rack7_host_overlay_new_pool_chosen="Re-use an existing Pool","An exisitng Pool will be reused for Host TEP assignment","A new Pool will be created for Host TEP assignment")</f>
        <v>A new Pool will be created for Host TEP assignment</v>
      </c>
    </row>
    <row r="545" ht="19.5" customHeight="1">
      <c r="B545" s="84" t="s">
        <v>798</v>
      </c>
      <c r="C545" s="163" t="str">
        <f>IF(cluster_wld_domain_chosen="VI Workload Domain",CONCATENATE(this_instance,"01-w0",wld_domain_number_chosen,"-r07-ip-pool01-host"),CONCATENATE(this_instance,"01-m01","-r07-ip-pool01-host"))</f>
        <v>lax01-w01-r07-ip-pool01-host</v>
      </c>
      <c r="D545" s="18"/>
      <c r="E545" s="156"/>
    </row>
    <row r="546" ht="19.5" customHeight="1">
      <c r="B546" s="84" t="s">
        <v>799</v>
      </c>
      <c r="C546" s="163" t="str">
        <f>IF(cluster_wld_domain_chosen="VI Workload Domain",CONCATENATE(this_instance,"01-w0",wld_domain_number_chosen,"-r07-uplink-profile01"),CONCATENATE(this_instance,"01-m01","-r07-uplink-profile01"))</f>
        <v>lax01-w01-r07-uplink-profile01</v>
      </c>
      <c r="D546" s="18"/>
      <c r="E546" s="156"/>
    </row>
    <row r="547" ht="19.5" customHeight="1">
      <c r="B547" s="84" t="s">
        <v>3361</v>
      </c>
      <c r="C547" s="163" t="str">
        <f>IF(cluster_wld_domain_chosen="VI Workload Domain",CONCATENATE(this_instance,"01-w0",wld_domain_number_chosen,"-r07-ip-pool02-edge"),CONCATENATE(this_instance,"01-m01","-r07-ip-pool02-edge"))</f>
        <v>lax01-w01-r07-ip-pool02-edge</v>
      </c>
      <c r="D547" s="18"/>
      <c r="E547" s="156"/>
    </row>
    <row r="548" ht="19.5" customHeight="1">
      <c r="B548" s="84" t="s">
        <v>3362</v>
      </c>
      <c r="C548" s="163" t="str">
        <f>IF(cluster_wld_domain_chosen="VI Workload Domain",CONCATENATE(this_instance,"01-w0",wld_domain_number_chosen,"-r07-ip-pool03-rtep"),CONCATENATE(this_instance,"01-m01","-r07-ip-pool03-rtep"))</f>
        <v>lax01-w01-r07-ip-pool03-rtep</v>
      </c>
      <c r="D548" s="18"/>
      <c r="E548" s="156"/>
    </row>
    <row r="549" ht="19.5" customHeight="1">
      <c r="B549" s="17" t="s">
        <v>367</v>
      </c>
      <c r="C549" s="13"/>
      <c r="D549" s="13"/>
      <c r="E549" s="14"/>
    </row>
    <row r="550" ht="19.5" customHeight="1">
      <c r="B550" s="49" t="s">
        <v>256</v>
      </c>
      <c r="C550" s="49" t="s">
        <v>722</v>
      </c>
      <c r="D550" s="370" t="s">
        <v>274</v>
      </c>
      <c r="E550" s="49" t="s">
        <v>5</v>
      </c>
    </row>
    <row r="551" ht="19.5" customHeight="1">
      <c r="B551" s="84" t="s">
        <v>1873</v>
      </c>
      <c r="C551" s="156" t="str">
        <f>IF(cluster_wld_domain_chosen&lt;&gt;"MGMT Workload Domain",CONCATENATE(this_instance,"-w0",wld_domain_number_chosen,"-r07","-vsan-fault-domain"),CONCATENATE(this_instance,"-m01","-r07","-vsan-fault-domain"))</f>
        <v>lax-w01-r07-vsan-fault-domain</v>
      </c>
      <c r="D551" s="18"/>
      <c r="E551" s="18"/>
    </row>
    <row r="552" ht="15.75" customHeight="1"/>
    <row r="553" ht="33.75" customHeight="1">
      <c r="B553" s="197" t="s">
        <v>3393</v>
      </c>
      <c r="C553" s="13"/>
      <c r="D553" s="13"/>
      <c r="E553" s="14"/>
    </row>
    <row r="554" ht="19.5" customHeight="1">
      <c r="B554" s="108" t="s">
        <v>256</v>
      </c>
      <c r="C554" s="108" t="s">
        <v>722</v>
      </c>
      <c r="D554" s="108" t="s">
        <v>274</v>
      </c>
      <c r="E554" s="108" t="s">
        <v>5</v>
      </c>
    </row>
    <row r="555" ht="19.5" customHeight="1">
      <c r="B555" s="102" t="s">
        <v>472</v>
      </c>
      <c r="C555" s="13"/>
      <c r="D555" s="13"/>
      <c r="E555" s="14"/>
    </row>
    <row r="556" ht="19.5" customHeight="1">
      <c r="B556" s="84" t="s">
        <v>401</v>
      </c>
      <c r="C556" s="110" t="str">
        <f>IF(cluster_wld_domain_chosen&lt;&gt;"MGMT Workload Domain",CONCATENATE(prefix_wld_az1_rack_vlan,"80"),CONCATENATE(prefix_mgmt_az1_vlan,"80"))</f>
        <v>2380</v>
      </c>
      <c r="D556" s="18"/>
      <c r="E556" s="84"/>
    </row>
    <row r="557" ht="19.5" customHeight="1">
      <c r="B557" s="84" t="s">
        <v>404</v>
      </c>
      <c r="C557" s="110">
        <v>9000.0</v>
      </c>
      <c r="D557" s="18"/>
      <c r="E557" s="191"/>
    </row>
    <row r="558" ht="19.5" customHeight="1">
      <c r="B558" s="84" t="s">
        <v>403</v>
      </c>
      <c r="C558" s="110" t="str">
        <f>IF(cluster_wld_domain_chosen&lt;&gt;"MGMT Workload Domain",CONCATENATE(prefix_wld_az1_rack_cidr,"80.0"),CONCATENATE(prefix_mgmt_az1_cidr,"80.0"))</f>
        <v>10.23.80.0</v>
      </c>
      <c r="D558" s="18"/>
      <c r="E558" s="191"/>
    </row>
    <row r="559" ht="19.5" customHeight="1">
      <c r="B559" s="84" t="s">
        <v>743</v>
      </c>
      <c r="C559" s="110" t="s">
        <v>622</v>
      </c>
      <c r="D559" s="18"/>
      <c r="E559" s="191"/>
    </row>
    <row r="560" ht="19.5" customHeight="1">
      <c r="B560" s="84" t="s">
        <v>402</v>
      </c>
      <c r="C560" s="110" t="str">
        <f>IF(cluster_wld_domain_chosen&lt;&gt;"MGMT Workload Domain",CONCATENATE(prefix_wld_az1_rack_cidr,"80.1"),CONCATENATE(prefix_mgmt_az1_cidr,"80.1"))</f>
        <v>10.23.80.1</v>
      </c>
      <c r="D560" s="18"/>
      <c r="E560" s="191"/>
    </row>
    <row r="561" ht="19.5" customHeight="1">
      <c r="B561" s="173" t="s">
        <v>465</v>
      </c>
      <c r="C561" s="110" t="str">
        <f>IF(cluster_wld_domain_chosen&lt;&gt;"MGMT Workload Domain",CONCATENATE(prefix_wld_az1_rack_cidr,"80.101"),CONCATENATE(prefix_mgmt_az1_cidr,"80.101"))</f>
        <v>10.23.80.101</v>
      </c>
      <c r="D561" s="18"/>
      <c r="E561" s="95" t="s">
        <v>3394</v>
      </c>
    </row>
    <row r="562" ht="19.5" customHeight="1">
      <c r="B562" s="173" t="s">
        <v>466</v>
      </c>
      <c r="C562" s="110" t="str">
        <f>IF(cluster_wld_domain_chosen&lt;&gt;"MGMT Workload Domain",CONCATENATE(prefix_wld_az1_rack_cidr,"80.116"),CONCATENATE(prefix_mgmt_az1_cidr,"80.116"))</f>
        <v>10.23.80.116</v>
      </c>
      <c r="D562" s="18"/>
      <c r="E562" s="95" t="s">
        <v>3395</v>
      </c>
    </row>
    <row r="563" ht="15.75" customHeight="1"/>
    <row r="564" ht="33.75" customHeight="1">
      <c r="B564" s="197" t="s">
        <v>3396</v>
      </c>
      <c r="C564" s="13"/>
      <c r="D564" s="13"/>
      <c r="E564" s="14"/>
    </row>
    <row r="565" ht="19.5" customHeight="1">
      <c r="B565" s="108" t="s">
        <v>256</v>
      </c>
      <c r="C565" s="108" t="s">
        <v>722</v>
      </c>
      <c r="D565" s="108" t="s">
        <v>274</v>
      </c>
      <c r="E565" s="108" t="s">
        <v>5</v>
      </c>
    </row>
    <row r="566" ht="19.5" customHeight="1">
      <c r="B566" s="102" t="s">
        <v>400</v>
      </c>
      <c r="C566" s="13"/>
      <c r="D566" s="13"/>
      <c r="E566" s="14"/>
    </row>
    <row r="567" ht="19.5" customHeight="1">
      <c r="B567" s="84" t="s">
        <v>401</v>
      </c>
      <c r="C567" s="110" t="str">
        <f>IF(cluster_wld_domain_chosen&lt;&gt;"MGMT Workload Domain",CONCATENATE(prefix_wld_az1_rack_vlan,"88"),CONCATENATE(prefix_mgmt_az1_vlan,"88"))</f>
        <v>2388</v>
      </c>
      <c r="D567" s="18"/>
      <c r="E567" s="84"/>
    </row>
    <row r="568" ht="19.5" customHeight="1">
      <c r="B568" s="84" t="s">
        <v>402</v>
      </c>
      <c r="C568" s="110" t="str">
        <f>IF(cluster_wld_domain_chosen&lt;&gt;"MGMT Workload Domain",CONCATENATE(prefix_wld_az1_rack_cidr,"88.1"),CONCATENATE(prefix_mgmt_az1_cidr,"88.1"))</f>
        <v>10.23.88.1</v>
      </c>
      <c r="D568" s="18"/>
      <c r="E568" s="191"/>
    </row>
    <row r="569" ht="19.5" customHeight="1">
      <c r="B569" s="84" t="s">
        <v>403</v>
      </c>
      <c r="C569" s="110" t="str">
        <f>IF(cluster_wld_domain_chosen&lt;&gt;"MGMT Workload Domain",CONCATENATE(prefix_wld_az1_rack_cidr,"88.0/24"),CONCATENATE(prefix_mgmt_az1_cidr,"88.0/24"))</f>
        <v>10.23.88.0/24</v>
      </c>
      <c r="D569" s="18"/>
      <c r="E569" s="191"/>
    </row>
    <row r="570" ht="19.5" customHeight="1">
      <c r="B570" s="84" t="s">
        <v>404</v>
      </c>
      <c r="C570" s="110">
        <v>1500.0</v>
      </c>
      <c r="D570" s="18"/>
      <c r="E570" s="191"/>
    </row>
    <row r="571" ht="19.5" customHeight="1">
      <c r="B571" s="17" t="s">
        <v>481</v>
      </c>
      <c r="C571" s="13"/>
      <c r="D571" s="13"/>
      <c r="E571" s="14"/>
    </row>
    <row r="572" ht="19.5" customHeight="1">
      <c r="B572" s="173" t="s">
        <v>697</v>
      </c>
      <c r="C572" s="203" t="str">
        <f>IF(cluster_wld_domain_chosen&lt;&gt;"MGMT Workload Domain",CONCATENATE(prefix_wld_az1_rack_cidr,"88.101"),CONCATENATE(prefix_mgmt_az1_cidr,"88.101"))</f>
        <v>10.23.88.101</v>
      </c>
      <c r="D572" s="18"/>
      <c r="E572" s="95" t="s">
        <v>482</v>
      </c>
    </row>
    <row r="573" ht="19.5" customHeight="1">
      <c r="B573" s="173" t="s">
        <v>698</v>
      </c>
      <c r="C573" s="203" t="str">
        <f>IF(cluster_wld_domain_chosen&lt;&gt;"MGMT Workload Domain",CONCATENATE(prefix_wld_az1_rack_cidr,"88.102"),CONCATENATE(prefix_mgmt_az1_cidr,"88.102"))</f>
        <v>10.23.88.102</v>
      </c>
      <c r="D573" s="18"/>
      <c r="E573" s="95" t="s">
        <v>484</v>
      </c>
    </row>
    <row r="574" ht="19.5" customHeight="1">
      <c r="B574" s="173" t="s">
        <v>699</v>
      </c>
      <c r="C574" s="203" t="str">
        <f>IF(cluster_wld_domain_chosen&lt;&gt;"MGMT Workload Domain",CONCATENATE(prefix_wld_az1_rack_cidr,"88.103"),CONCATENATE(prefix_mgmt_az1_cidr,"88.103"))</f>
        <v>10.23.88.103</v>
      </c>
      <c r="D574" s="18"/>
      <c r="E574" s="95" t="s">
        <v>485</v>
      </c>
    </row>
    <row r="575" ht="19.5" customHeight="1">
      <c r="B575" s="173" t="s">
        <v>700</v>
      </c>
      <c r="C575" s="203" t="str">
        <f>IF(cluster_wld_domain_chosen&lt;&gt;"MGMT Workload Domain",CONCATENATE(prefix_wld_az1_rack_cidr,"88.104"),CONCATENATE(prefix_mgmt_az1_cidr,"88.104"))</f>
        <v>10.23.88.104</v>
      </c>
      <c r="D575" s="18"/>
      <c r="E575" s="95" t="s">
        <v>486</v>
      </c>
    </row>
    <row r="576" ht="19.5" customHeight="1">
      <c r="B576" s="173" t="s">
        <v>701</v>
      </c>
      <c r="C576" s="203" t="str">
        <f>IF(cluster_wld_domain_chosen&lt;&gt;"MGMT Workload Domain",CONCATENATE(prefix_wld_az1_rack_cidr,"88.105"),CONCATENATE(prefix_mgmt_az1_cidr,"88.105"))</f>
        <v>10.23.88.105</v>
      </c>
      <c r="D576" s="18"/>
      <c r="E576" s="95" t="s">
        <v>487</v>
      </c>
    </row>
    <row r="577" ht="19.5" customHeight="1">
      <c r="B577" s="173" t="s">
        <v>702</v>
      </c>
      <c r="C577" s="203" t="str">
        <f>IF(cluster_wld_domain_chosen&lt;&gt;"MGMT Workload Domain",CONCATENATE(prefix_wld_az1_rack_cidr,"88.106"),CONCATENATE(prefix_mgmt_az1_cidr,"88.106"))</f>
        <v>10.23.88.106</v>
      </c>
      <c r="D577" s="18"/>
      <c r="E577" s="95" t="s">
        <v>488</v>
      </c>
    </row>
    <row r="578" ht="19.5" customHeight="1">
      <c r="B578" s="173" t="s">
        <v>703</v>
      </c>
      <c r="C578" s="203" t="str">
        <f>IF(cluster_wld_domain_chosen&lt;&gt;"MGMT Workload Domain",CONCATENATE(prefix_wld_az1_rack_cidr,"88.107"),CONCATENATE(prefix_mgmt_az1_cidr,"88.107"))</f>
        <v>10.23.88.107</v>
      </c>
      <c r="D578" s="18"/>
      <c r="E578" s="95" t="s">
        <v>489</v>
      </c>
    </row>
    <row r="579" ht="19.5" customHeight="1">
      <c r="B579" s="173" t="s">
        <v>704</v>
      </c>
      <c r="C579" s="203" t="str">
        <f>IF(cluster_wld_domain_chosen&lt;&gt;"MGMT Workload Domain",CONCATENATE(prefix_wld_az1_rack_cidr,"88.108"),CONCATENATE(prefix_mgmt_az1_cidr,"88.108"))</f>
        <v>10.23.88.108</v>
      </c>
      <c r="D579" s="18"/>
      <c r="E579" s="95" t="s">
        <v>490</v>
      </c>
    </row>
    <row r="580" ht="19.5" customHeight="1">
      <c r="B580" s="173" t="s">
        <v>705</v>
      </c>
      <c r="C580" s="203" t="str">
        <f>IF(cluster_wld_domain_chosen&lt;&gt;"MGMT Workload Domain",CONCATENATE(prefix_wld_az1_rack_cidr,"88.109"),CONCATENATE(prefix_mgmt_az1_cidr,"88.109"))</f>
        <v>10.23.88.109</v>
      </c>
      <c r="D580" s="18"/>
      <c r="E580" s="95" t="s">
        <v>491</v>
      </c>
    </row>
    <row r="581" ht="19.5" customHeight="1">
      <c r="B581" s="173" t="s">
        <v>706</v>
      </c>
      <c r="C581" s="203" t="str">
        <f>IF(cluster_wld_domain_chosen&lt;&gt;"MGMT Workload Domain",CONCATENATE(prefix_wld_az1_rack_cidr,"88.110"),CONCATENATE(prefix_mgmt_az1_cidr,"88.110"))</f>
        <v>10.23.88.110</v>
      </c>
      <c r="D581" s="18"/>
      <c r="E581" s="95" t="s">
        <v>492</v>
      </c>
    </row>
    <row r="582" ht="19.5" customHeight="1">
      <c r="B582" s="173" t="s">
        <v>707</v>
      </c>
      <c r="C582" s="203" t="str">
        <f>IF(cluster_wld_domain_chosen&lt;&gt;"MGMT Workload Domain",CONCATENATE(prefix_wld_az1_rack_cidr,"88.111"),CONCATENATE(prefix_mgmt_az1_cidr,"88.111"))</f>
        <v>10.23.88.111</v>
      </c>
      <c r="D582" s="18"/>
      <c r="E582" s="95" t="s">
        <v>493</v>
      </c>
    </row>
    <row r="583" ht="19.5" customHeight="1">
      <c r="B583" s="173" t="s">
        <v>708</v>
      </c>
      <c r="C583" s="203" t="str">
        <f>IF(cluster_wld_domain_chosen&lt;&gt;"MGMT Workload Domain",CONCATENATE(prefix_wld_az1_rack_cidr,"88.112"),CONCATENATE(prefix_mgmt_az1_cidr,"88.112"))</f>
        <v>10.23.88.112</v>
      </c>
      <c r="D583" s="18"/>
      <c r="E583" s="95" t="s">
        <v>494</v>
      </c>
    </row>
    <row r="584" ht="19.5" customHeight="1">
      <c r="B584" s="173" t="s">
        <v>709</v>
      </c>
      <c r="C584" s="203" t="str">
        <f>IF(cluster_wld_domain_chosen&lt;&gt;"MGMT Workload Domain",CONCATENATE(prefix_wld_az1_rack_cidr,"88.113"),CONCATENATE(prefix_mgmt_az1_cidr,"88.113"))</f>
        <v>10.23.88.113</v>
      </c>
      <c r="D584" s="18"/>
      <c r="E584" s="95" t="s">
        <v>495</v>
      </c>
    </row>
    <row r="585" ht="19.5" customHeight="1">
      <c r="B585" s="173" t="s">
        <v>710</v>
      </c>
      <c r="C585" s="203" t="str">
        <f>IF(cluster_wld_domain_chosen&lt;&gt;"MGMT Workload Domain",CONCATENATE(prefix_wld_az1_rack_cidr,"88.114"),CONCATENATE(prefix_mgmt_az1_cidr,"88.114"))</f>
        <v>10.23.88.114</v>
      </c>
      <c r="D585" s="18"/>
      <c r="E585" s="95" t="s">
        <v>496</v>
      </c>
    </row>
    <row r="586" ht="19.5" customHeight="1">
      <c r="B586" s="173" t="s">
        <v>711</v>
      </c>
      <c r="C586" s="203" t="str">
        <f>IF(cluster_wld_domain_chosen&lt;&gt;"MGMT Workload Domain",CONCATENATE(prefix_wld_az1_rack_cidr,"88.115"),CONCATENATE(prefix_mgmt_az1_cidr,"88.115"))</f>
        <v>10.23.88.115</v>
      </c>
      <c r="D586" s="18"/>
      <c r="E586" s="95" t="s">
        <v>497</v>
      </c>
    </row>
    <row r="587" ht="19.5" customHeight="1">
      <c r="B587" s="173" t="s">
        <v>712</v>
      </c>
      <c r="C587" s="203" t="str">
        <f>IF(cluster_wld_domain_chosen&lt;&gt;"MGMT Workload Domain",CONCATENATE(prefix_wld_az1_rack_cidr,"88.116"),CONCATENATE(prefix_mgmt_az1_cidr,"88.116"))</f>
        <v>10.23.88.116</v>
      </c>
      <c r="D587" s="18"/>
      <c r="E587" s="95" t="s">
        <v>498</v>
      </c>
    </row>
    <row r="588" ht="15.75" customHeight="1">
      <c r="B588" s="41"/>
      <c r="C588" s="41"/>
      <c r="D588" s="41"/>
      <c r="E588" s="41"/>
    </row>
    <row r="589" ht="33.75" customHeight="1">
      <c r="B589" s="197" t="s">
        <v>3397</v>
      </c>
      <c r="C589" s="13"/>
      <c r="D589" s="13"/>
      <c r="E589" s="14"/>
    </row>
    <row r="590" ht="19.5" customHeight="1">
      <c r="B590" s="108" t="s">
        <v>256</v>
      </c>
      <c r="C590" s="108" t="s">
        <v>722</v>
      </c>
      <c r="D590" s="108" t="s">
        <v>274</v>
      </c>
      <c r="E590" s="108" t="s">
        <v>5</v>
      </c>
    </row>
    <row r="591" ht="19.5" customHeight="1">
      <c r="B591" s="84" t="s">
        <v>3353</v>
      </c>
      <c r="C591" s="110" t="s">
        <v>715</v>
      </c>
      <c r="D591" s="156" t="s">
        <v>715</v>
      </c>
      <c r="E591" s="84" t="str">
        <f>IF(wld_az1_rack7_reuse_vcf_networkpool_chosen="Re-use an existing  VCF Network Pool","An exisiting VCF Network Pool will be reused for Host TEP assignment","A new VCF Network Pool will be created")</f>
        <v>A new VCF Network Pool will be created</v>
      </c>
    </row>
    <row r="592" ht="19.5" customHeight="1">
      <c r="B592" s="173" t="s">
        <v>716</v>
      </c>
      <c r="C592" s="163" t="str">
        <f>IF(cluster_wld_domain_chosen="VI Workload Domain",CONCATENATE(this_instance,"01-w0",wld_domain_number_chosen,"-r08-network-pool-01"),CONCATENATE(this_instance,"01-m01","-r08-network-pool-01"))</f>
        <v>lax01-w01-r08-network-pool-01</v>
      </c>
      <c r="D592" s="18"/>
      <c r="E592" s="191"/>
    </row>
    <row r="593" ht="19.5" customHeight="1">
      <c r="B593" s="102" t="s">
        <v>407</v>
      </c>
      <c r="C593" s="13"/>
      <c r="D593" s="13"/>
      <c r="E593" s="14"/>
    </row>
    <row r="594" ht="19.5" customHeight="1">
      <c r="B594" s="84" t="s">
        <v>401</v>
      </c>
      <c r="C594" s="110" t="str">
        <f>IF(cluster_wld_domain_chosen&lt;&gt;"MGMT Workload Domain",CONCATENATE(prefix_wld_az1_rack_vlan,"89"),CONCATENATE(prefix_mgmt_az1_vlan,"89"))</f>
        <v>2389</v>
      </c>
      <c r="D594" s="18"/>
      <c r="E594" s="84"/>
    </row>
    <row r="595" ht="19.5" customHeight="1">
      <c r="B595" s="84" t="s">
        <v>404</v>
      </c>
      <c r="C595" s="110">
        <v>9000.0</v>
      </c>
      <c r="D595" s="18"/>
      <c r="E595" s="191"/>
    </row>
    <row r="596" ht="19.5" customHeight="1">
      <c r="B596" s="84" t="s">
        <v>403</v>
      </c>
      <c r="C596" s="203" t="str">
        <f>IF(cluster_wld_domain_chosen&lt;&gt;"MGMT Workload Domain",CONCATENATE(prefix_wld_az1_rack_cidr,"89.0"),CONCATENATE(prefix_mgmt_az1_cidr,"89.0"))</f>
        <v>10.23.89.0</v>
      </c>
      <c r="D596" s="18"/>
      <c r="E596" s="191"/>
    </row>
    <row r="597" ht="19.5" customHeight="1">
      <c r="B597" s="84" t="s">
        <v>743</v>
      </c>
      <c r="C597" s="203" t="s">
        <v>622</v>
      </c>
      <c r="D597" s="18"/>
      <c r="E597" s="191"/>
    </row>
    <row r="598" ht="19.5" customHeight="1">
      <c r="B598" s="84" t="s">
        <v>402</v>
      </c>
      <c r="C598" s="110" t="str">
        <f>IF(cluster_wld_domain_chosen&lt;&gt;"MGMT Workload Domain",CONCATENATE(prefix_wld_az1_rack_cidr,"89.1"),CONCATENATE(prefix_mgmt_az1_cidr,"89.1"))</f>
        <v>10.23.89.1</v>
      </c>
      <c r="D598" s="18"/>
      <c r="E598" s="191"/>
    </row>
    <row r="599" ht="19.5" customHeight="1">
      <c r="B599" s="173" t="s">
        <v>465</v>
      </c>
      <c r="C599" s="110" t="str">
        <f>IF(cluster_wld_domain_chosen&lt;&gt;"MGMT Workload Domain",CONCATENATE(prefix_wld_az1_rack_cidr,"89.101"),CONCATENATE(prefix_mgmt_az1_cidr,"89.101"))</f>
        <v>10.23.89.101</v>
      </c>
      <c r="D599" s="18"/>
      <c r="E599" s="95" t="s">
        <v>3373</v>
      </c>
    </row>
    <row r="600" ht="19.5" customHeight="1">
      <c r="B600" s="173" t="s">
        <v>466</v>
      </c>
      <c r="C600" s="110" t="str">
        <f>IF(cluster_wld_domain_chosen&lt;&gt;"MGMT Workload Domain",CONCATENATE(prefix_wld_az1_rack_cidr,"89.116"),CONCATENATE(prefix_mgmt_az1_cidr,"89.116"))</f>
        <v>10.23.89.116</v>
      </c>
      <c r="D600" s="18"/>
      <c r="E600" s="95" t="s">
        <v>3374</v>
      </c>
    </row>
    <row r="601" ht="19.5" customHeight="1">
      <c r="B601" s="102" t="s">
        <v>410</v>
      </c>
      <c r="C601" s="13"/>
      <c r="D601" s="13"/>
      <c r="E601" s="14"/>
    </row>
    <row r="602" ht="19.5" customHeight="1">
      <c r="B602" s="84" t="s">
        <v>401</v>
      </c>
      <c r="C602" s="110" t="str">
        <f>IF(cluster_wld_domain_chosen&lt;&gt;"MGMT Workload Domain",CONCATENATE(prefix_wld_az1_rack_vlan,"90"),CONCATENATE(prefix_mgmt_az1_vlan,"90"))</f>
        <v>2390</v>
      </c>
      <c r="D602" s="18"/>
      <c r="E602" s="191"/>
    </row>
    <row r="603" ht="19.5" customHeight="1">
      <c r="B603" s="84" t="s">
        <v>404</v>
      </c>
      <c r="C603" s="110">
        <v>9000.0</v>
      </c>
      <c r="D603" s="18"/>
      <c r="E603" s="191"/>
    </row>
    <row r="604" ht="19.5" customHeight="1">
      <c r="B604" s="84" t="s">
        <v>403</v>
      </c>
      <c r="C604" s="203" t="str">
        <f>IF(cluster_wld_domain_chosen&lt;&gt;"MGMT Workload Domain",CONCATENATE(prefix_wld_az1_rack_cidr,"90.0"),CONCATENATE(prefix_mgmt_az1_cidr,"90.0"))</f>
        <v>10.23.90.0</v>
      </c>
      <c r="D604" s="18"/>
      <c r="E604" s="201"/>
    </row>
    <row r="605" ht="19.5" customHeight="1">
      <c r="B605" s="84" t="s">
        <v>743</v>
      </c>
      <c r="C605" s="203" t="s">
        <v>622</v>
      </c>
      <c r="D605" s="18"/>
      <c r="E605" s="191"/>
    </row>
    <row r="606" ht="19.5" customHeight="1">
      <c r="B606" s="84" t="s">
        <v>402</v>
      </c>
      <c r="C606" s="110" t="str">
        <f>IF(cluster_wld_domain_chosen&lt;&gt;"MGMT Workload Domain",CONCATENATE(prefix_wld_az1_rack_cidr,"90.1"),CONCATENATE(prefix_mgmt_az1_cidr,"90.1"))</f>
        <v>10.23.90.1</v>
      </c>
      <c r="D606" s="18"/>
      <c r="E606" s="191" t="str">
        <f>IF(AND(mgmt_stretched_cluster_result="Included",mgmt_dpg_reuse_result="Excluded"),"Stretched L2","")</f>
        <v/>
      </c>
    </row>
    <row r="607" ht="19.5" customHeight="1">
      <c r="B607" s="173" t="s">
        <v>465</v>
      </c>
      <c r="C607" s="110" t="str">
        <f>IF(cluster_wld_domain_chosen&lt;&gt;"MGMT Workload Domain",CONCATENATE(prefix_wld_az1_rack_cidr,"90.101"),CONCATENATE(prefix_mgmt_az1_cidr,"90.101"))</f>
        <v>10.23.90.101</v>
      </c>
      <c r="D607" s="18"/>
      <c r="E607" s="95" t="s">
        <v>3398</v>
      </c>
    </row>
    <row r="608" ht="19.5" customHeight="1">
      <c r="B608" s="173" t="s">
        <v>466</v>
      </c>
      <c r="C608" s="110" t="str">
        <f>IF(cluster_wld_domain_chosen&lt;&gt;"MGMT Workload Domain",CONCATENATE(prefix_wld_az1_rack_cidr,"90.116"),CONCATENATE(prefix_mgmt_az1_cidr,"90.116"))</f>
        <v>10.23.90.116</v>
      </c>
      <c r="D608" s="18"/>
      <c r="E608" s="95" t="s">
        <v>3399</v>
      </c>
    </row>
    <row r="609" ht="15.75" customHeight="1">
      <c r="B609" s="41"/>
      <c r="C609" s="41"/>
      <c r="D609" s="41"/>
      <c r="E609" s="41"/>
    </row>
    <row r="610" ht="33.75" customHeight="1">
      <c r="B610" s="197" t="s">
        <v>3400</v>
      </c>
      <c r="C610" s="13"/>
      <c r="D610" s="13"/>
      <c r="E610" s="14"/>
    </row>
    <row r="611" ht="19.5" customHeight="1">
      <c r="B611" s="108" t="s">
        <v>256</v>
      </c>
      <c r="C611" s="108" t="s">
        <v>722</v>
      </c>
      <c r="D611" s="108" t="s">
        <v>274</v>
      </c>
      <c r="E611" s="108" t="s">
        <v>5</v>
      </c>
    </row>
    <row r="612" ht="19.5" customHeight="1">
      <c r="B612" s="173" t="s">
        <v>697</v>
      </c>
      <c r="C612" s="188" t="str">
        <f>IF(cluster_wld_domain_chosen&lt;&gt;"MGMT Workload Domain",CONCATENATE(this_instance,"01-w0",wld_domain_number_chosen,"-r08-esx01",".",sample_child_dns_zone),CONCATENATE(this_instance,"01-m01-r08-esx01",".",sample_child_dns_zone))</f>
        <v>lax01-w01-r08-esx01.lax.rainpole.io</v>
      </c>
      <c r="D612" s="18"/>
      <c r="E612" s="191"/>
    </row>
    <row r="613" ht="19.5" customHeight="1">
      <c r="B613" s="173" t="s">
        <v>698</v>
      </c>
      <c r="C613" s="188" t="str">
        <f>IF(cluster_wld_domain_chosen&lt;&gt;"MGMT Workload Domain",CONCATENATE(this_instance,"01-w0",wld_domain_number_chosen,"-r08-esx02",".",sample_child_dns_zone),CONCATENATE(this_instance,"01-m01-r08-esx02",".",sample_child_dns_zone))</f>
        <v>lax01-w01-r08-esx02.lax.rainpole.io</v>
      </c>
      <c r="D613" s="18"/>
      <c r="E613" s="191"/>
    </row>
    <row r="614" ht="19.5" customHeight="1">
      <c r="B614" s="173" t="s">
        <v>699</v>
      </c>
      <c r="C614" s="188" t="str">
        <f>IF(cluster_wld_domain_chosen&lt;&gt;"MGMT Workload Domain",CONCATENATE(this_instance,"01-w0",wld_domain_number_chosen,"-r08-esx03",".",sample_child_dns_zone),CONCATENATE(this_instance,"01-m01-r08-esx03",".",sample_child_dns_zone))</f>
        <v>lax01-w01-r08-esx03.lax.rainpole.io</v>
      </c>
      <c r="D614" s="18"/>
      <c r="E614" s="191"/>
    </row>
    <row r="615" ht="19.5" customHeight="1">
      <c r="B615" s="173" t="s">
        <v>700</v>
      </c>
      <c r="C615" s="188" t="str">
        <f>IF(cluster_wld_domain_chosen&lt;&gt;"MGMT Workload Domain",CONCATENATE(this_instance,"01-w0",wld_domain_number_chosen,"-r08-esx04",".",sample_child_dns_zone),CONCATENATE(this_instance,"01-m01-r08-esx04",".",sample_child_dns_zone))</f>
        <v>lax01-w01-r08-esx04.lax.rainpole.io</v>
      </c>
      <c r="D615" s="18"/>
      <c r="E615" s="191"/>
    </row>
    <row r="616" ht="19.5" customHeight="1">
      <c r="B616" s="173" t="s">
        <v>701</v>
      </c>
      <c r="C616" s="188" t="str">
        <f>IF(cluster_wld_domain_chosen&lt;&gt;"MGMT Workload Domain",CONCATENATE(this_instance,"01-w0",wld_domain_number_chosen,"-r08-esx05",".",sample_child_dns_zone),CONCATENATE(this_instance,"01-m01-r08-esx05",".",sample_child_dns_zone))</f>
        <v>lax01-w01-r08-esx05.lax.rainpole.io</v>
      </c>
      <c r="D616" s="18"/>
      <c r="E616" s="191"/>
    </row>
    <row r="617" ht="19.5" customHeight="1">
      <c r="B617" s="173" t="s">
        <v>702</v>
      </c>
      <c r="C617" s="188" t="str">
        <f>IF(cluster_wld_domain_chosen&lt;&gt;"MGMT Workload Domain",CONCATENATE(this_instance,"01-w0",wld_domain_number_chosen,"-r08-esx06",".",sample_child_dns_zone),CONCATENATE(this_instance,"01-m01-r08-esx06",".",sample_child_dns_zone))</f>
        <v>lax01-w01-r08-esx06.lax.rainpole.io</v>
      </c>
      <c r="D617" s="18"/>
      <c r="E617" s="191"/>
    </row>
    <row r="618" ht="19.5" customHeight="1">
      <c r="B618" s="173" t="s">
        <v>703</v>
      </c>
      <c r="C618" s="188" t="str">
        <f>IF(cluster_wld_domain_chosen&lt;&gt;"MGMT Workload Domain",CONCATENATE(this_instance,"01-w0",wld_domain_number_chosen,"-r08-esx07",".",sample_child_dns_zone),CONCATENATE(this_instance,"01-m01-r08-esx07",".",sample_child_dns_zone))</f>
        <v>lax01-w01-r08-esx07.lax.rainpole.io</v>
      </c>
      <c r="D618" s="18"/>
      <c r="E618" s="191"/>
    </row>
    <row r="619" ht="19.5" customHeight="1">
      <c r="B619" s="173" t="s">
        <v>704</v>
      </c>
      <c r="C619" s="188" t="str">
        <f>IF(cluster_wld_domain_chosen&lt;&gt;"MGMT Workload Domain",CONCATENATE(this_instance,"01-w0",wld_domain_number_chosen,"-r08-esx08",".",sample_child_dns_zone),CONCATENATE(this_instance,"01-m01-r08-esx08",".",sample_child_dns_zone))</f>
        <v>lax01-w01-r08-esx08.lax.rainpole.io</v>
      </c>
      <c r="D619" s="18"/>
      <c r="E619" s="191"/>
    </row>
    <row r="620" ht="19.5" customHeight="1">
      <c r="B620" s="173" t="s">
        <v>705</v>
      </c>
      <c r="C620" s="188" t="str">
        <f>IF(cluster_wld_domain_chosen&lt;&gt;"MGMT Workload Domain",CONCATENATE(this_instance,"01-w0",wld_domain_number_chosen,"-r08-esx09",".",sample_child_dns_zone),CONCATENATE(this_instance,"01-m01-r08-esx09",".",sample_child_dns_zone))</f>
        <v>lax01-w01-r08-esx09.lax.rainpole.io</v>
      </c>
      <c r="D620" s="18"/>
      <c r="E620" s="191"/>
    </row>
    <row r="621" ht="19.5" customHeight="1">
      <c r="B621" s="173" t="s">
        <v>706</v>
      </c>
      <c r="C621" s="188" t="str">
        <f>IF(cluster_wld_domain_chosen&lt;&gt;"MGMT Workload Domain",CONCATENATE(this_instance,"01-w0",wld_domain_number_chosen,"-r08-esx10",".",sample_child_dns_zone),CONCATENATE(this_instance,"01-m01-r08-esx10",".",sample_child_dns_zone))</f>
        <v>lax01-w01-r08-esx10.lax.rainpole.io</v>
      </c>
      <c r="D621" s="18"/>
      <c r="E621" s="191"/>
    </row>
    <row r="622" ht="19.5" customHeight="1">
      <c r="B622" s="173" t="s">
        <v>707</v>
      </c>
      <c r="C622" s="188" t="str">
        <f>IF(cluster_wld_domain_chosen&lt;&gt;"MGMT Workload Domain",CONCATENATE(this_instance,"01-w0",wld_domain_number_chosen,"-r08-esx11",".",sample_child_dns_zone),CONCATENATE(this_instance,"01-m01-r08-esx11",".",sample_child_dns_zone))</f>
        <v>lax01-w01-r08-esx11.lax.rainpole.io</v>
      </c>
      <c r="D622" s="18"/>
      <c r="E622" s="191"/>
    </row>
    <row r="623" ht="19.5" customHeight="1">
      <c r="B623" s="173" t="s">
        <v>708</v>
      </c>
      <c r="C623" s="188" t="str">
        <f>IF(cluster_wld_domain_chosen&lt;&gt;"MGMT Workload Domain",CONCATENATE(this_instance,"01-w0",wld_domain_number_chosen,"-r08-esx12",".",sample_child_dns_zone),CONCATENATE(this_instance,"01-m01-r08-esx12",".",sample_child_dns_zone))</f>
        <v>lax01-w01-r08-esx12.lax.rainpole.io</v>
      </c>
      <c r="D623" s="18"/>
      <c r="E623" s="191"/>
    </row>
    <row r="624" ht="19.5" customHeight="1">
      <c r="B624" s="173" t="s">
        <v>709</v>
      </c>
      <c r="C624" s="188" t="str">
        <f>IF(cluster_wld_domain_chosen&lt;&gt;"MGMT Workload Domain",CONCATENATE(this_instance,"01-w0",wld_domain_number_chosen,"-r08-esx13",".",sample_child_dns_zone),CONCATENATE(this_instance,"01-m01-r08-esx13",".",sample_child_dns_zone))</f>
        <v>lax01-w01-r08-esx13.lax.rainpole.io</v>
      </c>
      <c r="D624" s="18"/>
      <c r="E624" s="191"/>
    </row>
    <row r="625" ht="19.5" customHeight="1">
      <c r="B625" s="173" t="s">
        <v>710</v>
      </c>
      <c r="C625" s="188" t="str">
        <f>IF(cluster_wld_domain_chosen&lt;&gt;"MGMT Workload Domain",CONCATENATE(this_instance,"01-w0",wld_domain_number_chosen,"-r08-esx14",".",sample_child_dns_zone),CONCATENATE(this_instance,"01-m01-r08-esx14",".",sample_child_dns_zone))</f>
        <v>lax01-w01-r08-esx14.lax.rainpole.io</v>
      </c>
      <c r="D625" s="18"/>
      <c r="E625" s="191"/>
    </row>
    <row r="626" ht="19.5" customHeight="1">
      <c r="B626" s="173" t="s">
        <v>711</v>
      </c>
      <c r="C626" s="188" t="str">
        <f>IF(cluster_wld_domain_chosen&lt;&gt;"MGMT Workload Domain",CONCATENATE(this_instance,"01-w0",wld_domain_number_chosen,"-r08-esx14",".",sample_child_dns_zone),CONCATENATE(this_instance,"01-m01-r08-esx15",".",sample_child_dns_zone))</f>
        <v>lax01-w01-r08-esx14.lax.rainpole.io</v>
      </c>
      <c r="D626" s="18"/>
      <c r="E626" s="191"/>
    </row>
    <row r="627" ht="19.5" customHeight="1">
      <c r="B627" s="173" t="s">
        <v>712</v>
      </c>
      <c r="C627" s="188" t="str">
        <f>IF(cluster_wld_domain_chosen&lt;&gt;"MGMT Workload Domain",CONCATENATE(this_instance,"01-w0",wld_domain_number_chosen,"-r08-esx16",".",sample_child_dns_zone),CONCATENATE(this_instance,"01-m01-r08-esx16",".",sample_child_dns_zone))</f>
        <v>lax01-w01-r08-esx16.lax.rainpole.io</v>
      </c>
      <c r="D627" s="18"/>
      <c r="E627" s="191"/>
    </row>
    <row r="628" ht="19.5" customHeight="1">
      <c r="B628" s="173" t="s">
        <v>723</v>
      </c>
      <c r="C628" s="163" t="s">
        <v>370</v>
      </c>
      <c r="D628" s="18" t="s">
        <v>724</v>
      </c>
      <c r="E628" s="191"/>
    </row>
    <row r="629" ht="19.5" customHeight="1">
      <c r="B629" s="173" t="s">
        <v>725</v>
      </c>
      <c r="C629" s="163" t="s">
        <v>726</v>
      </c>
      <c r="D629" s="1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629" s="84"/>
    </row>
    <row r="630" ht="19.5" customHeight="1">
      <c r="B630" s="173" t="s">
        <v>727</v>
      </c>
      <c r="C630" s="163" t="s">
        <v>285</v>
      </c>
      <c r="D630" s="18" t="str">
        <f>IF(AND(vcf_granular_option_chosen="Create Cluster",cluster_principal_storage_chosen="vSAN-ESA"),"Selected",
IF(AND(vcf_granular_option_chosen="Create VI Workload Domain",wld_principal_storage_chosen="vSAN-ESA"),"Selected","Unselected"))</f>
        <v>Unselected</v>
      </c>
      <c r="E630" s="191"/>
    </row>
    <row r="631" ht="19.5" customHeight="1">
      <c r="B631" s="173" t="s">
        <v>716</v>
      </c>
      <c r="C631" s="163" t="str">
        <f>sample_wld_az1_rack8_pool_name</f>
        <v>lax01-w01-r08-network-pool-01</v>
      </c>
      <c r="D631" s="18" t="str">
        <f>wld_az1_rack8_pool_name</f>
        <v>Value Missing</v>
      </c>
      <c r="E631" s="191"/>
    </row>
    <row r="632" ht="19.5" customHeight="1">
      <c r="B632" s="173" t="s">
        <v>545</v>
      </c>
      <c r="C632" s="163" t="s">
        <v>728</v>
      </c>
      <c r="D632" s="1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632" s="191"/>
    </row>
    <row r="633" ht="19.5" customHeight="1">
      <c r="B633" s="173" t="s">
        <v>296</v>
      </c>
      <c r="C633" s="163" t="s">
        <v>382</v>
      </c>
      <c r="D633" s="18"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191"/>
    </row>
    <row r="634" ht="19.5" customHeight="1"/>
    <row r="635" ht="33.75" customHeight="1">
      <c r="B635" s="197" t="s">
        <v>3401</v>
      </c>
      <c r="C635" s="13"/>
      <c r="D635" s="13"/>
      <c r="E635" s="14"/>
    </row>
    <row r="636" ht="19.5" customHeight="1">
      <c r="B636" s="84" t="s">
        <v>795</v>
      </c>
      <c r="C636" s="163" t="str">
        <f>IF(vcf_granular_option_chosen="Create Cluster",CONCATENATE(this_instance,"01-",sample_cluster_name,"-r08-network-profile"),
IF(cluster_wld_domain_chosen="VI Workload Domain",CONCATENATE(this_instance,"01-",sample_wld_cl01_cluster,"-r08-network-profile"),
CONCATENATE(this_instance,"01-",sample_mgmt_cl01_cluster,"-r08-network-profile")))</f>
        <v>lax01-lax-w01-cl01-r08-network-profile</v>
      </c>
      <c r="D636" s="18"/>
      <c r="E636" s="156"/>
    </row>
    <row r="637" ht="19.5" customHeight="1">
      <c r="B637" s="84" t="s">
        <v>3360</v>
      </c>
      <c r="C637" s="110" t="s">
        <v>797</v>
      </c>
      <c r="D637" s="156" t="s">
        <v>797</v>
      </c>
      <c r="E637" s="84" t="str">
        <f>IF(wld_az1_rack8_host_overlay_new_pool_chosen="Re-use an existing Pool","An existing Pool will be reused for Host TEP assignment","A new Pool will be created for Host TEP assignment")</f>
        <v>A new Pool will be created for Host TEP assignment</v>
      </c>
    </row>
    <row r="638" ht="19.5" customHeight="1">
      <c r="B638" s="84" t="s">
        <v>798</v>
      </c>
      <c r="C638" s="163" t="str">
        <f>IF(cluster_wld_domain_chosen="VI Workload Domain",CONCATENATE(this_instance,"01-w0",wld_domain_number_chosen,"-r08-ip-pool01-host"),CONCATENATE(this_instance,"01-m01","-r08-ip-pool01-host"))</f>
        <v>lax01-w01-r08-ip-pool01-host</v>
      </c>
      <c r="D638" s="18"/>
      <c r="E638" s="156"/>
    </row>
    <row r="639" ht="19.5" customHeight="1">
      <c r="B639" s="84" t="s">
        <v>799</v>
      </c>
      <c r="C639" s="163" t="str">
        <f>IF(cluster_wld_domain_chosen="VI Workload Domain",CONCATENATE(this_instance,"01-w0",wld_domain_number_chosen,"-r08-uplink-profile01"),CONCATENATE(this_instance,"01-m01","-r08-uplink-profile01"))</f>
        <v>lax01-w01-r08-uplink-profile01</v>
      </c>
      <c r="D639" s="18"/>
      <c r="E639" s="156"/>
    </row>
    <row r="640" ht="19.5" customHeight="1">
      <c r="B640" s="84" t="s">
        <v>3361</v>
      </c>
      <c r="C640" s="163" t="str">
        <f>IF(cluster_wld_domain_chosen="VI Workload Domain",CONCATENATE(this_instance,"01-w0",wld_domain_number_chosen,"-r08-ip-pool02-edge"),CONCATENATE(this_instance,"01-m01","-r08-ip-pool02-edge"))</f>
        <v>lax01-w01-r08-ip-pool02-edge</v>
      </c>
      <c r="D640" s="18"/>
      <c r="E640" s="156"/>
    </row>
    <row r="641" ht="19.5" customHeight="1">
      <c r="B641" s="84" t="s">
        <v>3362</v>
      </c>
      <c r="C641" s="163" t="str">
        <f>IF(cluster_wld_domain_chosen="VI Workload Domain",CONCATENATE(this_instance,"01-w0",wld_domain_number_chosen,"-r08-ip-pool03-rtep"),CONCATENATE(this_instance,"01-m01","-r08-ip-pool03-rtep"))</f>
        <v>lax01-w01-r08-ip-pool03-rtep</v>
      </c>
      <c r="D641" s="18"/>
      <c r="E641" s="156"/>
    </row>
    <row r="642" ht="19.5" customHeight="1">
      <c r="B642" s="102" t="s">
        <v>367</v>
      </c>
      <c r="C642" s="13"/>
      <c r="D642" s="13"/>
      <c r="E642" s="14"/>
    </row>
    <row r="643" ht="19.5" customHeight="1">
      <c r="B643" s="49" t="s">
        <v>256</v>
      </c>
      <c r="C643" s="49" t="s">
        <v>722</v>
      </c>
      <c r="D643" s="370" t="s">
        <v>274</v>
      </c>
      <c r="E643" s="49" t="s">
        <v>5</v>
      </c>
    </row>
    <row r="644" ht="19.5" customHeight="1">
      <c r="B644" s="84" t="s">
        <v>1873</v>
      </c>
      <c r="C644" s="156" t="str">
        <f>IF(cluster_wld_domain_chosen&lt;&gt;"MGMT Workload Domain",CONCATENATE(this_instance,"-w0",wld_domain_number_chosen,"-r08","-vsan-fault-domain"),CONCATENATE(this_instance,"-m01","-r08","-vsan-fault-domain"))</f>
        <v>lax-w01-r08-vsan-fault-domain</v>
      </c>
      <c r="D644" s="18"/>
      <c r="E644" s="18"/>
    </row>
    <row r="645" ht="15.75" customHeight="1"/>
    <row r="646" ht="33.75" customHeight="1">
      <c r="B646" s="197" t="s">
        <v>3402</v>
      </c>
      <c r="C646" s="13"/>
      <c r="D646" s="13"/>
      <c r="E646" s="14"/>
    </row>
    <row r="647" ht="19.5" customHeight="1">
      <c r="B647" s="108" t="s">
        <v>256</v>
      </c>
      <c r="C647" s="108" t="s">
        <v>722</v>
      </c>
      <c r="D647" s="108" t="s">
        <v>274</v>
      </c>
      <c r="E647" s="108" t="s">
        <v>5</v>
      </c>
    </row>
    <row r="648" ht="19.5" customHeight="1">
      <c r="B648" s="102" t="s">
        <v>472</v>
      </c>
      <c r="C648" s="13"/>
      <c r="D648" s="13"/>
      <c r="E648" s="14"/>
    </row>
    <row r="649" ht="19.5" customHeight="1">
      <c r="B649" s="84" t="s">
        <v>401</v>
      </c>
      <c r="C649" s="110" t="str">
        <f>IF(cluster_wld_domain_chosen&lt;&gt;"MGMT Workload Domain",CONCATENATE(prefix_wld_az1_rack_vlan,"91"),CONCATENATE(prefix_mgmt_az1_vlan,"91"))</f>
        <v>2391</v>
      </c>
      <c r="D649" s="18"/>
      <c r="E649" s="84"/>
    </row>
    <row r="650" ht="19.5" customHeight="1">
      <c r="B650" s="84" t="s">
        <v>404</v>
      </c>
      <c r="C650" s="110">
        <v>9000.0</v>
      </c>
      <c r="D650" s="18"/>
      <c r="E650" s="191"/>
    </row>
    <row r="651" ht="19.5" customHeight="1">
      <c r="B651" s="84" t="s">
        <v>403</v>
      </c>
      <c r="C651" s="203" t="str">
        <f>IF(cluster_wld_domain_chosen&lt;&gt;"MGMT Workload Domain",CONCATENATE(prefix_wld_az1_rack_cidr,"91.0"),CONCATENATE(prefix_mgmt_az1_cidr,"91.0"))</f>
        <v>10.23.91.0</v>
      </c>
      <c r="D651" s="18"/>
      <c r="E651" s="191"/>
    </row>
    <row r="652" ht="19.5" customHeight="1">
      <c r="B652" s="84" t="s">
        <v>743</v>
      </c>
      <c r="C652" s="203" t="s">
        <v>622</v>
      </c>
      <c r="D652" s="18"/>
      <c r="E652" s="191"/>
    </row>
    <row r="653" ht="19.5" customHeight="1">
      <c r="B653" s="84" t="s">
        <v>402</v>
      </c>
      <c r="C653" s="110" t="str">
        <f>IF(cluster_wld_domain_chosen&lt;&gt;"MGMT Workload Domain",CONCATENATE(prefix_wld_az1_rack_cidr,"91.1"),CONCATENATE(prefix_mgmt_az1_cidr,"91.1"))</f>
        <v>10.23.91.1</v>
      </c>
      <c r="D653" s="18"/>
      <c r="E653" s="191"/>
    </row>
    <row r="654" ht="19.5" customHeight="1">
      <c r="B654" s="173" t="s">
        <v>465</v>
      </c>
      <c r="C654" s="110" t="str">
        <f>IF(cluster_wld_domain_chosen&lt;&gt;"MGMT Workload Domain",CONCATENATE(prefix_wld_az1_rack_cidr,"91.101"),CONCATENATE(prefix_mgmt_az1_cidr,"91.101"))</f>
        <v>10.23.91.101</v>
      </c>
      <c r="D654" s="18"/>
      <c r="E654" s="95" t="s">
        <v>3394</v>
      </c>
    </row>
    <row r="655" ht="19.5" customHeight="1">
      <c r="B655" s="173" t="s">
        <v>466</v>
      </c>
      <c r="C655" s="110" t="str">
        <f>IF(cluster_wld_domain_chosen&lt;&gt;"MGMT Workload Domain",CONCATENATE(prefix_wld_az1_rack_cidr,"91.116"),CONCATENATE(prefix_mgmt_az1_cidr,"91.116"))</f>
        <v>10.23.91.116</v>
      </c>
      <c r="D655" s="18"/>
      <c r="E655" s="95" t="s">
        <v>3395</v>
      </c>
    </row>
    <row r="656" ht="19.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9">
    <mergeCell ref="B403:E403"/>
    <mergeCell ref="B407:E407"/>
    <mergeCell ref="B415:E415"/>
    <mergeCell ref="B424:E424"/>
    <mergeCell ref="B449:E449"/>
    <mergeCell ref="B456:E456"/>
    <mergeCell ref="B460:E460"/>
    <mergeCell ref="B462:E462"/>
    <mergeCell ref="B471:E471"/>
    <mergeCell ref="B473:E473"/>
    <mergeCell ref="B478:E478"/>
    <mergeCell ref="B496:E496"/>
    <mergeCell ref="B500:E500"/>
    <mergeCell ref="B508:E508"/>
    <mergeCell ref="B517:E517"/>
    <mergeCell ref="B542:E542"/>
    <mergeCell ref="B549:E549"/>
    <mergeCell ref="B553:E553"/>
    <mergeCell ref="B555:E555"/>
    <mergeCell ref="B564:E564"/>
    <mergeCell ref="B566:E566"/>
    <mergeCell ref="B646:E646"/>
    <mergeCell ref="B648:E648"/>
    <mergeCell ref="B571:E571"/>
    <mergeCell ref="B589:E589"/>
    <mergeCell ref="B593:E593"/>
    <mergeCell ref="B601:E601"/>
    <mergeCell ref="B610:E610"/>
    <mergeCell ref="B635:E635"/>
    <mergeCell ref="B642:E642"/>
    <mergeCell ref="B2:E2"/>
    <mergeCell ref="B3:E3"/>
    <mergeCell ref="B6:E6"/>
    <mergeCell ref="B8:E8"/>
    <mergeCell ref="B13:E13"/>
    <mergeCell ref="B31:E31"/>
    <mergeCell ref="B35:E35"/>
    <mergeCell ref="B43:E43"/>
    <mergeCell ref="B52:E52"/>
    <mergeCell ref="B77:E77"/>
    <mergeCell ref="B84:E84"/>
    <mergeCell ref="B88:E88"/>
    <mergeCell ref="B90:E90"/>
    <mergeCell ref="B99:E99"/>
    <mergeCell ref="B101:E101"/>
    <mergeCell ref="B106:E106"/>
    <mergeCell ref="B124:E124"/>
    <mergeCell ref="B128:E128"/>
    <mergeCell ref="B136:E136"/>
    <mergeCell ref="B145:E145"/>
    <mergeCell ref="B170:E170"/>
    <mergeCell ref="B177:E177"/>
    <mergeCell ref="B181:E181"/>
    <mergeCell ref="B183:E183"/>
    <mergeCell ref="B192:E192"/>
    <mergeCell ref="B194:E194"/>
    <mergeCell ref="B199:E199"/>
    <mergeCell ref="B217:E217"/>
    <mergeCell ref="B221:E221"/>
    <mergeCell ref="B229:E229"/>
    <mergeCell ref="B238:E238"/>
    <mergeCell ref="B263:E263"/>
    <mergeCell ref="B270:E270"/>
    <mergeCell ref="B274:E274"/>
    <mergeCell ref="B276:E276"/>
    <mergeCell ref="B285:E285"/>
    <mergeCell ref="B287:E287"/>
    <mergeCell ref="B292:E292"/>
    <mergeCell ref="B310:E310"/>
    <mergeCell ref="B314:E314"/>
    <mergeCell ref="B322:E322"/>
    <mergeCell ref="B331:E331"/>
    <mergeCell ref="B356:E356"/>
    <mergeCell ref="B363:E363"/>
    <mergeCell ref="B367:E367"/>
    <mergeCell ref="B369:E369"/>
    <mergeCell ref="B378:E378"/>
    <mergeCell ref="B380:E380"/>
    <mergeCell ref="B385:E385"/>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containsBlanks" dxfId="29" priority="1">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0" priority="2">
      <formula>LEN(TRIM(D9))&gt;0</formula>
    </cfRule>
  </conditionalFormatting>
  <conditionalFormatting sqref="D36:D50">
    <cfRule type="notContainsBlanks" dxfId="0" priority="3">
      <formula>LEN(TRIM(D36))&gt;0</formula>
    </cfRule>
  </conditionalFormatting>
  <conditionalFormatting sqref="D43">
    <cfRule type="containsBlanks" dxfId="7" priority="4">
      <formula>LEN(TRIM(D43))=0</formula>
    </cfRule>
  </conditionalFormatting>
  <conditionalFormatting sqref="E54:E69">
    <cfRule type="expression" dxfId="19" priority="5">
      <formula>OR((wld_vlcm_model_result="Excluded"),(wld_vlcm_model_chosen="Baselines"))</formula>
    </cfRule>
  </conditionalFormatting>
  <conditionalFormatting sqref="E147:E162">
    <cfRule type="expression" dxfId="19" priority="6">
      <formula>OR((wld_vlcm_model_result="Excluded"),(wld_vlcm_model_chosen="Baselines"))</formula>
    </cfRule>
  </conditionalFormatting>
  <conditionalFormatting sqref="E240:E255">
    <cfRule type="expression" dxfId="19" priority="7">
      <formula>OR((wld_vlcm_model_result="Excluded"),(wld_vlcm_model_chosen="Baselines"))</formula>
    </cfRule>
  </conditionalFormatting>
  <conditionalFormatting sqref="E333:E348">
    <cfRule type="expression" dxfId="19" priority="8">
      <formula>OR((wld_vlcm_model_result="Excluded"),(wld_vlcm_model_chosen="Baselines"))</formula>
    </cfRule>
  </conditionalFormatting>
  <conditionalFormatting sqref="E426:E441">
    <cfRule type="expression" dxfId="19" priority="9">
      <formula>OR((wld_vlcm_model_result="Excluded"),(wld_vlcm_model_chosen="Baselines"))</formula>
    </cfRule>
  </conditionalFormatting>
  <conditionalFormatting sqref="E519:E534">
    <cfRule type="expression" dxfId="19" priority="10">
      <formula>OR((wld_vlcm_model_result="Excluded"),(wld_vlcm_model_chosen="Baselines"))</formula>
    </cfRule>
  </conditionalFormatting>
  <conditionalFormatting sqref="E612:E627">
    <cfRule type="expression" dxfId="19" priority="11">
      <formula>OR((wld_vlcm_model_result="Excluded"),(wld_vlcm_model_chosen="Baselines"))</formula>
    </cfRule>
  </conditionalFormatting>
  <dataValidations>
    <dataValidation type="list" allowBlank="1" showErrorMessage="1" sqref="D33 D126 D219 D312 D405 D498 D591">
      <formula1>"Re-use an existing VCF Network Pool,Create a new VCF Network Pool"</formula1>
    </dataValidation>
    <dataValidation type="list" allowBlank="1" showErrorMessage="1" sqref="D79 D172 D265 D358 D451 D544 D637">
      <formula1>"Re-use an existing Pool,Create New Static IP Pool"</formula1>
    </dataValidation>
  </dataValidation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showGridLines="0" workbookViewId="0">
      <pane ySplit="6.0" topLeftCell="A7" activePane="bottomLeft" state="frozen"/>
      <selection activeCell="B8" sqref="B8" pane="bottomLeft"/>
    </sheetView>
  </sheetViews>
  <sheetFormatPr customHeight="1" defaultColWidth="11.22" defaultRowHeight="15.0"/>
  <cols>
    <col customWidth="1" min="1" max="1" width="2.78"/>
    <col customWidth="1" min="2" max="2" width="79.78"/>
    <col customWidth="1" min="3" max="4" width="70.78"/>
    <col customWidth="1" min="5" max="5" width="83.67"/>
    <col customWidth="1" min="6" max="6" width="24.0"/>
    <col customWidth="1" min="7" max="7" width="10.78"/>
    <col customWidth="1" min="8" max="26" width="11.0"/>
  </cols>
  <sheetData>
    <row r="1" ht="15.75" customHeight="1">
      <c r="A1" s="373"/>
      <c r="B1" s="1"/>
      <c r="C1" s="1"/>
      <c r="D1" s="1"/>
      <c r="E1" s="1"/>
      <c r="F1" s="41"/>
      <c r="G1" s="41"/>
      <c r="H1" s="41"/>
      <c r="I1" s="41"/>
      <c r="J1" s="41"/>
      <c r="K1" s="1"/>
      <c r="L1" s="1"/>
      <c r="M1" s="1"/>
      <c r="N1" s="1"/>
      <c r="O1" s="1"/>
      <c r="P1" s="1"/>
      <c r="Q1" s="1"/>
      <c r="R1" s="1"/>
      <c r="S1" s="1"/>
      <c r="T1" s="1"/>
      <c r="U1" s="1"/>
      <c r="V1" s="1"/>
      <c r="W1" s="1"/>
      <c r="X1" s="1"/>
      <c r="Y1" s="1"/>
      <c r="Z1" s="1"/>
    </row>
    <row r="2" ht="54.0" customHeight="1">
      <c r="A2" s="1"/>
      <c r="B2" s="374" t="s">
        <v>3403</v>
      </c>
      <c r="C2" s="13"/>
      <c r="D2" s="13"/>
      <c r="E2" s="14"/>
      <c r="F2" s="41"/>
      <c r="G2" s="41"/>
      <c r="H2" s="41"/>
      <c r="I2" s="41"/>
      <c r="J2" s="41"/>
      <c r="K2" s="1"/>
      <c r="L2" s="1"/>
      <c r="M2" s="1"/>
      <c r="N2" s="1"/>
      <c r="O2" s="1"/>
      <c r="P2" s="1"/>
      <c r="Q2" s="1"/>
      <c r="R2" s="1"/>
      <c r="S2" s="1"/>
      <c r="T2" s="1"/>
      <c r="U2" s="1"/>
      <c r="V2" s="1"/>
      <c r="W2" s="1"/>
      <c r="X2" s="1"/>
      <c r="Y2" s="1"/>
      <c r="Z2" s="1"/>
    </row>
    <row r="3" ht="19.5" customHeight="1">
      <c r="A3" s="1"/>
      <c r="B3" s="375" t="s">
        <v>3404</v>
      </c>
      <c r="C3" s="13"/>
      <c r="D3" s="13"/>
      <c r="E3" s="14"/>
      <c r="F3" s="41"/>
      <c r="G3" s="41"/>
      <c r="H3" s="41"/>
      <c r="I3" s="41"/>
      <c r="J3" s="41"/>
      <c r="K3" s="1"/>
      <c r="L3" s="1"/>
      <c r="M3" s="1"/>
      <c r="N3" s="1"/>
      <c r="O3" s="1"/>
      <c r="P3" s="1"/>
      <c r="Q3" s="1"/>
      <c r="R3" s="1"/>
      <c r="S3" s="1"/>
      <c r="T3" s="1"/>
      <c r="U3" s="1"/>
      <c r="V3" s="1"/>
      <c r="W3" s="1"/>
      <c r="X3" s="1"/>
      <c r="Y3" s="1"/>
      <c r="Z3" s="1"/>
    </row>
    <row r="4" ht="15.75" customHeight="1">
      <c r="A4" s="41"/>
      <c r="B4" s="1"/>
      <c r="C4" s="41"/>
      <c r="D4" s="1"/>
      <c r="E4" s="41"/>
      <c r="F4" s="41"/>
      <c r="G4" s="41"/>
      <c r="H4" s="41"/>
      <c r="I4" s="41"/>
      <c r="J4" s="41"/>
      <c r="K4" s="41"/>
      <c r="L4" s="41"/>
      <c r="M4" s="41"/>
      <c r="N4" s="41"/>
      <c r="O4" s="41"/>
      <c r="P4" s="41"/>
      <c r="Q4" s="41"/>
      <c r="R4" s="41"/>
      <c r="S4" s="41"/>
      <c r="T4" s="41"/>
      <c r="U4" s="41"/>
      <c r="V4" s="41"/>
      <c r="W4" s="41"/>
      <c r="X4" s="41"/>
      <c r="Y4" s="41"/>
      <c r="Z4" s="41"/>
    </row>
    <row r="5" ht="33.75" customHeight="1">
      <c r="A5" s="41"/>
      <c r="B5" s="376" t="s">
        <v>199</v>
      </c>
      <c r="C5" s="376" t="s">
        <v>3405</v>
      </c>
      <c r="D5" s="377"/>
      <c r="E5" s="377"/>
      <c r="F5" s="41"/>
      <c r="G5" s="41"/>
      <c r="H5" s="41"/>
      <c r="I5" s="41"/>
      <c r="J5" s="41"/>
      <c r="K5" s="41"/>
      <c r="L5" s="41"/>
      <c r="M5" s="41"/>
      <c r="N5" s="41"/>
      <c r="O5" s="41"/>
      <c r="P5" s="41"/>
      <c r="Q5" s="41"/>
      <c r="R5" s="41"/>
      <c r="S5" s="41"/>
      <c r="T5" s="41"/>
      <c r="U5" s="41"/>
      <c r="V5" s="41"/>
      <c r="W5" s="41"/>
      <c r="X5" s="41"/>
      <c r="Y5" s="41"/>
      <c r="Z5" s="41"/>
    </row>
    <row r="6" ht="15.75" customHeight="1">
      <c r="A6" s="1"/>
      <c r="B6" s="1"/>
      <c r="C6" s="1"/>
      <c r="D6" s="9"/>
      <c r="E6" s="10"/>
      <c r="F6" s="10"/>
      <c r="G6" s="1"/>
      <c r="H6" s="1"/>
      <c r="I6" s="1"/>
      <c r="J6" s="1"/>
      <c r="K6" s="1"/>
      <c r="L6" s="1"/>
      <c r="M6" s="1"/>
      <c r="N6" s="1"/>
      <c r="O6" s="1"/>
      <c r="P6" s="1"/>
      <c r="Q6" s="1"/>
      <c r="R6" s="1"/>
      <c r="S6" s="1"/>
      <c r="T6" s="1"/>
      <c r="U6" s="1"/>
      <c r="V6" s="1"/>
      <c r="W6" s="1"/>
      <c r="X6" s="1"/>
      <c r="Y6" s="1"/>
      <c r="Z6" s="1"/>
    </row>
    <row r="7" ht="15.75" customHeight="1">
      <c r="A7" s="41"/>
      <c r="B7" s="1"/>
      <c r="C7" s="41"/>
      <c r="D7" s="1"/>
      <c r="E7" s="41"/>
      <c r="F7" s="41"/>
      <c r="G7" s="41"/>
      <c r="H7" s="41"/>
      <c r="I7" s="41"/>
      <c r="J7" s="41"/>
      <c r="K7" s="41"/>
      <c r="L7" s="41"/>
      <c r="M7" s="41"/>
      <c r="N7" s="41"/>
      <c r="O7" s="41"/>
      <c r="P7" s="41"/>
      <c r="Q7" s="41"/>
      <c r="R7" s="41"/>
      <c r="S7" s="41"/>
      <c r="T7" s="41"/>
      <c r="U7" s="41"/>
      <c r="V7" s="41"/>
      <c r="W7" s="41"/>
      <c r="X7" s="41"/>
      <c r="Y7" s="41"/>
      <c r="Z7" s="41"/>
    </row>
    <row r="8" ht="33.75" customHeight="1">
      <c r="A8" s="41"/>
      <c r="B8" s="184" t="s">
        <v>199</v>
      </c>
      <c r="C8" s="13"/>
      <c r="D8" s="13"/>
      <c r="E8" s="14"/>
      <c r="F8" s="41"/>
      <c r="G8" s="41"/>
      <c r="H8" s="41"/>
      <c r="I8" s="41"/>
      <c r="J8" s="41"/>
      <c r="K8" s="41"/>
      <c r="L8" s="41"/>
      <c r="M8" s="41"/>
      <c r="N8" s="41"/>
      <c r="O8" s="41"/>
      <c r="P8" s="41"/>
      <c r="Q8" s="41"/>
      <c r="R8" s="41"/>
      <c r="S8" s="41"/>
      <c r="T8" s="41"/>
      <c r="U8" s="41"/>
      <c r="V8" s="41"/>
      <c r="W8" s="41"/>
      <c r="X8" s="41"/>
      <c r="Y8" s="41"/>
      <c r="Z8" s="41"/>
    </row>
    <row r="9" ht="15.75" customHeight="1">
      <c r="A9" s="41"/>
      <c r="B9" s="1"/>
      <c r="C9" s="41"/>
      <c r="D9" s="1"/>
      <c r="E9" s="41"/>
      <c r="F9" s="41"/>
      <c r="G9" s="41"/>
      <c r="H9" s="41"/>
      <c r="I9" s="41"/>
      <c r="J9" s="41"/>
      <c r="K9" s="41"/>
      <c r="L9" s="41"/>
      <c r="M9" s="41"/>
      <c r="N9" s="41"/>
      <c r="O9" s="41"/>
      <c r="P9" s="41"/>
      <c r="Q9" s="41"/>
      <c r="R9" s="41"/>
      <c r="S9" s="41"/>
      <c r="T9" s="41"/>
      <c r="U9" s="41"/>
      <c r="V9" s="41"/>
      <c r="W9" s="41"/>
      <c r="X9" s="41"/>
      <c r="Y9" s="41"/>
      <c r="Z9" s="41"/>
    </row>
    <row r="10" ht="30.0" customHeight="1">
      <c r="A10" s="41"/>
      <c r="B10" s="197" t="s">
        <v>3406</v>
      </c>
      <c r="C10" s="13"/>
      <c r="D10" s="13"/>
      <c r="E10" s="14"/>
      <c r="F10" s="41"/>
      <c r="G10" s="41"/>
      <c r="H10" s="41"/>
      <c r="I10" s="41"/>
      <c r="J10" s="41"/>
      <c r="K10" s="41"/>
      <c r="L10" s="41"/>
      <c r="M10" s="41"/>
      <c r="N10" s="41"/>
      <c r="O10" s="41"/>
      <c r="P10" s="41"/>
      <c r="Q10" s="41"/>
      <c r="R10" s="41"/>
      <c r="S10" s="41"/>
      <c r="T10" s="41"/>
      <c r="U10" s="41"/>
      <c r="V10" s="41"/>
      <c r="W10" s="41"/>
      <c r="X10" s="41"/>
      <c r="Y10" s="41"/>
      <c r="Z10" s="41"/>
    </row>
    <row r="11" ht="19.5" customHeight="1">
      <c r="A11" s="41"/>
      <c r="B11" s="102"/>
      <c r="C11" s="13"/>
      <c r="D11" s="13"/>
      <c r="E11" s="14"/>
      <c r="F11" s="41"/>
      <c r="G11" s="41"/>
      <c r="H11" s="41"/>
      <c r="I11" s="41"/>
      <c r="J11" s="41"/>
      <c r="K11" s="41"/>
      <c r="L11" s="41"/>
      <c r="M11" s="41"/>
      <c r="N11" s="41"/>
      <c r="O11" s="41"/>
      <c r="P11" s="41"/>
      <c r="Q11" s="41"/>
      <c r="R11" s="41"/>
      <c r="S11" s="41"/>
      <c r="T11" s="41"/>
      <c r="U11" s="41"/>
      <c r="V11" s="41"/>
      <c r="W11" s="41"/>
      <c r="X11" s="41"/>
      <c r="Y11" s="41"/>
      <c r="Z11" s="41"/>
    </row>
    <row r="12" ht="19.5" customHeight="1">
      <c r="A12" s="41"/>
      <c r="B12" s="378" t="s">
        <v>37</v>
      </c>
      <c r="C12" s="379" t="s">
        <v>273</v>
      </c>
      <c r="D12" s="379" t="s">
        <v>274</v>
      </c>
      <c r="E12" s="379" t="s">
        <v>5</v>
      </c>
      <c r="F12" s="41"/>
      <c r="G12" s="41"/>
      <c r="H12" s="41"/>
      <c r="I12" s="41"/>
      <c r="J12" s="41"/>
      <c r="K12" s="41"/>
      <c r="L12" s="41"/>
      <c r="M12" s="41"/>
      <c r="N12" s="41"/>
      <c r="O12" s="41"/>
      <c r="P12" s="41"/>
      <c r="Q12" s="41"/>
      <c r="R12" s="41"/>
      <c r="S12" s="41"/>
      <c r="T12" s="41"/>
      <c r="U12" s="41"/>
      <c r="V12" s="41"/>
      <c r="W12" s="41"/>
      <c r="X12" s="41"/>
      <c r="Y12" s="41"/>
      <c r="Z12" s="41"/>
    </row>
    <row r="13" ht="19.5" customHeight="1">
      <c r="A13" s="41"/>
      <c r="B13" s="84" t="s">
        <v>3407</v>
      </c>
      <c r="C13" s="111" t="str">
        <f>CONCATENATE(prefix_portable_component,"-fm01.",sample_vvs_dr_parent_dns_zone)</f>
        <v>flt-fm01.rainpole.io</v>
      </c>
      <c r="D13" s="18"/>
      <c r="E13" s="191"/>
      <c r="F13" s="41"/>
      <c r="G13" s="41"/>
      <c r="H13" s="41"/>
      <c r="I13" s="41"/>
      <c r="J13" s="41"/>
      <c r="K13" s="41"/>
      <c r="L13" s="41"/>
      <c r="M13" s="41"/>
      <c r="N13" s="41"/>
      <c r="O13" s="41"/>
      <c r="P13" s="41"/>
      <c r="Q13" s="41"/>
      <c r="R13" s="41"/>
      <c r="S13" s="41"/>
      <c r="T13" s="41"/>
      <c r="U13" s="41"/>
      <c r="V13" s="41"/>
      <c r="W13" s="41"/>
      <c r="X13" s="41"/>
      <c r="Y13" s="41"/>
      <c r="Z13" s="41"/>
    </row>
    <row r="14" ht="19.5" customHeight="1">
      <c r="A14" s="41"/>
      <c r="B14" s="17" t="s">
        <v>3408</v>
      </c>
      <c r="C14" s="13"/>
      <c r="D14" s="13"/>
      <c r="E14" s="14"/>
      <c r="F14" s="41"/>
      <c r="G14" s="41"/>
      <c r="H14" s="41"/>
      <c r="I14" s="41"/>
      <c r="J14" s="41"/>
      <c r="K14" s="41"/>
      <c r="L14" s="41"/>
      <c r="M14" s="41"/>
      <c r="N14" s="41"/>
      <c r="O14" s="41"/>
      <c r="P14" s="41"/>
      <c r="Q14" s="41"/>
      <c r="R14" s="41"/>
      <c r="S14" s="41"/>
      <c r="T14" s="41"/>
      <c r="U14" s="41"/>
      <c r="V14" s="41"/>
      <c r="W14" s="41"/>
      <c r="X14" s="41"/>
      <c r="Y14" s="41"/>
      <c r="Z14" s="41"/>
    </row>
    <row r="15" ht="19.5" customHeight="1">
      <c r="A15" s="41"/>
      <c r="B15" s="84" t="s">
        <v>88</v>
      </c>
      <c r="C15" s="110" t="str">
        <f>CONCATENATE("DNS=",sample_vvs_dr_dns1_ip)</f>
        <v>DNS=10.11.10.4</v>
      </c>
      <c r="D15" s="18"/>
      <c r="E15" s="191"/>
      <c r="F15" s="41"/>
      <c r="G15" s="41"/>
      <c r="H15" s="41"/>
      <c r="I15" s="41"/>
      <c r="J15" s="41"/>
      <c r="K15" s="41"/>
      <c r="L15" s="41"/>
      <c r="M15" s="41"/>
      <c r="N15" s="41"/>
      <c r="O15" s="41"/>
      <c r="P15" s="41"/>
      <c r="Q15" s="41"/>
      <c r="R15" s="41"/>
      <c r="S15" s="41"/>
      <c r="T15" s="41"/>
      <c r="U15" s="41"/>
      <c r="V15" s="41"/>
      <c r="W15" s="41"/>
      <c r="X15" s="41"/>
      <c r="Y15" s="41"/>
      <c r="Z15" s="41"/>
    </row>
    <row r="16" ht="19.5" customHeight="1">
      <c r="A16" s="41"/>
      <c r="B16" s="17" t="s">
        <v>3409</v>
      </c>
      <c r="C16" s="13"/>
      <c r="D16" s="13"/>
      <c r="E16" s="14"/>
      <c r="F16" s="41"/>
      <c r="G16" s="41"/>
      <c r="H16" s="41"/>
      <c r="I16" s="41"/>
      <c r="J16" s="41"/>
      <c r="K16" s="41"/>
      <c r="L16" s="41"/>
      <c r="M16" s="41"/>
      <c r="N16" s="41"/>
      <c r="O16" s="41"/>
      <c r="P16" s="41"/>
      <c r="Q16" s="41"/>
      <c r="R16" s="41"/>
      <c r="S16" s="41"/>
      <c r="T16" s="41"/>
      <c r="U16" s="41"/>
      <c r="V16" s="41"/>
      <c r="W16" s="41"/>
      <c r="X16" s="41"/>
      <c r="Y16" s="41"/>
      <c r="Z16" s="41"/>
    </row>
    <row r="17" ht="19.5" customHeight="1">
      <c r="A17" s="41"/>
      <c r="B17" s="85" t="s">
        <v>3410</v>
      </c>
      <c r="C17" s="110" t="s">
        <v>77</v>
      </c>
      <c r="D17" s="18"/>
      <c r="E17" s="191"/>
      <c r="F17" s="41"/>
      <c r="G17" s="41"/>
      <c r="H17" s="41"/>
      <c r="I17" s="41"/>
      <c r="J17" s="41"/>
      <c r="K17" s="41"/>
      <c r="L17" s="41"/>
      <c r="M17" s="41"/>
      <c r="N17" s="41"/>
      <c r="O17" s="41"/>
      <c r="P17" s="41"/>
      <c r="Q17" s="41"/>
      <c r="R17" s="41"/>
      <c r="S17" s="41"/>
      <c r="T17" s="41"/>
      <c r="U17" s="41"/>
      <c r="V17" s="41"/>
      <c r="W17" s="41"/>
      <c r="X17" s="41"/>
      <c r="Y17" s="41"/>
      <c r="Z17" s="41"/>
    </row>
    <row r="18" ht="15.75" customHeight="1">
      <c r="A18" s="41"/>
      <c r="B18" s="1"/>
      <c r="C18" s="41"/>
      <c r="D18" s="1"/>
      <c r="E18" s="41"/>
      <c r="F18" s="41"/>
      <c r="G18" s="41"/>
      <c r="H18" s="41"/>
      <c r="I18" s="41"/>
      <c r="J18" s="41"/>
      <c r="K18" s="41"/>
      <c r="L18" s="41"/>
      <c r="M18" s="41"/>
      <c r="N18" s="41"/>
      <c r="O18" s="41"/>
      <c r="P18" s="41"/>
      <c r="Q18" s="41"/>
      <c r="R18" s="41"/>
      <c r="S18" s="41"/>
      <c r="T18" s="41"/>
      <c r="U18" s="41"/>
      <c r="V18" s="41"/>
      <c r="W18" s="41"/>
      <c r="X18" s="41"/>
      <c r="Y18" s="41"/>
      <c r="Z18" s="41"/>
    </row>
    <row r="19" ht="30.0" customHeight="1">
      <c r="A19" s="41"/>
      <c r="B19" s="197" t="s">
        <v>3411</v>
      </c>
      <c r="C19" s="13"/>
      <c r="D19" s="13"/>
      <c r="E19" s="14"/>
      <c r="F19" s="41"/>
      <c r="G19" s="41"/>
      <c r="H19" s="41"/>
      <c r="I19" s="41"/>
      <c r="J19" s="41"/>
      <c r="K19" s="41"/>
      <c r="L19" s="41"/>
      <c r="M19" s="41"/>
      <c r="N19" s="41"/>
      <c r="O19" s="41"/>
      <c r="P19" s="41"/>
      <c r="Q19" s="41"/>
      <c r="R19" s="41"/>
      <c r="S19" s="41"/>
      <c r="T19" s="41"/>
      <c r="U19" s="41"/>
      <c r="V19" s="41"/>
      <c r="W19" s="41"/>
      <c r="X19" s="41"/>
      <c r="Y19" s="41"/>
      <c r="Z19" s="41"/>
    </row>
    <row r="20" ht="19.5" customHeight="1">
      <c r="A20" s="41"/>
      <c r="B20" s="378" t="s">
        <v>37</v>
      </c>
      <c r="C20" s="379" t="s">
        <v>273</v>
      </c>
      <c r="D20" s="379" t="s">
        <v>274</v>
      </c>
      <c r="E20" s="379" t="s">
        <v>5</v>
      </c>
      <c r="F20" s="41"/>
      <c r="G20" s="41"/>
      <c r="H20" s="41"/>
      <c r="I20" s="41"/>
      <c r="J20" s="41"/>
      <c r="K20" s="41"/>
      <c r="L20" s="41"/>
      <c r="M20" s="41"/>
      <c r="N20" s="41"/>
      <c r="O20" s="41"/>
      <c r="P20" s="41"/>
      <c r="Q20" s="41"/>
      <c r="R20" s="41"/>
      <c r="S20" s="41"/>
      <c r="T20" s="41"/>
      <c r="U20" s="41"/>
      <c r="V20" s="41"/>
      <c r="W20" s="41"/>
      <c r="X20" s="41"/>
      <c r="Y20" s="41"/>
      <c r="Z20" s="41"/>
    </row>
    <row r="21" ht="19.5" customHeight="1">
      <c r="A21" s="41"/>
      <c r="B21" s="84" t="s">
        <v>3412</v>
      </c>
      <c r="C21" s="111" t="str">
        <f>CONCATENATE(prefix_portable_component,"-ops01a.",sample_vvs_dr_parent_dns_zone)</f>
        <v>flt-ops01a.rainpole.io</v>
      </c>
      <c r="D21" s="18"/>
      <c r="E21" s="191"/>
      <c r="F21" s="41"/>
      <c r="G21" s="41"/>
      <c r="H21" s="41"/>
      <c r="I21" s="41"/>
      <c r="J21" s="41"/>
      <c r="K21" s="41"/>
      <c r="L21" s="41"/>
      <c r="M21" s="41"/>
      <c r="N21" s="41"/>
      <c r="O21" s="41"/>
      <c r="P21" s="41"/>
      <c r="Q21" s="41"/>
      <c r="R21" s="41"/>
      <c r="S21" s="41"/>
      <c r="T21" s="41"/>
      <c r="U21" s="41"/>
      <c r="V21" s="41"/>
      <c r="W21" s="41"/>
      <c r="X21" s="41"/>
      <c r="Y21" s="41"/>
      <c r="Z21" s="41"/>
    </row>
    <row r="22" ht="19.5" customHeight="1">
      <c r="A22" s="41"/>
      <c r="B22" s="84" t="s">
        <v>256</v>
      </c>
      <c r="C22" s="110" t="s">
        <v>3413</v>
      </c>
      <c r="D22" s="18"/>
      <c r="E22" s="191"/>
      <c r="F22" s="41"/>
      <c r="G22" s="41"/>
      <c r="H22" s="41"/>
      <c r="I22" s="41"/>
      <c r="J22" s="41"/>
      <c r="K22" s="41"/>
      <c r="L22" s="41"/>
      <c r="M22" s="41"/>
      <c r="N22" s="41"/>
      <c r="O22" s="41"/>
      <c r="P22" s="41"/>
      <c r="Q22" s="41"/>
      <c r="R22" s="41"/>
      <c r="S22" s="41"/>
      <c r="T22" s="41"/>
      <c r="U22" s="41"/>
      <c r="V22" s="41"/>
      <c r="W22" s="41"/>
      <c r="X22" s="41"/>
      <c r="Y22" s="41"/>
      <c r="Z22" s="41"/>
    </row>
    <row r="23" ht="19.5" customHeight="1">
      <c r="A23" s="41"/>
      <c r="B23" s="84" t="s">
        <v>3414</v>
      </c>
      <c r="C23" s="111" t="str">
        <f>CONCATENATE("ntp0",".",other_instance,".",sample_vvs_dr_parent_dns_zone)</f>
        <v>ntp0.sfo.rainpole.io</v>
      </c>
      <c r="D23" s="18"/>
      <c r="E23" s="19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1"/>
      <c r="C24" s="41"/>
      <c r="D24" s="1"/>
      <c r="E24" s="41"/>
      <c r="F24" s="41"/>
      <c r="G24" s="41"/>
      <c r="H24" s="41"/>
      <c r="I24" s="41"/>
      <c r="J24" s="41"/>
      <c r="K24" s="41"/>
      <c r="L24" s="41"/>
      <c r="M24" s="41"/>
      <c r="N24" s="41"/>
      <c r="O24" s="41"/>
      <c r="P24" s="41"/>
      <c r="Q24" s="41"/>
      <c r="R24" s="41"/>
      <c r="S24" s="41"/>
      <c r="T24" s="41"/>
      <c r="U24" s="41"/>
      <c r="V24" s="41"/>
      <c r="W24" s="41"/>
      <c r="X24" s="41"/>
      <c r="Y24" s="41"/>
      <c r="Z24" s="41"/>
    </row>
    <row r="25" ht="30.0" customHeight="1">
      <c r="A25" s="41"/>
      <c r="B25" s="197" t="s">
        <v>3415</v>
      </c>
      <c r="C25" s="13"/>
      <c r="D25" s="13"/>
      <c r="E25" s="14"/>
      <c r="F25" s="41"/>
      <c r="G25" s="41"/>
      <c r="H25" s="41"/>
      <c r="I25" s="41"/>
      <c r="J25" s="41"/>
      <c r="K25" s="41"/>
      <c r="L25" s="41"/>
      <c r="M25" s="41"/>
      <c r="N25" s="41"/>
      <c r="O25" s="41"/>
      <c r="P25" s="41"/>
      <c r="Q25" s="41"/>
      <c r="R25" s="41"/>
      <c r="S25" s="41"/>
      <c r="T25" s="41"/>
      <c r="U25" s="41"/>
      <c r="V25" s="41"/>
      <c r="W25" s="41"/>
      <c r="X25" s="41"/>
      <c r="Y25" s="41"/>
      <c r="Z25" s="41"/>
    </row>
    <row r="26" ht="19.5" customHeight="1">
      <c r="A26" s="41"/>
      <c r="B26" s="102"/>
      <c r="C26" s="13"/>
      <c r="D26" s="13"/>
      <c r="E26" s="14"/>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378" t="s">
        <v>37</v>
      </c>
      <c r="C27" s="379" t="s">
        <v>273</v>
      </c>
      <c r="D27" s="379" t="s">
        <v>274</v>
      </c>
      <c r="E27" s="379" t="s">
        <v>5</v>
      </c>
      <c r="F27" s="41"/>
      <c r="G27" s="41"/>
      <c r="H27" s="41"/>
      <c r="I27" s="41"/>
      <c r="J27" s="41"/>
      <c r="K27" s="41"/>
      <c r="L27" s="41"/>
      <c r="M27" s="41"/>
      <c r="N27" s="41"/>
      <c r="O27" s="41"/>
      <c r="P27" s="41"/>
      <c r="Q27" s="41"/>
      <c r="R27" s="41"/>
      <c r="S27" s="41"/>
      <c r="T27" s="41"/>
      <c r="U27" s="41"/>
      <c r="V27" s="41"/>
      <c r="W27" s="41"/>
      <c r="X27" s="41"/>
      <c r="Y27" s="41"/>
      <c r="Z27" s="41"/>
    </row>
    <row r="28" ht="19.5" customHeight="1">
      <c r="A28" s="41"/>
      <c r="B28" s="84" t="s">
        <v>3412</v>
      </c>
      <c r="C28" s="111" t="str">
        <f>sample_vvs_dr_flt_ops_nodea_fqdn</f>
        <v>flt-ops01a.rainpole.io</v>
      </c>
      <c r="D28" s="18" t="str">
        <f>vvs_dr_flt_ops_nodea_fqdn</f>
        <v>Value Missing</v>
      </c>
      <c r="E28" s="191"/>
      <c r="F28" s="41"/>
      <c r="G28" s="41"/>
      <c r="H28" s="41"/>
      <c r="I28" s="41"/>
      <c r="J28" s="41"/>
      <c r="K28" s="41"/>
      <c r="L28" s="41"/>
      <c r="M28" s="41"/>
      <c r="N28" s="41"/>
      <c r="O28" s="41"/>
      <c r="P28" s="41"/>
      <c r="Q28" s="41"/>
      <c r="R28" s="41"/>
      <c r="S28" s="41"/>
      <c r="T28" s="41"/>
      <c r="U28" s="41"/>
      <c r="V28" s="41"/>
      <c r="W28" s="41"/>
      <c r="X28" s="41"/>
      <c r="Y28" s="41"/>
      <c r="Z28" s="41"/>
    </row>
    <row r="29" ht="19.5" customHeight="1">
      <c r="A29" s="41"/>
      <c r="B29" s="17" t="s">
        <v>3408</v>
      </c>
      <c r="C29" s="13"/>
      <c r="D29" s="13"/>
      <c r="E29" s="14"/>
      <c r="F29" s="41"/>
      <c r="G29" s="41"/>
      <c r="H29" s="41"/>
      <c r="I29" s="41"/>
      <c r="J29" s="41"/>
      <c r="K29" s="41"/>
      <c r="L29" s="41"/>
      <c r="M29" s="41"/>
      <c r="N29" s="41"/>
      <c r="O29" s="41"/>
      <c r="P29" s="41"/>
      <c r="Q29" s="41"/>
      <c r="R29" s="41"/>
      <c r="S29" s="41"/>
      <c r="T29" s="41"/>
      <c r="U29" s="41"/>
      <c r="V29" s="41"/>
      <c r="W29" s="41"/>
      <c r="X29" s="41"/>
      <c r="Y29" s="41"/>
      <c r="Z29" s="41"/>
    </row>
    <row r="30" ht="19.5" customHeight="1">
      <c r="A30" s="41"/>
      <c r="B30" s="84" t="s">
        <v>88</v>
      </c>
      <c r="C30" s="110" t="str">
        <f>CONCATENATE("DNS=",sample_vvs_dr_dns1_ip)</f>
        <v>DNS=10.11.10.4</v>
      </c>
      <c r="D30" s="18" t="str">
        <f>IF(ISBLANK(D15),"Value Missing",D15)</f>
        <v>Value Missing</v>
      </c>
      <c r="E30" s="191"/>
      <c r="F30" s="41"/>
      <c r="G30" s="41"/>
      <c r="H30" s="41"/>
      <c r="I30" s="41"/>
      <c r="J30" s="41"/>
      <c r="K30" s="41"/>
      <c r="L30" s="41"/>
      <c r="M30" s="41"/>
      <c r="N30" s="41"/>
      <c r="O30" s="41"/>
      <c r="P30" s="41"/>
      <c r="Q30" s="41"/>
      <c r="R30" s="41"/>
      <c r="S30" s="41"/>
      <c r="T30" s="41"/>
      <c r="U30" s="41"/>
      <c r="V30" s="41"/>
      <c r="W30" s="41"/>
      <c r="X30" s="41"/>
      <c r="Y30" s="41"/>
      <c r="Z30" s="41"/>
    </row>
    <row r="31" ht="19.5" customHeight="1">
      <c r="A31" s="41"/>
      <c r="B31" s="17" t="s">
        <v>3409</v>
      </c>
      <c r="C31" s="13"/>
      <c r="D31" s="13"/>
      <c r="E31" s="14"/>
      <c r="F31" s="41"/>
      <c r="G31" s="41"/>
      <c r="H31" s="41"/>
      <c r="I31" s="41"/>
      <c r="J31" s="41"/>
      <c r="K31" s="41"/>
      <c r="L31" s="41"/>
      <c r="M31" s="41"/>
      <c r="N31" s="41"/>
      <c r="O31" s="41"/>
      <c r="P31" s="41"/>
      <c r="Q31" s="41"/>
      <c r="R31" s="41"/>
      <c r="S31" s="41"/>
      <c r="T31" s="41"/>
      <c r="U31" s="41"/>
      <c r="V31" s="41"/>
      <c r="W31" s="41"/>
      <c r="X31" s="41"/>
      <c r="Y31" s="41"/>
      <c r="Z31" s="41"/>
    </row>
    <row r="32" ht="19.5" customHeight="1">
      <c r="A32" s="41"/>
      <c r="B32" s="85" t="s">
        <v>3410</v>
      </c>
      <c r="C32" s="111" t="str">
        <f>sample_vvs_dr_parent_dns_zone</f>
        <v>rainpole.io</v>
      </c>
      <c r="D32" s="18" t="str">
        <f t="array" ref="D32">vvs_dr_parent_dns_zone</f>
        <v>Value Missing</v>
      </c>
      <c r="E32" s="191"/>
      <c r="F32" s="41"/>
      <c r="G32" s="41"/>
      <c r="H32" s="41"/>
      <c r="I32" s="41"/>
      <c r="J32" s="41"/>
      <c r="K32" s="41"/>
      <c r="L32" s="41"/>
      <c r="M32" s="41"/>
      <c r="N32" s="41"/>
      <c r="O32" s="41"/>
      <c r="P32" s="41"/>
      <c r="Q32" s="41"/>
      <c r="R32" s="41"/>
      <c r="S32" s="41"/>
      <c r="T32" s="41"/>
      <c r="U32" s="41"/>
      <c r="V32" s="41"/>
      <c r="W32" s="41"/>
      <c r="X32" s="41"/>
      <c r="Y32" s="41"/>
      <c r="Z32" s="41"/>
    </row>
    <row r="33" ht="19.5" customHeight="1">
      <c r="A33" s="41"/>
      <c r="B33" s="84" t="s">
        <v>2463</v>
      </c>
      <c r="C33" s="111" t="str">
        <f>CONCATENATE(prefix_portable_component,"-ops01b.",sample_vvs_dr_parent_dns_zone)</f>
        <v>flt-ops01b.rainpole.io</v>
      </c>
      <c r="D33" s="18"/>
      <c r="E33" s="191"/>
      <c r="F33" s="41"/>
      <c r="G33" s="41"/>
      <c r="H33" s="41"/>
      <c r="I33" s="41"/>
      <c r="J33" s="41"/>
      <c r="K33" s="41"/>
      <c r="L33" s="41"/>
      <c r="M33" s="41"/>
      <c r="N33" s="41"/>
      <c r="O33" s="41"/>
      <c r="P33" s="41"/>
      <c r="Q33" s="41"/>
      <c r="R33" s="41"/>
      <c r="S33" s="41"/>
      <c r="T33" s="41"/>
      <c r="U33" s="41"/>
      <c r="V33" s="41"/>
      <c r="W33" s="41"/>
      <c r="X33" s="41"/>
      <c r="Y33" s="41"/>
      <c r="Z33" s="41"/>
    </row>
    <row r="34" ht="19.5" customHeight="1">
      <c r="A34" s="41"/>
      <c r="B34" s="84" t="s">
        <v>2469</v>
      </c>
      <c r="C34" s="111" t="str">
        <f>CONCATENATE(prefix_portable_component,"-ops01c.",sample_vvs_dr_parent_dns_zone)</f>
        <v>flt-ops01c.rainpole.io</v>
      </c>
      <c r="D34" s="18"/>
      <c r="E34" s="191"/>
      <c r="F34" s="41"/>
      <c r="G34" s="41"/>
      <c r="H34" s="41"/>
      <c r="I34" s="41"/>
      <c r="J34" s="41"/>
      <c r="K34" s="41"/>
      <c r="L34" s="41"/>
      <c r="M34" s="41"/>
      <c r="N34" s="41"/>
      <c r="O34" s="41"/>
      <c r="P34" s="41"/>
      <c r="Q34" s="41"/>
      <c r="R34" s="41"/>
      <c r="S34" s="41"/>
      <c r="T34" s="41"/>
      <c r="U34" s="41"/>
      <c r="V34" s="41"/>
      <c r="W34" s="41"/>
      <c r="X34" s="41"/>
      <c r="Y34" s="41"/>
      <c r="Z34" s="41"/>
    </row>
    <row r="35" ht="19.5" customHeight="1">
      <c r="A35" s="41"/>
      <c r="B35" s="84" t="s">
        <v>2473</v>
      </c>
      <c r="C35" s="111" t="str">
        <f>CONCATENATE(prefix_portable_component,"-logs01a",".",sample_vvs_dr_parent_dns_zone)</f>
        <v>flt-logs01a.rainpole.io</v>
      </c>
      <c r="D35" s="18"/>
      <c r="E35" s="191"/>
      <c r="F35" s="41"/>
      <c r="G35" s="41"/>
      <c r="H35" s="41"/>
      <c r="I35" s="41"/>
      <c r="J35" s="41"/>
      <c r="K35" s="41"/>
      <c r="L35" s="41"/>
      <c r="M35" s="41"/>
      <c r="N35" s="41"/>
      <c r="O35" s="41"/>
      <c r="P35" s="41"/>
      <c r="Q35" s="41"/>
      <c r="R35" s="41"/>
      <c r="S35" s="41"/>
      <c r="T35" s="41"/>
      <c r="U35" s="41"/>
      <c r="V35" s="41"/>
      <c r="W35" s="41"/>
      <c r="X35" s="41"/>
      <c r="Y35" s="41"/>
      <c r="Z35" s="41"/>
    </row>
    <row r="36" ht="19.5" customHeight="1">
      <c r="A36" s="41"/>
      <c r="B36" s="84" t="s">
        <v>2478</v>
      </c>
      <c r="C36" s="111" t="str">
        <f>CONCATENATE(prefix_portable_component,"-logs01b",".",sample_vvs_dr_parent_dns_zone)</f>
        <v>flt-logs01b.rainpole.io</v>
      </c>
      <c r="D36" s="18"/>
      <c r="E36" s="191"/>
      <c r="F36" s="41"/>
      <c r="G36" s="41"/>
      <c r="H36" s="41"/>
      <c r="I36" s="41"/>
      <c r="J36" s="41"/>
      <c r="K36" s="41"/>
      <c r="L36" s="41"/>
      <c r="M36" s="41"/>
      <c r="N36" s="41"/>
      <c r="O36" s="41"/>
      <c r="P36" s="41"/>
      <c r="Q36" s="41"/>
      <c r="R36" s="41"/>
      <c r="S36" s="41"/>
      <c r="T36" s="41"/>
      <c r="U36" s="41"/>
      <c r="V36" s="41"/>
      <c r="W36" s="41"/>
      <c r="X36" s="41"/>
      <c r="Y36" s="41"/>
      <c r="Z36" s="41"/>
    </row>
    <row r="37" ht="19.5" customHeight="1">
      <c r="A37" s="41"/>
      <c r="B37" s="84" t="s">
        <v>2482</v>
      </c>
      <c r="C37" s="111" t="str">
        <f>CONCATENATE(prefix_portable_component,"-logs01c",".",sample_vvs_dr_parent_dns_zone)</f>
        <v>flt-logs01c.rainpole.io</v>
      </c>
      <c r="D37" s="18"/>
      <c r="E37" s="191"/>
      <c r="F37" s="41"/>
      <c r="G37" s="41"/>
      <c r="H37" s="41"/>
      <c r="I37" s="41"/>
      <c r="J37" s="41"/>
      <c r="K37" s="41"/>
      <c r="L37" s="41"/>
      <c r="M37" s="41"/>
      <c r="N37" s="41"/>
      <c r="O37" s="41"/>
      <c r="P37" s="41"/>
      <c r="Q37" s="41"/>
      <c r="R37" s="41"/>
      <c r="S37" s="41"/>
      <c r="T37" s="41"/>
      <c r="U37" s="41"/>
      <c r="V37" s="41"/>
      <c r="W37" s="41"/>
      <c r="X37" s="41"/>
      <c r="Y37" s="41"/>
      <c r="Z37" s="41"/>
    </row>
    <row r="38" ht="19.5" customHeight="1">
      <c r="A38" s="41"/>
      <c r="B38" s="84" t="s">
        <v>2487</v>
      </c>
      <c r="C38" s="111" t="str">
        <f>CONCATENATE(prefix_portable_component,"-net01a",".",sample_vvs_dr_parent_dns_zone)</f>
        <v>flt-net01a.rainpole.io</v>
      </c>
      <c r="D38" s="18"/>
      <c r="E38" s="191"/>
      <c r="F38" s="41"/>
      <c r="G38" s="41"/>
      <c r="H38" s="41"/>
      <c r="I38" s="41"/>
      <c r="J38" s="41"/>
      <c r="K38" s="41"/>
      <c r="L38" s="41"/>
      <c r="M38" s="41"/>
      <c r="N38" s="41"/>
      <c r="O38" s="41"/>
      <c r="P38" s="41"/>
      <c r="Q38" s="41"/>
      <c r="R38" s="41"/>
      <c r="S38" s="41"/>
      <c r="T38" s="41"/>
      <c r="U38" s="41"/>
      <c r="V38" s="41"/>
      <c r="W38" s="41"/>
      <c r="X38" s="41"/>
      <c r="Y38" s="41"/>
      <c r="Z38" s="41"/>
    </row>
    <row r="39" ht="19.5" customHeight="1">
      <c r="A39" s="41"/>
      <c r="B39" s="84" t="s">
        <v>2492</v>
      </c>
      <c r="C39" s="111" t="str">
        <f>CONCATENATE(prefix_portable_component,"-net01b",".",sample_vvs_dr_parent_dns_zone)</f>
        <v>flt-net01b.rainpole.io</v>
      </c>
      <c r="D39" s="18"/>
      <c r="E39" s="191"/>
      <c r="F39" s="41"/>
      <c r="G39" s="41"/>
      <c r="H39" s="41"/>
      <c r="I39" s="41"/>
      <c r="J39" s="41"/>
      <c r="K39" s="41"/>
      <c r="L39" s="41"/>
      <c r="M39" s="41"/>
      <c r="N39" s="41"/>
      <c r="O39" s="41"/>
      <c r="P39" s="41"/>
      <c r="Q39" s="41"/>
      <c r="R39" s="41"/>
      <c r="S39" s="41"/>
      <c r="T39" s="41"/>
      <c r="U39" s="41"/>
      <c r="V39" s="41"/>
      <c r="W39" s="41"/>
      <c r="X39" s="41"/>
      <c r="Y39" s="41"/>
      <c r="Z39" s="41"/>
    </row>
    <row r="40" ht="19.5" customHeight="1">
      <c r="A40" s="41"/>
      <c r="B40" s="84" t="s">
        <v>2495</v>
      </c>
      <c r="C40" s="111" t="str">
        <f>CONCATENATE(prefix_portable_component,"-net01c",".",sample_vvs_dr_parent_dns_zone)</f>
        <v>flt-net01c.rainpole.io</v>
      </c>
      <c r="D40" s="18"/>
      <c r="E40" s="19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1"/>
      <c r="C41" s="41"/>
      <c r="D41" s="1"/>
      <c r="E41" s="41"/>
      <c r="F41" s="41"/>
      <c r="G41" s="41"/>
      <c r="H41" s="41"/>
      <c r="I41" s="41"/>
      <c r="J41" s="41"/>
      <c r="K41" s="41"/>
      <c r="L41" s="41"/>
      <c r="M41" s="41"/>
      <c r="N41" s="41"/>
      <c r="O41" s="41"/>
      <c r="P41" s="41"/>
      <c r="Q41" s="41"/>
      <c r="R41" s="41"/>
      <c r="S41" s="41"/>
      <c r="T41" s="41"/>
      <c r="U41" s="41"/>
      <c r="V41" s="41"/>
      <c r="W41" s="41"/>
      <c r="X41" s="41"/>
      <c r="Y41" s="41"/>
      <c r="Z41" s="41"/>
    </row>
    <row r="42" ht="30.0" customHeight="1">
      <c r="A42" s="41"/>
      <c r="B42" s="197" t="s">
        <v>3416</v>
      </c>
      <c r="C42" s="13"/>
      <c r="D42" s="13"/>
      <c r="E42" s="14"/>
      <c r="F42" s="41"/>
      <c r="G42" s="41"/>
      <c r="H42" s="41"/>
      <c r="I42" s="41"/>
      <c r="J42" s="41"/>
      <c r="K42" s="41"/>
      <c r="L42" s="41"/>
      <c r="M42" s="41"/>
      <c r="N42" s="41"/>
      <c r="O42" s="41"/>
      <c r="P42" s="41"/>
      <c r="Q42" s="41"/>
      <c r="R42" s="41"/>
      <c r="S42" s="41"/>
      <c r="T42" s="41"/>
      <c r="U42" s="41"/>
      <c r="V42" s="41"/>
      <c r="W42" s="41"/>
      <c r="X42" s="41"/>
      <c r="Y42" s="41"/>
      <c r="Z42" s="41"/>
    </row>
    <row r="43" ht="19.5" customHeight="1">
      <c r="A43" s="41"/>
      <c r="B43" s="102"/>
      <c r="C43" s="13"/>
      <c r="D43" s="13"/>
      <c r="E43" s="14"/>
      <c r="F43" s="41"/>
      <c r="G43" s="41"/>
      <c r="H43" s="41"/>
      <c r="I43" s="41"/>
      <c r="J43" s="41"/>
      <c r="K43" s="41"/>
      <c r="L43" s="41"/>
      <c r="M43" s="41"/>
      <c r="N43" s="41"/>
      <c r="O43" s="41"/>
      <c r="P43" s="41"/>
      <c r="Q43" s="41"/>
      <c r="R43" s="41"/>
      <c r="S43" s="41"/>
      <c r="T43" s="41"/>
      <c r="U43" s="41"/>
      <c r="V43" s="41"/>
      <c r="W43" s="41"/>
      <c r="X43" s="41"/>
      <c r="Y43" s="41"/>
      <c r="Z43" s="41"/>
    </row>
    <row r="44" ht="19.5" customHeight="1">
      <c r="A44" s="41"/>
      <c r="B44" s="378" t="s">
        <v>37</v>
      </c>
      <c r="C44" s="379" t="s">
        <v>273</v>
      </c>
      <c r="D44" s="379" t="s">
        <v>274</v>
      </c>
      <c r="E44" s="379" t="s">
        <v>5</v>
      </c>
      <c r="F44" s="41"/>
      <c r="G44" s="41"/>
      <c r="H44" s="41"/>
      <c r="I44" s="41"/>
      <c r="J44" s="41"/>
      <c r="K44" s="41"/>
      <c r="L44" s="41"/>
      <c r="M44" s="41"/>
      <c r="N44" s="41"/>
      <c r="O44" s="41"/>
      <c r="P44" s="41"/>
      <c r="Q44" s="41"/>
      <c r="R44" s="41"/>
      <c r="S44" s="41"/>
      <c r="T44" s="41"/>
      <c r="U44" s="41"/>
      <c r="V44" s="41"/>
      <c r="W44" s="41"/>
      <c r="X44" s="41"/>
      <c r="Y44" s="41"/>
      <c r="Z44" s="41"/>
    </row>
    <row r="45" ht="19.5" customHeight="1">
      <c r="A45" s="41"/>
      <c r="B45" s="84" t="s">
        <v>3412</v>
      </c>
      <c r="C45" s="111" t="str">
        <f>sample_vvs_dr_flt_ops_nodea_fqdn</f>
        <v>flt-ops01a.rainpole.io</v>
      </c>
      <c r="D45" s="18" t="str">
        <f>vvs_dr_flt_ops_nodea_fqdn</f>
        <v>Value Missing</v>
      </c>
      <c r="E45" s="191"/>
      <c r="F45" s="41"/>
      <c r="G45" s="41"/>
      <c r="H45" s="41"/>
      <c r="I45" s="41"/>
      <c r="J45" s="41"/>
      <c r="K45" s="41"/>
      <c r="L45" s="41"/>
      <c r="M45" s="41"/>
      <c r="N45" s="41"/>
      <c r="O45" s="41"/>
      <c r="P45" s="41"/>
      <c r="Q45" s="41"/>
      <c r="R45" s="41"/>
      <c r="S45" s="41"/>
      <c r="T45" s="41"/>
      <c r="U45" s="41"/>
      <c r="V45" s="41"/>
      <c r="W45" s="41"/>
      <c r="X45" s="41"/>
      <c r="Y45" s="41"/>
      <c r="Z45" s="41"/>
    </row>
    <row r="46" ht="19.5" customHeight="1">
      <c r="A46" s="41"/>
      <c r="B46" s="84" t="s">
        <v>3417</v>
      </c>
      <c r="C46" s="111" t="str">
        <f>sample_vvs_dr_ntp1_server</f>
        <v>ntp0.sfo.rainpole.io</v>
      </c>
      <c r="D46" s="18" t="str">
        <f>vvs_dr_ntp1_server</f>
        <v>Value Missing</v>
      </c>
      <c r="E46" s="19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1"/>
      <c r="C47" s="41"/>
      <c r="D47" s="1"/>
      <c r="E47" s="41"/>
      <c r="F47" s="41"/>
      <c r="G47" s="41"/>
      <c r="H47" s="41"/>
      <c r="I47" s="41"/>
      <c r="J47" s="41"/>
      <c r="K47" s="41"/>
      <c r="L47" s="41"/>
      <c r="M47" s="41"/>
      <c r="N47" s="41"/>
      <c r="O47" s="41"/>
      <c r="P47" s="41"/>
      <c r="Q47" s="41"/>
      <c r="R47" s="41"/>
      <c r="S47" s="41"/>
      <c r="T47" s="41"/>
      <c r="U47" s="41"/>
      <c r="V47" s="41"/>
      <c r="W47" s="41"/>
      <c r="X47" s="41"/>
      <c r="Y47" s="41"/>
      <c r="Z47" s="41"/>
    </row>
    <row r="48" ht="30.0" customHeight="1">
      <c r="A48" s="41"/>
      <c r="B48" s="197" t="s">
        <v>3418</v>
      </c>
      <c r="C48" s="13"/>
      <c r="D48" s="13"/>
      <c r="E48" s="14"/>
      <c r="F48" s="41"/>
      <c r="G48" s="41"/>
      <c r="H48" s="41"/>
      <c r="I48" s="41"/>
      <c r="J48" s="41"/>
      <c r="K48" s="41"/>
      <c r="L48" s="41"/>
      <c r="M48" s="41"/>
      <c r="N48" s="41"/>
      <c r="O48" s="41"/>
      <c r="P48" s="41"/>
      <c r="Q48" s="41"/>
      <c r="R48" s="41"/>
      <c r="S48" s="41"/>
      <c r="T48" s="41"/>
      <c r="U48" s="41"/>
      <c r="V48" s="41"/>
      <c r="W48" s="41"/>
      <c r="X48" s="41"/>
      <c r="Y48" s="41"/>
      <c r="Z48" s="41"/>
    </row>
    <row r="49" ht="19.5" customHeight="1">
      <c r="A49" s="41"/>
      <c r="B49" s="102"/>
      <c r="C49" s="13"/>
      <c r="D49" s="13"/>
      <c r="E49" s="14"/>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378" t="s">
        <v>37</v>
      </c>
      <c r="C50" s="379" t="s">
        <v>273</v>
      </c>
      <c r="D50" s="379" t="s">
        <v>274</v>
      </c>
      <c r="E50" s="379" t="s">
        <v>5</v>
      </c>
      <c r="F50" s="41"/>
      <c r="G50" s="41"/>
      <c r="H50" s="41"/>
      <c r="I50" s="41"/>
      <c r="J50" s="41"/>
      <c r="K50" s="41"/>
      <c r="L50" s="41"/>
      <c r="M50" s="41"/>
      <c r="N50" s="41"/>
      <c r="O50" s="41"/>
      <c r="P50" s="41"/>
      <c r="Q50" s="41"/>
      <c r="R50" s="41"/>
      <c r="S50" s="41"/>
      <c r="T50" s="41"/>
      <c r="U50" s="41"/>
      <c r="V50" s="41"/>
      <c r="W50" s="41"/>
      <c r="X50" s="41"/>
      <c r="Y50" s="41"/>
      <c r="Z50" s="41"/>
    </row>
    <row r="51" ht="19.5" customHeight="1">
      <c r="A51" s="41"/>
      <c r="B51" s="84" t="s">
        <v>2473</v>
      </c>
      <c r="C51" s="111" t="str">
        <f>sample_vvs_dr_flt_logs_nodea_fqdn</f>
        <v>flt-logs01a.rainpole.io</v>
      </c>
      <c r="D51" s="18" t="str">
        <f>vvs_dr_flt_logs_nodea_fqdn</f>
        <v>Value Missing</v>
      </c>
      <c r="E51" s="191"/>
      <c r="F51" s="41"/>
      <c r="G51" s="41"/>
      <c r="H51" s="41"/>
      <c r="I51" s="41"/>
      <c r="J51" s="41"/>
      <c r="K51" s="41"/>
      <c r="L51" s="41"/>
      <c r="M51" s="41"/>
      <c r="N51" s="41"/>
      <c r="O51" s="41"/>
      <c r="P51" s="41"/>
      <c r="Q51" s="41"/>
      <c r="R51" s="41"/>
      <c r="S51" s="41"/>
      <c r="T51" s="41"/>
      <c r="U51" s="41"/>
      <c r="V51" s="41"/>
      <c r="W51" s="41"/>
      <c r="X51" s="41"/>
      <c r="Y51" s="41"/>
      <c r="Z51" s="41"/>
    </row>
    <row r="52" ht="19.5" customHeight="1">
      <c r="A52" s="41"/>
      <c r="B52" s="84" t="s">
        <v>3417</v>
      </c>
      <c r="C52" s="111" t="str">
        <f>sample_vvs_dr_ntp1_server</f>
        <v>ntp0.sfo.rainpole.io</v>
      </c>
      <c r="D52" s="18" t="str">
        <f>vvs_dr_ntp1_server</f>
        <v>Value Missing</v>
      </c>
      <c r="E52" s="191"/>
      <c r="F52" s="41"/>
      <c r="G52" s="41"/>
      <c r="H52" s="41"/>
      <c r="I52" s="41"/>
      <c r="J52" s="41"/>
      <c r="K52" s="41"/>
      <c r="L52" s="41"/>
      <c r="M52" s="41"/>
      <c r="N52" s="41"/>
      <c r="O52" s="41"/>
      <c r="P52" s="41"/>
      <c r="Q52" s="41"/>
      <c r="R52" s="41"/>
      <c r="S52" s="41"/>
      <c r="T52" s="41"/>
      <c r="U52" s="41"/>
      <c r="V52" s="41"/>
      <c r="W52" s="41"/>
      <c r="X52" s="41"/>
      <c r="Y52" s="41"/>
      <c r="Z52" s="41"/>
    </row>
    <row r="53" ht="19.5" customHeight="1">
      <c r="A53" s="41"/>
      <c r="B53" s="84" t="s">
        <v>2478</v>
      </c>
      <c r="C53" s="111" t="str">
        <f>sample_vvs_dr_flt_logs_nodeb_fqdn</f>
        <v>flt-logs01b.rainpole.io</v>
      </c>
      <c r="D53" s="18" t="str">
        <f>vvs_dr_flt_logs_nodeb_fqdn</f>
        <v>Value Missing</v>
      </c>
      <c r="E53" s="191"/>
      <c r="F53" s="41"/>
      <c r="G53" s="41"/>
      <c r="H53" s="41"/>
      <c r="I53" s="41"/>
      <c r="J53" s="41"/>
      <c r="K53" s="41"/>
      <c r="L53" s="41"/>
      <c r="M53" s="41"/>
      <c r="N53" s="41"/>
      <c r="O53" s="41"/>
      <c r="P53" s="41"/>
      <c r="Q53" s="41"/>
      <c r="R53" s="41"/>
      <c r="S53" s="41"/>
      <c r="T53" s="41"/>
      <c r="U53" s="41"/>
      <c r="V53" s="41"/>
      <c r="W53" s="41"/>
      <c r="X53" s="41"/>
      <c r="Y53" s="41"/>
      <c r="Z53" s="41"/>
    </row>
    <row r="54" ht="19.5" customHeight="1">
      <c r="A54" s="41"/>
      <c r="B54" s="84" t="s">
        <v>2482</v>
      </c>
      <c r="C54" s="111" t="str">
        <f>sample_vvs_dr_flt_logs_nodec_fqdn</f>
        <v>flt-logs01c.rainpole.io</v>
      </c>
      <c r="D54" s="18" t="str">
        <f>vvs_dr_flt_logs_nodec_fqdn</f>
        <v>Value Missing</v>
      </c>
      <c r="E54" s="19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1"/>
      <c r="C55" s="41"/>
      <c r="D55" s="1"/>
      <c r="E55" s="41"/>
      <c r="F55" s="41"/>
      <c r="G55" s="41"/>
      <c r="H55" s="41"/>
      <c r="I55" s="41"/>
      <c r="J55" s="41"/>
      <c r="K55" s="41"/>
      <c r="L55" s="41"/>
      <c r="M55" s="41"/>
      <c r="N55" s="41"/>
      <c r="O55" s="41"/>
      <c r="P55" s="41"/>
      <c r="Q55" s="41"/>
      <c r="R55" s="41"/>
      <c r="S55" s="41"/>
      <c r="T55" s="41"/>
      <c r="U55" s="41"/>
      <c r="V55" s="41"/>
      <c r="W55" s="41"/>
      <c r="X55" s="41"/>
      <c r="Y55" s="41"/>
      <c r="Z55" s="41"/>
    </row>
    <row r="56" ht="30.0" customHeight="1">
      <c r="A56" s="41"/>
      <c r="B56" s="197" t="s">
        <v>3419</v>
      </c>
      <c r="C56" s="13"/>
      <c r="D56" s="13"/>
      <c r="E56" s="14"/>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102"/>
      <c r="C57" s="13"/>
      <c r="D57" s="13"/>
      <c r="E57" s="14"/>
      <c r="F57" s="41"/>
      <c r="G57" s="41"/>
      <c r="H57" s="41"/>
      <c r="I57" s="41"/>
      <c r="J57" s="41"/>
      <c r="K57" s="41"/>
      <c r="L57" s="41"/>
      <c r="M57" s="41"/>
      <c r="N57" s="41"/>
      <c r="O57" s="41"/>
      <c r="P57" s="41"/>
      <c r="Q57" s="41"/>
      <c r="R57" s="41"/>
      <c r="S57" s="41"/>
      <c r="T57" s="41"/>
      <c r="U57" s="41"/>
      <c r="V57" s="41"/>
      <c r="W57" s="41"/>
      <c r="X57" s="41"/>
      <c r="Y57" s="41"/>
      <c r="Z57" s="41"/>
    </row>
    <row r="58" ht="19.5" customHeight="1">
      <c r="A58" s="41"/>
      <c r="B58" s="378" t="s">
        <v>37</v>
      </c>
      <c r="C58" s="379" t="s">
        <v>273</v>
      </c>
      <c r="D58" s="379" t="s">
        <v>274</v>
      </c>
      <c r="E58" s="379" t="s">
        <v>5</v>
      </c>
      <c r="F58" s="41"/>
      <c r="G58" s="41"/>
      <c r="H58" s="41"/>
      <c r="I58" s="41"/>
      <c r="J58" s="41"/>
      <c r="K58" s="41"/>
      <c r="L58" s="41"/>
      <c r="M58" s="41"/>
      <c r="N58" s="41"/>
      <c r="O58" s="41"/>
      <c r="P58" s="41"/>
      <c r="Q58" s="41"/>
      <c r="R58" s="41"/>
      <c r="S58" s="41"/>
      <c r="T58" s="41"/>
      <c r="U58" s="41"/>
      <c r="V58" s="41"/>
      <c r="W58" s="41"/>
      <c r="X58" s="41"/>
      <c r="Y58" s="41"/>
      <c r="Z58" s="41"/>
    </row>
    <row r="59" ht="19.5" customHeight="1">
      <c r="A59" s="41"/>
      <c r="B59" s="84" t="s">
        <v>2487</v>
      </c>
      <c r="C59" s="111" t="str">
        <f>sample_vvs_dr_flt_net_nodea_fqdn</f>
        <v>flt-net01a.rainpole.io</v>
      </c>
      <c r="D59" s="18" t="str">
        <f>vvs_dr_flt_net_nodea_fqdn</f>
        <v>Value Missing</v>
      </c>
      <c r="E59" s="191"/>
      <c r="F59" s="41"/>
      <c r="G59" s="41"/>
      <c r="H59" s="41"/>
      <c r="I59" s="41"/>
      <c r="J59" s="41"/>
      <c r="K59" s="41"/>
      <c r="L59" s="41"/>
      <c r="M59" s="41"/>
      <c r="N59" s="41"/>
      <c r="O59" s="41"/>
      <c r="P59" s="41"/>
      <c r="Q59" s="41"/>
      <c r="R59" s="41"/>
      <c r="S59" s="41"/>
      <c r="T59" s="41"/>
      <c r="U59" s="41"/>
      <c r="V59" s="41"/>
      <c r="W59" s="41"/>
      <c r="X59" s="41"/>
      <c r="Y59" s="41"/>
      <c r="Z59" s="41"/>
    </row>
    <row r="60" ht="19.5" customHeight="1">
      <c r="A60" s="41"/>
      <c r="B60" s="84" t="s">
        <v>3417</v>
      </c>
      <c r="C60" s="111" t="str">
        <f>sample_vvs_dr_ntp1_server</f>
        <v>ntp0.sfo.rainpole.io</v>
      </c>
      <c r="D60" s="18" t="str">
        <f>vvs_dr_ntp1_server</f>
        <v>Value Missing</v>
      </c>
      <c r="E60" s="191"/>
      <c r="F60" s="41"/>
      <c r="G60" s="41"/>
      <c r="H60" s="41"/>
      <c r="I60" s="41"/>
      <c r="J60" s="41"/>
      <c r="K60" s="41"/>
      <c r="L60" s="41"/>
      <c r="M60" s="41"/>
      <c r="N60" s="41"/>
      <c r="O60" s="41"/>
      <c r="P60" s="41"/>
      <c r="Q60" s="41"/>
      <c r="R60" s="41"/>
      <c r="S60" s="41"/>
      <c r="T60" s="41"/>
      <c r="U60" s="41"/>
      <c r="V60" s="41"/>
      <c r="W60" s="41"/>
      <c r="X60" s="41"/>
      <c r="Y60" s="41"/>
      <c r="Z60" s="41"/>
    </row>
    <row r="61" ht="19.5" customHeight="1">
      <c r="A61" s="41"/>
      <c r="B61" s="84" t="s">
        <v>2492</v>
      </c>
      <c r="C61" s="111" t="str">
        <f>sample_vvs_dr_flt_net_nodeb_fqdn</f>
        <v>flt-net01b.rainpole.io</v>
      </c>
      <c r="D61" s="18" t="str">
        <f>vvs_dr_flt_net_nodeb_fqdn</f>
        <v>Value Missing</v>
      </c>
      <c r="E61" s="191"/>
      <c r="F61" s="41"/>
      <c r="G61" s="41"/>
      <c r="H61" s="41"/>
      <c r="I61" s="41"/>
      <c r="J61" s="41"/>
      <c r="K61" s="41"/>
      <c r="L61" s="41"/>
      <c r="M61" s="41"/>
      <c r="N61" s="41"/>
      <c r="O61" s="41"/>
      <c r="P61" s="41"/>
      <c r="Q61" s="41"/>
      <c r="R61" s="41"/>
      <c r="S61" s="41"/>
      <c r="T61" s="41"/>
      <c r="U61" s="41"/>
      <c r="V61" s="41"/>
      <c r="W61" s="41"/>
      <c r="X61" s="41"/>
      <c r="Y61" s="41"/>
      <c r="Z61" s="41"/>
    </row>
    <row r="62" ht="19.5" customHeight="1">
      <c r="A62" s="41"/>
      <c r="B62" s="84" t="s">
        <v>2495</v>
      </c>
      <c r="C62" s="111" t="str">
        <f>sample_vvs_dr_flt_net_nodec_fqdn</f>
        <v>flt-net01c.rainpole.io</v>
      </c>
      <c r="D62" s="18" t="str">
        <f>vvs_dr_flt_net_nodec_fqdn</f>
        <v>Value Missing</v>
      </c>
      <c r="E62" s="19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1"/>
      <c r="C63" s="41"/>
      <c r="D63" s="1"/>
      <c r="E63" s="41"/>
      <c r="F63" s="41"/>
      <c r="G63" s="41"/>
      <c r="H63" s="41"/>
      <c r="I63" s="41"/>
      <c r="J63" s="41"/>
      <c r="K63" s="41"/>
      <c r="L63" s="41"/>
      <c r="M63" s="41"/>
      <c r="N63" s="41"/>
      <c r="O63" s="41"/>
      <c r="P63" s="41"/>
      <c r="Q63" s="41"/>
      <c r="R63" s="41"/>
      <c r="S63" s="41"/>
      <c r="T63" s="41"/>
      <c r="U63" s="41"/>
      <c r="V63" s="41"/>
      <c r="W63" s="41"/>
      <c r="X63" s="41"/>
      <c r="Y63" s="41"/>
      <c r="Z63" s="41"/>
    </row>
    <row r="64" ht="30.0" customHeight="1">
      <c r="A64" s="41"/>
      <c r="B64" s="197" t="s">
        <v>3420</v>
      </c>
      <c r="C64" s="13"/>
      <c r="D64" s="13"/>
      <c r="E64" s="14"/>
      <c r="F64" s="41"/>
      <c r="G64" s="41"/>
      <c r="H64" s="41"/>
      <c r="I64" s="41"/>
      <c r="J64" s="41"/>
      <c r="K64" s="41"/>
      <c r="L64" s="41"/>
      <c r="M64" s="41"/>
      <c r="N64" s="41"/>
      <c r="O64" s="41"/>
      <c r="P64" s="41"/>
      <c r="Q64" s="41"/>
      <c r="R64" s="41"/>
      <c r="S64" s="41"/>
      <c r="T64" s="41"/>
      <c r="U64" s="41"/>
      <c r="V64" s="41"/>
      <c r="W64" s="41"/>
      <c r="X64" s="41"/>
      <c r="Y64" s="41"/>
      <c r="Z64" s="41"/>
    </row>
    <row r="65" ht="19.5" customHeight="1">
      <c r="A65" s="41"/>
      <c r="B65" s="102"/>
      <c r="C65" s="13"/>
      <c r="D65" s="13"/>
      <c r="E65" s="14"/>
      <c r="F65" s="41"/>
      <c r="G65" s="41"/>
      <c r="H65" s="41"/>
      <c r="I65" s="41"/>
      <c r="J65" s="41"/>
      <c r="K65" s="41"/>
      <c r="L65" s="41"/>
      <c r="M65" s="41"/>
      <c r="N65" s="41"/>
      <c r="O65" s="41"/>
      <c r="P65" s="41"/>
      <c r="Q65" s="41"/>
      <c r="R65" s="41"/>
      <c r="S65" s="41"/>
      <c r="T65" s="41"/>
      <c r="U65" s="41"/>
      <c r="V65" s="41"/>
      <c r="W65" s="41"/>
      <c r="X65" s="41"/>
      <c r="Y65" s="41"/>
      <c r="Z65" s="41"/>
    </row>
    <row r="66" ht="19.5" customHeight="1">
      <c r="A66" s="41"/>
      <c r="B66" s="378" t="s">
        <v>37</v>
      </c>
      <c r="C66" s="379" t="s">
        <v>273</v>
      </c>
      <c r="D66" s="379" t="s">
        <v>274</v>
      </c>
      <c r="E66" s="379" t="s">
        <v>5</v>
      </c>
      <c r="F66" s="41"/>
      <c r="G66" s="41"/>
      <c r="H66" s="41"/>
      <c r="I66" s="41"/>
      <c r="J66" s="41"/>
      <c r="K66" s="41"/>
      <c r="L66" s="41"/>
      <c r="M66" s="41"/>
      <c r="N66" s="41"/>
      <c r="O66" s="41"/>
      <c r="P66" s="41"/>
      <c r="Q66" s="41"/>
      <c r="R66" s="41"/>
      <c r="S66" s="41"/>
      <c r="T66" s="41"/>
      <c r="U66" s="41"/>
      <c r="V66" s="41"/>
      <c r="W66" s="41"/>
      <c r="X66" s="41"/>
      <c r="Y66" s="41"/>
      <c r="Z66" s="41"/>
    </row>
    <row r="67" ht="19.5" customHeight="1">
      <c r="A67" s="41"/>
      <c r="B67" s="84" t="s">
        <v>3421</v>
      </c>
      <c r="C67" s="111" t="str">
        <f>CONCATENATE(prefix_portable_component,"-auto01",".",sample_vvs_dr_parent_dns_zone)</f>
        <v>flt-auto01.rainpole.io</v>
      </c>
      <c r="D67" s="18"/>
      <c r="E67" s="191"/>
      <c r="F67" s="41"/>
      <c r="G67" s="41"/>
      <c r="H67" s="41"/>
      <c r="I67" s="41"/>
      <c r="J67" s="41"/>
      <c r="K67" s="41"/>
      <c r="L67" s="41"/>
      <c r="M67" s="41"/>
      <c r="N67" s="41"/>
      <c r="O67" s="41"/>
      <c r="P67" s="41"/>
      <c r="Q67" s="41"/>
      <c r="R67" s="41"/>
      <c r="S67" s="41"/>
      <c r="T67" s="41"/>
      <c r="U67" s="41"/>
      <c r="V67" s="41"/>
      <c r="W67" s="41"/>
      <c r="X67" s="41"/>
      <c r="Y67" s="41"/>
      <c r="Z67" s="41"/>
    </row>
    <row r="68" ht="19.5" customHeight="1">
      <c r="A68" s="41"/>
      <c r="B68" s="84" t="s">
        <v>3422</v>
      </c>
      <c r="C68" s="110" t="s">
        <v>3423</v>
      </c>
      <c r="D68" s="18" t="str">
        <f>C68</f>
        <v>automation</v>
      </c>
      <c r="E68" s="191"/>
      <c r="F68" s="41"/>
      <c r="G68" s="41"/>
      <c r="H68" s="41"/>
      <c r="I68" s="41"/>
      <c r="J68" s="41"/>
      <c r="K68" s="41"/>
      <c r="L68" s="41"/>
      <c r="M68" s="41"/>
      <c r="N68" s="41"/>
      <c r="O68" s="41"/>
      <c r="P68" s="41"/>
      <c r="Q68" s="41"/>
      <c r="R68" s="41"/>
      <c r="S68" s="41"/>
      <c r="T68" s="41"/>
      <c r="U68" s="41"/>
      <c r="V68" s="41"/>
      <c r="W68" s="41"/>
      <c r="X68" s="41"/>
      <c r="Y68" s="41"/>
      <c r="Z68" s="41"/>
    </row>
    <row r="69" ht="19.5" customHeight="1">
      <c r="A69" s="41"/>
      <c r="B69" s="84" t="s">
        <v>3424</v>
      </c>
      <c r="C69" s="110" t="str">
        <f>CONCATENATE(prefix_other_region_az1_cidr,"10.4")</f>
        <v>10.11.10.4</v>
      </c>
      <c r="D69" s="18"/>
      <c r="E69" s="191"/>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84" t="s">
        <v>3424</v>
      </c>
      <c r="C70" s="110" t="str">
        <f>CONCATENATE(prefix_other_region_az1_cidr,"10.5")</f>
        <v>10.11.10.5</v>
      </c>
      <c r="D70" s="18"/>
      <c r="E70" s="19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1"/>
      <c r="C71" s="41"/>
      <c r="D71" s="1"/>
      <c r="E71" s="41"/>
      <c r="F71" s="41"/>
      <c r="G71" s="41"/>
      <c r="H71" s="41"/>
      <c r="I71" s="41"/>
      <c r="J71" s="41"/>
      <c r="K71" s="41"/>
      <c r="L71" s="41"/>
      <c r="M71" s="41"/>
      <c r="N71" s="41"/>
      <c r="O71" s="41"/>
      <c r="P71" s="41"/>
      <c r="Q71" s="41"/>
      <c r="R71" s="41"/>
      <c r="S71" s="41"/>
      <c r="T71" s="41"/>
      <c r="U71" s="41"/>
      <c r="V71" s="41"/>
      <c r="W71" s="41"/>
      <c r="X71" s="41"/>
      <c r="Y71" s="41"/>
      <c r="Z71" s="41"/>
    </row>
    <row r="72" ht="33.75" customHeight="1">
      <c r="A72" s="41"/>
      <c r="B72" s="197" t="s">
        <v>3425</v>
      </c>
      <c r="C72" s="13"/>
      <c r="D72" s="13"/>
      <c r="E72" s="14"/>
      <c r="F72" s="41"/>
      <c r="G72" s="41"/>
      <c r="H72" s="41"/>
      <c r="I72" s="41"/>
      <c r="J72" s="41"/>
      <c r="K72" s="41"/>
      <c r="L72" s="41"/>
      <c r="M72" s="41"/>
      <c r="N72" s="41"/>
      <c r="O72" s="41"/>
      <c r="P72" s="41"/>
      <c r="Q72" s="41"/>
      <c r="R72" s="41"/>
      <c r="S72" s="41"/>
      <c r="T72" s="41"/>
      <c r="U72" s="41"/>
      <c r="V72" s="41"/>
      <c r="W72" s="41"/>
      <c r="X72" s="41"/>
      <c r="Y72" s="41"/>
      <c r="Z72" s="41"/>
    </row>
    <row r="73" ht="19.5" customHeight="1">
      <c r="A73" s="41"/>
      <c r="B73" s="102"/>
      <c r="C73" s="13"/>
      <c r="D73" s="13"/>
      <c r="E73" s="14"/>
      <c r="F73" s="41"/>
      <c r="G73" s="41"/>
      <c r="H73" s="41"/>
      <c r="I73" s="41"/>
      <c r="J73" s="41"/>
      <c r="K73" s="41"/>
      <c r="L73" s="41"/>
      <c r="M73" s="41"/>
      <c r="N73" s="41"/>
      <c r="O73" s="41"/>
      <c r="P73" s="41"/>
      <c r="Q73" s="41"/>
      <c r="R73" s="41"/>
      <c r="S73" s="41"/>
      <c r="T73" s="41"/>
      <c r="U73" s="41"/>
      <c r="V73" s="41"/>
      <c r="W73" s="41"/>
      <c r="X73" s="41"/>
      <c r="Y73" s="41"/>
      <c r="Z73" s="41"/>
    </row>
    <row r="74" ht="19.5" customHeight="1">
      <c r="A74" s="41"/>
      <c r="B74" s="378" t="s">
        <v>37</v>
      </c>
      <c r="C74" s="379" t="s">
        <v>273</v>
      </c>
      <c r="D74" s="379" t="s">
        <v>274</v>
      </c>
      <c r="E74" s="379" t="s">
        <v>5</v>
      </c>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84" t="s">
        <v>3426</v>
      </c>
      <c r="C75" s="111" t="str">
        <f>sample_xreg_vra_virtual_fqdn</f>
        <v>flt-auto01.rainpole.io</v>
      </c>
      <c r="D75" s="18" t="str">
        <f>vvs_dr_flt_auto_fqdn</f>
        <v>Value Missing</v>
      </c>
      <c r="E75" s="191"/>
      <c r="F75" s="41"/>
      <c r="G75" s="41"/>
      <c r="H75" s="41"/>
      <c r="I75" s="41"/>
      <c r="J75" s="41"/>
      <c r="K75" s="41"/>
      <c r="L75" s="41"/>
      <c r="M75" s="41"/>
      <c r="N75" s="41"/>
      <c r="O75" s="41"/>
      <c r="P75" s="41"/>
      <c r="Q75" s="41"/>
      <c r="R75" s="41"/>
      <c r="S75" s="41"/>
      <c r="T75" s="41"/>
      <c r="U75" s="41"/>
      <c r="V75" s="41"/>
      <c r="W75" s="41"/>
      <c r="X75" s="41"/>
      <c r="Y75" s="41"/>
      <c r="Z75" s="41"/>
    </row>
    <row r="76" ht="19.5" customHeight="1">
      <c r="A76" s="41"/>
      <c r="B76" s="84" t="s">
        <v>3422</v>
      </c>
      <c r="C76" s="110" t="s">
        <v>3423</v>
      </c>
      <c r="D76" s="18" t="str">
        <f>C76</f>
        <v>automation</v>
      </c>
      <c r="E76" s="191"/>
      <c r="F76" s="41"/>
      <c r="G76" s="41"/>
      <c r="H76" s="41"/>
      <c r="I76" s="41"/>
      <c r="J76" s="41"/>
      <c r="K76" s="41"/>
      <c r="L76" s="41"/>
      <c r="M76" s="41"/>
      <c r="N76" s="41"/>
      <c r="O76" s="41"/>
      <c r="P76" s="41"/>
      <c r="Q76" s="41"/>
      <c r="R76" s="41"/>
      <c r="S76" s="41"/>
      <c r="T76" s="41"/>
      <c r="U76" s="41"/>
      <c r="V76" s="41"/>
      <c r="W76" s="41"/>
      <c r="X76" s="41"/>
      <c r="Y76" s="41"/>
      <c r="Z76" s="41"/>
    </row>
    <row r="77" ht="19.5" customHeight="1">
      <c r="A77" s="41"/>
      <c r="B77" s="84" t="s">
        <v>3427</v>
      </c>
      <c r="C77" s="111" t="str">
        <f>sample_vvs_dr_ntp1_server</f>
        <v>ntp0.sfo.rainpole.io</v>
      </c>
      <c r="D77" s="18" t="str">
        <f>vvs_dr_ntp1_server</f>
        <v>Value Missing</v>
      </c>
      <c r="E77" s="19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1"/>
      <c r="C78" s="41"/>
      <c r="D78" s="1"/>
      <c r="E78" s="41"/>
      <c r="F78" s="41"/>
      <c r="G78" s="41"/>
      <c r="H78" s="41"/>
      <c r="I78" s="41"/>
      <c r="J78" s="41"/>
      <c r="K78" s="41"/>
      <c r="L78" s="41"/>
      <c r="M78" s="41"/>
      <c r="N78" s="41"/>
      <c r="O78" s="41"/>
      <c r="P78" s="41"/>
      <c r="Q78" s="41"/>
      <c r="R78" s="41"/>
      <c r="S78" s="41"/>
      <c r="T78" s="41"/>
      <c r="U78" s="41"/>
      <c r="V78" s="41"/>
      <c r="W78" s="41"/>
      <c r="X78" s="41"/>
      <c r="Y78" s="41"/>
      <c r="Z78" s="41"/>
    </row>
    <row r="79" ht="30.0" customHeight="1">
      <c r="A79" s="41"/>
      <c r="B79" s="197" t="s">
        <v>3428</v>
      </c>
      <c r="C79" s="13"/>
      <c r="D79" s="13"/>
      <c r="E79" s="14"/>
      <c r="F79" s="41"/>
      <c r="G79" s="41"/>
      <c r="H79" s="41"/>
      <c r="I79" s="41"/>
      <c r="J79" s="41"/>
      <c r="K79" s="41"/>
      <c r="L79" s="41"/>
      <c r="M79" s="41"/>
      <c r="N79" s="41"/>
      <c r="O79" s="41"/>
      <c r="P79" s="41"/>
      <c r="Q79" s="41"/>
      <c r="R79" s="41"/>
      <c r="S79" s="41"/>
      <c r="T79" s="41"/>
      <c r="U79" s="41"/>
      <c r="V79" s="41"/>
      <c r="W79" s="41"/>
      <c r="X79" s="41"/>
      <c r="Y79" s="41"/>
      <c r="Z79" s="41"/>
    </row>
    <row r="80" ht="19.5" customHeight="1">
      <c r="A80" s="41"/>
      <c r="B80" s="102"/>
      <c r="C80" s="13"/>
      <c r="D80" s="13"/>
      <c r="E80" s="14"/>
      <c r="F80" s="41"/>
      <c r="G80" s="41"/>
      <c r="H80" s="41"/>
      <c r="I80" s="41"/>
      <c r="J80" s="41"/>
      <c r="K80" s="41"/>
      <c r="L80" s="41"/>
      <c r="M80" s="41"/>
      <c r="N80" s="41"/>
      <c r="O80" s="41"/>
      <c r="P80" s="41"/>
      <c r="Q80" s="41"/>
      <c r="R80" s="41"/>
      <c r="S80" s="41"/>
      <c r="T80" s="41"/>
      <c r="U80" s="41"/>
      <c r="V80" s="41"/>
      <c r="W80" s="41"/>
      <c r="X80" s="41"/>
      <c r="Y80" s="41"/>
      <c r="Z80" s="41"/>
    </row>
    <row r="81" ht="19.5" customHeight="1">
      <c r="A81" s="41"/>
      <c r="B81" s="378" t="s">
        <v>37</v>
      </c>
      <c r="C81" s="379" t="s">
        <v>273</v>
      </c>
      <c r="D81" s="379" t="s">
        <v>274</v>
      </c>
      <c r="E81" s="379" t="s">
        <v>5</v>
      </c>
      <c r="F81" s="41"/>
      <c r="G81" s="41"/>
      <c r="H81" s="41"/>
      <c r="I81" s="41"/>
      <c r="J81" s="41"/>
      <c r="K81" s="41"/>
      <c r="L81" s="41"/>
      <c r="M81" s="41"/>
      <c r="N81" s="41"/>
      <c r="O81" s="41"/>
      <c r="P81" s="41"/>
      <c r="Q81" s="41"/>
      <c r="R81" s="41"/>
      <c r="S81" s="41"/>
      <c r="T81" s="41"/>
      <c r="U81" s="41"/>
      <c r="V81" s="41"/>
      <c r="W81" s="41"/>
      <c r="X81" s="41"/>
      <c r="Y81" s="41"/>
      <c r="Z81" s="41"/>
    </row>
    <row r="82" ht="19.5" customHeight="1">
      <c r="A82" s="41"/>
      <c r="B82" s="84" t="s">
        <v>3421</v>
      </c>
      <c r="C82" s="111" t="str">
        <f>sample_vvs_dr_flt_ops_nodea_fqdn</f>
        <v>flt-ops01a.rainpole.io</v>
      </c>
      <c r="D82" s="18" t="str">
        <f>vvs_dr_flt_ops_nodea_fqdn</f>
        <v>Value Missing</v>
      </c>
      <c r="E82" s="191"/>
      <c r="F82" s="41"/>
      <c r="G82" s="41"/>
      <c r="H82" s="41"/>
      <c r="I82" s="41"/>
      <c r="J82" s="41"/>
      <c r="K82" s="41"/>
      <c r="L82" s="41"/>
      <c r="M82" s="41"/>
      <c r="N82" s="41"/>
      <c r="O82" s="41"/>
      <c r="P82" s="41"/>
      <c r="Q82" s="41"/>
      <c r="R82" s="41"/>
      <c r="S82" s="41"/>
      <c r="T82" s="41"/>
      <c r="U82" s="41"/>
      <c r="V82" s="41"/>
      <c r="W82" s="41"/>
      <c r="X82" s="41"/>
      <c r="Y82" s="41"/>
      <c r="Z82" s="41"/>
    </row>
    <row r="83" ht="19.5" customHeight="1">
      <c r="A83" s="41"/>
      <c r="B83" s="84" t="s">
        <v>3422</v>
      </c>
      <c r="C83" s="110" t="s">
        <v>3429</v>
      </c>
      <c r="D83" s="18" t="s">
        <v>3429</v>
      </c>
      <c r="E83" s="191"/>
      <c r="F83" s="41"/>
      <c r="G83" s="41"/>
      <c r="H83" s="41"/>
      <c r="I83" s="41"/>
      <c r="J83" s="41"/>
      <c r="K83" s="41"/>
      <c r="L83" s="41"/>
      <c r="M83" s="41"/>
      <c r="N83" s="41"/>
      <c r="O83" s="41"/>
      <c r="P83" s="41"/>
      <c r="Q83" s="41"/>
      <c r="R83" s="41"/>
      <c r="S83" s="41"/>
      <c r="T83" s="41"/>
      <c r="U83" s="41"/>
      <c r="V83" s="41"/>
      <c r="W83" s="41"/>
      <c r="X83" s="41"/>
      <c r="Y83" s="41"/>
      <c r="Z83" s="41"/>
    </row>
    <row r="84" ht="19.5" customHeight="1">
      <c r="A84" s="41"/>
      <c r="B84" s="84" t="s">
        <v>3424</v>
      </c>
      <c r="C84" s="110" t="str">
        <f>CONCATENATE(prefix_other_region_az1_cidr,"10.4")</f>
        <v>10.11.10.4</v>
      </c>
      <c r="D84" s="18" t="str">
        <f>vvs_dr_dns1_ip</f>
        <v>Value Missing</v>
      </c>
      <c r="E84" s="191"/>
      <c r="F84" s="41"/>
      <c r="G84" s="41"/>
      <c r="H84" s="41"/>
      <c r="I84" s="41"/>
      <c r="J84" s="41"/>
      <c r="K84" s="41"/>
      <c r="L84" s="41"/>
      <c r="M84" s="41"/>
      <c r="N84" s="41"/>
      <c r="O84" s="41"/>
      <c r="P84" s="41"/>
      <c r="Q84" s="41"/>
      <c r="R84" s="41"/>
      <c r="S84" s="41"/>
      <c r="T84" s="41"/>
      <c r="U84" s="41"/>
      <c r="V84" s="41"/>
      <c r="W84" s="41"/>
      <c r="X84" s="41"/>
      <c r="Y84" s="41"/>
      <c r="Z84" s="41"/>
    </row>
    <row r="85" ht="19.5" customHeight="1">
      <c r="A85" s="41"/>
      <c r="B85" s="84" t="s">
        <v>3424</v>
      </c>
      <c r="C85" s="110" t="str">
        <f>sample_vvs_dr_dns2_ip</f>
        <v>10.11.10.5</v>
      </c>
      <c r="D85" s="18" t="str">
        <f t="array" ref="D85">vvs_dr_dns2_ip</f>
        <v>Value Missing</v>
      </c>
      <c r="E85" s="19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1"/>
      <c r="C86" s="41"/>
      <c r="D86" s="1"/>
      <c r="E86" s="41"/>
      <c r="F86" s="41"/>
      <c r="G86" s="41"/>
      <c r="H86" s="41"/>
      <c r="I86" s="41"/>
      <c r="J86" s="41"/>
      <c r="K86" s="41"/>
      <c r="L86" s="41"/>
      <c r="M86" s="41"/>
      <c r="N86" s="41"/>
      <c r="O86" s="41"/>
      <c r="P86" s="41"/>
      <c r="Q86" s="41"/>
      <c r="R86" s="41"/>
      <c r="S86" s="41"/>
      <c r="T86" s="41"/>
      <c r="U86" s="41"/>
      <c r="V86" s="41"/>
      <c r="W86" s="41"/>
      <c r="X86" s="41"/>
      <c r="Y86" s="41"/>
      <c r="Z86" s="41"/>
    </row>
    <row r="87" ht="33.75" customHeight="1">
      <c r="A87" s="41"/>
      <c r="B87" s="197" t="s">
        <v>3430</v>
      </c>
      <c r="C87" s="13"/>
      <c r="D87" s="13"/>
      <c r="E87" s="14"/>
      <c r="F87" s="41"/>
      <c r="G87" s="41"/>
      <c r="H87" s="41"/>
      <c r="I87" s="41"/>
      <c r="J87" s="41"/>
      <c r="K87" s="41"/>
      <c r="L87" s="41"/>
      <c r="M87" s="41"/>
      <c r="N87" s="41"/>
      <c r="O87" s="41"/>
      <c r="P87" s="41"/>
      <c r="Q87" s="41"/>
      <c r="R87" s="41"/>
      <c r="S87" s="41"/>
      <c r="T87" s="41"/>
      <c r="U87" s="41"/>
      <c r="V87" s="41"/>
      <c r="W87" s="41"/>
      <c r="X87" s="41"/>
      <c r="Y87" s="41"/>
      <c r="Z87" s="41"/>
    </row>
    <row r="88" ht="19.5" customHeight="1">
      <c r="A88" s="41"/>
      <c r="B88" s="102"/>
      <c r="C88" s="13"/>
      <c r="D88" s="13"/>
      <c r="E88" s="14"/>
      <c r="F88" s="41"/>
      <c r="G88" s="41"/>
      <c r="H88" s="41"/>
      <c r="I88" s="41"/>
      <c r="J88" s="41"/>
      <c r="K88" s="41"/>
      <c r="L88" s="41"/>
      <c r="M88" s="41"/>
      <c r="N88" s="41"/>
      <c r="O88" s="41"/>
      <c r="P88" s="41"/>
      <c r="Q88" s="41"/>
      <c r="R88" s="41"/>
      <c r="S88" s="41"/>
      <c r="T88" s="41"/>
      <c r="U88" s="41"/>
      <c r="V88" s="41"/>
      <c r="W88" s="41"/>
      <c r="X88" s="41"/>
      <c r="Y88" s="41"/>
      <c r="Z88" s="41"/>
    </row>
    <row r="89" ht="19.5" customHeight="1">
      <c r="A89" s="41"/>
      <c r="B89" s="378" t="s">
        <v>37</v>
      </c>
      <c r="C89" s="379" t="s">
        <v>273</v>
      </c>
      <c r="D89" s="379" t="s">
        <v>274</v>
      </c>
      <c r="E89" s="379" t="s">
        <v>5</v>
      </c>
      <c r="F89" s="41"/>
      <c r="G89" s="41"/>
      <c r="H89" s="41"/>
      <c r="I89" s="41"/>
      <c r="J89" s="41"/>
      <c r="K89" s="41"/>
      <c r="L89" s="41"/>
      <c r="M89" s="41"/>
      <c r="N89" s="41"/>
      <c r="O89" s="41"/>
      <c r="P89" s="41"/>
      <c r="Q89" s="41"/>
      <c r="R89" s="41"/>
      <c r="S89" s="41"/>
      <c r="T89" s="41"/>
      <c r="U89" s="41"/>
      <c r="V89" s="41"/>
      <c r="W89" s="41"/>
      <c r="X89" s="41"/>
      <c r="Y89" s="41"/>
      <c r="Z89" s="41"/>
    </row>
    <row r="90" ht="19.5" customHeight="1">
      <c r="A90" s="41"/>
      <c r="B90" s="84" t="s">
        <v>3421</v>
      </c>
      <c r="C90" s="111" t="str">
        <f>sample_vvs_dr_flt_ops_nodea_fqdn</f>
        <v>flt-ops01a.rainpole.io</v>
      </c>
      <c r="D90" s="18" t="str">
        <f>vvs_dr_flt_ops_nodea_fqdn</f>
        <v>Value Missing</v>
      </c>
      <c r="E90" s="191"/>
      <c r="F90" s="41"/>
      <c r="G90" s="41"/>
      <c r="H90" s="41"/>
      <c r="I90" s="41"/>
      <c r="J90" s="41"/>
      <c r="K90" s="41"/>
      <c r="L90" s="41"/>
      <c r="M90" s="41"/>
      <c r="N90" s="41"/>
      <c r="O90" s="41"/>
      <c r="P90" s="41"/>
      <c r="Q90" s="41"/>
      <c r="R90" s="41"/>
      <c r="S90" s="41"/>
      <c r="T90" s="41"/>
      <c r="U90" s="41"/>
      <c r="V90" s="41"/>
      <c r="W90" s="41"/>
      <c r="X90" s="41"/>
      <c r="Y90" s="41"/>
      <c r="Z90" s="41"/>
    </row>
    <row r="91" ht="19.5" customHeight="1">
      <c r="A91" s="41"/>
      <c r="B91" s="84" t="s">
        <v>3422</v>
      </c>
      <c r="C91" s="110" t="s">
        <v>3429</v>
      </c>
      <c r="D91" s="18" t="s">
        <v>3429</v>
      </c>
      <c r="E91" s="191"/>
      <c r="F91" s="41"/>
      <c r="G91" s="41"/>
      <c r="H91" s="41"/>
      <c r="I91" s="41"/>
      <c r="J91" s="41"/>
      <c r="K91" s="41"/>
      <c r="L91" s="41"/>
      <c r="M91" s="41"/>
      <c r="N91" s="41"/>
      <c r="O91" s="41"/>
      <c r="P91" s="41"/>
      <c r="Q91" s="41"/>
      <c r="R91" s="41"/>
      <c r="S91" s="41"/>
      <c r="T91" s="41"/>
      <c r="U91" s="41"/>
      <c r="V91" s="41"/>
      <c r="W91" s="41"/>
      <c r="X91" s="41"/>
      <c r="Y91" s="41"/>
      <c r="Z91" s="41"/>
    </row>
    <row r="92" ht="19.5" customHeight="1">
      <c r="A92" s="41"/>
      <c r="B92" s="84" t="s">
        <v>3427</v>
      </c>
      <c r="C92" s="111" t="str">
        <f>sample_vvs_dr_ntp1_server</f>
        <v>ntp0.sfo.rainpole.io</v>
      </c>
      <c r="D92" s="18" t="str">
        <f>vvs_dr_ntp1_server</f>
        <v>Value Missing</v>
      </c>
      <c r="E92" s="19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1"/>
      <c r="C93" s="41"/>
      <c r="D93" s="1"/>
      <c r="E93" s="41"/>
      <c r="F93" s="41"/>
      <c r="G93" s="41"/>
      <c r="H93" s="41"/>
      <c r="I93" s="41"/>
      <c r="J93" s="41"/>
      <c r="K93" s="41"/>
      <c r="L93" s="41"/>
      <c r="M93" s="41"/>
      <c r="N93" s="41"/>
      <c r="O93" s="41"/>
      <c r="P93" s="41"/>
      <c r="Q93" s="41"/>
      <c r="R93" s="41"/>
      <c r="S93" s="41"/>
      <c r="T93" s="41"/>
      <c r="U93" s="41"/>
      <c r="V93" s="41"/>
      <c r="W93" s="41"/>
      <c r="X93" s="41"/>
      <c r="Y93" s="41"/>
      <c r="Z93" s="41"/>
    </row>
    <row r="94" ht="33.75" customHeight="1">
      <c r="A94" s="41"/>
      <c r="B94" s="184" t="s">
        <v>3431</v>
      </c>
      <c r="C94" s="13"/>
      <c r="D94" s="13"/>
      <c r="E94" s="14"/>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1"/>
      <c r="C95" s="41"/>
      <c r="D95" s="1"/>
      <c r="E95" s="41"/>
      <c r="F95" s="41"/>
      <c r="G95" s="41"/>
      <c r="H95" s="41"/>
      <c r="I95" s="41"/>
      <c r="J95" s="41"/>
      <c r="K95" s="41"/>
      <c r="L95" s="41"/>
      <c r="M95" s="41"/>
      <c r="N95" s="41"/>
      <c r="O95" s="41"/>
      <c r="P95" s="41"/>
      <c r="Q95" s="41"/>
      <c r="R95" s="41"/>
      <c r="S95" s="41"/>
      <c r="T95" s="41"/>
      <c r="U95" s="41"/>
      <c r="V95" s="41"/>
      <c r="W95" s="41"/>
      <c r="X95" s="41"/>
      <c r="Y95" s="41"/>
      <c r="Z95" s="41"/>
    </row>
    <row r="96" ht="33.75" customHeight="1">
      <c r="A96" s="41"/>
      <c r="B96" s="197" t="s">
        <v>3432</v>
      </c>
      <c r="C96" s="13"/>
      <c r="D96" s="13"/>
      <c r="E96" s="14"/>
      <c r="F96" s="41"/>
      <c r="G96" s="41"/>
      <c r="H96" s="41"/>
      <c r="I96" s="41"/>
      <c r="J96" s="41"/>
      <c r="K96" s="41"/>
      <c r="L96" s="41"/>
      <c r="M96" s="41"/>
      <c r="N96" s="41"/>
      <c r="O96" s="41"/>
      <c r="P96" s="41"/>
      <c r="Q96" s="41"/>
      <c r="R96" s="41"/>
      <c r="S96" s="41"/>
      <c r="T96" s="41"/>
      <c r="U96" s="41"/>
      <c r="V96" s="41"/>
      <c r="W96" s="41"/>
      <c r="X96" s="41"/>
      <c r="Y96" s="41"/>
      <c r="Z96" s="41"/>
    </row>
    <row r="97" ht="19.5" customHeight="1">
      <c r="A97" s="41"/>
      <c r="B97" s="102"/>
      <c r="C97" s="13"/>
      <c r="D97" s="13"/>
      <c r="E97" s="14"/>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378" t="s">
        <v>37</v>
      </c>
      <c r="C98" s="379" t="s">
        <v>273</v>
      </c>
      <c r="D98" s="379" t="s">
        <v>274</v>
      </c>
      <c r="E98" s="379" t="s">
        <v>5</v>
      </c>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84" t="s">
        <v>826</v>
      </c>
      <c r="C99" s="111" t="str">
        <f>CONCATENATE(this_instance,"-m01-vc01.",sample_child_dns_zone)</f>
        <v>lax-m01-vc01.lax.rainpole.io</v>
      </c>
      <c r="D99" s="18"/>
      <c r="E99" s="191"/>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85" t="s">
        <v>1178</v>
      </c>
      <c r="C100" s="110" t="str">
        <f>CONCATENATE(this_instance,"-m01-cl01")</f>
        <v>lax-m01-cl01</v>
      </c>
      <c r="D100" s="18"/>
      <c r="E100" s="191"/>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85" t="s">
        <v>3254</v>
      </c>
      <c r="C101" s="163" t="str">
        <f>CONCATENATE(this_instance,"-m01-vlr01")</f>
        <v>lax-m01-vlr01</v>
      </c>
      <c r="D101" s="18"/>
      <c r="E101" s="191"/>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85" t="s">
        <v>3256</v>
      </c>
      <c r="C102" s="110" t="str">
        <f>sample_vvs_dr_mgmt_cl01_cluster</f>
        <v>lax-m01-cl01</v>
      </c>
      <c r="D102" s="18" t="str">
        <f>vvs_dr_mgmt_cl01_cluster</f>
        <v>Value Missing</v>
      </c>
      <c r="E102" s="191"/>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85" t="s">
        <v>596</v>
      </c>
      <c r="C103" s="110" t="str">
        <f>CONCATENATE(this_instance,"-m01-cl01-ds-vsan01")</f>
        <v>lax-m01-cl01-ds-vsan01</v>
      </c>
      <c r="D103" s="18"/>
      <c r="E103" s="191"/>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84" t="s">
        <v>3257</v>
      </c>
      <c r="C104" s="110" t="str">
        <f>CONCATENATE(this_instance,"-m01-cl01-vds01-pg-vm-mgmt")</f>
        <v>lax-m01-cl01-vds01-pg-vm-mgmt</v>
      </c>
      <c r="D104" s="18"/>
      <c r="E104" s="191"/>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84" t="s">
        <v>760</v>
      </c>
      <c r="C105" s="111" t="str">
        <f>CONCATENATE(sample_vvs_mgmt_dr_vlr_hostname,".",sample_child_dns_zone)</f>
        <v>lax-m01-vlr01.lax.rainpole.io</v>
      </c>
      <c r="D105" s="18"/>
      <c r="E105" s="191"/>
      <c r="F105" s="1"/>
      <c r="G105" s="41"/>
      <c r="H105" s="41"/>
      <c r="I105" s="41"/>
      <c r="J105" s="41"/>
      <c r="K105" s="41"/>
      <c r="L105" s="41"/>
      <c r="M105" s="41"/>
      <c r="N105" s="41"/>
      <c r="O105" s="41"/>
      <c r="P105" s="41"/>
      <c r="Q105" s="41"/>
      <c r="R105" s="41"/>
      <c r="S105" s="41"/>
      <c r="T105" s="41"/>
      <c r="U105" s="41"/>
      <c r="V105" s="41"/>
      <c r="W105" s="41"/>
      <c r="X105" s="41"/>
      <c r="Y105" s="41"/>
      <c r="Z105" s="41"/>
    </row>
    <row r="106" ht="19.5" customHeight="1">
      <c r="A106" s="41"/>
      <c r="B106" s="84" t="s">
        <v>3433</v>
      </c>
      <c r="C106" s="110" t="str">
        <f>sample_mgmt_vrms_root_password</f>
        <v>VMw@re1!</v>
      </c>
      <c r="D106" s="18"/>
      <c r="E106" s="191"/>
      <c r="F106" s="41"/>
      <c r="G106" s="41"/>
      <c r="H106" s="41"/>
      <c r="I106" s="41"/>
      <c r="J106" s="41"/>
      <c r="K106" s="41"/>
      <c r="L106" s="41"/>
      <c r="M106" s="41"/>
      <c r="N106" s="41"/>
      <c r="O106" s="41"/>
      <c r="P106" s="41"/>
      <c r="Q106" s="41"/>
      <c r="R106" s="41"/>
      <c r="S106" s="41"/>
      <c r="T106" s="41"/>
      <c r="U106" s="41"/>
      <c r="V106" s="41"/>
      <c r="W106" s="41"/>
      <c r="X106" s="41"/>
      <c r="Y106" s="41"/>
      <c r="Z106" s="41"/>
    </row>
    <row r="107" ht="19.5" customHeight="1">
      <c r="A107" s="41"/>
      <c r="B107" s="85" t="s">
        <v>3434</v>
      </c>
      <c r="C107" s="110" t="str">
        <f>sample_mgmt_vrms_admin_password</f>
        <v>VMw@re1!</v>
      </c>
      <c r="D107" s="18"/>
      <c r="E107" s="191"/>
      <c r="F107" s="41"/>
      <c r="G107" s="41"/>
      <c r="H107" s="41"/>
      <c r="I107" s="41"/>
      <c r="J107" s="41"/>
      <c r="K107" s="41"/>
      <c r="L107" s="41"/>
      <c r="M107" s="41"/>
      <c r="N107" s="41"/>
      <c r="O107" s="41"/>
      <c r="P107" s="41"/>
      <c r="Q107" s="41"/>
      <c r="R107" s="41"/>
      <c r="S107" s="41"/>
      <c r="T107" s="41"/>
      <c r="U107" s="41"/>
      <c r="V107" s="41"/>
      <c r="W107" s="41"/>
      <c r="X107" s="41"/>
      <c r="Y107" s="41"/>
      <c r="Z107" s="41"/>
    </row>
    <row r="108" ht="19.5" customHeight="1">
      <c r="A108" s="41"/>
      <c r="B108" s="85" t="s">
        <v>757</v>
      </c>
      <c r="C108" s="111" t="str">
        <f>CONCATENATE("ntp0.",this_instance,".rainpole.io")</f>
        <v>ntp0.lax.rainpole.io</v>
      </c>
      <c r="D108" s="18"/>
      <c r="E108" s="191"/>
      <c r="F108" s="41"/>
      <c r="G108" s="41"/>
      <c r="H108" s="41"/>
      <c r="I108" s="41"/>
      <c r="J108" s="41"/>
      <c r="K108" s="41"/>
      <c r="L108" s="41"/>
      <c r="M108" s="41"/>
      <c r="N108" s="41"/>
      <c r="O108" s="41"/>
      <c r="P108" s="41"/>
      <c r="Q108" s="41"/>
      <c r="R108" s="41"/>
      <c r="S108" s="41"/>
      <c r="T108" s="41"/>
      <c r="U108" s="41"/>
      <c r="V108" s="41"/>
      <c r="W108" s="41"/>
      <c r="X108" s="41"/>
      <c r="Y108" s="41"/>
      <c r="Z108" s="41"/>
    </row>
    <row r="109" ht="19.5" customHeight="1">
      <c r="A109" s="41"/>
      <c r="B109" s="84" t="s">
        <v>719</v>
      </c>
      <c r="C109" s="110" t="str">
        <f>IF(mgmt_dpg_reuse_result="Included",CONCATENATE(prefix_mgmt_az1_cidr,"10.1"),CONCATENATE(prefix_mgmt_az1_cidr,"11.1"))</f>
        <v>10.21.10.1</v>
      </c>
      <c r="D109" s="18"/>
      <c r="E109" s="191"/>
      <c r="F109" s="41"/>
      <c r="G109" s="41"/>
      <c r="H109" s="41"/>
      <c r="I109" s="41"/>
      <c r="J109" s="41"/>
      <c r="K109" s="41"/>
      <c r="L109" s="41"/>
      <c r="M109" s="41"/>
      <c r="N109" s="41"/>
      <c r="O109" s="41"/>
      <c r="P109" s="41"/>
      <c r="Q109" s="41"/>
      <c r="R109" s="41"/>
      <c r="S109" s="41"/>
      <c r="T109" s="41"/>
      <c r="U109" s="41"/>
      <c r="V109" s="41"/>
      <c r="W109" s="41"/>
      <c r="X109" s="41"/>
      <c r="Y109" s="41"/>
      <c r="Z109" s="41"/>
    </row>
    <row r="110" ht="19.5" customHeight="1">
      <c r="A110" s="41"/>
      <c r="B110" s="85" t="s">
        <v>356</v>
      </c>
      <c r="C110" s="111" t="str">
        <f>CONCATENATE(this_instance,".rainpole.io")</f>
        <v>lax.rainpole.io</v>
      </c>
      <c r="D110" s="18"/>
      <c r="E110" s="191"/>
      <c r="F110" s="41"/>
      <c r="G110" s="41"/>
      <c r="H110" s="41"/>
      <c r="I110" s="41"/>
      <c r="J110" s="41"/>
      <c r="K110" s="41"/>
      <c r="L110" s="41"/>
      <c r="M110" s="41"/>
      <c r="N110" s="41"/>
      <c r="O110" s="41"/>
      <c r="P110" s="41"/>
      <c r="Q110" s="41"/>
      <c r="R110" s="41"/>
      <c r="S110" s="41"/>
      <c r="T110" s="41"/>
      <c r="U110" s="41"/>
      <c r="V110" s="41"/>
      <c r="W110" s="41"/>
      <c r="X110" s="41"/>
      <c r="Y110" s="41"/>
      <c r="Z110" s="41"/>
    </row>
    <row r="111" ht="19.5" customHeight="1">
      <c r="A111" s="41"/>
      <c r="B111" s="85" t="s">
        <v>3260</v>
      </c>
      <c r="C111" s="111" t="str">
        <f>CONCATENATE(this_instance,".rainpole.io")</f>
        <v>lax.rainpole.io</v>
      </c>
      <c r="D111" s="18"/>
      <c r="E111" s="191"/>
      <c r="F111" s="41"/>
      <c r="G111" s="41"/>
      <c r="H111" s="41"/>
      <c r="I111" s="41"/>
      <c r="J111" s="41"/>
      <c r="K111" s="41"/>
      <c r="L111" s="41"/>
      <c r="M111" s="41"/>
      <c r="N111" s="41"/>
      <c r="O111" s="41"/>
      <c r="P111" s="41"/>
      <c r="Q111" s="41"/>
      <c r="R111" s="41"/>
      <c r="S111" s="41"/>
      <c r="T111" s="41"/>
      <c r="U111" s="41"/>
      <c r="V111" s="41"/>
      <c r="W111" s="41"/>
      <c r="X111" s="41"/>
      <c r="Y111" s="41"/>
      <c r="Z111" s="41"/>
    </row>
    <row r="112" ht="19.5" customHeight="1">
      <c r="A112" s="41"/>
      <c r="B112" s="85" t="s">
        <v>3261</v>
      </c>
      <c r="C112" s="110" t="str">
        <f>CONCATENATE(sample_region_dns1_ip,",",sample_region_dns2_ip)</f>
        <v>10.21.10.4,10.21.10.5</v>
      </c>
      <c r="D112" s="18"/>
      <c r="E112" s="191"/>
      <c r="F112" s="41"/>
      <c r="G112" s="41"/>
      <c r="H112" s="41"/>
      <c r="I112" s="41"/>
      <c r="J112" s="41"/>
      <c r="K112" s="41"/>
      <c r="L112" s="41"/>
      <c r="M112" s="41"/>
      <c r="N112" s="41"/>
      <c r="O112" s="41"/>
      <c r="P112" s="41"/>
      <c r="Q112" s="41"/>
      <c r="R112" s="41"/>
      <c r="S112" s="41"/>
      <c r="T112" s="41"/>
      <c r="U112" s="41"/>
      <c r="V112" s="41"/>
      <c r="W112" s="41"/>
      <c r="X112" s="41"/>
      <c r="Y112" s="41"/>
      <c r="Z112" s="41"/>
    </row>
    <row r="113" ht="19.5" customHeight="1">
      <c r="A113" s="41"/>
      <c r="B113" s="85" t="s">
        <v>3262</v>
      </c>
      <c r="C113" s="163" t="str">
        <f>IF(mgmt_dpg_reuse_result="Included",CONCATENATE(prefix_mgmt_az1_cidr,"10.125"),CONCATENATE(prefix_mgmt_az1_cidr,"11.125"))</f>
        <v>10.21.10.125</v>
      </c>
      <c r="D113" s="18"/>
      <c r="E113" s="95" t="s">
        <v>3435</v>
      </c>
      <c r="F113" s="41"/>
      <c r="G113" s="41"/>
      <c r="H113" s="41"/>
      <c r="I113" s="41"/>
      <c r="J113" s="41"/>
      <c r="K113" s="41"/>
      <c r="L113" s="41"/>
      <c r="M113" s="41"/>
      <c r="N113" s="41"/>
      <c r="O113" s="41"/>
      <c r="P113" s="41"/>
      <c r="Q113" s="41"/>
      <c r="R113" s="41"/>
      <c r="S113" s="41"/>
      <c r="T113" s="41"/>
      <c r="U113" s="41"/>
      <c r="V113" s="41"/>
      <c r="W113" s="41"/>
      <c r="X113" s="41"/>
      <c r="Y113" s="41"/>
      <c r="Z113" s="41"/>
    </row>
    <row r="114" ht="19.5" customHeight="1">
      <c r="A114" s="41"/>
      <c r="B114" s="85" t="s">
        <v>3263</v>
      </c>
      <c r="C114" s="110">
        <v>24.0</v>
      </c>
      <c r="D114" s="18"/>
      <c r="E114" s="19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1"/>
      <c r="C115" s="41"/>
      <c r="D115" s="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33.75" customHeight="1">
      <c r="A116" s="41"/>
      <c r="B116" s="197" t="s">
        <v>3436</v>
      </c>
      <c r="C116" s="13"/>
      <c r="D116" s="13"/>
      <c r="E116" s="14"/>
      <c r="F116" s="41"/>
      <c r="G116" s="41"/>
      <c r="H116" s="41"/>
      <c r="I116" s="41"/>
      <c r="J116" s="41"/>
      <c r="K116" s="41"/>
      <c r="L116" s="41"/>
      <c r="M116" s="41"/>
      <c r="N116" s="41"/>
      <c r="O116" s="41"/>
      <c r="P116" s="41"/>
      <c r="Q116" s="41"/>
      <c r="R116" s="41"/>
      <c r="S116" s="41"/>
      <c r="T116" s="41"/>
      <c r="U116" s="41"/>
      <c r="V116" s="41"/>
      <c r="W116" s="41"/>
      <c r="X116" s="41"/>
      <c r="Y116" s="41"/>
      <c r="Z116" s="41"/>
    </row>
    <row r="117" ht="19.5" customHeight="1">
      <c r="A117" s="41"/>
      <c r="B117" s="102"/>
      <c r="C117" s="13"/>
      <c r="D117" s="13"/>
      <c r="E117" s="14"/>
      <c r="F117" s="41"/>
      <c r="G117" s="41"/>
      <c r="H117" s="41"/>
      <c r="I117" s="41"/>
      <c r="J117" s="41"/>
      <c r="K117" s="41"/>
      <c r="L117" s="41"/>
      <c r="M117" s="41"/>
      <c r="N117" s="41"/>
      <c r="O117" s="41"/>
      <c r="P117" s="41"/>
      <c r="Q117" s="41"/>
      <c r="R117" s="41"/>
      <c r="S117" s="41"/>
      <c r="T117" s="41"/>
      <c r="U117" s="41"/>
      <c r="V117" s="41"/>
      <c r="W117" s="41"/>
      <c r="X117" s="41"/>
      <c r="Y117" s="41"/>
      <c r="Z117" s="41"/>
    </row>
    <row r="118" ht="19.5" customHeight="1">
      <c r="A118" s="41"/>
      <c r="B118" s="378" t="s">
        <v>37</v>
      </c>
      <c r="C118" s="379" t="s">
        <v>273</v>
      </c>
      <c r="D118" s="379" t="s">
        <v>274</v>
      </c>
      <c r="E118" s="379" t="s">
        <v>5</v>
      </c>
      <c r="F118" s="41"/>
      <c r="G118" s="41"/>
      <c r="H118" s="41"/>
      <c r="I118" s="41"/>
      <c r="J118" s="41"/>
      <c r="K118" s="41"/>
      <c r="L118" s="41"/>
      <c r="M118" s="41"/>
      <c r="N118" s="41"/>
      <c r="O118" s="41"/>
      <c r="P118" s="41"/>
      <c r="Q118" s="41"/>
      <c r="R118" s="41"/>
      <c r="S118" s="41"/>
      <c r="T118" s="41"/>
      <c r="U118" s="41"/>
      <c r="V118" s="41"/>
      <c r="W118" s="41"/>
      <c r="X118" s="41"/>
      <c r="Y118" s="41"/>
      <c r="Z118" s="41"/>
    </row>
    <row r="119" ht="19.5" customHeight="1">
      <c r="A119" s="41"/>
      <c r="B119" s="84" t="s">
        <v>3265</v>
      </c>
      <c r="C119" s="111" t="str">
        <f>CONCATENATE(sample_vvs_mgmt_dr_vlr_fqdn,":5480")</f>
        <v>lax-m01-vlr01.lax.rainpole.io:5480</v>
      </c>
      <c r="D119" s="18" t="str">
        <f>CONCATENATE(vvs_mgmt_dr_vlr_fqdn,":5480")</f>
        <v>Value Missing:5480</v>
      </c>
      <c r="E119" s="191"/>
      <c r="F119" s="41"/>
      <c r="G119" s="41"/>
      <c r="H119" s="41"/>
      <c r="I119" s="41"/>
      <c r="J119" s="41"/>
      <c r="K119" s="41"/>
      <c r="L119" s="41"/>
      <c r="M119" s="41"/>
      <c r="N119" s="41"/>
      <c r="O119" s="41"/>
      <c r="P119" s="41"/>
      <c r="Q119" s="41"/>
      <c r="R119" s="41"/>
      <c r="S119" s="41"/>
      <c r="T119" s="41"/>
      <c r="U119" s="41"/>
      <c r="V119" s="41"/>
      <c r="W119" s="41"/>
      <c r="X119" s="41"/>
      <c r="Y119" s="41"/>
      <c r="Z119" s="41"/>
    </row>
    <row r="120" ht="19.5" customHeight="1">
      <c r="A120" s="41"/>
      <c r="B120" s="84" t="s">
        <v>556</v>
      </c>
      <c r="C120" s="185" t="str">
        <f>sample_ca_organization_unit</f>
        <v>Rainpole</v>
      </c>
      <c r="D120" s="18"/>
      <c r="E120" s="191"/>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84" t="s">
        <v>3437</v>
      </c>
      <c r="C121" s="185" t="str">
        <f>sample_ca_organization</f>
        <v>IT</v>
      </c>
      <c r="D121" s="18"/>
      <c r="E121" s="191"/>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84" t="s">
        <v>563</v>
      </c>
      <c r="C122" s="185" t="str">
        <f>sample_ca_locality</f>
        <v>San Francisco</v>
      </c>
      <c r="D122" s="18"/>
      <c r="E122" s="191"/>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84" t="s">
        <v>561</v>
      </c>
      <c r="C123" s="185" t="str">
        <f>sample_ca_state</f>
        <v>CA</v>
      </c>
      <c r="D123" s="18"/>
      <c r="E123" s="191"/>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84" t="s">
        <v>559</v>
      </c>
      <c r="C124" s="185" t="str">
        <f>sample_ca_country</f>
        <v>US</v>
      </c>
      <c r="D124" s="18"/>
      <c r="E124" s="191"/>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84" t="s">
        <v>537</v>
      </c>
      <c r="C125" s="155" t="str">
        <f>sample_vvs_mgmt_dr_vlr_fqdn</f>
        <v>lax-m01-vlr01.lax.rainpole.io</v>
      </c>
      <c r="D125" s="18" t="str">
        <f>vvs_mgmt_dr_vlr_fqdn</f>
        <v>Value Missing</v>
      </c>
      <c r="E125" s="191"/>
      <c r="F125" s="41"/>
      <c r="G125" s="41"/>
      <c r="H125" s="41"/>
      <c r="I125" s="41"/>
      <c r="J125" s="41"/>
      <c r="K125" s="41"/>
      <c r="L125" s="41"/>
      <c r="M125" s="41"/>
      <c r="N125" s="41"/>
      <c r="O125" s="41"/>
      <c r="P125" s="41"/>
      <c r="Q125" s="41"/>
      <c r="R125" s="41"/>
      <c r="S125" s="41"/>
      <c r="T125" s="41"/>
      <c r="U125" s="41"/>
      <c r="V125" s="41"/>
      <c r="W125" s="41"/>
      <c r="X125" s="41"/>
      <c r="Y125" s="41"/>
      <c r="Z125" s="41"/>
    </row>
    <row r="126" ht="19.5" customHeight="1">
      <c r="A126" s="41"/>
      <c r="B126" s="84" t="s">
        <v>3438</v>
      </c>
      <c r="C126" s="185" t="str">
        <f>sample_mgmt_vrms_mgmt_ip</f>
        <v>10.21.10.125</v>
      </c>
      <c r="D126" s="18" t="str">
        <f>mgmt_vrms_mgmt_ip</f>
        <v>Value Missing</v>
      </c>
      <c r="E126" s="191"/>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84" t="s">
        <v>3439</v>
      </c>
      <c r="C127" s="110" t="s">
        <v>3440</v>
      </c>
      <c r="D127" s="18"/>
      <c r="E127" s="19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1"/>
      <c r="C128" s="41"/>
      <c r="D128" s="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33.75" customHeight="1">
      <c r="A129" s="41"/>
      <c r="B129" s="197" t="s">
        <v>3441</v>
      </c>
      <c r="C129" s="13"/>
      <c r="D129" s="13"/>
      <c r="E129" s="14"/>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102"/>
      <c r="C130" s="13"/>
      <c r="D130" s="13"/>
      <c r="E130" s="14"/>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378" t="s">
        <v>37</v>
      </c>
      <c r="C131" s="379" t="s">
        <v>273</v>
      </c>
      <c r="D131" s="379" t="s">
        <v>274</v>
      </c>
      <c r="E131" s="379" t="s">
        <v>5</v>
      </c>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85" t="s">
        <v>3442</v>
      </c>
      <c r="C132" s="111" t="str">
        <f>sample_vvs_dr_mgmt_vc_fqdn</f>
        <v>lax-m01-vc01.lax.rainpole.io</v>
      </c>
      <c r="D132" s="18" t="str">
        <f>vvs_dr_mgmt_vc_fqdn</f>
        <v>Value Missing</v>
      </c>
      <c r="E132" s="191"/>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85" t="s">
        <v>200</v>
      </c>
      <c r="C133" s="110" t="s">
        <v>357</v>
      </c>
      <c r="D133" s="18"/>
      <c r="E133" s="191"/>
      <c r="F133" s="41"/>
      <c r="G133" s="41"/>
      <c r="H133" s="41"/>
      <c r="I133" s="41"/>
      <c r="J133" s="41"/>
      <c r="K133" s="41"/>
      <c r="L133" s="41"/>
      <c r="M133" s="41"/>
      <c r="N133" s="41"/>
      <c r="O133" s="41"/>
      <c r="P133" s="41"/>
      <c r="Q133" s="41"/>
      <c r="R133" s="41"/>
      <c r="S133" s="41"/>
      <c r="T133" s="41"/>
      <c r="U133" s="41"/>
      <c r="V133" s="41"/>
      <c r="W133" s="41"/>
      <c r="X133" s="41"/>
      <c r="Y133" s="41"/>
      <c r="Z133" s="41"/>
    </row>
    <row r="134" ht="19.5" customHeight="1">
      <c r="A134" s="41"/>
      <c r="B134" s="85" t="s">
        <v>3443</v>
      </c>
      <c r="C134" s="110" t="str">
        <f>IF(mgmt_domain_chosen="First Instance","svc_sfo-m01-vlr01_sfo-m01-vc01","svc_lax-m01-vlr01_lax-m01-vc01")</f>
        <v>svc_lax-m01-vlr01_lax-m01-vc01</v>
      </c>
      <c r="D134" s="18"/>
      <c r="E134" s="191"/>
      <c r="F134" s="41"/>
      <c r="G134" s="41"/>
      <c r="H134" s="41"/>
      <c r="I134" s="41"/>
      <c r="J134" s="41"/>
      <c r="K134" s="41"/>
      <c r="L134" s="41"/>
      <c r="M134" s="41"/>
      <c r="N134" s="41"/>
      <c r="O134" s="41"/>
      <c r="P134" s="41"/>
      <c r="Q134" s="41"/>
      <c r="R134" s="41"/>
      <c r="S134" s="41"/>
      <c r="T134" s="41"/>
      <c r="U134" s="41"/>
      <c r="V134" s="41"/>
      <c r="W134" s="41"/>
      <c r="X134" s="41"/>
      <c r="Y134" s="41"/>
      <c r="Z134" s="41"/>
    </row>
    <row r="135" ht="19.5" customHeight="1">
      <c r="A135" s="41"/>
      <c r="B135" s="85" t="s">
        <v>3444</v>
      </c>
      <c r="C135" s="110" t="s">
        <v>382</v>
      </c>
      <c r="D135" s="18"/>
      <c r="E135" s="19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1"/>
      <c r="C136" s="41"/>
      <c r="D136" s="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33.75" customHeight="1">
      <c r="A137" s="41"/>
      <c r="B137" s="197" t="s">
        <v>3445</v>
      </c>
      <c r="C137" s="13"/>
      <c r="D137" s="13"/>
      <c r="E137" s="14"/>
      <c r="F137" s="41"/>
      <c r="G137" s="41"/>
      <c r="H137" s="41"/>
      <c r="I137" s="41"/>
      <c r="J137" s="41"/>
      <c r="K137" s="41"/>
      <c r="L137" s="41"/>
      <c r="M137" s="41"/>
      <c r="N137" s="41"/>
      <c r="O137" s="41"/>
      <c r="P137" s="41"/>
      <c r="Q137" s="41"/>
      <c r="R137" s="41"/>
      <c r="S137" s="41"/>
      <c r="T137" s="41"/>
      <c r="U137" s="41"/>
      <c r="V137" s="41"/>
      <c r="W137" s="41"/>
      <c r="X137" s="41"/>
      <c r="Y137" s="41"/>
      <c r="Z137" s="41"/>
    </row>
    <row r="138" ht="19.5" customHeight="1">
      <c r="A138" s="41"/>
      <c r="B138" s="102"/>
      <c r="C138" s="13"/>
      <c r="D138" s="13"/>
      <c r="E138" s="14"/>
      <c r="F138" s="41"/>
      <c r="G138" s="41"/>
      <c r="H138" s="41"/>
      <c r="I138" s="41"/>
      <c r="J138" s="41"/>
      <c r="K138" s="41"/>
      <c r="L138" s="41"/>
      <c r="M138" s="41"/>
      <c r="N138" s="41"/>
      <c r="O138" s="41"/>
      <c r="P138" s="41"/>
      <c r="Q138" s="41"/>
      <c r="R138" s="41"/>
      <c r="S138" s="41"/>
      <c r="T138" s="41"/>
      <c r="U138" s="41"/>
      <c r="V138" s="41"/>
      <c r="W138" s="41"/>
      <c r="X138" s="41"/>
      <c r="Y138" s="41"/>
      <c r="Z138" s="41"/>
    </row>
    <row r="139" ht="19.5" customHeight="1">
      <c r="A139" s="41"/>
      <c r="B139" s="378" t="s">
        <v>37</v>
      </c>
      <c r="C139" s="379" t="s">
        <v>273</v>
      </c>
      <c r="D139" s="379" t="s">
        <v>274</v>
      </c>
      <c r="E139" s="379" t="s">
        <v>5</v>
      </c>
      <c r="F139" s="41"/>
      <c r="G139" s="41"/>
      <c r="H139" s="41"/>
      <c r="I139" s="41"/>
      <c r="J139" s="41"/>
      <c r="K139" s="41"/>
      <c r="L139" s="41"/>
      <c r="M139" s="41"/>
      <c r="N139" s="41"/>
      <c r="O139" s="41"/>
      <c r="P139" s="41"/>
      <c r="Q139" s="41"/>
      <c r="R139" s="41"/>
      <c r="S139" s="41"/>
      <c r="T139" s="41"/>
      <c r="U139" s="41"/>
      <c r="V139" s="41"/>
      <c r="W139" s="41"/>
      <c r="X139" s="41"/>
      <c r="Y139" s="41"/>
      <c r="Z139" s="41"/>
    </row>
    <row r="140" ht="19.5" customHeight="1">
      <c r="A140" s="41"/>
      <c r="B140" s="85" t="s">
        <v>3442</v>
      </c>
      <c r="C140" s="111" t="str">
        <f>sample_vvs_dr_mgmt_vc_fqdn</f>
        <v>lax-m01-vc01.lax.rainpole.io</v>
      </c>
      <c r="D140" s="18" t="str">
        <f>vvs_dr_mgmt_vc_fqdn</f>
        <v>Value Missing</v>
      </c>
      <c r="E140" s="191"/>
      <c r="F140" s="41"/>
      <c r="G140" s="41"/>
      <c r="H140" s="41"/>
      <c r="I140" s="41"/>
      <c r="J140" s="41"/>
      <c r="K140" s="41"/>
      <c r="L140" s="41"/>
      <c r="M140" s="41"/>
      <c r="N140" s="41"/>
      <c r="O140" s="41"/>
      <c r="P140" s="41"/>
      <c r="Q140" s="41"/>
      <c r="R140" s="41"/>
      <c r="S140" s="41"/>
      <c r="T140" s="41"/>
      <c r="U140" s="41"/>
      <c r="V140" s="41"/>
      <c r="W140" s="41"/>
      <c r="X140" s="41"/>
      <c r="Y140" s="41"/>
      <c r="Z140" s="41"/>
    </row>
    <row r="141" ht="19.5" customHeight="1">
      <c r="A141" s="41"/>
      <c r="B141" s="85" t="s">
        <v>200</v>
      </c>
      <c r="C141" s="110" t="str">
        <f>sample_vvs_dr_sso_domain</f>
        <v>vsphere.local</v>
      </c>
      <c r="D141" s="18" t="str">
        <f>vvs_dr_sso_domain</f>
        <v>Value Missing</v>
      </c>
      <c r="E141" s="191"/>
      <c r="F141" s="41"/>
      <c r="G141" s="41"/>
      <c r="H141" s="41"/>
      <c r="I141" s="41"/>
      <c r="J141" s="41"/>
      <c r="K141" s="41"/>
      <c r="L141" s="41"/>
      <c r="M141" s="41"/>
      <c r="N141" s="41"/>
      <c r="O141" s="41"/>
      <c r="P141" s="41"/>
      <c r="Q141" s="41"/>
      <c r="R141" s="41"/>
      <c r="S141" s="41"/>
      <c r="T141" s="41"/>
      <c r="U141" s="41"/>
      <c r="V141" s="41"/>
      <c r="W141" s="41"/>
      <c r="X141" s="41"/>
      <c r="Y141" s="41"/>
      <c r="Z141" s="41"/>
    </row>
    <row r="142" ht="19.5" customHeight="1">
      <c r="A142" s="41"/>
      <c r="B142" s="85" t="s">
        <v>3446</v>
      </c>
      <c r="C142" s="110" t="str">
        <f>IF(mgmt_domain_chosen="First Instance","svc_sfo-m01-vlr01_sfo-m01-vc01","svc_lax-m01-vlr01_lax-m01-vc01")</f>
        <v>svc_lax-m01-vlr01_lax-m01-vc01</v>
      </c>
      <c r="D142" s="18" t="str">
        <f>vvs_dr_vr_username</f>
        <v>Value Missing</v>
      </c>
      <c r="E142" s="19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70"/>
      <c r="C143" s="210"/>
      <c r="D143" s="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33.75" customHeight="1">
      <c r="A144" s="41"/>
      <c r="B144" s="197" t="s">
        <v>3447</v>
      </c>
      <c r="C144" s="13"/>
      <c r="D144" s="13"/>
      <c r="E144" s="14"/>
      <c r="F144" s="41"/>
      <c r="G144" s="41"/>
      <c r="H144" s="41"/>
      <c r="I144" s="41"/>
      <c r="J144" s="41"/>
      <c r="K144" s="41"/>
      <c r="L144" s="41"/>
      <c r="M144" s="41"/>
      <c r="N144" s="41"/>
      <c r="O144" s="41"/>
      <c r="P144" s="41"/>
      <c r="Q144" s="41"/>
      <c r="R144" s="41"/>
      <c r="S144" s="41"/>
      <c r="T144" s="41"/>
      <c r="U144" s="41"/>
      <c r="V144" s="41"/>
      <c r="W144" s="41"/>
      <c r="X144" s="41"/>
      <c r="Y144" s="41"/>
      <c r="Z144" s="41"/>
    </row>
    <row r="145" ht="19.5" customHeight="1">
      <c r="A145" s="41"/>
      <c r="B145" s="102"/>
      <c r="C145" s="13"/>
      <c r="D145" s="13"/>
      <c r="E145" s="14"/>
      <c r="F145" s="41"/>
      <c r="G145" s="41"/>
      <c r="H145" s="41"/>
      <c r="I145" s="41"/>
      <c r="J145" s="41"/>
      <c r="K145" s="41"/>
      <c r="L145" s="41"/>
      <c r="M145" s="41"/>
      <c r="N145" s="41"/>
      <c r="O145" s="41"/>
      <c r="P145" s="41"/>
      <c r="Q145" s="41"/>
      <c r="R145" s="41"/>
      <c r="S145" s="41"/>
      <c r="T145" s="41"/>
      <c r="U145" s="41"/>
      <c r="V145" s="41"/>
      <c r="W145" s="41"/>
      <c r="X145" s="41"/>
      <c r="Y145" s="41"/>
      <c r="Z145" s="41"/>
    </row>
    <row r="146" ht="19.5" customHeight="1">
      <c r="A146" s="41"/>
      <c r="B146" s="378" t="s">
        <v>37</v>
      </c>
      <c r="C146" s="379" t="s">
        <v>273</v>
      </c>
      <c r="D146" s="379" t="s">
        <v>274</v>
      </c>
      <c r="E146" s="379" t="s">
        <v>5</v>
      </c>
      <c r="F146" s="41"/>
      <c r="G146" s="41"/>
      <c r="H146" s="41"/>
      <c r="I146" s="41"/>
      <c r="J146" s="41"/>
      <c r="K146" s="41"/>
      <c r="L146" s="41"/>
      <c r="M146" s="41"/>
      <c r="N146" s="41"/>
      <c r="O146" s="41"/>
      <c r="P146" s="41"/>
      <c r="Q146" s="41"/>
      <c r="R146" s="41"/>
      <c r="S146" s="41"/>
      <c r="T146" s="41"/>
      <c r="U146" s="41"/>
      <c r="V146" s="41"/>
      <c r="W146" s="41"/>
      <c r="X146" s="41"/>
      <c r="Y146" s="41"/>
      <c r="Z146" s="41"/>
    </row>
    <row r="147" ht="19.5" customHeight="1">
      <c r="A147" s="41"/>
      <c r="B147" s="380" t="s">
        <v>3448</v>
      </c>
      <c r="C147" s="111" t="str">
        <f>sample_vvs_mgmt_dr_vlr_fqdn</f>
        <v>lax-m01-vlr01.lax.rainpole.io</v>
      </c>
      <c r="D147" s="18" t="str">
        <f>CONCATENATE(vvs_mgmt_dr_vlr_fqdn,":5480")</f>
        <v>Value Missing:5480</v>
      </c>
      <c r="E147" s="191"/>
      <c r="F147" s="41"/>
      <c r="G147" s="41"/>
      <c r="H147" s="41"/>
      <c r="I147" s="41"/>
      <c r="J147" s="41"/>
      <c r="K147" s="41"/>
      <c r="L147" s="41"/>
      <c r="M147" s="41"/>
      <c r="N147" s="41"/>
      <c r="O147" s="41"/>
      <c r="P147" s="41"/>
      <c r="Q147" s="41"/>
      <c r="R147" s="41"/>
      <c r="S147" s="41"/>
      <c r="T147" s="41"/>
      <c r="U147" s="41"/>
      <c r="V147" s="41"/>
      <c r="W147" s="41"/>
      <c r="X147" s="41"/>
      <c r="Y147" s="41"/>
      <c r="Z147" s="41"/>
    </row>
    <row r="148" ht="19.5" customHeight="1">
      <c r="A148" s="41"/>
      <c r="B148" s="380" t="s">
        <v>3268</v>
      </c>
      <c r="C148" s="111" t="str">
        <f>sample_mgmt_vc_fqdn</f>
        <v>lax-m01-vc01.lax.rainpole.io</v>
      </c>
      <c r="D148" s="18" t="str">
        <f>vvs_dr_mgmt_vc_fqdn</f>
        <v>Value Missing</v>
      </c>
      <c r="E148" s="191"/>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380" t="s">
        <v>575</v>
      </c>
      <c r="C149" s="110" t="str">
        <f>IF(mgmt_domain_chosen="First Instance","svc_sfo-m01-vlr01_sfo-m01-vc01@vsphere.local","svc_lax-m01-vlr01_lax-m01-vc01@vsphere.local")</f>
        <v>svc_lax-m01-vlr01_lax-m01-vc01@vsphere.local</v>
      </c>
      <c r="D149" s="18" t="str">
        <f>CONCATENATE(vvs_dr_vr_username,"@",vvs_dr_sso_domain)</f>
        <v>Value Missing@Value Missing</v>
      </c>
      <c r="E149" s="191"/>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380" t="s">
        <v>296</v>
      </c>
      <c r="C150" s="110" t="s">
        <v>382</v>
      </c>
      <c r="D150" s="18" t="str">
        <f>vvs_dr_vr_password</f>
        <v>Value Missing</v>
      </c>
      <c r="E150" s="191"/>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380" t="s">
        <v>2081</v>
      </c>
      <c r="C151" s="111" t="str">
        <f>sample_mgmt_vc_fqdn</f>
        <v>lax-m01-vc01.lax.rainpole.io</v>
      </c>
      <c r="D151" s="18" t="str">
        <f>vvs_dr_mgmt_vc_fqdn</f>
        <v>Value Missing</v>
      </c>
      <c r="E151" s="191"/>
      <c r="F151" s="41"/>
      <c r="G151" s="41"/>
      <c r="H151" s="41"/>
      <c r="I151" s="41"/>
      <c r="J151" s="41"/>
      <c r="K151" s="41"/>
      <c r="L151" s="41"/>
      <c r="M151" s="41"/>
      <c r="N151" s="41"/>
      <c r="O151" s="41"/>
      <c r="P151" s="41"/>
      <c r="Q151" s="41"/>
      <c r="R151" s="41"/>
      <c r="S151" s="41"/>
      <c r="T151" s="41"/>
      <c r="U151" s="41"/>
      <c r="V151" s="41"/>
      <c r="W151" s="41"/>
      <c r="X151" s="41"/>
      <c r="Y151" s="41"/>
      <c r="Z151" s="41"/>
    </row>
    <row r="152" ht="19.5" customHeight="1">
      <c r="A152" s="41"/>
      <c r="B152" s="380" t="s">
        <v>3143</v>
      </c>
      <c r="C152" s="110" t="str">
        <f>UPPER(sample_mgmt_sddc_domain)</f>
        <v>LAX-M01</v>
      </c>
      <c r="D152" s="18"/>
      <c r="E152" s="191"/>
      <c r="F152" s="41"/>
      <c r="G152" s="41"/>
      <c r="H152" s="41"/>
      <c r="I152" s="41"/>
      <c r="J152" s="41"/>
      <c r="K152" s="41"/>
      <c r="L152" s="41"/>
      <c r="M152" s="41"/>
      <c r="N152" s="41"/>
      <c r="O152" s="41"/>
      <c r="P152" s="41"/>
      <c r="Q152" s="41"/>
      <c r="R152" s="41"/>
      <c r="S152" s="41"/>
      <c r="T152" s="41"/>
      <c r="U152" s="41"/>
      <c r="V152" s="41"/>
      <c r="W152" s="41"/>
      <c r="X152" s="41"/>
      <c r="Y152" s="41"/>
      <c r="Z152" s="41"/>
    </row>
    <row r="153" ht="19.5" customHeight="1">
      <c r="A153" s="41"/>
      <c r="B153" s="380" t="s">
        <v>3269</v>
      </c>
      <c r="C153" s="110" t="str">
        <f>CONCATENATE("vlr-administrator@",sample_parent_dns_zone)</f>
        <v>vlr-administrator@rainpole.io</v>
      </c>
      <c r="D153" s="18"/>
      <c r="E153" s="191"/>
      <c r="F153" s="41"/>
      <c r="G153" s="41"/>
      <c r="H153" s="41"/>
      <c r="I153" s="41"/>
      <c r="J153" s="41"/>
      <c r="K153" s="41"/>
      <c r="L153" s="41"/>
      <c r="M153" s="41"/>
      <c r="N153" s="41"/>
      <c r="O153" s="41"/>
      <c r="P153" s="41"/>
      <c r="Q153" s="41"/>
      <c r="R153" s="41"/>
      <c r="S153" s="41"/>
      <c r="T153" s="41"/>
      <c r="U153" s="41"/>
      <c r="V153" s="41"/>
      <c r="W153" s="41"/>
      <c r="X153" s="41"/>
      <c r="Y153" s="41"/>
      <c r="Z153" s="41"/>
    </row>
    <row r="154" ht="19.5" customHeight="1">
      <c r="A154" s="41"/>
      <c r="B154" s="380" t="s">
        <v>3270</v>
      </c>
      <c r="C154" s="204" t="str">
        <f>sample_vvs_mgmt_dr_vlr_fqdn</f>
        <v>lax-m01-vlr01.lax.rainpole.io</v>
      </c>
      <c r="D154" s="274" t="str">
        <f>vvs_mgmt_dr_vlr_fqdn</f>
        <v>Value Missing</v>
      </c>
      <c r="E154" s="19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70"/>
      <c r="C155" s="210"/>
      <c r="D155" s="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33.75" customHeight="1">
      <c r="A156" s="41"/>
      <c r="B156" s="197" t="s">
        <v>3449</v>
      </c>
      <c r="C156" s="13"/>
      <c r="D156" s="13"/>
      <c r="E156" s="14"/>
      <c r="F156" s="41"/>
      <c r="G156" s="41"/>
      <c r="H156" s="41"/>
      <c r="I156" s="41"/>
      <c r="J156" s="41"/>
      <c r="K156" s="41"/>
      <c r="L156" s="41"/>
      <c r="M156" s="41"/>
      <c r="N156" s="41"/>
      <c r="O156" s="41"/>
      <c r="P156" s="41"/>
      <c r="Q156" s="41"/>
      <c r="R156" s="41"/>
      <c r="S156" s="41"/>
      <c r="T156" s="41"/>
      <c r="U156" s="41"/>
      <c r="V156" s="41"/>
      <c r="W156" s="41"/>
      <c r="X156" s="41"/>
      <c r="Y156" s="41"/>
      <c r="Z156" s="41"/>
    </row>
    <row r="157" ht="19.5" customHeight="1">
      <c r="A157" s="41"/>
      <c r="B157" s="102"/>
      <c r="C157" s="13"/>
      <c r="D157" s="13"/>
      <c r="E157" s="14"/>
      <c r="F157" s="41"/>
      <c r="G157" s="41"/>
      <c r="H157" s="41"/>
      <c r="I157" s="41"/>
      <c r="J157" s="41"/>
      <c r="K157" s="41"/>
      <c r="L157" s="41"/>
      <c r="M157" s="41"/>
      <c r="N157" s="41"/>
      <c r="O157" s="41"/>
      <c r="P157" s="41"/>
      <c r="Q157" s="41"/>
      <c r="R157" s="41"/>
      <c r="S157" s="41"/>
      <c r="T157" s="41"/>
      <c r="U157" s="41"/>
      <c r="V157" s="41"/>
      <c r="W157" s="41"/>
      <c r="X157" s="41"/>
      <c r="Y157" s="41"/>
      <c r="Z157" s="41"/>
    </row>
    <row r="158" ht="19.5" customHeight="1">
      <c r="A158" s="41"/>
      <c r="B158" s="378" t="s">
        <v>37</v>
      </c>
      <c r="C158" s="379" t="s">
        <v>273</v>
      </c>
      <c r="D158" s="379" t="s">
        <v>274</v>
      </c>
      <c r="E158" s="379" t="s">
        <v>5</v>
      </c>
      <c r="F158" s="41"/>
      <c r="G158" s="41"/>
      <c r="H158" s="41"/>
      <c r="I158" s="41"/>
      <c r="J158" s="41"/>
      <c r="K158" s="41"/>
      <c r="L158" s="41"/>
      <c r="M158" s="41"/>
      <c r="N158" s="41"/>
      <c r="O158" s="41"/>
      <c r="P158" s="41"/>
      <c r="Q158" s="41"/>
      <c r="R158" s="41"/>
      <c r="S158" s="41"/>
      <c r="T158" s="41"/>
      <c r="U158" s="41"/>
      <c r="V158" s="41"/>
      <c r="W158" s="41"/>
      <c r="X158" s="41"/>
      <c r="Y158" s="41"/>
      <c r="Z158" s="41"/>
    </row>
    <row r="159" ht="19.5" customHeight="1">
      <c r="A159" s="41"/>
      <c r="B159" s="85" t="s">
        <v>826</v>
      </c>
      <c r="C159" s="111" t="str">
        <f>sample_vvs_dr_mgmt_vc_fqdn</f>
        <v>lax-m01-vc01.lax.rainpole.io</v>
      </c>
      <c r="D159" s="18" t="str">
        <f>vvs_dr_mgmt_vc_fqdn</f>
        <v>Value Missing</v>
      </c>
      <c r="E159" s="191"/>
      <c r="F159" s="41"/>
      <c r="G159" s="41"/>
      <c r="H159" s="41"/>
      <c r="I159" s="41"/>
      <c r="J159" s="41"/>
      <c r="K159" s="41"/>
      <c r="L159" s="41"/>
      <c r="M159" s="41"/>
      <c r="N159" s="41"/>
      <c r="O159" s="41"/>
      <c r="P159" s="41"/>
      <c r="Q159" s="41"/>
      <c r="R159" s="41"/>
      <c r="S159" s="41"/>
      <c r="T159" s="41"/>
      <c r="U159" s="41"/>
      <c r="V159" s="41"/>
      <c r="W159" s="41"/>
      <c r="X159" s="41"/>
      <c r="Y159" s="41"/>
      <c r="Z159" s="41"/>
    </row>
    <row r="160" ht="19.5" customHeight="1">
      <c r="A160" s="41"/>
      <c r="B160" s="85" t="s">
        <v>3272</v>
      </c>
      <c r="C160" s="110" t="str">
        <f>sample_mgmt_cl01_vds01_name</f>
        <v>lax-m01-cl01-vds01</v>
      </c>
      <c r="D160" s="18"/>
      <c r="E160" s="191"/>
      <c r="F160" s="41"/>
      <c r="G160" s="41"/>
      <c r="H160" s="41"/>
      <c r="I160" s="41"/>
      <c r="J160" s="41"/>
      <c r="K160" s="41"/>
      <c r="L160" s="41"/>
      <c r="M160" s="41"/>
      <c r="N160" s="41"/>
      <c r="O160" s="41"/>
      <c r="P160" s="41"/>
      <c r="Q160" s="41"/>
      <c r="R160" s="41"/>
      <c r="S160" s="41"/>
      <c r="T160" s="41"/>
      <c r="U160" s="41"/>
      <c r="V160" s="41"/>
      <c r="W160" s="41"/>
      <c r="X160" s="41"/>
      <c r="Y160" s="41"/>
      <c r="Z160" s="41"/>
    </row>
    <row r="161" ht="19.5" customHeight="1">
      <c r="A161" s="41"/>
      <c r="B161" s="172" t="s">
        <v>3273</v>
      </c>
      <c r="C161" s="13"/>
      <c r="D161" s="13"/>
      <c r="E161" s="14"/>
      <c r="F161" s="41"/>
      <c r="G161" s="41"/>
      <c r="H161" s="41"/>
      <c r="I161" s="41"/>
      <c r="J161" s="41"/>
      <c r="K161" s="41"/>
      <c r="L161" s="41"/>
      <c r="M161" s="41"/>
      <c r="N161" s="41"/>
      <c r="O161" s="41"/>
      <c r="P161" s="41"/>
      <c r="Q161" s="41"/>
      <c r="R161" s="41"/>
      <c r="S161" s="41"/>
      <c r="T161" s="41"/>
      <c r="U161" s="41"/>
      <c r="V161" s="41"/>
      <c r="W161" s="41"/>
      <c r="X161" s="41"/>
      <c r="Y161" s="41"/>
      <c r="Z161" s="41"/>
    </row>
    <row r="162" ht="19.5" customHeight="1">
      <c r="A162" s="41"/>
      <c r="B162" s="85" t="s">
        <v>256</v>
      </c>
      <c r="C162" s="156" t="str">
        <f>CONCATENATE(this_instance,"01-m01-cl01-vds01-pg-vrms")</f>
        <v>lax01-m01-cl01-vds01-pg-vrms</v>
      </c>
      <c r="D162" s="18"/>
      <c r="E162" s="191"/>
      <c r="F162" s="41"/>
      <c r="G162" s="41"/>
      <c r="H162" s="41"/>
      <c r="I162" s="41"/>
      <c r="J162" s="41"/>
      <c r="K162" s="41"/>
      <c r="L162" s="41"/>
      <c r="M162" s="41"/>
      <c r="N162" s="41"/>
      <c r="O162" s="41"/>
      <c r="P162" s="41"/>
      <c r="Q162" s="41"/>
      <c r="R162" s="41"/>
      <c r="S162" s="41"/>
      <c r="T162" s="41"/>
      <c r="U162" s="41"/>
      <c r="V162" s="41"/>
      <c r="W162" s="41"/>
      <c r="X162" s="41"/>
      <c r="Y162" s="41"/>
      <c r="Z162" s="41"/>
    </row>
    <row r="163" ht="19.5" customHeight="1">
      <c r="A163" s="41"/>
      <c r="B163" s="187" t="s">
        <v>401</v>
      </c>
      <c r="C163" s="156" t="str">
        <f>CONCATENATE(prefix_mgmt_az1_vlan,"09")</f>
        <v>2109</v>
      </c>
      <c r="D163" s="18"/>
      <c r="E163" s="257"/>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1"/>
      <c r="C164" s="41"/>
      <c r="D164" s="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33.75" customHeight="1">
      <c r="A165" s="41"/>
      <c r="B165" s="197" t="s">
        <v>3450</v>
      </c>
      <c r="C165" s="13"/>
      <c r="D165" s="13"/>
      <c r="E165" s="14"/>
      <c r="F165" s="41"/>
      <c r="G165" s="41"/>
      <c r="H165" s="41"/>
      <c r="I165" s="41"/>
      <c r="J165" s="41"/>
      <c r="K165" s="41"/>
      <c r="L165" s="41"/>
      <c r="M165" s="41"/>
      <c r="N165" s="41"/>
      <c r="O165" s="41"/>
      <c r="P165" s="41"/>
      <c r="Q165" s="41"/>
      <c r="R165" s="41"/>
      <c r="S165" s="41"/>
      <c r="T165" s="41"/>
      <c r="U165" s="41"/>
      <c r="V165" s="41"/>
      <c r="W165" s="41"/>
      <c r="X165" s="41"/>
      <c r="Y165" s="41"/>
      <c r="Z165" s="41"/>
    </row>
    <row r="166" ht="19.5" customHeight="1">
      <c r="A166" s="41"/>
      <c r="B166" s="102"/>
      <c r="C166" s="13"/>
      <c r="D166" s="13"/>
      <c r="E166" s="14"/>
      <c r="F166" s="41"/>
      <c r="G166" s="41"/>
      <c r="H166" s="41"/>
      <c r="I166" s="41"/>
      <c r="J166" s="41"/>
      <c r="K166" s="41"/>
      <c r="L166" s="41"/>
      <c r="M166" s="41"/>
      <c r="N166" s="41"/>
      <c r="O166" s="41"/>
      <c r="P166" s="41"/>
      <c r="Q166" s="41"/>
      <c r="R166" s="41"/>
      <c r="S166" s="41"/>
      <c r="T166" s="41"/>
      <c r="U166" s="41"/>
      <c r="V166" s="41"/>
      <c r="W166" s="41"/>
      <c r="X166" s="41"/>
      <c r="Y166" s="41"/>
      <c r="Z166" s="41"/>
    </row>
    <row r="167" ht="19.5" customHeight="1">
      <c r="A167" s="41"/>
      <c r="B167" s="378" t="s">
        <v>37</v>
      </c>
      <c r="C167" s="379" t="s">
        <v>273</v>
      </c>
      <c r="D167" s="379" t="s">
        <v>274</v>
      </c>
      <c r="E167" s="379" t="s">
        <v>5</v>
      </c>
      <c r="F167" s="41"/>
      <c r="G167" s="41"/>
      <c r="H167" s="41"/>
      <c r="I167" s="41"/>
      <c r="J167" s="41"/>
      <c r="K167" s="41"/>
      <c r="L167" s="41"/>
      <c r="M167" s="41"/>
      <c r="N167" s="41"/>
      <c r="O167" s="41"/>
      <c r="P167" s="41"/>
      <c r="Q167" s="41"/>
      <c r="R167" s="41"/>
      <c r="S167" s="41"/>
      <c r="T167" s="41"/>
      <c r="U167" s="41"/>
      <c r="V167" s="41"/>
      <c r="W167" s="41"/>
      <c r="X167" s="41"/>
      <c r="Y167" s="41"/>
      <c r="Z167" s="41"/>
    </row>
    <row r="168" ht="19.5" customHeight="1">
      <c r="A168" s="41"/>
      <c r="B168" s="85" t="s">
        <v>826</v>
      </c>
      <c r="C168" s="111" t="str">
        <f>sample_vvs_dr_mgmt_vc_fqdn</f>
        <v>lax-m01-vc01.lax.rainpole.io</v>
      </c>
      <c r="D168" s="18" t="str">
        <f>vvs_dr_mgmt_vc_fqdn</f>
        <v>Value Missing</v>
      </c>
      <c r="E168" s="191"/>
      <c r="F168" s="41"/>
      <c r="G168" s="41"/>
      <c r="H168" s="41"/>
      <c r="I168" s="41"/>
      <c r="J168" s="41"/>
      <c r="K168" s="41"/>
      <c r="L168" s="41"/>
      <c r="M168" s="41"/>
      <c r="N168" s="41"/>
      <c r="O168" s="41"/>
      <c r="P168" s="41"/>
      <c r="Q168" s="41"/>
      <c r="R168" s="41"/>
      <c r="S168" s="41"/>
      <c r="T168" s="41"/>
      <c r="U168" s="41"/>
      <c r="V168" s="41"/>
      <c r="W168" s="41"/>
      <c r="X168" s="41"/>
      <c r="Y168" s="41"/>
      <c r="Z168" s="41"/>
    </row>
    <row r="169" ht="19.5" customHeight="1">
      <c r="A169" s="41"/>
      <c r="B169" s="85" t="s">
        <v>1178</v>
      </c>
      <c r="C169" s="110" t="str">
        <f>CONCATENATE(this_instance,"-m01-cl01")</f>
        <v>lax-m01-cl01</v>
      </c>
      <c r="D169" s="18"/>
      <c r="E169" s="191"/>
      <c r="F169" s="41"/>
      <c r="G169" s="41"/>
      <c r="H169" s="41"/>
      <c r="I169" s="41"/>
      <c r="J169" s="41"/>
      <c r="K169" s="41"/>
      <c r="L169" s="41"/>
      <c r="M169" s="41"/>
      <c r="N169" s="41"/>
      <c r="O169" s="41"/>
      <c r="P169" s="41"/>
      <c r="Q169" s="41"/>
      <c r="R169" s="41"/>
      <c r="S169" s="41"/>
      <c r="T169" s="41"/>
      <c r="U169" s="41"/>
      <c r="V169" s="41"/>
      <c r="W169" s="41"/>
      <c r="X169" s="41"/>
      <c r="Y169" s="41"/>
      <c r="Z169" s="41"/>
    </row>
    <row r="170" ht="19.5" customHeight="1">
      <c r="A170" s="41"/>
      <c r="B170" s="84" t="s">
        <v>1053</v>
      </c>
      <c r="C170" s="110" t="str">
        <f>sample_mgmt_vrms_pg</f>
        <v>lax01-m01-cl01-vds01-pg-vrms</v>
      </c>
      <c r="D170" s="18" t="str">
        <f>mgmt_vrms_pg</f>
        <v>Value Missing</v>
      </c>
      <c r="E170" s="191"/>
      <c r="F170" s="41"/>
      <c r="G170" s="41"/>
      <c r="H170" s="41"/>
      <c r="I170" s="41"/>
      <c r="J170" s="41"/>
      <c r="K170" s="41"/>
      <c r="L170" s="41"/>
      <c r="M170" s="41"/>
      <c r="N170" s="41"/>
      <c r="O170" s="41"/>
      <c r="P170" s="41"/>
      <c r="Q170" s="41"/>
      <c r="R170" s="41"/>
      <c r="S170" s="41"/>
      <c r="T170" s="41"/>
      <c r="U170" s="41"/>
      <c r="V170" s="41"/>
      <c r="W170" s="41"/>
      <c r="X170" s="41"/>
      <c r="Y170" s="41"/>
      <c r="Z170" s="41"/>
    </row>
    <row r="171" ht="19.5" customHeight="1">
      <c r="A171" s="41"/>
      <c r="B171" s="84" t="s">
        <v>403</v>
      </c>
      <c r="C171" s="156" t="str">
        <f>CONCATENATE(prefix_mgmt_az1_cidr,"9.0/24")</f>
        <v>10.21.9.0/24</v>
      </c>
      <c r="D171" s="18"/>
      <c r="E171" s="381"/>
      <c r="F171" s="41"/>
      <c r="G171" s="41"/>
      <c r="H171" s="41"/>
      <c r="I171" s="41"/>
      <c r="J171" s="41"/>
      <c r="K171" s="41"/>
      <c r="L171" s="41"/>
      <c r="M171" s="41"/>
      <c r="N171" s="41"/>
      <c r="O171" s="41"/>
      <c r="P171" s="41"/>
      <c r="Q171" s="41"/>
      <c r="R171" s="41"/>
      <c r="S171" s="41"/>
      <c r="T171" s="41"/>
      <c r="U171" s="41"/>
      <c r="V171" s="41"/>
      <c r="W171" s="41"/>
      <c r="X171" s="41"/>
      <c r="Y171" s="41"/>
      <c r="Z171" s="41"/>
    </row>
    <row r="172" ht="19.5" customHeight="1">
      <c r="A172" s="41"/>
      <c r="B172" s="245" t="s">
        <v>718</v>
      </c>
      <c r="C172" s="156" t="s">
        <v>622</v>
      </c>
      <c r="D172" s="18"/>
      <c r="E172" s="381"/>
      <c r="F172" s="41"/>
      <c r="G172" s="41"/>
      <c r="H172" s="41"/>
      <c r="I172" s="41"/>
      <c r="J172" s="41"/>
      <c r="K172" s="41"/>
      <c r="L172" s="41"/>
      <c r="M172" s="41"/>
      <c r="N172" s="41"/>
      <c r="O172" s="41"/>
      <c r="P172" s="41"/>
      <c r="Q172" s="41"/>
      <c r="R172" s="41"/>
      <c r="S172" s="41"/>
      <c r="T172" s="41"/>
      <c r="U172" s="41"/>
      <c r="V172" s="41"/>
      <c r="W172" s="41"/>
      <c r="X172" s="41"/>
      <c r="Y172" s="41"/>
      <c r="Z172" s="41"/>
    </row>
    <row r="173" ht="19.5" customHeight="1">
      <c r="A173" s="41"/>
      <c r="B173" s="84" t="s">
        <v>402</v>
      </c>
      <c r="C173" s="156" t="str">
        <f>CONCATENATE(prefix_mgmt_az1_cidr,"9.1")</f>
        <v>10.21.9.1</v>
      </c>
      <c r="D173" s="18"/>
      <c r="E173" s="381"/>
      <c r="F173" s="41"/>
      <c r="G173" s="41"/>
      <c r="H173" s="41"/>
      <c r="I173" s="41"/>
      <c r="J173" s="41"/>
      <c r="K173" s="41"/>
      <c r="L173" s="41"/>
      <c r="M173" s="41"/>
      <c r="N173" s="41"/>
      <c r="O173" s="41"/>
      <c r="P173" s="41"/>
      <c r="Q173" s="41"/>
      <c r="R173" s="41"/>
      <c r="S173" s="41"/>
      <c r="T173" s="41"/>
      <c r="U173" s="41"/>
      <c r="V173" s="41"/>
      <c r="W173" s="41"/>
      <c r="X173" s="41"/>
      <c r="Y173" s="41"/>
      <c r="Z173" s="41"/>
    </row>
    <row r="174" ht="19.5" customHeight="1">
      <c r="A174" s="41"/>
      <c r="B174" s="187" t="s">
        <v>404</v>
      </c>
      <c r="C174" s="156">
        <v>9000.0</v>
      </c>
      <c r="D174" s="18"/>
      <c r="E174" s="381"/>
      <c r="F174" s="41"/>
      <c r="G174" s="41"/>
      <c r="H174" s="41"/>
      <c r="I174" s="41"/>
      <c r="J174" s="41"/>
      <c r="K174" s="41"/>
      <c r="L174" s="41"/>
      <c r="M174" s="41"/>
      <c r="N174" s="41"/>
      <c r="O174" s="41"/>
      <c r="P174" s="41"/>
      <c r="Q174" s="41"/>
      <c r="R174" s="41"/>
      <c r="S174" s="41"/>
      <c r="T174" s="41"/>
      <c r="U174" s="41"/>
      <c r="V174" s="41"/>
      <c r="W174" s="41"/>
      <c r="X174" s="41"/>
      <c r="Y174" s="41"/>
      <c r="Z174" s="41"/>
    </row>
    <row r="175" ht="19.5" customHeight="1">
      <c r="A175" s="41"/>
      <c r="B175" s="17" t="s">
        <v>3285</v>
      </c>
      <c r="C175" s="13"/>
      <c r="D175" s="13"/>
      <c r="E175" s="14"/>
      <c r="F175" s="41"/>
      <c r="G175" s="41"/>
      <c r="H175" s="41"/>
      <c r="I175" s="41"/>
      <c r="J175" s="41"/>
      <c r="K175" s="41"/>
      <c r="L175" s="41"/>
      <c r="M175" s="41"/>
      <c r="N175" s="41"/>
      <c r="O175" s="41"/>
      <c r="P175" s="41"/>
      <c r="Q175" s="41"/>
      <c r="R175" s="41"/>
      <c r="S175" s="41"/>
      <c r="T175" s="41"/>
      <c r="U175" s="41"/>
      <c r="V175" s="41"/>
      <c r="W175" s="41"/>
      <c r="X175" s="41"/>
      <c r="Y175" s="41"/>
      <c r="Z175" s="41"/>
    </row>
    <row r="176" ht="19.5" customHeight="1">
      <c r="A176" s="41"/>
      <c r="B176" s="85" t="str">
        <f t="array" ref="B176:B191">mgmt_az1_host_fqdns</f>
        <v>Value Missing</v>
      </c>
      <c r="C176" s="163" t="str">
        <f>CONCATENATE(prefix_mgmt_az1_cidr,"9.101")</f>
        <v>10.21.9.101</v>
      </c>
      <c r="D176" s="18"/>
      <c r="E176" s="95" t="s">
        <v>3451</v>
      </c>
      <c r="F176" s="41"/>
      <c r="G176" s="41"/>
      <c r="H176" s="41"/>
      <c r="I176" s="41"/>
      <c r="J176" s="41"/>
      <c r="K176" s="41"/>
      <c r="L176" s="41"/>
      <c r="M176" s="41"/>
      <c r="N176" s="41"/>
      <c r="O176" s="41"/>
      <c r="P176" s="41"/>
      <c r="Q176" s="41"/>
      <c r="R176" s="41"/>
      <c r="S176" s="41"/>
      <c r="T176" s="41"/>
      <c r="U176" s="41"/>
      <c r="V176" s="41"/>
      <c r="W176" s="41"/>
      <c r="X176" s="41"/>
      <c r="Y176" s="41"/>
      <c r="Z176" s="41"/>
    </row>
    <row r="177" ht="19.5" customHeight="1">
      <c r="A177" s="41"/>
      <c r="B177" s="85" t="s">
        <v>483</v>
      </c>
      <c r="C177" s="163" t="str">
        <f>CONCATENATE(prefix_mgmt_az1_cidr,"9.102")</f>
        <v>10.21.9.102</v>
      </c>
      <c r="D177" s="18"/>
      <c r="E177" s="95" t="s">
        <v>3452</v>
      </c>
      <c r="F177" s="41"/>
      <c r="G177" s="41"/>
      <c r="H177" s="41"/>
      <c r="I177" s="41"/>
      <c r="J177" s="41"/>
      <c r="K177" s="41"/>
      <c r="L177" s="41"/>
      <c r="M177" s="41"/>
      <c r="N177" s="41"/>
      <c r="O177" s="41"/>
      <c r="P177" s="41"/>
      <c r="Q177" s="41"/>
      <c r="R177" s="41"/>
      <c r="S177" s="41"/>
      <c r="T177" s="41"/>
      <c r="U177" s="41"/>
      <c r="V177" s="41"/>
      <c r="W177" s="41"/>
      <c r="X177" s="41"/>
      <c r="Y177" s="41"/>
      <c r="Z177" s="41"/>
    </row>
    <row r="178" ht="19.5" customHeight="1">
      <c r="A178" s="41"/>
      <c r="B178" s="85" t="s">
        <v>483</v>
      </c>
      <c r="C178" s="163" t="str">
        <f>CONCATENATE(prefix_mgmt_az1_cidr,"9.103")</f>
        <v>10.21.9.103</v>
      </c>
      <c r="D178" s="18"/>
      <c r="E178" s="95" t="s">
        <v>3453</v>
      </c>
      <c r="F178" s="41"/>
      <c r="G178" s="41"/>
      <c r="H178" s="41"/>
      <c r="I178" s="41"/>
      <c r="J178" s="41"/>
      <c r="K178" s="41"/>
      <c r="L178" s="41"/>
      <c r="M178" s="41"/>
      <c r="N178" s="41"/>
      <c r="O178" s="41"/>
      <c r="P178" s="41"/>
      <c r="Q178" s="41"/>
      <c r="R178" s="41"/>
      <c r="S178" s="41"/>
      <c r="T178" s="41"/>
      <c r="U178" s="41"/>
      <c r="V178" s="41"/>
      <c r="W178" s="41"/>
      <c r="X178" s="41"/>
      <c r="Y178" s="41"/>
      <c r="Z178" s="41"/>
    </row>
    <row r="179" ht="19.5" customHeight="1">
      <c r="A179" s="41"/>
      <c r="B179" s="85" t="s">
        <v>483</v>
      </c>
      <c r="C179" s="163" t="str">
        <f>CONCATENATE(prefix_mgmt_az1_cidr,"9.104")</f>
        <v>10.21.9.104</v>
      </c>
      <c r="D179" s="18"/>
      <c r="E179" s="95" t="s">
        <v>3454</v>
      </c>
      <c r="F179" s="41"/>
      <c r="G179" s="41"/>
      <c r="H179" s="41"/>
      <c r="I179" s="41"/>
      <c r="J179" s="41"/>
      <c r="K179" s="41"/>
      <c r="L179" s="41"/>
      <c r="M179" s="41"/>
      <c r="N179" s="41"/>
      <c r="O179" s="41"/>
      <c r="P179" s="41"/>
      <c r="Q179" s="41"/>
      <c r="R179" s="41"/>
      <c r="S179" s="41"/>
      <c r="T179" s="41"/>
      <c r="U179" s="41"/>
      <c r="V179" s="41"/>
      <c r="W179" s="41"/>
      <c r="X179" s="41"/>
      <c r="Y179" s="41"/>
      <c r="Z179" s="41"/>
    </row>
    <row r="180" ht="19.5" customHeight="1">
      <c r="A180" s="41"/>
      <c r="B180" s="85" t="s">
        <v>483</v>
      </c>
      <c r="C180" s="163" t="str">
        <f>CONCATENATE(prefix_mgmt_az1_cidr,"9.105")</f>
        <v>10.21.9.105</v>
      </c>
      <c r="D180" s="18"/>
      <c r="E180" s="95" t="s">
        <v>3455</v>
      </c>
      <c r="F180" s="41"/>
      <c r="G180" s="41"/>
      <c r="H180" s="41"/>
      <c r="I180" s="41"/>
      <c r="J180" s="41"/>
      <c r="K180" s="41"/>
      <c r="L180" s="41"/>
      <c r="M180" s="41"/>
      <c r="N180" s="41"/>
      <c r="O180" s="41"/>
      <c r="P180" s="41"/>
      <c r="Q180" s="41"/>
      <c r="R180" s="41"/>
      <c r="S180" s="41"/>
      <c r="T180" s="41"/>
      <c r="U180" s="41"/>
      <c r="V180" s="41"/>
      <c r="W180" s="41"/>
      <c r="X180" s="41"/>
      <c r="Y180" s="41"/>
      <c r="Z180" s="41"/>
    </row>
    <row r="181" ht="19.5" customHeight="1">
      <c r="A181" s="41"/>
      <c r="B181" s="85" t="s">
        <v>483</v>
      </c>
      <c r="C181" s="163" t="str">
        <f>CONCATENATE(prefix_mgmt_az1_cidr,"9.106")</f>
        <v>10.21.9.106</v>
      </c>
      <c r="D181" s="18"/>
      <c r="E181" s="95" t="s">
        <v>3456</v>
      </c>
      <c r="F181" s="41"/>
      <c r="G181" s="41"/>
      <c r="H181" s="41"/>
      <c r="I181" s="41"/>
      <c r="J181" s="41"/>
      <c r="K181" s="41"/>
      <c r="L181" s="41"/>
      <c r="M181" s="41"/>
      <c r="N181" s="41"/>
      <c r="O181" s="41"/>
      <c r="P181" s="41"/>
      <c r="Q181" s="41"/>
      <c r="R181" s="41"/>
      <c r="S181" s="41"/>
      <c r="T181" s="41"/>
      <c r="U181" s="41"/>
      <c r="V181" s="41"/>
      <c r="W181" s="41"/>
      <c r="X181" s="41"/>
      <c r="Y181" s="41"/>
      <c r="Z181" s="41"/>
    </row>
    <row r="182" ht="19.5" customHeight="1">
      <c r="A182" s="41"/>
      <c r="B182" s="84" t="s">
        <v>483</v>
      </c>
      <c r="C182" s="163" t="str">
        <f>CONCATENATE(prefix_mgmt_az1_cidr,"9.107")</f>
        <v>10.21.9.107</v>
      </c>
      <c r="D182" s="18"/>
      <c r="E182" s="95" t="s">
        <v>3457</v>
      </c>
      <c r="F182" s="41"/>
      <c r="G182" s="41"/>
      <c r="H182" s="41"/>
      <c r="I182" s="41"/>
      <c r="J182" s="41"/>
      <c r="K182" s="41"/>
      <c r="L182" s="41"/>
      <c r="M182" s="41"/>
      <c r="N182" s="41"/>
      <c r="O182" s="41"/>
      <c r="P182" s="41"/>
      <c r="Q182" s="41"/>
      <c r="R182" s="41"/>
      <c r="S182" s="41"/>
      <c r="T182" s="41"/>
      <c r="U182" s="41"/>
      <c r="V182" s="41"/>
      <c r="W182" s="41"/>
      <c r="X182" s="41"/>
      <c r="Y182" s="41"/>
      <c r="Z182" s="41"/>
    </row>
    <row r="183" ht="19.5" customHeight="1">
      <c r="A183" s="41"/>
      <c r="B183" s="84" t="s">
        <v>483</v>
      </c>
      <c r="C183" s="163" t="str">
        <f>CONCATENATE(prefix_mgmt_az1_cidr,"9.108")</f>
        <v>10.21.9.108</v>
      </c>
      <c r="D183" s="18"/>
      <c r="E183" s="95" t="s">
        <v>3458</v>
      </c>
      <c r="F183" s="41"/>
      <c r="G183" s="41"/>
      <c r="H183" s="41"/>
      <c r="I183" s="41"/>
      <c r="J183" s="41"/>
      <c r="K183" s="41"/>
      <c r="L183" s="41"/>
      <c r="M183" s="41"/>
      <c r="N183" s="41"/>
      <c r="O183" s="41"/>
      <c r="P183" s="41"/>
      <c r="Q183" s="41"/>
      <c r="R183" s="41"/>
      <c r="S183" s="41"/>
      <c r="T183" s="41"/>
      <c r="U183" s="41"/>
      <c r="V183" s="41"/>
      <c r="W183" s="41"/>
      <c r="X183" s="41"/>
      <c r="Y183" s="41"/>
      <c r="Z183" s="41"/>
    </row>
    <row r="184" ht="19.5" customHeight="1">
      <c r="A184" s="41"/>
      <c r="B184" s="84" t="s">
        <v>483</v>
      </c>
      <c r="C184" s="163" t="str">
        <f>CONCATENATE(prefix_mgmt_az1_cidr,"9.109")</f>
        <v>10.21.9.109</v>
      </c>
      <c r="D184" s="18"/>
      <c r="E184" s="95" t="s">
        <v>3459</v>
      </c>
      <c r="F184" s="41"/>
      <c r="G184" s="41"/>
      <c r="H184" s="41"/>
      <c r="I184" s="41"/>
      <c r="J184" s="41"/>
      <c r="K184" s="41"/>
      <c r="L184" s="41"/>
      <c r="M184" s="41"/>
      <c r="N184" s="41"/>
      <c r="O184" s="41"/>
      <c r="P184" s="41"/>
      <c r="Q184" s="41"/>
      <c r="R184" s="41"/>
      <c r="S184" s="41"/>
      <c r="T184" s="41"/>
      <c r="U184" s="41"/>
      <c r="V184" s="41"/>
      <c r="W184" s="41"/>
      <c r="X184" s="41"/>
      <c r="Y184" s="41"/>
      <c r="Z184" s="41"/>
    </row>
    <row r="185" ht="19.5" customHeight="1">
      <c r="A185" s="41"/>
      <c r="B185" s="85" t="s">
        <v>483</v>
      </c>
      <c r="C185" s="163" t="str">
        <f>CONCATENATE(prefix_mgmt_az1_cidr,"9.110")</f>
        <v>10.21.9.110</v>
      </c>
      <c r="D185" s="18"/>
      <c r="E185" s="95" t="s">
        <v>3460</v>
      </c>
      <c r="F185" s="41"/>
      <c r="G185" s="41"/>
      <c r="H185" s="41"/>
      <c r="I185" s="41"/>
      <c r="J185" s="41"/>
      <c r="K185" s="41"/>
      <c r="L185" s="41"/>
      <c r="M185" s="41"/>
      <c r="N185" s="41"/>
      <c r="O185" s="41"/>
      <c r="P185" s="41"/>
      <c r="Q185" s="41"/>
      <c r="R185" s="41"/>
      <c r="S185" s="41"/>
      <c r="T185" s="41"/>
      <c r="U185" s="41"/>
      <c r="V185" s="41"/>
      <c r="W185" s="41"/>
      <c r="X185" s="41"/>
      <c r="Y185" s="41"/>
      <c r="Z185" s="41"/>
    </row>
    <row r="186" ht="19.5" customHeight="1">
      <c r="A186" s="41"/>
      <c r="B186" s="85" t="s">
        <v>483</v>
      </c>
      <c r="C186" s="163" t="str">
        <f>CONCATENATE(prefix_mgmt_az1_cidr,"9.111")</f>
        <v>10.21.9.111</v>
      </c>
      <c r="D186" s="18"/>
      <c r="E186" s="95" t="s">
        <v>3461</v>
      </c>
      <c r="F186" s="41"/>
      <c r="G186" s="41"/>
      <c r="H186" s="41"/>
      <c r="I186" s="41"/>
      <c r="J186" s="41"/>
      <c r="K186" s="41"/>
      <c r="L186" s="41"/>
      <c r="M186" s="41"/>
      <c r="N186" s="41"/>
      <c r="O186" s="41"/>
      <c r="P186" s="41"/>
      <c r="Q186" s="41"/>
      <c r="R186" s="41"/>
      <c r="S186" s="41"/>
      <c r="T186" s="41"/>
      <c r="U186" s="41"/>
      <c r="V186" s="41"/>
      <c r="W186" s="41"/>
      <c r="X186" s="41"/>
      <c r="Y186" s="41"/>
      <c r="Z186" s="41"/>
    </row>
    <row r="187" ht="19.5" customHeight="1">
      <c r="A187" s="41"/>
      <c r="B187" s="85" t="s">
        <v>483</v>
      </c>
      <c r="C187" s="163" t="str">
        <f>CONCATENATE(prefix_mgmt_az1_cidr,"9.112")</f>
        <v>10.21.9.112</v>
      </c>
      <c r="D187" s="18"/>
      <c r="E187" s="95" t="s">
        <v>3462</v>
      </c>
      <c r="F187" s="41"/>
      <c r="G187" s="41"/>
      <c r="H187" s="41"/>
      <c r="I187" s="41"/>
      <c r="J187" s="41"/>
      <c r="K187" s="41"/>
      <c r="L187" s="41"/>
      <c r="M187" s="41"/>
      <c r="N187" s="41"/>
      <c r="O187" s="41"/>
      <c r="P187" s="41"/>
      <c r="Q187" s="41"/>
      <c r="R187" s="41"/>
      <c r="S187" s="41"/>
      <c r="T187" s="41"/>
      <c r="U187" s="41"/>
      <c r="V187" s="41"/>
      <c r="W187" s="41"/>
      <c r="X187" s="41"/>
      <c r="Y187" s="41"/>
      <c r="Z187" s="41"/>
    </row>
    <row r="188" ht="19.5" customHeight="1">
      <c r="A188" s="41"/>
      <c r="B188" s="69" t="s">
        <v>483</v>
      </c>
      <c r="C188" s="163" t="str">
        <f>CONCATENATE(prefix_mgmt_az1_cidr,"9.113")</f>
        <v>10.21.9.113</v>
      </c>
      <c r="D188" s="18"/>
      <c r="E188" s="95" t="s">
        <v>3463</v>
      </c>
      <c r="F188" s="41"/>
      <c r="G188" s="41"/>
      <c r="H188" s="41"/>
      <c r="I188" s="41"/>
      <c r="J188" s="41"/>
      <c r="K188" s="41"/>
      <c r="L188" s="41"/>
      <c r="M188" s="41"/>
      <c r="N188" s="41"/>
      <c r="O188" s="41"/>
      <c r="P188" s="41"/>
      <c r="Q188" s="41"/>
      <c r="R188" s="41"/>
      <c r="S188" s="41"/>
      <c r="T188" s="41"/>
      <c r="U188" s="41"/>
      <c r="V188" s="41"/>
      <c r="W188" s="41"/>
      <c r="X188" s="41"/>
      <c r="Y188" s="41"/>
      <c r="Z188" s="41"/>
    </row>
    <row r="189" ht="19.5" customHeight="1">
      <c r="A189" s="41"/>
      <c r="B189" s="69" t="s">
        <v>483</v>
      </c>
      <c r="C189" s="163" t="str">
        <f>CONCATENATE(prefix_mgmt_az1_cidr,"9.114")</f>
        <v>10.21.9.114</v>
      </c>
      <c r="D189" s="18"/>
      <c r="E189" s="95" t="s">
        <v>3464</v>
      </c>
      <c r="F189" s="41"/>
      <c r="G189" s="41"/>
      <c r="H189" s="41"/>
      <c r="I189" s="41"/>
      <c r="J189" s="41"/>
      <c r="K189" s="41"/>
      <c r="L189" s="41"/>
      <c r="M189" s="41"/>
      <c r="N189" s="41"/>
      <c r="O189" s="41"/>
      <c r="P189" s="41"/>
      <c r="Q189" s="41"/>
      <c r="R189" s="41"/>
      <c r="S189" s="41"/>
      <c r="T189" s="41"/>
      <c r="U189" s="41"/>
      <c r="V189" s="41"/>
      <c r="W189" s="41"/>
      <c r="X189" s="41"/>
      <c r="Y189" s="41"/>
      <c r="Z189" s="41"/>
    </row>
    <row r="190" ht="19.5" customHeight="1">
      <c r="A190" s="41"/>
      <c r="B190" s="69" t="s">
        <v>483</v>
      </c>
      <c r="C190" s="163" t="str">
        <f>CONCATENATE(prefix_mgmt_az1_cidr,"9.115")</f>
        <v>10.21.9.115</v>
      </c>
      <c r="D190" s="18"/>
      <c r="E190" s="95" t="s">
        <v>3465</v>
      </c>
      <c r="F190" s="41"/>
      <c r="G190" s="41"/>
      <c r="H190" s="41"/>
      <c r="I190" s="41"/>
      <c r="J190" s="41"/>
      <c r="K190" s="41"/>
      <c r="L190" s="41"/>
      <c r="M190" s="41"/>
      <c r="N190" s="41"/>
      <c r="O190" s="41"/>
      <c r="P190" s="41"/>
      <c r="Q190" s="41"/>
      <c r="R190" s="41"/>
      <c r="S190" s="41"/>
      <c r="T190" s="41"/>
      <c r="U190" s="41"/>
      <c r="V190" s="41"/>
      <c r="W190" s="41"/>
      <c r="X190" s="41"/>
      <c r="Y190" s="41"/>
      <c r="Z190" s="41"/>
    </row>
    <row r="191" ht="19.5" customHeight="1">
      <c r="A191" s="41"/>
      <c r="B191" s="69" t="s">
        <v>483</v>
      </c>
      <c r="C191" s="163" t="str">
        <f>CONCATENATE(prefix_mgmt_az1_cidr,"9.116")</f>
        <v>10.21.9.116</v>
      </c>
      <c r="D191" s="18"/>
      <c r="E191" s="95" t="s">
        <v>3466</v>
      </c>
      <c r="F191" s="41"/>
      <c r="G191" s="41"/>
      <c r="H191" s="41"/>
      <c r="I191" s="41"/>
      <c r="J191" s="41"/>
      <c r="K191" s="41"/>
      <c r="L191" s="41"/>
      <c r="M191" s="41"/>
      <c r="N191" s="41"/>
      <c r="O191" s="41"/>
      <c r="P191" s="41"/>
      <c r="Q191" s="41"/>
      <c r="R191" s="41"/>
      <c r="S191" s="41"/>
      <c r="T191" s="41"/>
      <c r="U191" s="41"/>
      <c r="V191" s="41"/>
      <c r="W191" s="41"/>
      <c r="X191" s="41"/>
      <c r="Y191" s="41"/>
      <c r="Z191" s="41"/>
    </row>
    <row r="192" ht="19.5" customHeight="1">
      <c r="A192" s="41"/>
      <c r="B192" s="17" t="s">
        <v>3302</v>
      </c>
      <c r="C192" s="13"/>
      <c r="D192" s="13"/>
      <c r="E192" s="14"/>
      <c r="F192" s="41"/>
      <c r="G192" s="41"/>
      <c r="H192" s="41"/>
      <c r="I192" s="41"/>
      <c r="J192" s="41"/>
      <c r="K192" s="41"/>
      <c r="L192" s="41"/>
      <c r="M192" s="41"/>
      <c r="N192" s="41"/>
      <c r="O192" s="41"/>
      <c r="P192" s="41"/>
      <c r="Q192" s="41"/>
      <c r="R192" s="41"/>
      <c r="S192" s="41"/>
      <c r="T192" s="41"/>
      <c r="U192" s="41"/>
      <c r="V192" s="41"/>
      <c r="W192" s="41"/>
      <c r="X192" s="41"/>
      <c r="Y192" s="41"/>
      <c r="Z192" s="41"/>
    </row>
    <row r="193" ht="19.5" customHeight="1">
      <c r="A193" s="41"/>
      <c r="B193" s="85" t="str">
        <f t="array" ref="B193:B208">mgmt_az2_host_fqdns</f>
        <v>Value Missing</v>
      </c>
      <c r="C193" s="163" t="str">
        <f>CONCATENATE(prefix_mgmt_az1_cidr,"9.201")</f>
        <v>10.21.9.201</v>
      </c>
      <c r="D193" s="18"/>
      <c r="E193" s="95" t="s">
        <v>3451</v>
      </c>
      <c r="F193" s="41"/>
      <c r="G193" s="41"/>
      <c r="H193" s="41"/>
      <c r="I193" s="41"/>
      <c r="J193" s="41"/>
      <c r="K193" s="41"/>
      <c r="L193" s="41"/>
      <c r="M193" s="41"/>
      <c r="N193" s="41"/>
      <c r="O193" s="41"/>
      <c r="P193" s="41"/>
      <c r="Q193" s="41"/>
      <c r="R193" s="41"/>
      <c r="S193" s="41"/>
      <c r="T193" s="41"/>
      <c r="U193" s="41"/>
      <c r="V193" s="41"/>
      <c r="W193" s="41"/>
      <c r="X193" s="41"/>
      <c r="Y193" s="41"/>
      <c r="Z193" s="41"/>
    </row>
    <row r="194" ht="19.5" customHeight="1">
      <c r="A194" s="41"/>
      <c r="B194" s="85" t="s">
        <v>483</v>
      </c>
      <c r="C194" s="163" t="str">
        <f>CONCATENATE(prefix_mgmt_az1_cidr,"9.202")</f>
        <v>10.21.9.202</v>
      </c>
      <c r="D194" s="18"/>
      <c r="E194" s="95" t="s">
        <v>3452</v>
      </c>
      <c r="F194" s="41"/>
      <c r="G194" s="41"/>
      <c r="H194" s="41"/>
      <c r="I194" s="41"/>
      <c r="J194" s="41"/>
      <c r="K194" s="41"/>
      <c r="L194" s="41"/>
      <c r="M194" s="41"/>
      <c r="N194" s="41"/>
      <c r="O194" s="41"/>
      <c r="P194" s="41"/>
      <c r="Q194" s="41"/>
      <c r="R194" s="41"/>
      <c r="S194" s="41"/>
      <c r="T194" s="41"/>
      <c r="U194" s="41"/>
      <c r="V194" s="41"/>
      <c r="W194" s="41"/>
      <c r="X194" s="41"/>
      <c r="Y194" s="41"/>
      <c r="Z194" s="41"/>
    </row>
    <row r="195" ht="19.5" customHeight="1">
      <c r="A195" s="41"/>
      <c r="B195" s="85" t="s">
        <v>483</v>
      </c>
      <c r="C195" s="163" t="str">
        <f>CONCATENATE(prefix_mgmt_az1_cidr,"9.203")</f>
        <v>10.21.9.203</v>
      </c>
      <c r="D195" s="18"/>
      <c r="E195" s="95" t="s">
        <v>3453</v>
      </c>
      <c r="F195" s="41"/>
      <c r="G195" s="41"/>
      <c r="H195" s="41"/>
      <c r="I195" s="41"/>
      <c r="J195" s="41"/>
      <c r="K195" s="41"/>
      <c r="L195" s="41"/>
      <c r="M195" s="41"/>
      <c r="N195" s="41"/>
      <c r="O195" s="41"/>
      <c r="P195" s="41"/>
      <c r="Q195" s="41"/>
      <c r="R195" s="41"/>
      <c r="S195" s="41"/>
      <c r="T195" s="41"/>
      <c r="U195" s="41"/>
      <c r="V195" s="41"/>
      <c r="W195" s="41"/>
      <c r="X195" s="41"/>
      <c r="Y195" s="41"/>
      <c r="Z195" s="41"/>
    </row>
    <row r="196" ht="19.5" customHeight="1">
      <c r="A196" s="41"/>
      <c r="B196" s="85" t="s">
        <v>483</v>
      </c>
      <c r="C196" s="163" t="str">
        <f>CONCATENATE(prefix_mgmt_az1_cidr,"9.204")</f>
        <v>10.21.9.204</v>
      </c>
      <c r="D196" s="18"/>
      <c r="E196" s="95" t="s">
        <v>3454</v>
      </c>
      <c r="F196" s="41"/>
      <c r="G196" s="41"/>
      <c r="H196" s="41"/>
      <c r="I196" s="41"/>
      <c r="J196" s="41"/>
      <c r="K196" s="41"/>
      <c r="L196" s="41"/>
      <c r="M196" s="41"/>
      <c r="N196" s="41"/>
      <c r="O196" s="41"/>
      <c r="P196" s="41"/>
      <c r="Q196" s="41"/>
      <c r="R196" s="41"/>
      <c r="S196" s="41"/>
      <c r="T196" s="41"/>
      <c r="U196" s="41"/>
      <c r="V196" s="41"/>
      <c r="W196" s="41"/>
      <c r="X196" s="41"/>
      <c r="Y196" s="41"/>
      <c r="Z196" s="41"/>
    </row>
    <row r="197" ht="19.5" customHeight="1">
      <c r="A197" s="41"/>
      <c r="B197" s="85" t="s">
        <v>483</v>
      </c>
      <c r="C197" s="163" t="str">
        <f>CONCATENATE(prefix_mgmt_az1_cidr,"9.205")</f>
        <v>10.21.9.205</v>
      </c>
      <c r="D197" s="18"/>
      <c r="E197" s="95" t="s">
        <v>3455</v>
      </c>
      <c r="F197" s="41"/>
      <c r="G197" s="41"/>
      <c r="H197" s="41"/>
      <c r="I197" s="41"/>
      <c r="J197" s="41"/>
      <c r="K197" s="41"/>
      <c r="L197" s="41"/>
      <c r="M197" s="41"/>
      <c r="N197" s="41"/>
      <c r="O197" s="41"/>
      <c r="P197" s="41"/>
      <c r="Q197" s="41"/>
      <c r="R197" s="41"/>
      <c r="S197" s="41"/>
      <c r="T197" s="41"/>
      <c r="U197" s="41"/>
      <c r="V197" s="41"/>
      <c r="W197" s="41"/>
      <c r="X197" s="41"/>
      <c r="Y197" s="41"/>
      <c r="Z197" s="41"/>
    </row>
    <row r="198" ht="19.5" customHeight="1">
      <c r="A198" s="41"/>
      <c r="B198" s="85" t="s">
        <v>483</v>
      </c>
      <c r="C198" s="163" t="str">
        <f>CONCATENATE(prefix_mgmt_az1_cidr,"9.206")</f>
        <v>10.21.9.206</v>
      </c>
      <c r="D198" s="18"/>
      <c r="E198" s="95" t="s">
        <v>3456</v>
      </c>
      <c r="F198" s="41"/>
      <c r="G198" s="41"/>
      <c r="H198" s="41"/>
      <c r="I198" s="41"/>
      <c r="J198" s="41"/>
      <c r="K198" s="41"/>
      <c r="L198" s="41"/>
      <c r="M198" s="41"/>
      <c r="N198" s="41"/>
      <c r="O198" s="41"/>
      <c r="P198" s="41"/>
      <c r="Q198" s="41"/>
      <c r="R198" s="41"/>
      <c r="S198" s="41"/>
      <c r="T198" s="41"/>
      <c r="U198" s="41"/>
      <c r="V198" s="41"/>
      <c r="W198" s="41"/>
      <c r="X198" s="41"/>
      <c r="Y198" s="41"/>
      <c r="Z198" s="41"/>
    </row>
    <row r="199" ht="19.5" customHeight="1">
      <c r="A199" s="41"/>
      <c r="B199" s="84" t="s">
        <v>483</v>
      </c>
      <c r="C199" s="163" t="str">
        <f>CONCATENATE(prefix_mgmt_az1_cidr,"9.207")</f>
        <v>10.21.9.207</v>
      </c>
      <c r="D199" s="18"/>
      <c r="E199" s="95" t="s">
        <v>3457</v>
      </c>
      <c r="F199" s="41"/>
      <c r="G199" s="41"/>
      <c r="H199" s="41"/>
      <c r="I199" s="41"/>
      <c r="J199" s="41"/>
      <c r="K199" s="41"/>
      <c r="L199" s="41"/>
      <c r="M199" s="41"/>
      <c r="N199" s="41"/>
      <c r="O199" s="41"/>
      <c r="P199" s="41"/>
      <c r="Q199" s="41"/>
      <c r="R199" s="41"/>
      <c r="S199" s="41"/>
      <c r="T199" s="41"/>
      <c r="U199" s="41"/>
      <c r="V199" s="41"/>
      <c r="W199" s="41"/>
      <c r="X199" s="41"/>
      <c r="Y199" s="41"/>
      <c r="Z199" s="41"/>
    </row>
    <row r="200" ht="19.5" customHeight="1">
      <c r="A200" s="41"/>
      <c r="B200" s="84" t="s">
        <v>483</v>
      </c>
      <c r="C200" s="163" t="str">
        <f>CONCATENATE(prefix_mgmt_az1_cidr,"9.208")</f>
        <v>10.21.9.208</v>
      </c>
      <c r="D200" s="18"/>
      <c r="E200" s="95" t="s">
        <v>3458</v>
      </c>
      <c r="F200" s="41"/>
      <c r="G200" s="41"/>
      <c r="H200" s="41"/>
      <c r="I200" s="41"/>
      <c r="J200" s="41"/>
      <c r="K200" s="41"/>
      <c r="L200" s="41"/>
      <c r="M200" s="41"/>
      <c r="N200" s="41"/>
      <c r="O200" s="41"/>
      <c r="P200" s="41"/>
      <c r="Q200" s="41"/>
      <c r="R200" s="41"/>
      <c r="S200" s="41"/>
      <c r="T200" s="41"/>
      <c r="U200" s="41"/>
      <c r="V200" s="41"/>
      <c r="W200" s="41"/>
      <c r="X200" s="41"/>
      <c r="Y200" s="41"/>
      <c r="Z200" s="41"/>
    </row>
    <row r="201" ht="19.5" customHeight="1">
      <c r="A201" s="41"/>
      <c r="B201" s="84" t="s">
        <v>483</v>
      </c>
      <c r="C201" s="163" t="str">
        <f>CONCATENATE(prefix_mgmt_az1_cidr,"9.209")</f>
        <v>10.21.9.209</v>
      </c>
      <c r="D201" s="18"/>
      <c r="E201" s="95" t="s">
        <v>3459</v>
      </c>
      <c r="F201" s="41"/>
      <c r="G201" s="41"/>
      <c r="H201" s="41"/>
      <c r="I201" s="41"/>
      <c r="J201" s="41"/>
      <c r="K201" s="41"/>
      <c r="L201" s="41"/>
      <c r="M201" s="41"/>
      <c r="N201" s="41"/>
      <c r="O201" s="41"/>
      <c r="P201" s="41"/>
      <c r="Q201" s="41"/>
      <c r="R201" s="41"/>
      <c r="S201" s="41"/>
      <c r="T201" s="41"/>
      <c r="U201" s="41"/>
      <c r="V201" s="41"/>
      <c r="W201" s="41"/>
      <c r="X201" s="41"/>
      <c r="Y201" s="41"/>
      <c r="Z201" s="41"/>
    </row>
    <row r="202" ht="19.5" customHeight="1">
      <c r="A202" s="41"/>
      <c r="B202" s="85" t="s">
        <v>483</v>
      </c>
      <c r="C202" s="163" t="str">
        <f>CONCATENATE(prefix_mgmt_az1_cidr,"9.210")</f>
        <v>10.21.9.210</v>
      </c>
      <c r="D202" s="18"/>
      <c r="E202" s="95" t="s">
        <v>3460</v>
      </c>
      <c r="F202" s="41"/>
      <c r="G202" s="41"/>
      <c r="H202" s="41"/>
      <c r="I202" s="41"/>
      <c r="J202" s="41"/>
      <c r="K202" s="41"/>
      <c r="L202" s="41"/>
      <c r="M202" s="41"/>
      <c r="N202" s="41"/>
      <c r="O202" s="41"/>
      <c r="P202" s="41"/>
      <c r="Q202" s="41"/>
      <c r="R202" s="41"/>
      <c r="S202" s="41"/>
      <c r="T202" s="41"/>
      <c r="U202" s="41"/>
      <c r="V202" s="41"/>
      <c r="W202" s="41"/>
      <c r="X202" s="41"/>
      <c r="Y202" s="41"/>
      <c r="Z202" s="41"/>
    </row>
    <row r="203" ht="19.5" customHeight="1">
      <c r="A203" s="41"/>
      <c r="B203" s="85" t="s">
        <v>483</v>
      </c>
      <c r="C203" s="163" t="str">
        <f>CONCATENATE(prefix_mgmt_az1_cidr,"9.211")</f>
        <v>10.21.9.211</v>
      </c>
      <c r="D203" s="18"/>
      <c r="E203" s="95" t="s">
        <v>3461</v>
      </c>
      <c r="F203" s="41"/>
      <c r="G203" s="41"/>
      <c r="H203" s="41"/>
      <c r="I203" s="41"/>
      <c r="J203" s="41"/>
      <c r="K203" s="41"/>
      <c r="L203" s="41"/>
      <c r="M203" s="41"/>
      <c r="N203" s="41"/>
      <c r="O203" s="41"/>
      <c r="P203" s="41"/>
      <c r="Q203" s="41"/>
      <c r="R203" s="41"/>
      <c r="S203" s="41"/>
      <c r="T203" s="41"/>
      <c r="U203" s="41"/>
      <c r="V203" s="41"/>
      <c r="W203" s="41"/>
      <c r="X203" s="41"/>
      <c r="Y203" s="41"/>
      <c r="Z203" s="41"/>
    </row>
    <row r="204" ht="19.5" customHeight="1">
      <c r="A204" s="41"/>
      <c r="B204" s="85" t="s">
        <v>483</v>
      </c>
      <c r="C204" s="163" t="str">
        <f>CONCATENATE(prefix_mgmt_az1_cidr,"9.212")</f>
        <v>10.21.9.212</v>
      </c>
      <c r="D204" s="18"/>
      <c r="E204" s="95" t="s">
        <v>3462</v>
      </c>
      <c r="F204" s="41"/>
      <c r="G204" s="41"/>
      <c r="H204" s="41"/>
      <c r="I204" s="41"/>
      <c r="J204" s="41"/>
      <c r="K204" s="41"/>
      <c r="L204" s="41"/>
      <c r="M204" s="41"/>
      <c r="N204" s="41"/>
      <c r="O204" s="41"/>
      <c r="P204" s="41"/>
      <c r="Q204" s="41"/>
      <c r="R204" s="41"/>
      <c r="S204" s="41"/>
      <c r="T204" s="41"/>
      <c r="U204" s="41"/>
      <c r="V204" s="41"/>
      <c r="W204" s="41"/>
      <c r="X204" s="41"/>
      <c r="Y204" s="41"/>
      <c r="Z204" s="41"/>
    </row>
    <row r="205" ht="19.5" customHeight="1">
      <c r="A205" s="41"/>
      <c r="B205" s="85" t="s">
        <v>483</v>
      </c>
      <c r="C205" s="163" t="str">
        <f>CONCATENATE(prefix_mgmt_az1_cidr,"9.213")</f>
        <v>10.21.9.213</v>
      </c>
      <c r="D205" s="18"/>
      <c r="E205" s="95" t="s">
        <v>3463</v>
      </c>
      <c r="F205" s="41"/>
      <c r="G205" s="41"/>
      <c r="H205" s="41"/>
      <c r="I205" s="41"/>
      <c r="J205" s="41"/>
      <c r="K205" s="41"/>
      <c r="L205" s="41"/>
      <c r="M205" s="41"/>
      <c r="N205" s="41"/>
      <c r="O205" s="41"/>
      <c r="P205" s="41"/>
      <c r="Q205" s="41"/>
      <c r="R205" s="41"/>
      <c r="S205" s="41"/>
      <c r="T205" s="41"/>
      <c r="U205" s="41"/>
      <c r="V205" s="41"/>
      <c r="W205" s="41"/>
      <c r="X205" s="41"/>
      <c r="Y205" s="41"/>
      <c r="Z205" s="41"/>
    </row>
    <row r="206" ht="19.5" customHeight="1">
      <c r="A206" s="41"/>
      <c r="B206" s="85" t="s">
        <v>483</v>
      </c>
      <c r="C206" s="163" t="str">
        <f>CONCATENATE(prefix_mgmt_az1_cidr,"9.214")</f>
        <v>10.21.9.214</v>
      </c>
      <c r="D206" s="18"/>
      <c r="E206" s="95" t="s">
        <v>3464</v>
      </c>
      <c r="F206" s="41"/>
      <c r="G206" s="41"/>
      <c r="H206" s="41"/>
      <c r="I206" s="41"/>
      <c r="J206" s="41"/>
      <c r="K206" s="41"/>
      <c r="L206" s="41"/>
      <c r="M206" s="41"/>
      <c r="N206" s="41"/>
      <c r="O206" s="41"/>
      <c r="P206" s="41"/>
      <c r="Q206" s="41"/>
      <c r="R206" s="41"/>
      <c r="S206" s="41"/>
      <c r="T206" s="41"/>
      <c r="U206" s="41"/>
      <c r="V206" s="41"/>
      <c r="W206" s="41"/>
      <c r="X206" s="41"/>
      <c r="Y206" s="41"/>
      <c r="Z206" s="41"/>
    </row>
    <row r="207" ht="19.5" customHeight="1">
      <c r="A207" s="41"/>
      <c r="B207" s="85" t="s">
        <v>483</v>
      </c>
      <c r="C207" s="163" t="str">
        <f>CONCATENATE(prefix_mgmt_az1_cidr,"9.215")</f>
        <v>10.21.9.215</v>
      </c>
      <c r="D207" s="18"/>
      <c r="E207" s="95" t="s">
        <v>3465</v>
      </c>
      <c r="F207" s="41"/>
      <c r="G207" s="41"/>
      <c r="H207" s="41"/>
      <c r="I207" s="41"/>
      <c r="J207" s="41"/>
      <c r="K207" s="41"/>
      <c r="L207" s="41"/>
      <c r="M207" s="41"/>
      <c r="N207" s="41"/>
      <c r="O207" s="41"/>
      <c r="P207" s="41"/>
      <c r="Q207" s="41"/>
      <c r="R207" s="41"/>
      <c r="S207" s="41"/>
      <c r="T207" s="41"/>
      <c r="U207" s="41"/>
      <c r="V207" s="41"/>
      <c r="W207" s="41"/>
      <c r="X207" s="41"/>
      <c r="Y207" s="41"/>
      <c r="Z207" s="41"/>
    </row>
    <row r="208" ht="19.5" customHeight="1">
      <c r="A208" s="41"/>
      <c r="B208" s="85" t="s">
        <v>483</v>
      </c>
      <c r="C208" s="163" t="str">
        <f>CONCATENATE(prefix_mgmt_az1_cidr,"9.216")</f>
        <v>10.21.9.216</v>
      </c>
      <c r="D208" s="18"/>
      <c r="E208" s="95" t="s">
        <v>3466</v>
      </c>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1"/>
      <c r="C209" s="41"/>
      <c r="D209" s="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33.75" customHeight="1">
      <c r="A210" s="41"/>
      <c r="B210" s="184" t="s">
        <v>3467</v>
      </c>
      <c r="C210" s="13"/>
      <c r="D210" s="13"/>
      <c r="E210" s="14"/>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1"/>
      <c r="C211" s="41"/>
      <c r="D211" s="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33.75" customHeight="1">
      <c r="A212" s="41"/>
      <c r="B212" s="197" t="s">
        <v>3468</v>
      </c>
      <c r="C212" s="13"/>
      <c r="D212" s="13"/>
      <c r="E212" s="14"/>
      <c r="F212" s="41"/>
      <c r="G212" s="41"/>
      <c r="H212" s="41"/>
      <c r="I212" s="41"/>
      <c r="J212" s="41"/>
      <c r="K212" s="41"/>
      <c r="L212" s="41"/>
      <c r="M212" s="41"/>
      <c r="N212" s="41"/>
      <c r="O212" s="41"/>
      <c r="P212" s="41"/>
      <c r="Q212" s="41"/>
      <c r="R212" s="41"/>
      <c r="S212" s="41"/>
      <c r="T212" s="41"/>
      <c r="U212" s="41"/>
      <c r="V212" s="41"/>
      <c r="W212" s="41"/>
      <c r="X212" s="41"/>
      <c r="Y212" s="41"/>
      <c r="Z212" s="41"/>
    </row>
    <row r="213" ht="19.5" customHeight="1">
      <c r="A213" s="41"/>
      <c r="B213" s="102"/>
      <c r="C213" s="13"/>
      <c r="D213" s="13"/>
      <c r="E213" s="14"/>
      <c r="F213" s="41"/>
      <c r="G213" s="41"/>
      <c r="H213" s="41"/>
      <c r="I213" s="41"/>
      <c r="J213" s="41"/>
      <c r="K213" s="41"/>
      <c r="L213" s="41"/>
      <c r="M213" s="41"/>
      <c r="N213" s="41"/>
      <c r="O213" s="41"/>
      <c r="P213" s="41"/>
      <c r="Q213" s="41"/>
      <c r="R213" s="41"/>
      <c r="S213" s="41"/>
      <c r="T213" s="41"/>
      <c r="U213" s="41"/>
      <c r="V213" s="41"/>
      <c r="W213" s="41"/>
      <c r="X213" s="41"/>
      <c r="Y213" s="41"/>
      <c r="Z213" s="41"/>
    </row>
    <row r="214" ht="19.5" customHeight="1">
      <c r="A214" s="41"/>
      <c r="B214" s="378" t="s">
        <v>37</v>
      </c>
      <c r="C214" s="379" t="s">
        <v>273</v>
      </c>
      <c r="D214" s="379" t="s">
        <v>274</v>
      </c>
      <c r="E214" s="379" t="s">
        <v>5</v>
      </c>
      <c r="F214" s="41"/>
      <c r="G214" s="41"/>
      <c r="H214" s="41"/>
      <c r="I214" s="41"/>
      <c r="J214" s="41"/>
      <c r="K214" s="41"/>
      <c r="L214" s="41"/>
      <c r="M214" s="41"/>
      <c r="N214" s="41"/>
      <c r="O214" s="41"/>
      <c r="P214" s="41"/>
      <c r="Q214" s="41"/>
      <c r="R214" s="41"/>
      <c r="S214" s="41"/>
      <c r="T214" s="41"/>
      <c r="U214" s="41"/>
      <c r="V214" s="41"/>
      <c r="W214" s="41"/>
      <c r="X214" s="41"/>
      <c r="Y214" s="41"/>
      <c r="Z214" s="41"/>
    </row>
    <row r="215" ht="19.5" customHeight="1">
      <c r="A215" s="41"/>
      <c r="B215" s="380" t="s">
        <v>3469</v>
      </c>
      <c r="C215" s="111" t="str">
        <f>sample_vvs_dr_mgmt_vc_fqdn</f>
        <v>lax-m01-vc01.lax.rainpole.io</v>
      </c>
      <c r="D215" s="18" t="str">
        <f>vvs_dr_mgmt_vc_fqdn</f>
        <v>Value Missing</v>
      </c>
      <c r="E215" s="191"/>
      <c r="F215" s="41"/>
      <c r="G215" s="41"/>
      <c r="H215" s="41"/>
      <c r="I215" s="41"/>
      <c r="J215" s="41"/>
      <c r="K215" s="41"/>
      <c r="L215" s="41"/>
      <c r="M215" s="41"/>
      <c r="N215" s="41"/>
      <c r="O215" s="41"/>
      <c r="P215" s="41"/>
      <c r="Q215" s="41"/>
      <c r="R215" s="41"/>
      <c r="S215" s="41"/>
      <c r="T215" s="41"/>
      <c r="U215" s="41"/>
      <c r="V215" s="41"/>
      <c r="W215" s="41"/>
      <c r="X215" s="41"/>
      <c r="Y215" s="41"/>
      <c r="Z215" s="41"/>
    </row>
    <row r="216" ht="19.5" customHeight="1">
      <c r="A216" s="41"/>
      <c r="B216" s="380" t="s">
        <v>3346</v>
      </c>
      <c r="C216" s="111" t="str">
        <f>sample_vvs_dr_mgmt_vc_fqdn</f>
        <v>lax-m01-vc01.lax.rainpole.io</v>
      </c>
      <c r="D216" s="18" t="str">
        <f>vvs_dr_mgmt_vc_fqdn</f>
        <v>Value Missing</v>
      </c>
      <c r="E216" s="191"/>
      <c r="F216" s="41"/>
      <c r="G216" s="41"/>
      <c r="H216" s="41"/>
      <c r="I216" s="41"/>
      <c r="J216" s="41"/>
      <c r="K216" s="41"/>
      <c r="L216" s="41"/>
      <c r="M216" s="41"/>
      <c r="N216" s="41"/>
      <c r="O216" s="41"/>
      <c r="P216" s="41"/>
      <c r="Q216" s="41"/>
      <c r="R216" s="41"/>
      <c r="S216" s="41"/>
      <c r="T216" s="41"/>
      <c r="U216" s="41"/>
      <c r="V216" s="41"/>
      <c r="W216" s="41"/>
      <c r="X216" s="41"/>
      <c r="Y216" s="41"/>
      <c r="Z216" s="41"/>
    </row>
    <row r="217" ht="19.5" customHeight="1">
      <c r="A217" s="41"/>
      <c r="B217" s="380" t="s">
        <v>3268</v>
      </c>
      <c r="C217" s="111" t="str">
        <f>CONCATENATE(other_instance,"-m01-vc01.",other_instance,".",sample_parent_dns_zone)</f>
        <v>sfo-m01-vc01.sfo.rainpole.io</v>
      </c>
      <c r="D217" s="18"/>
      <c r="E217" s="191"/>
      <c r="F217" s="41"/>
      <c r="G217" s="41"/>
      <c r="H217" s="41"/>
      <c r="I217" s="41"/>
      <c r="J217" s="41"/>
      <c r="K217" s="41"/>
      <c r="L217" s="41"/>
      <c r="M217" s="41"/>
      <c r="N217" s="41"/>
      <c r="O217" s="41"/>
      <c r="P217" s="41"/>
      <c r="Q217" s="41"/>
      <c r="R217" s="41"/>
      <c r="S217" s="41"/>
      <c r="T217" s="41"/>
      <c r="U217" s="41"/>
      <c r="V217" s="41"/>
      <c r="W217" s="41"/>
      <c r="X217" s="41"/>
      <c r="Y217" s="41"/>
      <c r="Z217" s="41"/>
    </row>
    <row r="218" ht="19.5" customHeight="1">
      <c r="A218" s="41"/>
      <c r="B218" s="380" t="s">
        <v>575</v>
      </c>
      <c r="C218" s="110" t="str">
        <f>IF(mgmt_domain_chosen="First Instance","svc_lax-m01-vlr01_lax-m01-vc01@vsphere.local","svc_sfo-m01-vlr01_sfo-m01-vc01@vsphere.local")</f>
        <v>svc_sfo-m01-vlr01_sfo-m01-vc01@vsphere.local</v>
      </c>
      <c r="D218" s="18"/>
      <c r="E218" s="191"/>
      <c r="F218" s="41"/>
      <c r="G218" s="41"/>
      <c r="H218" s="41"/>
      <c r="I218" s="41"/>
      <c r="J218" s="41"/>
      <c r="K218" s="41"/>
      <c r="L218" s="41"/>
      <c r="M218" s="41"/>
      <c r="N218" s="41"/>
      <c r="O218" s="41"/>
      <c r="P218" s="41"/>
      <c r="Q218" s="41"/>
      <c r="R218" s="41"/>
      <c r="S218" s="41"/>
      <c r="T218" s="41"/>
      <c r="U218" s="41"/>
      <c r="V218" s="41"/>
      <c r="W218" s="41"/>
      <c r="X218" s="41"/>
      <c r="Y218" s="41"/>
      <c r="Z218" s="41"/>
    </row>
    <row r="219" ht="19.5" customHeight="1">
      <c r="A219" s="41"/>
      <c r="B219" s="380" t="s">
        <v>296</v>
      </c>
      <c r="C219" s="110" t="s">
        <v>382</v>
      </c>
      <c r="D219" s="18"/>
      <c r="E219" s="191"/>
      <c r="F219" s="41"/>
      <c r="G219" s="41"/>
      <c r="H219" s="41"/>
      <c r="I219" s="41"/>
      <c r="J219" s="41"/>
      <c r="K219" s="41"/>
      <c r="L219" s="41"/>
      <c r="M219" s="41"/>
      <c r="N219" s="41"/>
      <c r="O219" s="41"/>
      <c r="P219" s="41"/>
      <c r="Q219" s="41"/>
      <c r="R219" s="41"/>
      <c r="S219" s="41"/>
      <c r="T219" s="41"/>
      <c r="U219" s="41"/>
      <c r="V219" s="41"/>
      <c r="W219" s="41"/>
      <c r="X219" s="41"/>
      <c r="Y219" s="41"/>
      <c r="Z219" s="41"/>
    </row>
    <row r="220" ht="19.5" customHeight="1">
      <c r="A220" s="41"/>
      <c r="B220" s="380" t="s">
        <v>3349</v>
      </c>
      <c r="C220" s="111" t="str">
        <f>sample_mgmt_srm_recovery_vcenter_fqdn</f>
        <v>sfo-m01-vc01.sfo.rainpole.io</v>
      </c>
      <c r="D220" s="18" t="str">
        <f>mgmt_srm_recovery_vcenter_fqdn</f>
        <v>Value Missing</v>
      </c>
      <c r="E220" s="19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382"/>
      <c r="C221" s="210"/>
      <c r="D221" s="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33.75" customHeight="1">
      <c r="A222" s="41"/>
      <c r="B222" s="197" t="s">
        <v>3470</v>
      </c>
      <c r="C222" s="13"/>
      <c r="D222" s="13"/>
      <c r="E222" s="14"/>
      <c r="F222" s="41"/>
      <c r="G222" s="41"/>
      <c r="H222" s="41"/>
      <c r="I222" s="41"/>
      <c r="J222" s="41"/>
      <c r="K222" s="41"/>
      <c r="L222" s="41"/>
      <c r="M222" s="41"/>
      <c r="N222" s="41"/>
      <c r="O222" s="41"/>
      <c r="P222" s="41"/>
      <c r="Q222" s="41"/>
      <c r="R222" s="41"/>
      <c r="S222" s="41"/>
      <c r="T222" s="41"/>
      <c r="U222" s="41"/>
      <c r="V222" s="41"/>
      <c r="W222" s="41"/>
      <c r="X222" s="41"/>
      <c r="Y222" s="41"/>
      <c r="Z222" s="41"/>
    </row>
    <row r="223" ht="19.5" customHeight="1">
      <c r="A223" s="41"/>
      <c r="B223" s="102"/>
      <c r="C223" s="13"/>
      <c r="D223" s="13"/>
      <c r="E223" s="14"/>
      <c r="F223" s="41"/>
      <c r="G223" s="41"/>
      <c r="H223" s="41"/>
      <c r="I223" s="41"/>
      <c r="J223" s="41"/>
      <c r="K223" s="41"/>
      <c r="L223" s="41"/>
      <c r="M223" s="41"/>
      <c r="N223" s="41"/>
      <c r="O223" s="41"/>
      <c r="P223" s="41"/>
      <c r="Q223" s="41"/>
      <c r="R223" s="41"/>
      <c r="S223" s="41"/>
      <c r="T223" s="41"/>
      <c r="U223" s="41"/>
      <c r="V223" s="41"/>
      <c r="W223" s="41"/>
      <c r="X223" s="41"/>
      <c r="Y223" s="41"/>
      <c r="Z223" s="41"/>
    </row>
    <row r="224" ht="19.5" customHeight="1">
      <c r="A224" s="41"/>
      <c r="B224" s="378" t="s">
        <v>37</v>
      </c>
      <c r="C224" s="379" t="s">
        <v>273</v>
      </c>
      <c r="D224" s="379" t="s">
        <v>274</v>
      </c>
      <c r="E224" s="379" t="s">
        <v>5</v>
      </c>
      <c r="F224" s="41"/>
      <c r="G224" s="41"/>
      <c r="H224" s="41"/>
      <c r="I224" s="41"/>
      <c r="J224" s="41"/>
      <c r="K224" s="41"/>
      <c r="L224" s="41"/>
      <c r="M224" s="41"/>
      <c r="N224" s="41"/>
      <c r="O224" s="41"/>
      <c r="P224" s="41"/>
      <c r="Q224" s="41"/>
      <c r="R224" s="41"/>
      <c r="S224" s="41"/>
      <c r="T224" s="41"/>
      <c r="U224" s="41"/>
      <c r="V224" s="41"/>
      <c r="W224" s="41"/>
      <c r="X224" s="41"/>
      <c r="Y224" s="41"/>
      <c r="Z224" s="41"/>
    </row>
    <row r="225" ht="19.5" customHeight="1">
      <c r="A225" s="41"/>
      <c r="B225" s="380" t="s">
        <v>3469</v>
      </c>
      <c r="C225" s="111" t="str">
        <f>sample_vvs_dr_mgmt_vc_fqdn</f>
        <v>lax-m01-vc01.lax.rainpole.io</v>
      </c>
      <c r="D225" s="18" t="str">
        <f>vvs_dr_mgmt_vc_fqdn</f>
        <v>Value Missing</v>
      </c>
      <c r="E225" s="191"/>
      <c r="F225" s="41"/>
      <c r="G225" s="41"/>
      <c r="H225" s="41"/>
      <c r="I225" s="41"/>
      <c r="J225" s="41"/>
      <c r="K225" s="41"/>
      <c r="L225" s="41"/>
      <c r="M225" s="41"/>
      <c r="N225" s="41"/>
      <c r="O225" s="41"/>
      <c r="P225" s="41"/>
      <c r="Q225" s="41"/>
      <c r="R225" s="41"/>
      <c r="S225" s="41"/>
      <c r="T225" s="41"/>
      <c r="U225" s="41"/>
      <c r="V225" s="41"/>
      <c r="W225" s="41"/>
      <c r="X225" s="41"/>
      <c r="Y225" s="41"/>
      <c r="Z225" s="41"/>
    </row>
    <row r="226" ht="19.5" customHeight="1">
      <c r="A226" s="41"/>
      <c r="B226" s="380" t="s">
        <v>2081</v>
      </c>
      <c r="C226" s="111" t="str">
        <f>sample_vvs_dr_mgmt_vc_fqdn</f>
        <v>lax-m01-vc01.lax.rainpole.io</v>
      </c>
      <c r="D226" s="18" t="str">
        <f>vvs_dr_mgmt_vc_fqdn</f>
        <v>Value Missing</v>
      </c>
      <c r="E226" s="191"/>
      <c r="F226" s="41"/>
      <c r="G226" s="41"/>
      <c r="H226" s="41"/>
      <c r="I226" s="41"/>
      <c r="J226" s="41"/>
      <c r="K226" s="41"/>
      <c r="L226" s="41"/>
      <c r="M226" s="41"/>
      <c r="N226" s="41"/>
      <c r="O226" s="41"/>
      <c r="P226" s="41"/>
      <c r="Q226" s="41"/>
      <c r="R226" s="41"/>
      <c r="S226" s="41"/>
      <c r="T226" s="41"/>
      <c r="U226" s="41"/>
      <c r="V226" s="41"/>
      <c r="W226" s="41"/>
      <c r="X226" s="41"/>
      <c r="Y226" s="41"/>
      <c r="Z226" s="41"/>
    </row>
    <row r="227" ht="19.5" customHeight="1">
      <c r="A227" s="41"/>
      <c r="B227" s="380" t="s">
        <v>3471</v>
      </c>
      <c r="C227" s="111" t="str">
        <f>sample_vvs_mgmt_dr_vlr_fqdn</f>
        <v>lax-m01-vlr01.lax.rainpole.io</v>
      </c>
      <c r="D227" s="18" t="str">
        <f>vvs_mgmt_dr_vlr_fqdn</f>
        <v>Value Missing</v>
      </c>
      <c r="E227" s="191"/>
      <c r="F227" s="41"/>
      <c r="G227" s="41"/>
      <c r="H227" s="41"/>
      <c r="I227" s="41"/>
      <c r="J227" s="41"/>
      <c r="K227" s="41"/>
      <c r="L227" s="41"/>
      <c r="M227" s="41"/>
      <c r="N227" s="41"/>
      <c r="O227" s="41"/>
      <c r="P227" s="41"/>
      <c r="Q227" s="41"/>
      <c r="R227" s="41"/>
      <c r="S227" s="41"/>
      <c r="T227" s="41"/>
      <c r="U227" s="41"/>
      <c r="V227" s="41"/>
      <c r="W227" s="41"/>
      <c r="X227" s="41"/>
      <c r="Y227" s="41"/>
      <c r="Z227" s="41"/>
    </row>
    <row r="228" ht="19.5" customHeight="1">
      <c r="A228" s="41"/>
      <c r="B228" s="380" t="s">
        <v>3472</v>
      </c>
      <c r="C228" s="110" t="s">
        <v>3473</v>
      </c>
      <c r="D228" s="18"/>
      <c r="E228" s="191"/>
      <c r="F228" s="41"/>
      <c r="G228" s="41"/>
      <c r="H228" s="41"/>
      <c r="I228" s="41"/>
      <c r="J228" s="41"/>
      <c r="K228" s="41"/>
      <c r="L228" s="41"/>
      <c r="M228" s="41"/>
      <c r="N228" s="41"/>
      <c r="O228" s="41"/>
      <c r="P228" s="41"/>
      <c r="Q228" s="41"/>
      <c r="R228" s="41"/>
      <c r="S228" s="41"/>
      <c r="T228" s="41"/>
      <c r="U228" s="41"/>
      <c r="V228" s="41"/>
      <c r="W228" s="41"/>
      <c r="X228" s="41"/>
      <c r="Y228" s="41"/>
      <c r="Z228" s="41"/>
    </row>
    <row r="229" ht="19.5" customHeight="1">
      <c r="A229" s="41"/>
      <c r="B229" s="380" t="s">
        <v>3474</v>
      </c>
      <c r="C229" s="110" t="s">
        <v>3473</v>
      </c>
      <c r="D229" s="18"/>
      <c r="E229" s="19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1"/>
      <c r="C230" s="41"/>
      <c r="D230" s="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33.75" customHeight="1">
      <c r="A231" s="41"/>
      <c r="B231" s="197" t="s">
        <v>3475</v>
      </c>
      <c r="C231" s="13"/>
      <c r="D231" s="13"/>
      <c r="E231" s="14"/>
      <c r="F231" s="41"/>
      <c r="G231" s="41"/>
      <c r="H231" s="41"/>
      <c r="I231" s="41"/>
      <c r="J231" s="41"/>
      <c r="K231" s="41"/>
      <c r="L231" s="41"/>
      <c r="M231" s="41"/>
      <c r="N231" s="41"/>
      <c r="O231" s="41"/>
      <c r="P231" s="41"/>
      <c r="Q231" s="41"/>
      <c r="R231" s="41"/>
      <c r="S231" s="41"/>
      <c r="T231" s="41"/>
      <c r="U231" s="41"/>
      <c r="V231" s="41"/>
      <c r="W231" s="41"/>
      <c r="X231" s="41"/>
      <c r="Y231" s="41"/>
      <c r="Z231" s="41"/>
    </row>
    <row r="232" ht="19.5" customHeight="1">
      <c r="A232" s="41"/>
      <c r="B232" s="102"/>
      <c r="C232" s="13"/>
      <c r="D232" s="13"/>
      <c r="E232" s="14"/>
      <c r="F232" s="41"/>
      <c r="G232" s="41"/>
      <c r="H232" s="41"/>
      <c r="I232" s="41"/>
      <c r="J232" s="41"/>
      <c r="K232" s="41"/>
      <c r="L232" s="41"/>
      <c r="M232" s="41"/>
      <c r="N232" s="41"/>
      <c r="O232" s="41"/>
      <c r="P232" s="41"/>
      <c r="Q232" s="41"/>
      <c r="R232" s="41"/>
      <c r="S232" s="41"/>
      <c r="T232" s="41"/>
      <c r="U232" s="41"/>
      <c r="V232" s="41"/>
      <c r="W232" s="41"/>
      <c r="X232" s="41"/>
      <c r="Y232" s="41"/>
      <c r="Z232" s="41"/>
    </row>
    <row r="233" ht="19.5" customHeight="1">
      <c r="A233" s="41"/>
      <c r="B233" s="378" t="s">
        <v>37</v>
      </c>
      <c r="C233" s="379" t="s">
        <v>273</v>
      </c>
      <c r="D233" s="379" t="s">
        <v>274</v>
      </c>
      <c r="E233" s="379" t="s">
        <v>5</v>
      </c>
      <c r="F233" s="41"/>
      <c r="G233" s="41"/>
      <c r="H233" s="41"/>
      <c r="I233" s="41"/>
      <c r="J233" s="41"/>
      <c r="K233" s="41"/>
      <c r="L233" s="41"/>
      <c r="M233" s="41"/>
      <c r="N233" s="41"/>
      <c r="O233" s="41"/>
      <c r="P233" s="41"/>
      <c r="Q233" s="41"/>
      <c r="R233" s="41"/>
      <c r="S233" s="41"/>
      <c r="T233" s="41"/>
      <c r="U233" s="41"/>
      <c r="V233" s="41"/>
      <c r="W233" s="41"/>
      <c r="X233" s="41"/>
      <c r="Y233" s="41"/>
      <c r="Z233" s="41"/>
    </row>
    <row r="234" ht="19.5" customHeight="1">
      <c r="A234" s="41"/>
      <c r="B234" s="380" t="s">
        <v>3469</v>
      </c>
      <c r="C234" s="111" t="str">
        <f>sample_vvs_dr_mgmt_vc_fqdn</f>
        <v>lax-m01-vc01.lax.rainpole.io</v>
      </c>
      <c r="D234" s="18" t="str">
        <f>vvs_dr_mgmt_vc_fqdn</f>
        <v>Value Missing</v>
      </c>
      <c r="E234" s="191"/>
      <c r="F234" s="41"/>
      <c r="G234" s="41"/>
      <c r="H234" s="41"/>
      <c r="I234" s="41"/>
      <c r="J234" s="41"/>
      <c r="K234" s="41"/>
      <c r="L234" s="41"/>
      <c r="M234" s="41"/>
      <c r="N234" s="41"/>
      <c r="O234" s="41"/>
      <c r="P234" s="41"/>
      <c r="Q234" s="41"/>
      <c r="R234" s="41"/>
      <c r="S234" s="41"/>
      <c r="T234" s="41"/>
      <c r="U234" s="41"/>
      <c r="V234" s="41"/>
      <c r="W234" s="41"/>
      <c r="X234" s="41"/>
      <c r="Y234" s="41"/>
      <c r="Z234" s="41"/>
    </row>
    <row r="235" ht="19.5" customHeight="1">
      <c r="A235" s="41"/>
      <c r="B235" s="380" t="s">
        <v>3476</v>
      </c>
      <c r="C235" s="110" t="str">
        <f>CONCATENATE(sample_mgmt_vc_fqdn," &lt;--&gt; ",sample_mgmt_srm_recovery_vcenter_fqdn)</f>
        <v>lax-m01-vc01.lax.rainpole.io &lt;--&gt; sfo-m01-vc01.sfo.rainpole.io</v>
      </c>
      <c r="D235" s="18" t="str">
        <f>CONCATENATE(vvs_dr_mgmt_vc_fqdn," &lt;--&gt; ",mgmt_srm_recovery_vcenter_fqdn)</f>
        <v>Value Missing &lt;--&gt; Value Missing</v>
      </c>
      <c r="E235" s="191"/>
      <c r="F235" s="41"/>
      <c r="G235" s="41"/>
      <c r="H235" s="41"/>
      <c r="I235" s="41"/>
      <c r="J235" s="41"/>
      <c r="K235" s="41"/>
      <c r="L235" s="41"/>
      <c r="M235" s="41"/>
      <c r="N235" s="41"/>
      <c r="O235" s="41"/>
      <c r="P235" s="41"/>
      <c r="Q235" s="41"/>
      <c r="R235" s="41"/>
      <c r="S235" s="41"/>
      <c r="T235" s="41"/>
      <c r="U235" s="41"/>
      <c r="V235" s="41"/>
      <c r="W235" s="41"/>
      <c r="X235" s="41"/>
      <c r="Y235" s="41"/>
      <c r="Z235" s="41"/>
    </row>
    <row r="236" ht="19.5" customHeight="1">
      <c r="A236" s="41"/>
      <c r="B236" s="84" t="s">
        <v>3477</v>
      </c>
      <c r="C236" s="110" t="str">
        <f>CONCATENATE(sample_mgmt_cl01_vds01_name," --&gt; ",sample_flt_custom_network_x_reg_pg)</f>
        <v>lax-m01-cl01-vds01 --&gt; lax-m01-cl01-vds01-pg-vm-mgmt</v>
      </c>
      <c r="D236" s="18"/>
      <c r="E236" s="191"/>
      <c r="F236" s="41"/>
      <c r="G236" s="41"/>
      <c r="H236" s="41"/>
      <c r="I236" s="41"/>
      <c r="J236" s="41"/>
      <c r="K236" s="41"/>
      <c r="L236" s="41"/>
      <c r="M236" s="41"/>
      <c r="N236" s="41"/>
      <c r="O236" s="41"/>
      <c r="P236" s="41"/>
      <c r="Q236" s="41"/>
      <c r="R236" s="41"/>
      <c r="S236" s="41"/>
      <c r="T236" s="41"/>
      <c r="U236" s="41"/>
      <c r="V236" s="41"/>
      <c r="W236" s="41"/>
      <c r="X236" s="41"/>
      <c r="Y236" s="41"/>
      <c r="Z236" s="41"/>
    </row>
    <row r="237" ht="19.5" customHeight="1">
      <c r="A237" s="41"/>
      <c r="B237" s="84" t="s">
        <v>3478</v>
      </c>
      <c r="C237" s="110" t="str">
        <f>CONCATENATE(other_instance,"-m01-cl01-vds01"," --&gt; ",other_instance,"-m01-cl01-vds01-pg-vm-fleet")</f>
        <v>sfo-m01-cl01-vds01 --&gt; sfo-m01-cl01-vds01-pg-vm-fleet</v>
      </c>
      <c r="D237" s="18"/>
      <c r="E237" s="191"/>
      <c r="F237" s="41"/>
      <c r="G237" s="41"/>
      <c r="H237" s="41"/>
      <c r="I237" s="41"/>
      <c r="J237" s="41"/>
      <c r="K237" s="41"/>
      <c r="L237" s="41"/>
      <c r="M237" s="41"/>
      <c r="N237" s="41"/>
      <c r="O237" s="41"/>
      <c r="P237" s="41"/>
      <c r="Q237" s="41"/>
      <c r="R237" s="41"/>
      <c r="S237" s="41"/>
      <c r="T237" s="41"/>
      <c r="U237" s="41"/>
      <c r="V237" s="41"/>
      <c r="W237" s="41"/>
      <c r="X237" s="41"/>
      <c r="Y237" s="41"/>
      <c r="Z237" s="41"/>
    </row>
    <row r="238" ht="19.5" customHeight="1">
      <c r="A238" s="41"/>
      <c r="B238" s="84" t="s">
        <v>3479</v>
      </c>
      <c r="C238" s="110" t="str">
        <f>CONCATENATE(sample_mgmt_srm_recovery_vcenter_fqdn," --&gt; ",this_instance,"-m01-DC")</f>
        <v>sfo-m01-vc01.sfo.rainpole.io --&gt; lax-m01-DC</v>
      </c>
      <c r="D238" s="18"/>
      <c r="E238" s="191"/>
      <c r="F238" s="41"/>
      <c r="G238" s="41"/>
      <c r="H238" s="41"/>
      <c r="I238" s="41"/>
      <c r="J238" s="41"/>
      <c r="K238" s="41"/>
      <c r="L238" s="41"/>
      <c r="M238" s="41"/>
      <c r="N238" s="41"/>
      <c r="O238" s="41"/>
      <c r="P238" s="41"/>
      <c r="Q238" s="41"/>
      <c r="R238" s="41"/>
      <c r="S238" s="41"/>
      <c r="T238" s="41"/>
      <c r="U238" s="41"/>
      <c r="V238" s="41"/>
      <c r="W238" s="41"/>
      <c r="X238" s="41"/>
      <c r="Y238" s="41"/>
      <c r="Z238" s="41"/>
    </row>
    <row r="239" ht="19.5" customHeight="1">
      <c r="A239" s="41"/>
      <c r="B239" s="84" t="s">
        <v>3480</v>
      </c>
      <c r="C239" s="110" t="str">
        <f>CONCATENATE(sample_mgmt_srm_recovery_vcenter_fqdn," --&gt; ",other_instance,"-m01-DC")</f>
        <v>sfo-m01-vc01.sfo.rainpole.io --&gt; sfo-m01-DC</v>
      </c>
      <c r="D239" s="18"/>
      <c r="E239" s="191"/>
      <c r="F239" s="41"/>
      <c r="G239" s="41"/>
      <c r="H239" s="41"/>
      <c r="I239" s="41"/>
      <c r="J239" s="41"/>
      <c r="K239" s="41"/>
      <c r="L239" s="41"/>
      <c r="M239" s="41"/>
      <c r="N239" s="41"/>
      <c r="O239" s="41"/>
      <c r="P239" s="41"/>
      <c r="Q239" s="41"/>
      <c r="R239" s="41"/>
      <c r="S239" s="41"/>
      <c r="T239" s="41"/>
      <c r="U239" s="41"/>
      <c r="V239" s="41"/>
      <c r="W239" s="41"/>
      <c r="X239" s="41"/>
      <c r="Y239" s="41"/>
      <c r="Z239" s="41"/>
    </row>
    <row r="240" ht="19.5" customHeight="1">
      <c r="A240" s="41"/>
      <c r="B240" s="84" t="s">
        <v>3481</v>
      </c>
      <c r="C240" s="110" t="str">
        <f>CONCATENATE(this_instance,"-m01-DC"," --&gt; ",this_instance,"-m01-cl01")</f>
        <v>lax-m01-DC --&gt; lax-m01-cl01</v>
      </c>
      <c r="D240" s="18"/>
      <c r="E240" s="191"/>
      <c r="F240" s="41"/>
      <c r="G240" s="41"/>
      <c r="H240" s="41"/>
      <c r="I240" s="41"/>
      <c r="J240" s="41"/>
      <c r="K240" s="41"/>
      <c r="L240" s="41"/>
      <c r="M240" s="41"/>
      <c r="N240" s="41"/>
      <c r="O240" s="41"/>
      <c r="P240" s="41"/>
      <c r="Q240" s="41"/>
      <c r="R240" s="41"/>
      <c r="S240" s="41"/>
      <c r="T240" s="41"/>
      <c r="U240" s="41"/>
      <c r="V240" s="41"/>
      <c r="W240" s="41"/>
      <c r="X240" s="41"/>
      <c r="Y240" s="41"/>
      <c r="Z240" s="41"/>
    </row>
    <row r="241" ht="19.5" customHeight="1">
      <c r="A241" s="41"/>
      <c r="B241" s="84" t="s">
        <v>3482</v>
      </c>
      <c r="C241" s="110" t="str">
        <f>CONCATENATE(other_instance,"-m01-DC"," --&gt; ",other_instance,"-m01-cl01")</f>
        <v>sfo-m01-DC --&gt; sfo-m01-cl01</v>
      </c>
      <c r="D241" s="18"/>
      <c r="E241" s="19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1"/>
      <c r="C242" s="41"/>
      <c r="D242" s="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33.75" customHeight="1">
      <c r="A243" s="41"/>
      <c r="B243" s="197" t="s">
        <v>3483</v>
      </c>
      <c r="C243" s="13"/>
      <c r="D243" s="13"/>
      <c r="E243" s="14"/>
      <c r="F243" s="41"/>
      <c r="G243" s="41"/>
      <c r="H243" s="41"/>
      <c r="I243" s="41"/>
      <c r="J243" s="41"/>
      <c r="K243" s="41"/>
      <c r="L243" s="41"/>
      <c r="M243" s="41"/>
      <c r="N243" s="41"/>
      <c r="O243" s="41"/>
      <c r="P243" s="41"/>
      <c r="Q243" s="41"/>
      <c r="R243" s="41"/>
      <c r="S243" s="41"/>
      <c r="T243" s="41"/>
      <c r="U243" s="41"/>
      <c r="V243" s="41"/>
      <c r="W243" s="41"/>
      <c r="X243" s="41"/>
      <c r="Y243" s="41"/>
      <c r="Z243" s="41"/>
    </row>
    <row r="244" ht="19.5" customHeight="1">
      <c r="A244" s="41"/>
      <c r="B244" s="102"/>
      <c r="C244" s="13"/>
      <c r="D244" s="13"/>
      <c r="E244" s="14"/>
      <c r="F244" s="41"/>
      <c r="G244" s="41"/>
      <c r="H244" s="41"/>
      <c r="I244" s="41"/>
      <c r="J244" s="41"/>
      <c r="K244" s="41"/>
      <c r="L244" s="41"/>
      <c r="M244" s="41"/>
      <c r="N244" s="41"/>
      <c r="O244" s="41"/>
      <c r="P244" s="41"/>
      <c r="Q244" s="41"/>
      <c r="R244" s="41"/>
      <c r="S244" s="41"/>
      <c r="T244" s="41"/>
      <c r="U244" s="41"/>
      <c r="V244" s="41"/>
      <c r="W244" s="41"/>
      <c r="X244" s="41"/>
      <c r="Y244" s="41"/>
      <c r="Z244" s="41"/>
    </row>
    <row r="245" ht="19.5" customHeight="1">
      <c r="A245" s="41"/>
      <c r="B245" s="378" t="s">
        <v>37</v>
      </c>
      <c r="C245" s="379" t="s">
        <v>273</v>
      </c>
      <c r="D245" s="379" t="s">
        <v>274</v>
      </c>
      <c r="E245" s="379" t="s">
        <v>5</v>
      </c>
      <c r="F245" s="41"/>
      <c r="G245" s="41"/>
      <c r="H245" s="41"/>
      <c r="I245" s="41"/>
      <c r="J245" s="41"/>
      <c r="K245" s="41"/>
      <c r="L245" s="41"/>
      <c r="M245" s="41"/>
      <c r="N245" s="41"/>
      <c r="O245" s="41"/>
      <c r="P245" s="41"/>
      <c r="Q245" s="41"/>
      <c r="R245" s="41"/>
      <c r="S245" s="41"/>
      <c r="T245" s="41"/>
      <c r="U245" s="41"/>
      <c r="V245" s="41"/>
      <c r="W245" s="41"/>
      <c r="X245" s="41"/>
      <c r="Y245" s="41"/>
      <c r="Z245" s="41"/>
    </row>
    <row r="246" ht="19.5" customHeight="1">
      <c r="A246" s="41"/>
      <c r="B246" s="380" t="s">
        <v>3448</v>
      </c>
      <c r="C246" s="111" t="str">
        <f>sample_vvs_mgmt_dr_vlr_fqdn</f>
        <v>lax-m01-vlr01.lax.rainpole.io</v>
      </c>
      <c r="D246" s="18" t="str">
        <f>vvs_mgmt_dr_vlr_fqdn</f>
        <v>Value Missing</v>
      </c>
      <c r="E246" s="191"/>
      <c r="F246" s="41"/>
      <c r="G246" s="41"/>
      <c r="H246" s="41"/>
      <c r="I246" s="41"/>
      <c r="J246" s="41"/>
      <c r="K246" s="41"/>
      <c r="L246" s="41"/>
      <c r="M246" s="41"/>
      <c r="N246" s="41"/>
      <c r="O246" s="41"/>
      <c r="P246" s="41"/>
      <c r="Q246" s="41"/>
      <c r="R246" s="41"/>
      <c r="S246" s="41"/>
      <c r="T246" s="41"/>
      <c r="U246" s="41"/>
      <c r="V246" s="41"/>
      <c r="W246" s="41"/>
      <c r="X246" s="41"/>
      <c r="Y246" s="41"/>
      <c r="Z246" s="41"/>
    </row>
    <row r="247" ht="19.5" customHeight="1">
      <c r="A247" s="41"/>
      <c r="B247" s="84" t="s">
        <v>3476</v>
      </c>
      <c r="C247" s="110" t="str">
        <f>CONCATENATE(sample_mgmt_vc_fqdn," &lt;--&gt; ",sample_mgmt_srm_recovery_vcenter_fqdn)</f>
        <v>lax-m01-vc01.lax.rainpole.io &lt;--&gt; sfo-m01-vc01.sfo.rainpole.io</v>
      </c>
      <c r="D247" s="18" t="str">
        <f>vs_dr_site_pair</f>
        <v>Value Missing &lt;--&gt; Value Missing</v>
      </c>
      <c r="E247" s="191"/>
      <c r="F247" s="41"/>
      <c r="G247" s="41"/>
      <c r="H247" s="41"/>
      <c r="I247" s="41"/>
      <c r="J247" s="41"/>
      <c r="K247" s="41"/>
      <c r="L247" s="41"/>
      <c r="M247" s="41"/>
      <c r="N247" s="41"/>
      <c r="O247" s="41"/>
      <c r="P247" s="41"/>
      <c r="Q247" s="41"/>
      <c r="R247" s="41"/>
      <c r="S247" s="41"/>
      <c r="T247" s="41"/>
      <c r="U247" s="41"/>
      <c r="V247" s="41"/>
      <c r="W247" s="41"/>
      <c r="X247" s="41"/>
      <c r="Y247" s="41"/>
      <c r="Z247" s="41"/>
    </row>
    <row r="248" ht="19.5" customHeight="1">
      <c r="A248" s="41"/>
      <c r="B248" s="85" t="s">
        <v>3484</v>
      </c>
      <c r="C248" s="110" t="str">
        <f>CONCATENATE(prefix_portable_component,"-fm01")</f>
        <v>flt-fm01</v>
      </c>
      <c r="D248" s="18" t="str">
        <f t="array" ref="D248">vvs_dr_flt_fleet_manager_hostname</f>
        <v>Value Missing</v>
      </c>
      <c r="E248" s="191"/>
      <c r="F248" s="41"/>
      <c r="G248" s="41"/>
      <c r="H248" s="41"/>
      <c r="I248" s="41"/>
      <c r="J248" s="41"/>
      <c r="K248" s="41"/>
      <c r="L248" s="41"/>
      <c r="M248" s="41"/>
      <c r="N248" s="41"/>
      <c r="O248" s="41"/>
      <c r="P248" s="41"/>
      <c r="Q248" s="41"/>
      <c r="R248" s="41"/>
      <c r="S248" s="41"/>
      <c r="T248" s="41"/>
      <c r="U248" s="41"/>
      <c r="V248" s="41"/>
      <c r="W248" s="41"/>
      <c r="X248" s="41"/>
      <c r="Y248" s="41"/>
      <c r="Z248" s="41"/>
    </row>
    <row r="249" ht="19.5" customHeight="1">
      <c r="A249" s="41"/>
      <c r="B249" s="85" t="s">
        <v>3484</v>
      </c>
      <c r="C249" s="110" t="str">
        <f>CONCATENATE(prefix_portable_component,"-ops01a")</f>
        <v>flt-ops01a</v>
      </c>
      <c r="D249" s="18" t="str">
        <f t="array" ref="D249">vvs_dr_flt_ops_nodea_hostname</f>
        <v>Value Missing</v>
      </c>
      <c r="E249" s="191"/>
      <c r="F249" s="41"/>
      <c r="G249" s="41"/>
      <c r="H249" s="41"/>
      <c r="I249" s="41"/>
      <c r="J249" s="41"/>
      <c r="K249" s="41"/>
      <c r="L249" s="41"/>
      <c r="M249" s="41"/>
      <c r="N249" s="41"/>
      <c r="O249" s="41"/>
      <c r="P249" s="41"/>
      <c r="Q249" s="41"/>
      <c r="R249" s="41"/>
      <c r="S249" s="41"/>
      <c r="T249" s="41"/>
      <c r="U249" s="41"/>
      <c r="V249" s="41"/>
      <c r="W249" s="41"/>
      <c r="X249" s="41"/>
      <c r="Y249" s="41"/>
      <c r="Z249" s="41"/>
    </row>
    <row r="250" ht="19.5" customHeight="1">
      <c r="A250" s="41"/>
      <c r="B250" s="85" t="s">
        <v>3484</v>
      </c>
      <c r="C250" s="110" t="str">
        <f>CONCATENATE(prefix_portable_component,"-ops01b")</f>
        <v>flt-ops01b</v>
      </c>
      <c r="D250" s="18" t="str">
        <f t="array" ref="D250">vvs_dr_flt_ops_nodeb_hostname</f>
        <v>Value Missing</v>
      </c>
      <c r="E250" s="191"/>
      <c r="F250" s="41"/>
      <c r="G250" s="41"/>
      <c r="H250" s="41"/>
      <c r="I250" s="41"/>
      <c r="J250" s="41"/>
      <c r="K250" s="41"/>
      <c r="L250" s="41"/>
      <c r="M250" s="41"/>
      <c r="N250" s="41"/>
      <c r="O250" s="41"/>
      <c r="P250" s="41"/>
      <c r="Q250" s="41"/>
      <c r="R250" s="41"/>
      <c r="S250" s="41"/>
      <c r="T250" s="41"/>
      <c r="U250" s="41"/>
      <c r="V250" s="41"/>
      <c r="W250" s="41"/>
      <c r="X250" s="41"/>
      <c r="Y250" s="41"/>
      <c r="Z250" s="41"/>
    </row>
    <row r="251" ht="19.5" customHeight="1">
      <c r="A251" s="41"/>
      <c r="B251" s="85" t="s">
        <v>3484</v>
      </c>
      <c r="C251" s="110" t="str">
        <f>CONCATENATE(prefix_portable_component,"-ops01c")</f>
        <v>flt-ops01c</v>
      </c>
      <c r="D251" s="18" t="str">
        <f t="array" ref="D251">vvs_dr_flt_ops_nodec_hostname</f>
        <v>Value Missing</v>
      </c>
      <c r="E251" s="191"/>
      <c r="F251" s="41"/>
      <c r="G251" s="41"/>
      <c r="H251" s="41"/>
      <c r="I251" s="41"/>
      <c r="J251" s="41"/>
      <c r="K251" s="41"/>
      <c r="L251" s="41"/>
      <c r="M251" s="41"/>
      <c r="N251" s="41"/>
      <c r="O251" s="41"/>
      <c r="P251" s="41"/>
      <c r="Q251" s="41"/>
      <c r="R251" s="41"/>
      <c r="S251" s="41"/>
      <c r="T251" s="41"/>
      <c r="U251" s="41"/>
      <c r="V251" s="41"/>
      <c r="W251" s="41"/>
      <c r="X251" s="41"/>
      <c r="Y251" s="41"/>
      <c r="Z251" s="41"/>
    </row>
    <row r="252" ht="19.5" customHeight="1">
      <c r="A252" s="41"/>
      <c r="B252" s="85" t="s">
        <v>3485</v>
      </c>
      <c r="C252" s="110" t="str">
        <f>CONCATENATE(other_instance,"-m01-cl01-ds-vsan01")</f>
        <v>sfo-m01-cl01-ds-vsan01</v>
      </c>
      <c r="D252" s="18"/>
      <c r="E252" s="191"/>
      <c r="F252" s="41"/>
      <c r="G252" s="41"/>
      <c r="H252" s="41"/>
      <c r="I252" s="41"/>
      <c r="J252" s="41"/>
      <c r="K252" s="41"/>
      <c r="L252" s="41"/>
      <c r="M252" s="41"/>
      <c r="N252" s="41"/>
      <c r="O252" s="41"/>
      <c r="P252" s="41"/>
      <c r="Q252" s="41"/>
      <c r="R252" s="41"/>
      <c r="S252" s="41"/>
      <c r="T252" s="41"/>
      <c r="U252" s="41"/>
      <c r="V252" s="41"/>
      <c r="W252" s="41"/>
      <c r="X252" s="41"/>
      <c r="Y252" s="41"/>
      <c r="Z252" s="41"/>
    </row>
    <row r="253" ht="19.5" customHeight="1">
      <c r="A253" s="41"/>
      <c r="B253" s="85" t="s">
        <v>3486</v>
      </c>
      <c r="C253" s="110">
        <v>15.0</v>
      </c>
      <c r="D253" s="18"/>
      <c r="E253" s="191"/>
      <c r="F253" s="41"/>
      <c r="G253" s="41"/>
      <c r="H253" s="41"/>
      <c r="I253" s="41"/>
      <c r="J253" s="41"/>
      <c r="K253" s="41"/>
      <c r="L253" s="41"/>
      <c r="M253" s="41"/>
      <c r="N253" s="41"/>
      <c r="O253" s="41"/>
      <c r="P253" s="41"/>
      <c r="Q253" s="41"/>
      <c r="R253" s="41"/>
      <c r="S253" s="41"/>
      <c r="T253" s="41"/>
      <c r="U253" s="41"/>
      <c r="V253" s="41"/>
      <c r="W253" s="41"/>
      <c r="X253" s="41"/>
      <c r="Y253" s="41"/>
      <c r="Z253" s="41"/>
    </row>
    <row r="254" ht="19.5" customHeight="1">
      <c r="A254" s="41"/>
      <c r="B254" s="85" t="s">
        <v>2392</v>
      </c>
      <c r="C254" s="110">
        <v>3.0</v>
      </c>
      <c r="D254" s="18"/>
      <c r="E254" s="191"/>
      <c r="F254" s="41"/>
      <c r="G254" s="41"/>
      <c r="H254" s="41"/>
      <c r="I254" s="41"/>
      <c r="J254" s="41"/>
      <c r="K254" s="41"/>
      <c r="L254" s="41"/>
      <c r="M254" s="41"/>
      <c r="N254" s="41"/>
      <c r="O254" s="41"/>
      <c r="P254" s="41"/>
      <c r="Q254" s="41"/>
      <c r="R254" s="41"/>
      <c r="S254" s="41"/>
      <c r="T254" s="41"/>
      <c r="U254" s="41"/>
      <c r="V254" s="41"/>
      <c r="W254" s="41"/>
      <c r="X254" s="41"/>
      <c r="Y254" s="41"/>
      <c r="Z254" s="41"/>
    </row>
    <row r="255" ht="19.5" customHeight="1">
      <c r="A255" s="41"/>
      <c r="B255" s="84" t="s">
        <v>2398</v>
      </c>
      <c r="C255" s="110">
        <v>1.0</v>
      </c>
      <c r="D255" s="18"/>
      <c r="E255" s="191"/>
      <c r="F255" s="41"/>
      <c r="G255" s="41"/>
      <c r="H255" s="41"/>
      <c r="I255" s="41"/>
      <c r="J255" s="41"/>
      <c r="K255" s="41"/>
      <c r="L255" s="41"/>
      <c r="M255" s="41"/>
      <c r="N255" s="41"/>
      <c r="O255" s="41"/>
      <c r="P255" s="41"/>
      <c r="Q255" s="41"/>
      <c r="R255" s="41"/>
      <c r="S255" s="41"/>
      <c r="T255" s="41"/>
      <c r="U255" s="41"/>
      <c r="V255" s="41"/>
      <c r="W255" s="41"/>
      <c r="X255" s="41"/>
      <c r="Y255" s="41"/>
      <c r="Z255" s="41"/>
    </row>
    <row r="256" ht="19.5" customHeight="1">
      <c r="A256" s="41"/>
      <c r="B256" s="84" t="s">
        <v>3487</v>
      </c>
      <c r="C256" s="110" t="s">
        <v>3488</v>
      </c>
      <c r="D256" s="18"/>
      <c r="E256" s="191"/>
      <c r="F256" s="41"/>
      <c r="G256" s="41"/>
      <c r="H256" s="41"/>
      <c r="I256" s="41"/>
      <c r="J256" s="41"/>
      <c r="K256" s="41"/>
      <c r="L256" s="41"/>
      <c r="M256" s="41"/>
      <c r="N256" s="41"/>
      <c r="O256" s="41"/>
      <c r="P256" s="41"/>
      <c r="Q256" s="41"/>
      <c r="R256" s="41"/>
      <c r="S256" s="41"/>
      <c r="T256" s="41"/>
      <c r="U256" s="41"/>
      <c r="V256" s="41"/>
      <c r="W256" s="41"/>
      <c r="X256" s="41"/>
      <c r="Y256" s="41"/>
      <c r="Z256" s="41"/>
    </row>
    <row r="257" ht="19.5" customHeight="1">
      <c r="A257" s="41"/>
      <c r="B257" s="85" t="s">
        <v>3489</v>
      </c>
      <c r="C257" s="110" t="s">
        <v>3490</v>
      </c>
      <c r="D257" s="18"/>
      <c r="E257" s="19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1"/>
      <c r="C258" s="41"/>
      <c r="D258" s="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33.75" customHeight="1">
      <c r="A259" s="41"/>
      <c r="B259" s="197" t="s">
        <v>3491</v>
      </c>
      <c r="C259" s="13"/>
      <c r="D259" s="13"/>
      <c r="E259" s="14"/>
      <c r="F259" s="41"/>
      <c r="G259" s="41"/>
      <c r="H259" s="41"/>
      <c r="I259" s="41"/>
      <c r="J259" s="41"/>
      <c r="K259" s="41"/>
      <c r="L259" s="41"/>
      <c r="M259" s="41"/>
      <c r="N259" s="41"/>
      <c r="O259" s="41"/>
      <c r="P259" s="41"/>
      <c r="Q259" s="41"/>
      <c r="R259" s="41"/>
      <c r="S259" s="41"/>
      <c r="T259" s="41"/>
      <c r="U259" s="41"/>
      <c r="V259" s="41"/>
      <c r="W259" s="41"/>
      <c r="X259" s="41"/>
      <c r="Y259" s="41"/>
      <c r="Z259" s="41"/>
    </row>
    <row r="260" ht="19.5" customHeight="1">
      <c r="A260" s="41"/>
      <c r="B260" s="102"/>
      <c r="C260" s="13"/>
      <c r="D260" s="13"/>
      <c r="E260" s="14"/>
      <c r="F260" s="41"/>
      <c r="G260" s="41"/>
      <c r="H260" s="41"/>
      <c r="I260" s="41"/>
      <c r="J260" s="41"/>
      <c r="K260" s="41"/>
      <c r="L260" s="41"/>
      <c r="M260" s="41"/>
      <c r="N260" s="41"/>
      <c r="O260" s="41"/>
      <c r="P260" s="41"/>
      <c r="Q260" s="41"/>
      <c r="R260" s="41"/>
      <c r="S260" s="41"/>
      <c r="T260" s="41"/>
      <c r="U260" s="41"/>
      <c r="V260" s="41"/>
      <c r="W260" s="41"/>
      <c r="X260" s="41"/>
      <c r="Y260" s="41"/>
      <c r="Z260" s="41"/>
    </row>
    <row r="261" ht="19.5" customHeight="1">
      <c r="A261" s="41"/>
      <c r="B261" s="378" t="s">
        <v>37</v>
      </c>
      <c r="C261" s="379" t="s">
        <v>273</v>
      </c>
      <c r="D261" s="379" t="s">
        <v>274</v>
      </c>
      <c r="E261" s="379" t="s">
        <v>5</v>
      </c>
      <c r="F261" s="41"/>
      <c r="G261" s="41"/>
      <c r="H261" s="41"/>
      <c r="I261" s="41"/>
      <c r="J261" s="41"/>
      <c r="K261" s="41"/>
      <c r="L261" s="41"/>
      <c r="M261" s="41"/>
      <c r="N261" s="41"/>
      <c r="O261" s="41"/>
      <c r="P261" s="41"/>
      <c r="Q261" s="41"/>
      <c r="R261" s="41"/>
      <c r="S261" s="41"/>
      <c r="T261" s="41"/>
      <c r="U261" s="41"/>
      <c r="V261" s="41"/>
      <c r="W261" s="41"/>
      <c r="X261" s="41"/>
      <c r="Y261" s="41"/>
      <c r="Z261" s="41"/>
    </row>
    <row r="262" ht="19.5" customHeight="1">
      <c r="A262" s="41"/>
      <c r="B262" s="380" t="s">
        <v>3448</v>
      </c>
      <c r="C262" s="111" t="str">
        <f>CONCATENATE(sample_vvs_mgmt_dr_vlr_fqdn,"/dr")</f>
        <v>lax-m01-vlr01.lax.rainpole.io/dr</v>
      </c>
      <c r="D262" s="18" t="str">
        <f>CONCATENATE(vvs_mgmt_dr_vlr_fqdn,"/dr")</f>
        <v>Value Missing/dr</v>
      </c>
      <c r="E262" s="191"/>
      <c r="F262" s="41"/>
      <c r="G262" s="41"/>
      <c r="H262" s="41"/>
      <c r="I262" s="41"/>
      <c r="J262" s="41"/>
      <c r="K262" s="41"/>
      <c r="L262" s="41"/>
      <c r="M262" s="41"/>
      <c r="N262" s="41"/>
      <c r="O262" s="41"/>
      <c r="P262" s="41"/>
      <c r="Q262" s="41"/>
      <c r="R262" s="41"/>
      <c r="S262" s="41"/>
      <c r="T262" s="41"/>
      <c r="U262" s="41"/>
      <c r="V262" s="41"/>
      <c r="W262" s="41"/>
      <c r="X262" s="41"/>
      <c r="Y262" s="41"/>
      <c r="Z262" s="41"/>
    </row>
    <row r="263" ht="19.5" customHeight="1">
      <c r="A263" s="41"/>
      <c r="B263" s="380" t="s">
        <v>3476</v>
      </c>
      <c r="C263" s="110" t="str">
        <f>CONCATENATE(sample_mgmt_vc_fqdn," &lt;--&gt; ",sample_mgmt_srm_recovery_vcenter_fqdn)</f>
        <v>lax-m01-vc01.lax.rainpole.io &lt;--&gt; sfo-m01-vc01.sfo.rainpole.io</v>
      </c>
      <c r="D263" s="18" t="str">
        <f>vs_dr_site_pair</f>
        <v>Value Missing &lt;--&gt; Value Missing</v>
      </c>
      <c r="E263" s="191"/>
      <c r="F263" s="41"/>
      <c r="G263" s="41"/>
      <c r="H263" s="41"/>
      <c r="I263" s="41"/>
      <c r="J263" s="41"/>
      <c r="K263" s="41"/>
      <c r="L263" s="41"/>
      <c r="M263" s="41"/>
      <c r="N263" s="41"/>
      <c r="O263" s="41"/>
      <c r="P263" s="41"/>
      <c r="Q263" s="41"/>
      <c r="R263" s="41"/>
      <c r="S263" s="41"/>
      <c r="T263" s="41"/>
      <c r="U263" s="41"/>
      <c r="V263" s="41"/>
      <c r="W263" s="41"/>
      <c r="X263" s="41"/>
      <c r="Y263" s="41"/>
      <c r="Z263" s="41"/>
    </row>
    <row r="264" ht="19.5" customHeight="1">
      <c r="A264" s="41"/>
      <c r="B264" s="380" t="s">
        <v>3492</v>
      </c>
      <c r="C264" s="110" t="str">
        <f>sample_mgmt_srm_vrops_rp</f>
        <v>VCF-OPS-RP</v>
      </c>
      <c r="D264" s="18" t="str">
        <f>mgmt_srm_vrops_rp</f>
        <v>Value Missing</v>
      </c>
      <c r="E264" s="191"/>
      <c r="F264" s="41"/>
      <c r="G264" s="41"/>
      <c r="H264" s="41"/>
      <c r="I264" s="41"/>
      <c r="J264" s="41"/>
      <c r="K264" s="41"/>
      <c r="L264" s="41"/>
      <c r="M264" s="41"/>
      <c r="N264" s="41"/>
      <c r="O264" s="41"/>
      <c r="P264" s="41"/>
      <c r="Q264" s="41"/>
      <c r="R264" s="41"/>
      <c r="S264" s="41"/>
      <c r="T264" s="41"/>
      <c r="U264" s="41"/>
      <c r="V264" s="41"/>
      <c r="W264" s="41"/>
      <c r="X264" s="41"/>
      <c r="Y264" s="41"/>
      <c r="Z264" s="41"/>
    </row>
    <row r="265" ht="19.5" customHeight="1">
      <c r="A265" s="41"/>
      <c r="B265" s="380" t="s">
        <v>3493</v>
      </c>
      <c r="C265" s="110" t="str">
        <f>CONCATENATE(prefix_portable_component,"-fm01")</f>
        <v>flt-fm01</v>
      </c>
      <c r="D265" s="18" t="str">
        <f>vvs_dr_flt_fleet_manager_hostname</f>
        <v>Value Missing</v>
      </c>
      <c r="E265" s="191"/>
      <c r="F265" s="41"/>
      <c r="G265" s="41"/>
      <c r="H265" s="41"/>
      <c r="I265" s="41"/>
      <c r="J265" s="41"/>
      <c r="K265" s="41"/>
      <c r="L265" s="41"/>
      <c r="M265" s="41"/>
      <c r="N265" s="41"/>
      <c r="O265" s="41"/>
      <c r="P265" s="41"/>
      <c r="Q265" s="41"/>
      <c r="R265" s="41"/>
      <c r="S265" s="41"/>
      <c r="T265" s="41"/>
      <c r="U265" s="41"/>
      <c r="V265" s="41"/>
      <c r="W265" s="41"/>
      <c r="X265" s="41"/>
      <c r="Y265" s="41"/>
      <c r="Z265" s="41"/>
    </row>
    <row r="266" ht="19.5" customHeight="1">
      <c r="A266" s="41"/>
      <c r="B266" s="380" t="s">
        <v>3494</v>
      </c>
      <c r="C266" s="110" t="str">
        <f>CONCATENATE(prefix_portable_component,"-ops01a")</f>
        <v>flt-ops01a</v>
      </c>
      <c r="D266" s="18" t="str">
        <f t="array" ref="D266">vvs_dr_flt_ops_nodea_hostname</f>
        <v>Value Missing</v>
      </c>
      <c r="E266" s="191"/>
      <c r="F266" s="41"/>
      <c r="G266" s="41"/>
      <c r="H266" s="41"/>
      <c r="I266" s="41"/>
      <c r="J266" s="41"/>
      <c r="K266" s="41"/>
      <c r="L266" s="41"/>
      <c r="M266" s="41"/>
      <c r="N266" s="41"/>
      <c r="O266" s="41"/>
      <c r="P266" s="41"/>
      <c r="Q266" s="41"/>
      <c r="R266" s="41"/>
      <c r="S266" s="41"/>
      <c r="T266" s="41"/>
      <c r="U266" s="41"/>
      <c r="V266" s="41"/>
      <c r="W266" s="41"/>
      <c r="X266" s="41"/>
      <c r="Y266" s="41"/>
      <c r="Z266" s="41"/>
    </row>
    <row r="267" ht="19.5" customHeight="1">
      <c r="A267" s="41"/>
      <c r="B267" s="380" t="s">
        <v>3495</v>
      </c>
      <c r="C267" s="110" t="str">
        <f>CONCATENATE(prefix_portable_component,"-ops01b")</f>
        <v>flt-ops01b</v>
      </c>
      <c r="D267" s="18" t="str">
        <f t="array" ref="D267">vvs_dr_flt_ops_nodeb_hostname</f>
        <v>Value Missing</v>
      </c>
      <c r="E267" s="191"/>
      <c r="F267" s="41"/>
      <c r="G267" s="41"/>
      <c r="H267" s="41"/>
      <c r="I267" s="41"/>
      <c r="J267" s="41"/>
      <c r="K267" s="41"/>
      <c r="L267" s="41"/>
      <c r="M267" s="41"/>
      <c r="N267" s="41"/>
      <c r="O267" s="41"/>
      <c r="P267" s="41"/>
      <c r="Q267" s="41"/>
      <c r="R267" s="41"/>
      <c r="S267" s="41"/>
      <c r="T267" s="41"/>
      <c r="U267" s="41"/>
      <c r="V267" s="41"/>
      <c r="W267" s="41"/>
      <c r="X267" s="41"/>
      <c r="Y267" s="41"/>
      <c r="Z267" s="41"/>
    </row>
    <row r="268" ht="19.5" customHeight="1">
      <c r="A268" s="41"/>
      <c r="B268" s="380" t="s">
        <v>3496</v>
      </c>
      <c r="C268" s="110" t="str">
        <f>CONCATENATE(prefix_portable_component,"-ops01c")</f>
        <v>flt-ops01c</v>
      </c>
      <c r="D268" s="18" t="str">
        <f t="array" ref="D268">vvs_dr_flt_ops_nodec_hostname</f>
        <v>Value Missing</v>
      </c>
      <c r="E268" s="19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1"/>
      <c r="C269" s="41"/>
      <c r="D269" s="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33.75" customHeight="1">
      <c r="A270" s="41"/>
      <c r="B270" s="197" t="s">
        <v>3497</v>
      </c>
      <c r="C270" s="13"/>
      <c r="D270" s="13"/>
      <c r="E270" s="14"/>
      <c r="F270" s="41"/>
      <c r="G270" s="41"/>
      <c r="H270" s="41"/>
      <c r="I270" s="41"/>
      <c r="J270" s="41"/>
      <c r="K270" s="41"/>
      <c r="L270" s="41"/>
      <c r="M270" s="41"/>
      <c r="N270" s="41"/>
      <c r="O270" s="41"/>
      <c r="P270" s="41"/>
      <c r="Q270" s="41"/>
      <c r="R270" s="41"/>
      <c r="S270" s="41"/>
      <c r="T270" s="41"/>
      <c r="U270" s="41"/>
      <c r="V270" s="41"/>
      <c r="W270" s="41"/>
      <c r="X270" s="41"/>
      <c r="Y270" s="41"/>
      <c r="Z270" s="41"/>
    </row>
    <row r="271" ht="19.5" customHeight="1">
      <c r="A271" s="41"/>
      <c r="B271" s="102"/>
      <c r="C271" s="13"/>
      <c r="D271" s="13"/>
      <c r="E271" s="14"/>
      <c r="F271" s="41"/>
      <c r="G271" s="41"/>
      <c r="H271" s="41"/>
      <c r="I271" s="41"/>
      <c r="J271" s="41"/>
      <c r="K271" s="41"/>
      <c r="L271" s="41"/>
      <c r="M271" s="41"/>
      <c r="N271" s="41"/>
      <c r="O271" s="41"/>
      <c r="P271" s="41"/>
      <c r="Q271" s="41"/>
      <c r="R271" s="41"/>
      <c r="S271" s="41"/>
      <c r="T271" s="41"/>
      <c r="U271" s="41"/>
      <c r="V271" s="41"/>
      <c r="W271" s="41"/>
      <c r="X271" s="41"/>
      <c r="Y271" s="41"/>
      <c r="Z271" s="41"/>
    </row>
    <row r="272" ht="19.5" customHeight="1">
      <c r="A272" s="41"/>
      <c r="B272" s="378" t="s">
        <v>37</v>
      </c>
      <c r="C272" s="379" t="s">
        <v>273</v>
      </c>
      <c r="D272" s="379" t="s">
        <v>274</v>
      </c>
      <c r="E272" s="379" t="s">
        <v>5</v>
      </c>
      <c r="F272" s="41"/>
      <c r="G272" s="41"/>
      <c r="H272" s="41"/>
      <c r="I272" s="41"/>
      <c r="J272" s="41"/>
      <c r="K272" s="41"/>
      <c r="L272" s="41"/>
      <c r="M272" s="41"/>
      <c r="N272" s="41"/>
      <c r="O272" s="41"/>
      <c r="P272" s="41"/>
      <c r="Q272" s="41"/>
      <c r="R272" s="41"/>
      <c r="S272" s="41"/>
      <c r="T272" s="41"/>
      <c r="U272" s="41"/>
      <c r="V272" s="41"/>
      <c r="W272" s="41"/>
      <c r="X272" s="41"/>
      <c r="Y272" s="41"/>
      <c r="Z272" s="41"/>
    </row>
    <row r="273" ht="19.5" customHeight="1">
      <c r="A273" s="41"/>
      <c r="B273" s="380" t="s">
        <v>3448</v>
      </c>
      <c r="C273" s="111" t="str">
        <f>CONCATENATE(sample_vvs_mgmt_dr_vlr_fqdn,"/dr")</f>
        <v>lax-m01-vlr01.lax.rainpole.io/dr</v>
      </c>
      <c r="D273" s="18" t="str">
        <f>CONCATENATE(vvs_mgmt_dr_vlr_fqdn,"/dr")</f>
        <v>Value Missing/dr</v>
      </c>
      <c r="E273" s="191"/>
      <c r="F273" s="41"/>
      <c r="G273" s="41"/>
      <c r="H273" s="41"/>
      <c r="I273" s="41"/>
      <c r="J273" s="41"/>
      <c r="K273" s="41"/>
      <c r="L273" s="41"/>
      <c r="M273" s="41"/>
      <c r="N273" s="41"/>
      <c r="O273" s="41"/>
      <c r="P273" s="41"/>
      <c r="Q273" s="41"/>
      <c r="R273" s="41"/>
      <c r="S273" s="41"/>
      <c r="T273" s="41"/>
      <c r="U273" s="41"/>
      <c r="V273" s="41"/>
      <c r="W273" s="41"/>
      <c r="X273" s="41"/>
      <c r="Y273" s="41"/>
      <c r="Z273" s="41"/>
    </row>
    <row r="274" ht="19.5" customHeight="1">
      <c r="A274" s="41"/>
      <c r="B274" s="380" t="s">
        <v>3476</v>
      </c>
      <c r="C274" s="110" t="str">
        <f>CONCATENATE(sample_mgmt_vc_fqdn," &lt;--&gt; ",sample_mgmt_srm_recovery_vcenter_fqdn)</f>
        <v>lax-m01-vc01.lax.rainpole.io &lt;--&gt; sfo-m01-vc01.sfo.rainpole.io</v>
      </c>
      <c r="D274" s="18" t="str">
        <f>vs_dr_site_pair</f>
        <v>Value Missing &lt;--&gt; Value Missing</v>
      </c>
      <c r="E274" s="191"/>
      <c r="F274" s="41"/>
      <c r="G274" s="41"/>
      <c r="H274" s="41"/>
      <c r="I274" s="41"/>
      <c r="J274" s="41"/>
      <c r="K274" s="41"/>
      <c r="L274" s="41"/>
      <c r="M274" s="41"/>
      <c r="N274" s="41"/>
      <c r="O274" s="41"/>
      <c r="P274" s="41"/>
      <c r="Q274" s="41"/>
      <c r="R274" s="41"/>
      <c r="S274" s="41"/>
      <c r="T274" s="41"/>
      <c r="U274" s="41"/>
      <c r="V274" s="41"/>
      <c r="W274" s="41"/>
      <c r="X274" s="41"/>
      <c r="Y274" s="41"/>
      <c r="Z274" s="41"/>
    </row>
    <row r="275" ht="19.5" customHeight="1">
      <c r="A275" s="41"/>
      <c r="B275" s="380" t="s">
        <v>3498</v>
      </c>
      <c r="C275" s="110" t="str">
        <f>CONCATENATE(prefix_portable_component,"-logs01a")</f>
        <v>flt-logs01a</v>
      </c>
      <c r="D275" s="18" t="str">
        <f>vvs_dr_flt_logs_nodea_hostname</f>
        <v>Value Missing</v>
      </c>
      <c r="E275" s="191"/>
      <c r="F275" s="41"/>
      <c r="G275" s="41"/>
      <c r="H275" s="41"/>
      <c r="I275" s="41"/>
      <c r="J275" s="41"/>
      <c r="K275" s="41"/>
      <c r="L275" s="41"/>
      <c r="M275" s="41"/>
      <c r="N275" s="41"/>
      <c r="O275" s="41"/>
      <c r="P275" s="41"/>
      <c r="Q275" s="41"/>
      <c r="R275" s="41"/>
      <c r="S275" s="41"/>
      <c r="T275" s="41"/>
      <c r="U275" s="41"/>
      <c r="V275" s="41"/>
      <c r="W275" s="41"/>
      <c r="X275" s="41"/>
      <c r="Y275" s="41"/>
      <c r="Z275" s="41"/>
    </row>
    <row r="276" ht="19.5" customHeight="1">
      <c r="A276" s="41"/>
      <c r="B276" s="380" t="s">
        <v>3499</v>
      </c>
      <c r="C276" s="110" t="str">
        <f>CONCATENATE(prefix_portable_component,"-logs01b")</f>
        <v>flt-logs01b</v>
      </c>
      <c r="D276" s="18" t="str">
        <f>vvs_dr_flt_logs_nodeb_hostname</f>
        <v>Value Missing</v>
      </c>
      <c r="E276" s="191"/>
      <c r="F276" s="41"/>
      <c r="G276" s="41"/>
      <c r="H276" s="41"/>
      <c r="I276" s="41"/>
      <c r="J276" s="41"/>
      <c r="K276" s="41"/>
      <c r="L276" s="41"/>
      <c r="M276" s="41"/>
      <c r="N276" s="41"/>
      <c r="O276" s="41"/>
      <c r="P276" s="41"/>
      <c r="Q276" s="41"/>
      <c r="R276" s="41"/>
      <c r="S276" s="41"/>
      <c r="T276" s="41"/>
      <c r="U276" s="41"/>
      <c r="V276" s="41"/>
      <c r="W276" s="41"/>
      <c r="X276" s="41"/>
      <c r="Y276" s="41"/>
      <c r="Z276" s="41"/>
    </row>
    <row r="277" ht="19.5" customHeight="1">
      <c r="A277" s="41"/>
      <c r="B277" s="380" t="s">
        <v>3500</v>
      </c>
      <c r="C277" s="110" t="str">
        <f>CONCATENATE(prefix_portable_component,"-logs01c")</f>
        <v>flt-logs01c</v>
      </c>
      <c r="D277" s="18" t="str">
        <f>vvs_dr_flt_logs_nodec_hostname</f>
        <v>Value Missing</v>
      </c>
      <c r="E277" s="191"/>
      <c r="F277" s="41"/>
      <c r="G277" s="41"/>
      <c r="H277" s="41"/>
      <c r="I277" s="41"/>
      <c r="J277" s="41"/>
      <c r="K277" s="41"/>
      <c r="L277" s="41"/>
      <c r="M277" s="41"/>
      <c r="N277" s="41"/>
      <c r="O277" s="41"/>
      <c r="P277" s="41"/>
      <c r="Q277" s="41"/>
      <c r="R277" s="41"/>
      <c r="S277" s="41"/>
      <c r="T277" s="41"/>
      <c r="U277" s="41"/>
      <c r="V277" s="41"/>
      <c r="W277" s="41"/>
      <c r="X277" s="41"/>
      <c r="Y277" s="41"/>
      <c r="Z277" s="41"/>
    </row>
    <row r="278" ht="19.5" customHeight="1">
      <c r="A278" s="41"/>
      <c r="B278" s="380" t="s">
        <v>3485</v>
      </c>
      <c r="C278" s="110" t="str">
        <f>sample_mgmt_srm_recovery_datastore</f>
        <v>sfo-m01-cl01-ds-vsan01</v>
      </c>
      <c r="D278" s="18" t="str">
        <f>mgmt_srm_recovery_datastore</f>
        <v>Value Missing</v>
      </c>
      <c r="E278" s="191"/>
      <c r="F278" s="41"/>
      <c r="G278" s="41"/>
      <c r="H278" s="41"/>
      <c r="I278" s="41"/>
      <c r="J278" s="41"/>
      <c r="K278" s="41"/>
      <c r="L278" s="41"/>
      <c r="M278" s="41"/>
      <c r="N278" s="41"/>
      <c r="O278" s="41"/>
      <c r="P278" s="41"/>
      <c r="Q278" s="41"/>
      <c r="R278" s="41"/>
      <c r="S278" s="41"/>
      <c r="T278" s="41"/>
      <c r="U278" s="41"/>
      <c r="V278" s="41"/>
      <c r="W278" s="41"/>
      <c r="X278" s="41"/>
      <c r="Y278" s="41"/>
      <c r="Z278" s="41"/>
    </row>
    <row r="279" ht="19.5" customHeight="1">
      <c r="A279" s="41"/>
      <c r="B279" s="380" t="s">
        <v>3486</v>
      </c>
      <c r="C279" s="110">
        <f>sample_mgmt_srm_rpo</f>
        <v>15</v>
      </c>
      <c r="D279" s="18" t="str">
        <f>mgmt_srm_rpo</f>
        <v>Value Missing</v>
      </c>
      <c r="E279" s="191"/>
      <c r="F279" s="41"/>
      <c r="G279" s="41"/>
      <c r="H279" s="41"/>
      <c r="I279" s="41"/>
      <c r="J279" s="41"/>
      <c r="K279" s="41"/>
      <c r="L279" s="41"/>
      <c r="M279" s="41"/>
      <c r="N279" s="41"/>
      <c r="O279" s="41"/>
      <c r="P279" s="41"/>
      <c r="Q279" s="41"/>
      <c r="R279" s="41"/>
      <c r="S279" s="41"/>
      <c r="T279" s="41"/>
      <c r="U279" s="41"/>
      <c r="V279" s="41"/>
      <c r="W279" s="41"/>
      <c r="X279" s="41"/>
      <c r="Y279" s="41"/>
      <c r="Z279" s="41"/>
    </row>
    <row r="280" ht="19.5" customHeight="1">
      <c r="A280" s="41"/>
      <c r="B280" s="380" t="s">
        <v>2392</v>
      </c>
      <c r="C280" s="110">
        <f>sample_mgmt_srm_instances_per_day</f>
        <v>3</v>
      </c>
      <c r="D280" s="18" t="str">
        <f>mgmt_srm_instances_per_day</f>
        <v>Value Missing</v>
      </c>
      <c r="E280" s="191"/>
      <c r="F280" s="41"/>
      <c r="G280" s="41"/>
      <c r="H280" s="41"/>
      <c r="I280" s="41"/>
      <c r="J280" s="41"/>
      <c r="K280" s="41"/>
      <c r="L280" s="41"/>
      <c r="M280" s="41"/>
      <c r="N280" s="41"/>
      <c r="O280" s="41"/>
      <c r="P280" s="41"/>
      <c r="Q280" s="41"/>
      <c r="R280" s="41"/>
      <c r="S280" s="41"/>
      <c r="T280" s="41"/>
      <c r="U280" s="41"/>
      <c r="V280" s="41"/>
      <c r="W280" s="41"/>
      <c r="X280" s="41"/>
      <c r="Y280" s="41"/>
      <c r="Z280" s="41"/>
    </row>
    <row r="281" ht="19.5" customHeight="1">
      <c r="A281" s="41"/>
      <c r="B281" s="380" t="s">
        <v>2398</v>
      </c>
      <c r="C281" s="110">
        <f>sample_mgmt_srm_days</f>
        <v>1</v>
      </c>
      <c r="D281" s="18" t="str">
        <f>mgmt_srm_days</f>
        <v>Value Missing</v>
      </c>
      <c r="E281" s="191"/>
      <c r="F281" s="41"/>
      <c r="G281" s="41"/>
      <c r="H281" s="41"/>
      <c r="I281" s="41"/>
      <c r="J281" s="41"/>
      <c r="K281" s="41"/>
      <c r="L281" s="41"/>
      <c r="M281" s="41"/>
      <c r="N281" s="41"/>
      <c r="O281" s="41"/>
      <c r="P281" s="41"/>
      <c r="Q281" s="41"/>
      <c r="R281" s="41"/>
      <c r="S281" s="41"/>
      <c r="T281" s="41"/>
      <c r="U281" s="41"/>
      <c r="V281" s="41"/>
      <c r="W281" s="41"/>
      <c r="X281" s="41"/>
      <c r="Y281" s="41"/>
      <c r="Z281" s="41"/>
    </row>
    <row r="282" ht="19.5" customHeight="1">
      <c r="A282" s="41"/>
      <c r="B282" s="380" t="s">
        <v>3487</v>
      </c>
      <c r="C282" s="110" t="s">
        <v>3501</v>
      </c>
      <c r="D282" s="18"/>
      <c r="E282" s="191"/>
      <c r="F282" s="41"/>
      <c r="G282" s="41"/>
      <c r="H282" s="41"/>
      <c r="I282" s="41"/>
      <c r="J282" s="41"/>
      <c r="K282" s="41"/>
      <c r="L282" s="41"/>
      <c r="M282" s="41"/>
      <c r="N282" s="41"/>
      <c r="O282" s="41"/>
      <c r="P282" s="41"/>
      <c r="Q282" s="41"/>
      <c r="R282" s="41"/>
      <c r="S282" s="41"/>
      <c r="T282" s="41"/>
      <c r="U282" s="41"/>
      <c r="V282" s="41"/>
      <c r="W282" s="41"/>
      <c r="X282" s="41"/>
      <c r="Y282" s="41"/>
      <c r="Z282" s="41"/>
    </row>
    <row r="283" ht="19.5" customHeight="1">
      <c r="A283" s="41"/>
      <c r="B283" s="380" t="s">
        <v>3489</v>
      </c>
      <c r="C283" s="110" t="s">
        <v>3502</v>
      </c>
      <c r="D283" s="18"/>
      <c r="E283" s="19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382"/>
      <c r="C284" s="210"/>
      <c r="D284" s="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33.75" customHeight="1">
      <c r="A285" s="41"/>
      <c r="B285" s="197" t="s">
        <v>3503</v>
      </c>
      <c r="C285" s="13"/>
      <c r="D285" s="13"/>
      <c r="E285" s="14"/>
      <c r="F285" s="41"/>
      <c r="G285" s="41"/>
      <c r="H285" s="41"/>
      <c r="I285" s="41"/>
      <c r="J285" s="41"/>
      <c r="K285" s="41"/>
      <c r="L285" s="41"/>
      <c r="M285" s="41"/>
      <c r="N285" s="41"/>
      <c r="O285" s="41"/>
      <c r="P285" s="41"/>
      <c r="Q285" s="41"/>
      <c r="R285" s="41"/>
      <c r="S285" s="41"/>
      <c r="T285" s="41"/>
      <c r="U285" s="41"/>
      <c r="V285" s="41"/>
      <c r="W285" s="41"/>
      <c r="X285" s="41"/>
      <c r="Y285" s="41"/>
      <c r="Z285" s="41"/>
    </row>
    <row r="286" ht="19.5" customHeight="1">
      <c r="A286" s="41"/>
      <c r="B286" s="102"/>
      <c r="C286" s="13"/>
      <c r="D286" s="13"/>
      <c r="E286" s="14"/>
      <c r="F286" s="41"/>
      <c r="G286" s="41"/>
      <c r="H286" s="41"/>
      <c r="I286" s="41"/>
      <c r="J286" s="41"/>
      <c r="K286" s="41"/>
      <c r="L286" s="41"/>
      <c r="M286" s="41"/>
      <c r="N286" s="41"/>
      <c r="O286" s="41"/>
      <c r="P286" s="41"/>
      <c r="Q286" s="41"/>
      <c r="R286" s="41"/>
      <c r="S286" s="41"/>
      <c r="T286" s="41"/>
      <c r="U286" s="41"/>
      <c r="V286" s="41"/>
      <c r="W286" s="41"/>
      <c r="X286" s="41"/>
      <c r="Y286" s="41"/>
      <c r="Z286" s="41"/>
    </row>
    <row r="287" ht="19.5" customHeight="1">
      <c r="A287" s="41"/>
      <c r="B287" s="108" t="s">
        <v>256</v>
      </c>
      <c r="C287" s="108" t="s">
        <v>722</v>
      </c>
      <c r="D287" s="108" t="s">
        <v>274</v>
      </c>
      <c r="E287" s="108" t="s">
        <v>5</v>
      </c>
      <c r="F287" s="41"/>
      <c r="G287" s="41"/>
      <c r="H287" s="41"/>
      <c r="I287" s="41"/>
      <c r="J287" s="41"/>
      <c r="K287" s="41"/>
      <c r="L287" s="41"/>
      <c r="M287" s="41"/>
      <c r="N287" s="41"/>
      <c r="O287" s="41"/>
      <c r="P287" s="41"/>
      <c r="Q287" s="41"/>
      <c r="R287" s="41"/>
      <c r="S287" s="41"/>
      <c r="T287" s="41"/>
      <c r="U287" s="41"/>
      <c r="V287" s="41"/>
      <c r="W287" s="41"/>
      <c r="X287" s="41"/>
      <c r="Y287" s="41"/>
      <c r="Z287" s="41"/>
    </row>
    <row r="288" ht="19.5" customHeight="1">
      <c r="A288" s="41"/>
      <c r="B288" s="380" t="s">
        <v>3448</v>
      </c>
      <c r="C288" s="111" t="str">
        <f>CONCATENATE(sample_vvs_mgmt_dr_vlr_fqdn,"/dr")</f>
        <v>lax-m01-vlr01.lax.rainpole.io/dr</v>
      </c>
      <c r="D288" s="18" t="str">
        <f>CONCATENATE(vvs_mgmt_dr_vlr_fqdn,"/dr")</f>
        <v>Value Missing/dr</v>
      </c>
      <c r="E288" s="191"/>
      <c r="F288" s="41"/>
      <c r="G288" s="41"/>
      <c r="H288" s="41"/>
      <c r="I288" s="41"/>
      <c r="J288" s="41"/>
      <c r="K288" s="41"/>
      <c r="L288" s="41"/>
      <c r="M288" s="41"/>
      <c r="N288" s="41"/>
      <c r="O288" s="41"/>
      <c r="P288" s="41"/>
      <c r="Q288" s="41"/>
      <c r="R288" s="41"/>
      <c r="S288" s="41"/>
      <c r="T288" s="41"/>
      <c r="U288" s="41"/>
      <c r="V288" s="41"/>
      <c r="W288" s="41"/>
      <c r="X288" s="41"/>
      <c r="Y288" s="41"/>
      <c r="Z288" s="41"/>
    </row>
    <row r="289" ht="19.5" customHeight="1">
      <c r="A289" s="41"/>
      <c r="B289" s="380" t="s">
        <v>3476</v>
      </c>
      <c r="C289" s="110" t="str">
        <f>CONCATENATE(sample_mgmt_vc_fqdn," &lt;--&gt; ",sample_mgmt_srm_recovery_vcenter_fqdn)</f>
        <v>lax-m01-vc01.lax.rainpole.io &lt;--&gt; sfo-m01-vc01.sfo.rainpole.io</v>
      </c>
      <c r="D289" s="18" t="str">
        <f>vs_dr_site_pair</f>
        <v>Value Missing &lt;--&gt; Value Missing</v>
      </c>
      <c r="E289" s="191"/>
      <c r="F289" s="41"/>
      <c r="G289" s="41"/>
      <c r="H289" s="41"/>
      <c r="I289" s="41"/>
      <c r="J289" s="41"/>
      <c r="K289" s="41"/>
      <c r="L289" s="41"/>
      <c r="M289" s="41"/>
      <c r="N289" s="41"/>
      <c r="O289" s="41"/>
      <c r="P289" s="41"/>
      <c r="Q289" s="41"/>
      <c r="R289" s="41"/>
      <c r="S289" s="41"/>
      <c r="T289" s="41"/>
      <c r="U289" s="41"/>
      <c r="V289" s="41"/>
      <c r="W289" s="41"/>
      <c r="X289" s="41"/>
      <c r="Y289" s="41"/>
      <c r="Z289" s="41"/>
    </row>
    <row r="290" ht="19.5" customHeight="1">
      <c r="A290" s="41"/>
      <c r="B290" s="380" t="s">
        <v>3492</v>
      </c>
      <c r="C290" s="110" t="str">
        <f>sample_mgmt_srm_logs_rp</f>
        <v>VCF-OPS-LOGS-RP</v>
      </c>
      <c r="D290" s="18" t="str">
        <f t="array" ref="D290">mgmt_srm_logs_rp</f>
        <v>Value Missing</v>
      </c>
      <c r="E290" s="191"/>
      <c r="F290" s="41"/>
      <c r="G290" s="41"/>
      <c r="H290" s="41"/>
      <c r="I290" s="41"/>
      <c r="J290" s="41"/>
      <c r="K290" s="41"/>
      <c r="L290" s="41"/>
      <c r="M290" s="41"/>
      <c r="N290" s="41"/>
      <c r="O290" s="41"/>
      <c r="P290" s="41"/>
      <c r="Q290" s="41"/>
      <c r="R290" s="41"/>
      <c r="S290" s="41"/>
      <c r="T290" s="41"/>
      <c r="U290" s="41"/>
      <c r="V290" s="41"/>
      <c r="W290" s="41"/>
      <c r="X290" s="41"/>
      <c r="Y290" s="41"/>
      <c r="Z290" s="41"/>
    </row>
    <row r="291" ht="19.5" customHeight="1">
      <c r="A291" s="41"/>
      <c r="B291" s="380" t="s">
        <v>3498</v>
      </c>
      <c r="C291" s="110" t="str">
        <f>CONCATENATE(prefix_portable_component,"-logs01a")</f>
        <v>flt-logs01a</v>
      </c>
      <c r="D291" s="18" t="str">
        <f>vvs_dr_flt_logs_nodea_hostname</f>
        <v>Value Missing</v>
      </c>
      <c r="E291" s="191"/>
      <c r="F291" s="41"/>
      <c r="G291" s="41"/>
      <c r="H291" s="41"/>
      <c r="I291" s="41"/>
      <c r="J291" s="41"/>
      <c r="K291" s="41"/>
      <c r="L291" s="41"/>
      <c r="M291" s="41"/>
      <c r="N291" s="41"/>
      <c r="O291" s="41"/>
      <c r="P291" s="41"/>
      <c r="Q291" s="41"/>
      <c r="R291" s="41"/>
      <c r="S291" s="41"/>
      <c r="T291" s="41"/>
      <c r="U291" s="41"/>
      <c r="V291" s="41"/>
      <c r="W291" s="41"/>
      <c r="X291" s="41"/>
      <c r="Y291" s="41"/>
      <c r="Z291" s="41"/>
    </row>
    <row r="292" ht="19.5" customHeight="1">
      <c r="A292" s="41"/>
      <c r="B292" s="380" t="s">
        <v>3499</v>
      </c>
      <c r="C292" s="110" t="str">
        <f>CONCATENATE(prefix_portable_component,"-logs01b")</f>
        <v>flt-logs01b</v>
      </c>
      <c r="D292" s="18" t="str">
        <f>vvs_dr_flt_logs_nodeb_hostname</f>
        <v>Value Missing</v>
      </c>
      <c r="E292" s="191"/>
      <c r="F292" s="41"/>
      <c r="G292" s="41"/>
      <c r="H292" s="41"/>
      <c r="I292" s="41"/>
      <c r="J292" s="41"/>
      <c r="K292" s="41"/>
      <c r="L292" s="41"/>
      <c r="M292" s="41"/>
      <c r="N292" s="41"/>
      <c r="O292" s="41"/>
      <c r="P292" s="41"/>
      <c r="Q292" s="41"/>
      <c r="R292" s="41"/>
      <c r="S292" s="41"/>
      <c r="T292" s="41"/>
      <c r="U292" s="41"/>
      <c r="V292" s="41"/>
      <c r="W292" s="41"/>
      <c r="X292" s="41"/>
      <c r="Y292" s="41"/>
      <c r="Z292" s="41"/>
    </row>
    <row r="293" ht="19.5" customHeight="1">
      <c r="A293" s="41"/>
      <c r="B293" s="380" t="s">
        <v>3500</v>
      </c>
      <c r="C293" s="110" t="str">
        <f>CONCATENATE(prefix_portable_component,"-logs01c")</f>
        <v>flt-logs01c</v>
      </c>
      <c r="D293" s="18" t="str">
        <f>vvs_dr_flt_logs_nodec_hostname</f>
        <v>Value Missing</v>
      </c>
      <c r="E293" s="19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382"/>
      <c r="C294" s="210"/>
      <c r="D294" s="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33.75" customHeight="1">
      <c r="A295" s="41"/>
      <c r="B295" s="197" t="s">
        <v>3504</v>
      </c>
      <c r="C295" s="13"/>
      <c r="D295" s="13"/>
      <c r="E295" s="14"/>
      <c r="F295" s="41"/>
      <c r="G295" s="41"/>
      <c r="H295" s="41"/>
      <c r="I295" s="41"/>
      <c r="J295" s="41"/>
      <c r="K295" s="41"/>
      <c r="L295" s="41"/>
      <c r="M295" s="41"/>
      <c r="N295" s="41"/>
      <c r="O295" s="41"/>
      <c r="P295" s="41"/>
      <c r="Q295" s="41"/>
      <c r="R295" s="41"/>
      <c r="S295" s="41"/>
      <c r="T295" s="41"/>
      <c r="U295" s="41"/>
      <c r="V295" s="41"/>
      <c r="W295" s="41"/>
      <c r="X295" s="41"/>
      <c r="Y295" s="41"/>
      <c r="Z295" s="41"/>
    </row>
    <row r="296" ht="19.5" customHeight="1">
      <c r="A296" s="41"/>
      <c r="B296" s="102"/>
      <c r="C296" s="13"/>
      <c r="D296" s="13"/>
      <c r="E296" s="14"/>
      <c r="F296" s="41"/>
      <c r="G296" s="41"/>
      <c r="H296" s="41"/>
      <c r="I296" s="41"/>
      <c r="J296" s="41"/>
      <c r="K296" s="41"/>
      <c r="L296" s="41"/>
      <c r="M296" s="41"/>
      <c r="N296" s="41"/>
      <c r="O296" s="41"/>
      <c r="P296" s="41"/>
      <c r="Q296" s="41"/>
      <c r="R296" s="41"/>
      <c r="S296" s="41"/>
      <c r="T296" s="41"/>
      <c r="U296" s="41"/>
      <c r="V296" s="41"/>
      <c r="W296" s="41"/>
      <c r="X296" s="41"/>
      <c r="Y296" s="41"/>
      <c r="Z296" s="41"/>
    </row>
    <row r="297" ht="19.5" customHeight="1">
      <c r="A297" s="41"/>
      <c r="B297" s="378" t="s">
        <v>37</v>
      </c>
      <c r="C297" s="379" t="s">
        <v>273</v>
      </c>
      <c r="D297" s="379" t="s">
        <v>274</v>
      </c>
      <c r="E297" s="379" t="s">
        <v>5</v>
      </c>
      <c r="F297" s="41"/>
      <c r="G297" s="41"/>
      <c r="H297" s="41"/>
      <c r="I297" s="41"/>
      <c r="J297" s="41"/>
      <c r="K297" s="41"/>
      <c r="L297" s="41"/>
      <c r="M297" s="41"/>
      <c r="N297" s="41"/>
      <c r="O297" s="41"/>
      <c r="P297" s="41"/>
      <c r="Q297" s="41"/>
      <c r="R297" s="41"/>
      <c r="S297" s="41"/>
      <c r="T297" s="41"/>
      <c r="U297" s="41"/>
      <c r="V297" s="41"/>
      <c r="W297" s="41"/>
      <c r="X297" s="41"/>
      <c r="Y297" s="41"/>
      <c r="Z297" s="41"/>
    </row>
    <row r="298" ht="19.5" customHeight="1">
      <c r="A298" s="41"/>
      <c r="B298" s="380" t="s">
        <v>3448</v>
      </c>
      <c r="C298" s="111" t="str">
        <f>CONCATENATE(sample_vvs_mgmt_dr_vlr_fqdn,"/dr")</f>
        <v>lax-m01-vlr01.lax.rainpole.io/dr</v>
      </c>
      <c r="D298" s="18" t="str">
        <f>CONCATENATE(vvs_mgmt_dr_vlr_fqdn,"/dr")</f>
        <v>Value Missing/dr</v>
      </c>
      <c r="E298" s="191"/>
      <c r="F298" s="41"/>
      <c r="G298" s="41"/>
      <c r="H298" s="41"/>
      <c r="I298" s="41"/>
      <c r="J298" s="41"/>
      <c r="K298" s="41"/>
      <c r="L298" s="41"/>
      <c r="M298" s="41"/>
      <c r="N298" s="41"/>
      <c r="O298" s="41"/>
      <c r="P298" s="41"/>
      <c r="Q298" s="41"/>
      <c r="R298" s="41"/>
      <c r="S298" s="41"/>
      <c r="T298" s="41"/>
      <c r="U298" s="41"/>
      <c r="V298" s="41"/>
      <c r="W298" s="41"/>
      <c r="X298" s="41"/>
      <c r="Y298" s="41"/>
      <c r="Z298" s="41"/>
    </row>
    <row r="299" ht="19.5" customHeight="1">
      <c r="A299" s="41"/>
      <c r="B299" s="380" t="s">
        <v>3476</v>
      </c>
      <c r="C299" s="110" t="str">
        <f>CONCATENATE(sample_mgmt_vc_fqdn," &lt;--&gt; ",sample_mgmt_srm_recovery_vcenter_fqdn)</f>
        <v>lax-m01-vc01.lax.rainpole.io &lt;--&gt; sfo-m01-vc01.sfo.rainpole.io</v>
      </c>
      <c r="D299" s="18" t="str">
        <f>vs_dr_site_pair</f>
        <v>Value Missing &lt;--&gt; Value Missing</v>
      </c>
      <c r="E299" s="191"/>
      <c r="F299" s="41"/>
      <c r="G299" s="41"/>
      <c r="H299" s="41"/>
      <c r="I299" s="41"/>
      <c r="J299" s="41"/>
      <c r="K299" s="41"/>
      <c r="L299" s="41"/>
      <c r="M299" s="41"/>
      <c r="N299" s="41"/>
      <c r="O299" s="41"/>
      <c r="P299" s="41"/>
      <c r="Q299" s="41"/>
      <c r="R299" s="41"/>
      <c r="S299" s="41"/>
      <c r="T299" s="41"/>
      <c r="U299" s="41"/>
      <c r="V299" s="41"/>
      <c r="W299" s="41"/>
      <c r="X299" s="41"/>
      <c r="Y299" s="41"/>
      <c r="Z299" s="41"/>
    </row>
    <row r="300" ht="19.5" customHeight="1">
      <c r="A300" s="41"/>
      <c r="B300" s="380" t="s">
        <v>3505</v>
      </c>
      <c r="C300" s="110" t="str">
        <f>CONCATENATE(prefix_portable_component,"-net01a")</f>
        <v>flt-net01a</v>
      </c>
      <c r="D300" s="18" t="str">
        <f>vvs_dr_flt_net_nodea_hostname</f>
        <v>Value Missing</v>
      </c>
      <c r="E300" s="191"/>
      <c r="F300" s="41"/>
      <c r="G300" s="41"/>
      <c r="H300" s="41"/>
      <c r="I300" s="41"/>
      <c r="J300" s="41"/>
      <c r="K300" s="41"/>
      <c r="L300" s="41"/>
      <c r="M300" s="41"/>
      <c r="N300" s="41"/>
      <c r="O300" s="41"/>
      <c r="P300" s="41"/>
      <c r="Q300" s="41"/>
      <c r="R300" s="41"/>
      <c r="S300" s="41"/>
      <c r="T300" s="41"/>
      <c r="U300" s="41"/>
      <c r="V300" s="41"/>
      <c r="W300" s="41"/>
      <c r="X300" s="41"/>
      <c r="Y300" s="41"/>
      <c r="Z300" s="41"/>
    </row>
    <row r="301" ht="19.5" customHeight="1">
      <c r="A301" s="41"/>
      <c r="B301" s="380" t="s">
        <v>3506</v>
      </c>
      <c r="C301" s="110" t="str">
        <f>CONCATENATE(prefix_portable_component,"-net01b")</f>
        <v>flt-net01b</v>
      </c>
      <c r="D301" s="18" t="str">
        <f>vvs_dr_flt_net_nodeb_hostname</f>
        <v>Value Missing</v>
      </c>
      <c r="E301" s="191"/>
      <c r="F301" s="41"/>
      <c r="G301" s="41"/>
      <c r="H301" s="41"/>
      <c r="I301" s="41"/>
      <c r="J301" s="41"/>
      <c r="K301" s="41"/>
      <c r="L301" s="41"/>
      <c r="M301" s="41"/>
      <c r="N301" s="41"/>
      <c r="O301" s="41"/>
      <c r="P301" s="41"/>
      <c r="Q301" s="41"/>
      <c r="R301" s="41"/>
      <c r="S301" s="41"/>
      <c r="T301" s="41"/>
      <c r="U301" s="41"/>
      <c r="V301" s="41"/>
      <c r="W301" s="41"/>
      <c r="X301" s="41"/>
      <c r="Y301" s="41"/>
      <c r="Z301" s="41"/>
    </row>
    <row r="302" ht="19.5" customHeight="1">
      <c r="A302" s="41"/>
      <c r="B302" s="380" t="s">
        <v>3507</v>
      </c>
      <c r="C302" s="110" t="str">
        <f>CONCATENATE(prefix_portable_component,"-net01c")</f>
        <v>flt-net01c</v>
      </c>
      <c r="D302" s="18" t="str">
        <f>vvs_dr_flt_net_nodec_hostname</f>
        <v>Value Missing</v>
      </c>
      <c r="E302" s="191"/>
      <c r="F302" s="41"/>
      <c r="G302" s="41"/>
      <c r="H302" s="41"/>
      <c r="I302" s="41"/>
      <c r="J302" s="41"/>
      <c r="K302" s="41"/>
      <c r="L302" s="41"/>
      <c r="M302" s="41"/>
      <c r="N302" s="41"/>
      <c r="O302" s="41"/>
      <c r="P302" s="41"/>
      <c r="Q302" s="41"/>
      <c r="R302" s="41"/>
      <c r="S302" s="41"/>
      <c r="T302" s="41"/>
      <c r="U302" s="41"/>
      <c r="V302" s="41"/>
      <c r="W302" s="41"/>
      <c r="X302" s="41"/>
      <c r="Y302" s="41"/>
      <c r="Z302" s="41"/>
    </row>
    <row r="303" ht="19.5" customHeight="1">
      <c r="A303" s="41"/>
      <c r="B303" s="380" t="s">
        <v>3485</v>
      </c>
      <c r="C303" s="110" t="str">
        <f>sample_mgmt_srm_recovery_datastore</f>
        <v>sfo-m01-cl01-ds-vsan01</v>
      </c>
      <c r="D303" s="18" t="str">
        <f>mgmt_srm_recovery_datastore</f>
        <v>Value Missing</v>
      </c>
      <c r="E303" s="191"/>
      <c r="F303" s="41"/>
      <c r="G303" s="41"/>
      <c r="H303" s="41"/>
      <c r="I303" s="41"/>
      <c r="J303" s="41"/>
      <c r="K303" s="41"/>
      <c r="L303" s="41"/>
      <c r="M303" s="41"/>
      <c r="N303" s="41"/>
      <c r="O303" s="41"/>
      <c r="P303" s="41"/>
      <c r="Q303" s="41"/>
      <c r="R303" s="41"/>
      <c r="S303" s="41"/>
      <c r="T303" s="41"/>
      <c r="U303" s="41"/>
      <c r="V303" s="41"/>
      <c r="W303" s="41"/>
      <c r="X303" s="41"/>
      <c r="Y303" s="41"/>
      <c r="Z303" s="41"/>
    </row>
    <row r="304" ht="19.5" customHeight="1">
      <c r="A304" s="41"/>
      <c r="B304" s="380" t="s">
        <v>3486</v>
      </c>
      <c r="C304" s="110">
        <f>sample_mgmt_srm_rpo</f>
        <v>15</v>
      </c>
      <c r="D304" s="18" t="str">
        <f>mgmt_srm_rpo</f>
        <v>Value Missing</v>
      </c>
      <c r="E304" s="191"/>
      <c r="F304" s="41"/>
      <c r="G304" s="41"/>
      <c r="H304" s="41"/>
      <c r="I304" s="41"/>
      <c r="J304" s="41"/>
      <c r="K304" s="41"/>
      <c r="L304" s="41"/>
      <c r="M304" s="41"/>
      <c r="N304" s="41"/>
      <c r="O304" s="41"/>
      <c r="P304" s="41"/>
      <c r="Q304" s="41"/>
      <c r="R304" s="41"/>
      <c r="S304" s="41"/>
      <c r="T304" s="41"/>
      <c r="U304" s="41"/>
      <c r="V304" s="41"/>
      <c r="W304" s="41"/>
      <c r="X304" s="41"/>
      <c r="Y304" s="41"/>
      <c r="Z304" s="41"/>
    </row>
    <row r="305" ht="19.5" customHeight="1">
      <c r="A305" s="41"/>
      <c r="B305" s="380" t="s">
        <v>2392</v>
      </c>
      <c r="C305" s="110">
        <f>sample_mgmt_srm_instances_per_day</f>
        <v>3</v>
      </c>
      <c r="D305" s="18" t="str">
        <f>mgmt_srm_instances_per_day</f>
        <v>Value Missing</v>
      </c>
      <c r="E305" s="191"/>
      <c r="F305" s="41"/>
      <c r="G305" s="41"/>
      <c r="H305" s="41"/>
      <c r="I305" s="41"/>
      <c r="J305" s="41"/>
      <c r="K305" s="41"/>
      <c r="L305" s="41"/>
      <c r="M305" s="41"/>
      <c r="N305" s="41"/>
      <c r="O305" s="41"/>
      <c r="P305" s="41"/>
      <c r="Q305" s="41"/>
      <c r="R305" s="41"/>
      <c r="S305" s="41"/>
      <c r="T305" s="41"/>
      <c r="U305" s="41"/>
      <c r="V305" s="41"/>
      <c r="W305" s="41"/>
      <c r="X305" s="41"/>
      <c r="Y305" s="41"/>
      <c r="Z305" s="41"/>
    </row>
    <row r="306" ht="19.5" customHeight="1">
      <c r="A306" s="41"/>
      <c r="B306" s="380" t="s">
        <v>2398</v>
      </c>
      <c r="C306" s="110">
        <f>sample_mgmt_srm_days</f>
        <v>1</v>
      </c>
      <c r="D306" s="18" t="str">
        <f>mgmt_srm_days</f>
        <v>Value Missing</v>
      </c>
      <c r="E306" s="191"/>
      <c r="F306" s="41"/>
      <c r="G306" s="41"/>
      <c r="H306" s="41"/>
      <c r="I306" s="41"/>
      <c r="J306" s="41"/>
      <c r="K306" s="41"/>
      <c r="L306" s="41"/>
      <c r="M306" s="41"/>
      <c r="N306" s="41"/>
      <c r="O306" s="41"/>
      <c r="P306" s="41"/>
      <c r="Q306" s="41"/>
      <c r="R306" s="41"/>
      <c r="S306" s="41"/>
      <c r="T306" s="41"/>
      <c r="U306" s="41"/>
      <c r="V306" s="41"/>
      <c r="W306" s="41"/>
      <c r="X306" s="41"/>
      <c r="Y306" s="41"/>
      <c r="Z306" s="41"/>
    </row>
    <row r="307" ht="19.5" customHeight="1">
      <c r="A307" s="41"/>
      <c r="B307" s="380" t="s">
        <v>3487</v>
      </c>
      <c r="C307" s="110" t="s">
        <v>3508</v>
      </c>
      <c r="D307" s="18"/>
      <c r="E307" s="191"/>
      <c r="F307" s="41"/>
      <c r="G307" s="41"/>
      <c r="H307" s="41"/>
      <c r="I307" s="41"/>
      <c r="J307" s="41"/>
      <c r="K307" s="41"/>
      <c r="L307" s="41"/>
      <c r="M307" s="41"/>
      <c r="N307" s="41"/>
      <c r="O307" s="41"/>
      <c r="P307" s="41"/>
      <c r="Q307" s="41"/>
      <c r="R307" s="41"/>
      <c r="S307" s="41"/>
      <c r="T307" s="41"/>
      <c r="U307" s="41"/>
      <c r="V307" s="41"/>
      <c r="W307" s="41"/>
      <c r="X307" s="41"/>
      <c r="Y307" s="41"/>
      <c r="Z307" s="41"/>
    </row>
    <row r="308" ht="19.5" customHeight="1">
      <c r="A308" s="41"/>
      <c r="B308" s="380" t="s">
        <v>3489</v>
      </c>
      <c r="C308" s="110" t="s">
        <v>3509</v>
      </c>
      <c r="D308" s="18"/>
      <c r="E308" s="19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382"/>
      <c r="C309" s="41"/>
      <c r="D309" s="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33.75" customHeight="1">
      <c r="A310" s="41"/>
      <c r="B310" s="197" t="s">
        <v>3510</v>
      </c>
      <c r="C310" s="13"/>
      <c r="D310" s="13"/>
      <c r="E310" s="14"/>
      <c r="F310" s="41"/>
      <c r="G310" s="41"/>
      <c r="H310" s="41"/>
      <c r="I310" s="41"/>
      <c r="J310" s="41"/>
      <c r="K310" s="41"/>
      <c r="L310" s="41"/>
      <c r="M310" s="41"/>
      <c r="N310" s="41"/>
      <c r="O310" s="41"/>
      <c r="P310" s="41"/>
      <c r="Q310" s="41"/>
      <c r="R310" s="41"/>
      <c r="S310" s="41"/>
      <c r="T310" s="41"/>
      <c r="U310" s="41"/>
      <c r="V310" s="41"/>
      <c r="W310" s="41"/>
      <c r="X310" s="41"/>
      <c r="Y310" s="41"/>
      <c r="Z310" s="41"/>
    </row>
    <row r="311" ht="19.5" customHeight="1">
      <c r="A311" s="41"/>
      <c r="B311" s="102"/>
      <c r="C311" s="13"/>
      <c r="D311" s="13"/>
      <c r="E311" s="14"/>
      <c r="F311" s="41"/>
      <c r="G311" s="41"/>
      <c r="H311" s="41"/>
      <c r="I311" s="41"/>
      <c r="J311" s="41"/>
      <c r="K311" s="41"/>
      <c r="L311" s="41"/>
      <c r="M311" s="41"/>
      <c r="N311" s="41"/>
      <c r="O311" s="41"/>
      <c r="P311" s="41"/>
      <c r="Q311" s="41"/>
      <c r="R311" s="41"/>
      <c r="S311" s="41"/>
      <c r="T311" s="41"/>
      <c r="U311" s="41"/>
      <c r="V311" s="41"/>
      <c r="W311" s="41"/>
      <c r="X311" s="41"/>
      <c r="Y311" s="41"/>
      <c r="Z311" s="41"/>
    </row>
    <row r="312" ht="19.5" customHeight="1">
      <c r="A312" s="41"/>
      <c r="B312" s="378" t="s">
        <v>37</v>
      </c>
      <c r="C312" s="379" t="s">
        <v>273</v>
      </c>
      <c r="D312" s="379" t="s">
        <v>274</v>
      </c>
      <c r="E312" s="379" t="s">
        <v>5</v>
      </c>
      <c r="F312" s="41"/>
      <c r="G312" s="41"/>
      <c r="H312" s="41"/>
      <c r="I312" s="41"/>
      <c r="J312" s="41"/>
      <c r="K312" s="41"/>
      <c r="L312" s="41"/>
      <c r="M312" s="41"/>
      <c r="N312" s="41"/>
      <c r="O312" s="41"/>
      <c r="P312" s="41"/>
      <c r="Q312" s="41"/>
      <c r="R312" s="41"/>
      <c r="S312" s="41"/>
      <c r="T312" s="41"/>
      <c r="U312" s="41"/>
      <c r="V312" s="41"/>
      <c r="W312" s="41"/>
      <c r="X312" s="41"/>
      <c r="Y312" s="41"/>
      <c r="Z312" s="41"/>
    </row>
    <row r="313" ht="19.5" customHeight="1">
      <c r="A313" s="41"/>
      <c r="B313" s="380" t="s">
        <v>3448</v>
      </c>
      <c r="C313" s="111" t="str">
        <f>CONCATENATE(sample_vvs_mgmt_dr_vlr_fqdn,"/dr")</f>
        <v>lax-m01-vlr01.lax.rainpole.io/dr</v>
      </c>
      <c r="D313" s="18" t="str">
        <f>CONCATENATE(vvs_mgmt_dr_vlr_fqdn,"/dr")</f>
        <v>Value Missing/dr</v>
      </c>
      <c r="E313" s="191"/>
      <c r="F313" s="41"/>
      <c r="G313" s="41"/>
      <c r="H313" s="41"/>
      <c r="I313" s="41"/>
      <c r="J313" s="41"/>
      <c r="K313" s="41"/>
      <c r="L313" s="41"/>
      <c r="M313" s="41"/>
      <c r="N313" s="41"/>
      <c r="O313" s="41"/>
      <c r="P313" s="41"/>
      <c r="Q313" s="41"/>
      <c r="R313" s="41"/>
      <c r="S313" s="41"/>
      <c r="T313" s="41"/>
      <c r="U313" s="41"/>
      <c r="V313" s="41"/>
      <c r="W313" s="41"/>
      <c r="X313" s="41"/>
      <c r="Y313" s="41"/>
      <c r="Z313" s="41"/>
    </row>
    <row r="314" ht="19.5" customHeight="1">
      <c r="A314" s="41"/>
      <c r="B314" s="380" t="s">
        <v>3476</v>
      </c>
      <c r="C314" s="110" t="str">
        <f>CONCATENATE(sample_mgmt_vc_fqdn," &lt;--&gt; ",sample_mgmt_srm_recovery_vcenter_fqdn)</f>
        <v>lax-m01-vc01.lax.rainpole.io &lt;--&gt; sfo-m01-vc01.sfo.rainpole.io</v>
      </c>
      <c r="D314" s="18" t="str">
        <f>vs_dr_site_pair</f>
        <v>Value Missing &lt;--&gt; Value Missing</v>
      </c>
      <c r="E314" s="191"/>
      <c r="F314" s="41"/>
      <c r="G314" s="41"/>
      <c r="H314" s="41"/>
      <c r="I314" s="41"/>
      <c r="J314" s="41"/>
      <c r="K314" s="41"/>
      <c r="L314" s="41"/>
      <c r="M314" s="41"/>
      <c r="N314" s="41"/>
      <c r="O314" s="41"/>
      <c r="P314" s="41"/>
      <c r="Q314" s="41"/>
      <c r="R314" s="41"/>
      <c r="S314" s="41"/>
      <c r="T314" s="41"/>
      <c r="U314" s="41"/>
      <c r="V314" s="41"/>
      <c r="W314" s="41"/>
      <c r="X314" s="41"/>
      <c r="Y314" s="41"/>
      <c r="Z314" s="41"/>
    </row>
    <row r="315" ht="19.5" customHeight="1">
      <c r="A315" s="41"/>
      <c r="B315" s="380" t="s">
        <v>3492</v>
      </c>
      <c r="C315" s="110" t="str">
        <f>sample_mgmt_srm_net_rp</f>
        <v>VCF-OPS-NET-RP</v>
      </c>
      <c r="D315" s="18"/>
      <c r="E315" s="191"/>
      <c r="F315" s="41"/>
      <c r="G315" s="41"/>
      <c r="H315" s="41"/>
      <c r="I315" s="41"/>
      <c r="J315" s="41"/>
      <c r="K315" s="41"/>
      <c r="L315" s="41"/>
      <c r="M315" s="41"/>
      <c r="N315" s="41"/>
      <c r="O315" s="41"/>
      <c r="P315" s="41"/>
      <c r="Q315" s="41"/>
      <c r="R315" s="41"/>
      <c r="S315" s="41"/>
      <c r="T315" s="41"/>
      <c r="U315" s="41"/>
      <c r="V315" s="41"/>
      <c r="W315" s="41"/>
      <c r="X315" s="41"/>
      <c r="Y315" s="41"/>
      <c r="Z315" s="41"/>
    </row>
    <row r="316" ht="19.5" customHeight="1">
      <c r="A316" s="41"/>
      <c r="B316" s="380" t="s">
        <v>3505</v>
      </c>
      <c r="C316" s="110" t="str">
        <f>CONCATENATE(prefix_portable_component,"-net01a")</f>
        <v>flt-net01a</v>
      </c>
      <c r="D316" s="18" t="str">
        <f>vvs_dr_flt_net_nodea_hostname</f>
        <v>Value Missing</v>
      </c>
      <c r="E316" s="191"/>
      <c r="F316" s="41"/>
      <c r="G316" s="41"/>
      <c r="H316" s="41"/>
      <c r="I316" s="41"/>
      <c r="J316" s="41"/>
      <c r="K316" s="41"/>
      <c r="L316" s="41"/>
      <c r="M316" s="41"/>
      <c r="N316" s="41"/>
      <c r="O316" s="41"/>
      <c r="P316" s="41"/>
      <c r="Q316" s="41"/>
      <c r="R316" s="41"/>
      <c r="S316" s="41"/>
      <c r="T316" s="41"/>
      <c r="U316" s="41"/>
      <c r="V316" s="41"/>
      <c r="W316" s="41"/>
      <c r="X316" s="41"/>
      <c r="Y316" s="41"/>
      <c r="Z316" s="41"/>
    </row>
    <row r="317" ht="19.5" customHeight="1">
      <c r="A317" s="41"/>
      <c r="B317" s="380" t="s">
        <v>3506</v>
      </c>
      <c r="C317" s="110" t="str">
        <f>CONCATENATE(prefix_portable_component,"-net01b")</f>
        <v>flt-net01b</v>
      </c>
      <c r="D317" s="18" t="str">
        <f>vvs_dr_flt_net_nodeb_hostname</f>
        <v>Value Missing</v>
      </c>
      <c r="E317" s="191"/>
      <c r="F317" s="41"/>
      <c r="G317" s="41"/>
      <c r="H317" s="41"/>
      <c r="I317" s="41"/>
      <c r="J317" s="41"/>
      <c r="K317" s="41"/>
      <c r="L317" s="41"/>
      <c r="M317" s="41"/>
      <c r="N317" s="41"/>
      <c r="O317" s="41"/>
      <c r="P317" s="41"/>
      <c r="Q317" s="41"/>
      <c r="R317" s="41"/>
      <c r="S317" s="41"/>
      <c r="T317" s="41"/>
      <c r="U317" s="41"/>
      <c r="V317" s="41"/>
      <c r="W317" s="41"/>
      <c r="X317" s="41"/>
      <c r="Y317" s="41"/>
      <c r="Z317" s="41"/>
    </row>
    <row r="318" ht="19.5" customHeight="1">
      <c r="A318" s="41"/>
      <c r="B318" s="380" t="s">
        <v>3507</v>
      </c>
      <c r="C318" s="110" t="str">
        <f>CONCATENATE(prefix_portable_component,"-net01c")</f>
        <v>flt-net01c</v>
      </c>
      <c r="D318" s="18" t="str">
        <f>vvs_dr_flt_net_nodec_hostname</f>
        <v>Value Missing</v>
      </c>
      <c r="E318" s="19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382"/>
      <c r="C319" s="383"/>
      <c r="D319" s="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33.75" customHeight="1">
      <c r="A320" s="41"/>
      <c r="B320" s="197" t="s">
        <v>3511</v>
      </c>
      <c r="C320" s="13"/>
      <c r="D320" s="13"/>
      <c r="E320" s="14"/>
      <c r="F320" s="41"/>
      <c r="G320" s="41"/>
      <c r="H320" s="41"/>
      <c r="I320" s="41"/>
      <c r="J320" s="41"/>
      <c r="K320" s="41"/>
      <c r="L320" s="41"/>
      <c r="M320" s="41"/>
      <c r="N320" s="41"/>
      <c r="O320" s="41"/>
      <c r="P320" s="41"/>
      <c r="Q320" s="41"/>
      <c r="R320" s="41"/>
      <c r="S320" s="41"/>
      <c r="T320" s="41"/>
      <c r="U320" s="41"/>
      <c r="V320" s="41"/>
      <c r="W320" s="41"/>
      <c r="X320" s="41"/>
      <c r="Y320" s="41"/>
      <c r="Z320" s="41"/>
    </row>
    <row r="321" ht="19.5" customHeight="1">
      <c r="A321" s="41"/>
      <c r="B321" s="102"/>
      <c r="C321" s="13"/>
      <c r="D321" s="13"/>
      <c r="E321" s="14"/>
      <c r="F321" s="41"/>
      <c r="G321" s="41"/>
      <c r="H321" s="41"/>
      <c r="I321" s="41"/>
      <c r="J321" s="41"/>
      <c r="K321" s="41"/>
      <c r="L321" s="41"/>
      <c r="M321" s="41"/>
      <c r="N321" s="41"/>
      <c r="O321" s="41"/>
      <c r="P321" s="41"/>
      <c r="Q321" s="41"/>
      <c r="R321" s="41"/>
      <c r="S321" s="41"/>
      <c r="T321" s="41"/>
      <c r="U321" s="41"/>
      <c r="V321" s="41"/>
      <c r="W321" s="41"/>
      <c r="X321" s="41"/>
      <c r="Y321" s="41"/>
      <c r="Z321" s="41"/>
    </row>
    <row r="322" ht="19.5" customHeight="1">
      <c r="A322" s="41"/>
      <c r="B322" s="378" t="s">
        <v>37</v>
      </c>
      <c r="C322" s="379" t="s">
        <v>273</v>
      </c>
      <c r="D322" s="379" t="s">
        <v>274</v>
      </c>
      <c r="E322" s="379" t="s">
        <v>5</v>
      </c>
      <c r="F322" s="41"/>
      <c r="G322" s="41"/>
      <c r="H322" s="41"/>
      <c r="I322" s="41"/>
      <c r="J322" s="41"/>
      <c r="K322" s="41"/>
      <c r="L322" s="41"/>
      <c r="M322" s="41"/>
      <c r="N322" s="41"/>
      <c r="O322" s="41"/>
      <c r="P322" s="41"/>
      <c r="Q322" s="41"/>
      <c r="R322" s="41"/>
      <c r="S322" s="41"/>
      <c r="T322" s="41"/>
      <c r="U322" s="41"/>
      <c r="V322" s="41"/>
      <c r="W322" s="41"/>
      <c r="X322" s="41"/>
      <c r="Y322" s="41"/>
      <c r="Z322" s="41"/>
    </row>
    <row r="323" ht="19.5" customHeight="1">
      <c r="A323" s="41"/>
      <c r="B323" s="380" t="s">
        <v>3166</v>
      </c>
      <c r="C323" s="111" t="str">
        <f>sample_mgmt_srm_recovery_vcenter_fqdn</f>
        <v>sfo-m01-vc01.sfo.rainpole.io</v>
      </c>
      <c r="D323" s="18" t="str">
        <f>mgmt_srm_recovery_vcenter_fqdn</f>
        <v>Value Missing</v>
      </c>
      <c r="E323" s="191"/>
      <c r="F323" s="41"/>
      <c r="G323" s="41"/>
      <c r="H323" s="41"/>
      <c r="I323" s="41"/>
      <c r="J323" s="41"/>
      <c r="K323" s="41"/>
      <c r="L323" s="41"/>
      <c r="M323" s="41"/>
      <c r="N323" s="41"/>
      <c r="O323" s="41"/>
      <c r="P323" s="41"/>
      <c r="Q323" s="41"/>
      <c r="R323" s="41"/>
      <c r="S323" s="41"/>
      <c r="T323" s="41"/>
      <c r="U323" s="41"/>
      <c r="V323" s="41"/>
      <c r="W323" s="41"/>
      <c r="X323" s="41"/>
      <c r="Y323" s="41"/>
      <c r="Z323" s="41"/>
    </row>
    <row r="324" ht="19.5" customHeight="1">
      <c r="A324" s="41"/>
      <c r="B324" s="380" t="s">
        <v>1178</v>
      </c>
      <c r="C324" s="110" t="str">
        <f>CONCATENATE(other_instance,"-m01-cl01")</f>
        <v>sfo-m01-cl01</v>
      </c>
      <c r="D324" s="18"/>
      <c r="E324" s="191"/>
      <c r="F324" s="41"/>
      <c r="G324" s="41"/>
      <c r="H324" s="41"/>
      <c r="I324" s="41"/>
      <c r="J324" s="41"/>
      <c r="K324" s="41"/>
      <c r="L324" s="41"/>
      <c r="M324" s="41"/>
      <c r="N324" s="41"/>
      <c r="O324" s="41"/>
      <c r="P324" s="41"/>
      <c r="Q324" s="41"/>
      <c r="R324" s="41"/>
      <c r="S324" s="41"/>
      <c r="T324" s="41"/>
      <c r="U324" s="41"/>
      <c r="V324" s="41"/>
      <c r="W324" s="41"/>
      <c r="X324" s="41"/>
      <c r="Y324" s="41"/>
      <c r="Z324" s="41"/>
    </row>
    <row r="325" ht="19.5" customHeight="1">
      <c r="A325" s="41"/>
      <c r="B325" s="380" t="s">
        <v>3512</v>
      </c>
      <c r="C325" s="110" t="s">
        <v>3513</v>
      </c>
      <c r="D325" s="18"/>
      <c r="E325" s="191"/>
      <c r="F325" s="41"/>
      <c r="G325" s="41"/>
      <c r="H325" s="41"/>
      <c r="I325" s="41"/>
      <c r="J325" s="41"/>
      <c r="K325" s="41"/>
      <c r="L325" s="41"/>
      <c r="M325" s="41"/>
      <c r="N325" s="41"/>
      <c r="O325" s="41"/>
      <c r="P325" s="41"/>
      <c r="Q325" s="41"/>
      <c r="R325" s="41"/>
      <c r="S325" s="41"/>
      <c r="T325" s="41"/>
      <c r="U325" s="41"/>
      <c r="V325" s="41"/>
      <c r="W325" s="41"/>
      <c r="X325" s="41"/>
      <c r="Y325" s="41"/>
      <c r="Z325" s="41"/>
    </row>
    <row r="326" ht="19.5" customHeight="1">
      <c r="A326" s="41"/>
      <c r="B326" s="380" t="s">
        <v>3514</v>
      </c>
      <c r="C326" s="110" t="str">
        <f>CONCATENATE(prefix_portable_component,"-ops01a")</f>
        <v>flt-ops01a</v>
      </c>
      <c r="D326" s="18" t="str">
        <f t="array" ref="D326">vvs_dr_flt_ops_nodea_hostname</f>
        <v>Value Missing</v>
      </c>
      <c r="E326" s="191"/>
      <c r="F326" s="41"/>
      <c r="G326" s="41"/>
      <c r="H326" s="41"/>
      <c r="I326" s="41"/>
      <c r="J326" s="41"/>
      <c r="K326" s="41"/>
      <c r="L326" s="41"/>
      <c r="M326" s="41"/>
      <c r="N326" s="41"/>
      <c r="O326" s="41"/>
      <c r="P326" s="41"/>
      <c r="Q326" s="41"/>
      <c r="R326" s="41"/>
      <c r="S326" s="41"/>
      <c r="T326" s="41"/>
      <c r="U326" s="41"/>
      <c r="V326" s="41"/>
      <c r="W326" s="41"/>
      <c r="X326" s="41"/>
      <c r="Y326" s="41"/>
      <c r="Z326" s="41"/>
    </row>
    <row r="327" ht="19.5" customHeight="1">
      <c r="A327" s="41"/>
      <c r="B327" s="380" t="s">
        <v>3515</v>
      </c>
      <c r="C327" s="110" t="str">
        <f>CONCATENATE(prefix_portable_component,"-ops01b")</f>
        <v>flt-ops01b</v>
      </c>
      <c r="D327" s="18" t="str">
        <f t="array" ref="D327">vvs_dr_flt_ops_nodeb_hostname</f>
        <v>Value Missing</v>
      </c>
      <c r="E327" s="191"/>
      <c r="F327" s="41"/>
      <c r="G327" s="41"/>
      <c r="H327" s="41"/>
      <c r="I327" s="41"/>
      <c r="J327" s="41"/>
      <c r="K327" s="41"/>
      <c r="L327" s="41"/>
      <c r="M327" s="41"/>
      <c r="N327" s="41"/>
      <c r="O327" s="41"/>
      <c r="P327" s="41"/>
      <c r="Q327" s="41"/>
      <c r="R327" s="41"/>
      <c r="S327" s="41"/>
      <c r="T327" s="41"/>
      <c r="U327" s="41"/>
      <c r="V327" s="41"/>
      <c r="W327" s="41"/>
      <c r="X327" s="41"/>
      <c r="Y327" s="41"/>
      <c r="Z327" s="41"/>
    </row>
    <row r="328" ht="19.5" customHeight="1">
      <c r="A328" s="41"/>
      <c r="B328" s="380" t="s">
        <v>3516</v>
      </c>
      <c r="C328" s="110" t="str">
        <f>CONCATENATE(prefix_portable_component,"-ops01c")</f>
        <v>flt-ops01c</v>
      </c>
      <c r="D328" s="18" t="str">
        <f t="array" ref="D328">vvs_dr_flt_ops_nodec_hostname</f>
        <v>Value Missing</v>
      </c>
      <c r="E328" s="191"/>
      <c r="F328" s="41"/>
      <c r="G328" s="41"/>
      <c r="H328" s="41"/>
      <c r="I328" s="41"/>
      <c r="J328" s="41"/>
      <c r="K328" s="41"/>
      <c r="L328" s="41"/>
      <c r="M328" s="41"/>
      <c r="N328" s="41"/>
      <c r="O328" s="41"/>
      <c r="P328" s="41"/>
      <c r="Q328" s="41"/>
      <c r="R328" s="41"/>
      <c r="S328" s="41"/>
      <c r="T328" s="41"/>
      <c r="U328" s="41"/>
      <c r="V328" s="41"/>
      <c r="W328" s="41"/>
      <c r="X328" s="41"/>
      <c r="Y328" s="41"/>
      <c r="Z328" s="41"/>
    </row>
    <row r="329" ht="19.5" customHeight="1">
      <c r="A329" s="41"/>
      <c r="B329" s="380" t="s">
        <v>3517</v>
      </c>
      <c r="C329" s="110" t="s">
        <v>3518</v>
      </c>
      <c r="D329" s="18"/>
      <c r="E329" s="191"/>
      <c r="F329" s="41"/>
      <c r="G329" s="41"/>
      <c r="H329" s="41"/>
      <c r="I329" s="41"/>
      <c r="J329" s="41"/>
      <c r="K329" s="41"/>
      <c r="L329" s="41"/>
      <c r="M329" s="41"/>
      <c r="N329" s="41"/>
      <c r="O329" s="41"/>
      <c r="P329" s="41"/>
      <c r="Q329" s="41"/>
      <c r="R329" s="41"/>
      <c r="S329" s="41"/>
      <c r="T329" s="41"/>
      <c r="U329" s="41"/>
      <c r="V329" s="41"/>
      <c r="W329" s="41"/>
      <c r="X329" s="41"/>
      <c r="Y329" s="41"/>
      <c r="Z329" s="41"/>
    </row>
    <row r="330" ht="19.5" customHeight="1">
      <c r="A330" s="41"/>
      <c r="B330" s="380" t="s">
        <v>3519</v>
      </c>
      <c r="C330" s="110" t="str">
        <f>CONCATENATE(prefix_portable_component,"-logs01a")</f>
        <v>flt-logs01a</v>
      </c>
      <c r="D330" s="18" t="str">
        <f>vvs_dr_flt_logs_nodea_hostname</f>
        <v>Value Missing</v>
      </c>
      <c r="E330" s="191"/>
      <c r="F330" s="41"/>
      <c r="G330" s="41"/>
      <c r="H330" s="41"/>
      <c r="I330" s="41"/>
      <c r="J330" s="41"/>
      <c r="K330" s="41"/>
      <c r="L330" s="41"/>
      <c r="M330" s="41"/>
      <c r="N330" s="41"/>
      <c r="O330" s="41"/>
      <c r="P330" s="41"/>
      <c r="Q330" s="41"/>
      <c r="R330" s="41"/>
      <c r="S330" s="41"/>
      <c r="T330" s="41"/>
      <c r="U330" s="41"/>
      <c r="V330" s="41"/>
      <c r="W330" s="41"/>
      <c r="X330" s="41"/>
      <c r="Y330" s="41"/>
      <c r="Z330" s="41"/>
    </row>
    <row r="331" ht="19.5" customHeight="1">
      <c r="A331" s="41"/>
      <c r="B331" s="380" t="s">
        <v>3520</v>
      </c>
      <c r="C331" s="110" t="str">
        <f>CONCATENATE(prefix_portable_component,"-logs01b")</f>
        <v>flt-logs01b</v>
      </c>
      <c r="D331" s="18" t="str">
        <f>vvs_dr_flt_logs_nodeb_hostname</f>
        <v>Value Missing</v>
      </c>
      <c r="E331" s="191"/>
      <c r="F331" s="41"/>
      <c r="G331" s="41"/>
      <c r="H331" s="41"/>
      <c r="I331" s="41"/>
      <c r="J331" s="41"/>
      <c r="K331" s="41"/>
      <c r="L331" s="41"/>
      <c r="M331" s="41"/>
      <c r="N331" s="41"/>
      <c r="O331" s="41"/>
      <c r="P331" s="41"/>
      <c r="Q331" s="41"/>
      <c r="R331" s="41"/>
      <c r="S331" s="41"/>
      <c r="T331" s="41"/>
      <c r="U331" s="41"/>
      <c r="V331" s="41"/>
      <c r="W331" s="41"/>
      <c r="X331" s="41"/>
      <c r="Y331" s="41"/>
      <c r="Z331" s="41"/>
    </row>
    <row r="332" ht="19.5" customHeight="1">
      <c r="A332" s="41"/>
      <c r="B332" s="380" t="s">
        <v>3521</v>
      </c>
      <c r="C332" s="110" t="str">
        <f>CONCATENATE(prefix_portable_component,"-logs01c")</f>
        <v>flt-logs01c</v>
      </c>
      <c r="D332" s="18" t="str">
        <f>vvs_dr_flt_logs_nodec_hostname</f>
        <v>Value Missing</v>
      </c>
      <c r="E332" s="191"/>
      <c r="F332" s="41"/>
      <c r="G332" s="41"/>
      <c r="H332" s="41"/>
      <c r="I332" s="41"/>
      <c r="J332" s="41"/>
      <c r="K332" s="41"/>
      <c r="L332" s="41"/>
      <c r="M332" s="41"/>
      <c r="N332" s="41"/>
      <c r="O332" s="41"/>
      <c r="P332" s="41"/>
      <c r="Q332" s="41"/>
      <c r="R332" s="41"/>
      <c r="S332" s="41"/>
      <c r="T332" s="41"/>
      <c r="U332" s="41"/>
      <c r="V332" s="41"/>
      <c r="W332" s="41"/>
      <c r="X332" s="41"/>
      <c r="Y332" s="41"/>
      <c r="Z332" s="41"/>
    </row>
    <row r="333" ht="19.5" customHeight="1">
      <c r="A333" s="41"/>
      <c r="B333" s="380" t="s">
        <v>3522</v>
      </c>
      <c r="C333" s="110" t="s">
        <v>3523</v>
      </c>
      <c r="D333" s="18"/>
      <c r="E333" s="191"/>
      <c r="F333" s="41"/>
      <c r="G333" s="41"/>
      <c r="H333" s="41"/>
      <c r="I333" s="41"/>
      <c r="J333" s="41"/>
      <c r="K333" s="41"/>
      <c r="L333" s="41"/>
      <c r="M333" s="41"/>
      <c r="N333" s="41"/>
      <c r="O333" s="41"/>
      <c r="P333" s="41"/>
      <c r="Q333" s="41"/>
      <c r="R333" s="41"/>
      <c r="S333" s="41"/>
      <c r="T333" s="41"/>
      <c r="U333" s="41"/>
      <c r="V333" s="41"/>
      <c r="W333" s="41"/>
      <c r="X333" s="41"/>
      <c r="Y333" s="41"/>
      <c r="Z333" s="41"/>
    </row>
    <row r="334" ht="19.5" customHeight="1">
      <c r="A334" s="41"/>
      <c r="B334" s="380" t="s">
        <v>3524</v>
      </c>
      <c r="C334" s="110" t="str">
        <f>CONCATENATE(prefix_portable_component,"-net01a")</f>
        <v>flt-net01a</v>
      </c>
      <c r="D334" s="18" t="str">
        <f>vvs_dr_flt_net_nodea_hostname</f>
        <v>Value Missing</v>
      </c>
      <c r="E334" s="191"/>
      <c r="F334" s="41"/>
      <c r="G334" s="41"/>
      <c r="H334" s="41"/>
      <c r="I334" s="41"/>
      <c r="J334" s="41"/>
      <c r="K334" s="41"/>
      <c r="L334" s="41"/>
      <c r="M334" s="41"/>
      <c r="N334" s="41"/>
      <c r="O334" s="41"/>
      <c r="P334" s="41"/>
      <c r="Q334" s="41"/>
      <c r="R334" s="41"/>
      <c r="S334" s="41"/>
      <c r="T334" s="41"/>
      <c r="U334" s="41"/>
      <c r="V334" s="41"/>
      <c r="W334" s="41"/>
      <c r="X334" s="41"/>
      <c r="Y334" s="41"/>
      <c r="Z334" s="41"/>
    </row>
    <row r="335" ht="19.5" customHeight="1">
      <c r="A335" s="41"/>
      <c r="B335" s="380" t="s">
        <v>3525</v>
      </c>
      <c r="C335" s="110" t="str">
        <f>CONCATENATE(prefix_portable_component,"-net01b")</f>
        <v>flt-net01b</v>
      </c>
      <c r="D335" s="18" t="str">
        <f>vvs_dr_flt_net_nodeb_hostname</f>
        <v>Value Missing</v>
      </c>
      <c r="E335" s="191"/>
      <c r="F335" s="41"/>
      <c r="G335" s="41"/>
      <c r="H335" s="41"/>
      <c r="I335" s="41"/>
      <c r="J335" s="41"/>
      <c r="K335" s="41"/>
      <c r="L335" s="41"/>
      <c r="M335" s="41"/>
      <c r="N335" s="41"/>
      <c r="O335" s="41"/>
      <c r="P335" s="41"/>
      <c r="Q335" s="41"/>
      <c r="R335" s="41"/>
      <c r="S335" s="41"/>
      <c r="T335" s="41"/>
      <c r="U335" s="41"/>
      <c r="V335" s="41"/>
      <c r="W335" s="41"/>
      <c r="X335" s="41"/>
      <c r="Y335" s="41"/>
      <c r="Z335" s="41"/>
    </row>
    <row r="336" ht="19.5" customHeight="1">
      <c r="A336" s="41"/>
      <c r="B336" s="380" t="s">
        <v>3526</v>
      </c>
      <c r="C336" s="110" t="str">
        <f>CONCATENATE(prefix_portable_component,"-net01c")</f>
        <v>flt-net01c</v>
      </c>
      <c r="D336" s="18" t="str">
        <f>vvs_dr_flt_net_nodec_hostname</f>
        <v>Value Missing</v>
      </c>
      <c r="E336" s="19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382"/>
      <c r="C337" s="210"/>
      <c r="D337" s="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33.75" customHeight="1">
      <c r="A338" s="41"/>
      <c r="B338" s="197" t="s">
        <v>3527</v>
      </c>
      <c r="C338" s="13"/>
      <c r="D338" s="13"/>
      <c r="E338" s="14"/>
      <c r="F338" s="41"/>
      <c r="G338" s="41"/>
      <c r="H338" s="41"/>
      <c r="I338" s="41"/>
      <c r="J338" s="41"/>
      <c r="K338" s="41"/>
      <c r="L338" s="41"/>
      <c r="M338" s="41"/>
      <c r="N338" s="41"/>
      <c r="O338" s="41"/>
      <c r="P338" s="41"/>
      <c r="Q338" s="41"/>
      <c r="R338" s="41"/>
      <c r="S338" s="41"/>
      <c r="T338" s="41"/>
      <c r="U338" s="41"/>
      <c r="V338" s="41"/>
      <c r="W338" s="41"/>
      <c r="X338" s="41"/>
      <c r="Y338" s="41"/>
      <c r="Z338" s="41"/>
    </row>
    <row r="339" ht="19.5" customHeight="1">
      <c r="A339" s="41"/>
      <c r="B339" s="102"/>
      <c r="C339" s="13"/>
      <c r="D339" s="13"/>
      <c r="E339" s="14"/>
      <c r="F339" s="41"/>
      <c r="G339" s="41"/>
      <c r="H339" s="41"/>
      <c r="I339" s="41"/>
      <c r="J339" s="41"/>
      <c r="K339" s="41"/>
      <c r="L339" s="41"/>
      <c r="M339" s="41"/>
      <c r="N339" s="41"/>
      <c r="O339" s="41"/>
      <c r="P339" s="41"/>
      <c r="Q339" s="41"/>
      <c r="R339" s="41"/>
      <c r="S339" s="41"/>
      <c r="T339" s="41"/>
      <c r="U339" s="41"/>
      <c r="V339" s="41"/>
      <c r="W339" s="41"/>
      <c r="X339" s="41"/>
      <c r="Y339" s="41"/>
      <c r="Z339" s="41"/>
    </row>
    <row r="340" ht="19.5" customHeight="1">
      <c r="A340" s="41"/>
      <c r="B340" s="378" t="s">
        <v>37</v>
      </c>
      <c r="C340" s="379" t="s">
        <v>273</v>
      </c>
      <c r="D340" s="379" t="s">
        <v>274</v>
      </c>
      <c r="E340" s="379" t="s">
        <v>5</v>
      </c>
      <c r="F340" s="41"/>
      <c r="G340" s="41"/>
      <c r="H340" s="41"/>
      <c r="I340" s="41"/>
      <c r="J340" s="41"/>
      <c r="K340" s="41"/>
      <c r="L340" s="41"/>
      <c r="M340" s="41"/>
      <c r="N340" s="41"/>
      <c r="O340" s="41"/>
      <c r="P340" s="41"/>
      <c r="Q340" s="41"/>
      <c r="R340" s="41"/>
      <c r="S340" s="41"/>
      <c r="T340" s="41"/>
      <c r="U340" s="41"/>
      <c r="V340" s="41"/>
      <c r="W340" s="41"/>
      <c r="X340" s="41"/>
      <c r="Y340" s="41"/>
      <c r="Z340" s="41"/>
    </row>
    <row r="341" ht="19.5" customHeight="1">
      <c r="A341" s="41"/>
      <c r="B341" s="84" t="s">
        <v>3166</v>
      </c>
      <c r="C341" s="111" t="str">
        <f>sample_mgmt_srm_recovery_vcenter_fqdn</f>
        <v>sfo-m01-vc01.sfo.rainpole.io</v>
      </c>
      <c r="D341" s="18" t="str">
        <f>mgmt_srm_recovery_vcenter_fqdn</f>
        <v>Value Missing</v>
      </c>
      <c r="E341" s="191"/>
      <c r="F341" s="41"/>
      <c r="G341" s="41"/>
      <c r="H341" s="41"/>
      <c r="I341" s="41"/>
      <c r="J341" s="41"/>
      <c r="K341" s="41"/>
      <c r="L341" s="41"/>
      <c r="M341" s="41"/>
      <c r="N341" s="41"/>
      <c r="O341" s="41"/>
      <c r="P341" s="41"/>
      <c r="Q341" s="41"/>
      <c r="R341" s="41"/>
      <c r="S341" s="41"/>
      <c r="T341" s="41"/>
      <c r="U341" s="41"/>
      <c r="V341" s="41"/>
      <c r="W341" s="41"/>
      <c r="X341" s="41"/>
      <c r="Y341" s="41"/>
      <c r="Z341" s="41"/>
    </row>
    <row r="342" ht="19.5" customHeight="1">
      <c r="A342" s="41"/>
      <c r="B342" s="84" t="s">
        <v>1178</v>
      </c>
      <c r="C342" s="149" t="str">
        <f>sample_mgmt_srm_recovery_cluster</f>
        <v>sfo-m01-cl01</v>
      </c>
      <c r="D342" s="384" t="str">
        <f>mgmt_srm_recovery_cluster</f>
        <v>Value Missing</v>
      </c>
      <c r="E342" s="191"/>
      <c r="F342" s="41"/>
      <c r="G342" s="41"/>
      <c r="H342" s="41"/>
      <c r="I342" s="41"/>
      <c r="J342" s="41"/>
      <c r="K342" s="41"/>
      <c r="L342" s="41"/>
      <c r="M342" s="41"/>
      <c r="N342" s="41"/>
      <c r="O342" s="41"/>
      <c r="P342" s="41"/>
      <c r="Q342" s="41"/>
      <c r="R342" s="41"/>
      <c r="S342" s="41"/>
      <c r="T342" s="41"/>
      <c r="U342" s="41"/>
      <c r="V342" s="41"/>
      <c r="W342" s="41"/>
      <c r="X342" s="41"/>
      <c r="Y342" s="41"/>
      <c r="Z342" s="41"/>
    </row>
    <row r="343" ht="19.5" customHeight="1">
      <c r="A343" s="41"/>
      <c r="B343" s="17" t="s">
        <v>3528</v>
      </c>
      <c r="C343" s="13"/>
      <c r="D343" s="13"/>
      <c r="E343" s="14"/>
      <c r="F343" s="41"/>
      <c r="G343" s="41"/>
      <c r="H343" s="41"/>
      <c r="I343" s="41"/>
      <c r="J343" s="41"/>
      <c r="K343" s="41"/>
      <c r="L343" s="41"/>
      <c r="M343" s="41"/>
      <c r="N343" s="41"/>
      <c r="O343" s="41"/>
      <c r="P343" s="41"/>
      <c r="Q343" s="41"/>
      <c r="R343" s="41"/>
      <c r="S343" s="41"/>
      <c r="T343" s="41"/>
      <c r="U343" s="41"/>
      <c r="V343" s="41"/>
      <c r="W343" s="41"/>
      <c r="X343" s="41"/>
      <c r="Y343" s="41"/>
      <c r="Z343" s="41"/>
    </row>
    <row r="344" ht="19.5" customHeight="1">
      <c r="A344" s="41"/>
      <c r="B344" s="84" t="s">
        <v>3512</v>
      </c>
      <c r="C344" s="110" t="str">
        <f>CONCATENATE(prefix_portable_component,"-vm-group-","vcf-operations")</f>
        <v>flt-vm-group-vcf-operations</v>
      </c>
      <c r="D344" s="18"/>
      <c r="E344" s="191"/>
      <c r="F344" s="41"/>
      <c r="G344" s="41"/>
      <c r="H344" s="41"/>
      <c r="I344" s="41"/>
      <c r="J344" s="41"/>
      <c r="K344" s="41"/>
      <c r="L344" s="41"/>
      <c r="M344" s="41"/>
      <c r="N344" s="41"/>
      <c r="O344" s="41"/>
      <c r="P344" s="41"/>
      <c r="Q344" s="41"/>
      <c r="R344" s="41"/>
      <c r="S344" s="41"/>
      <c r="T344" s="41"/>
      <c r="U344" s="41"/>
      <c r="V344" s="41"/>
      <c r="W344" s="41"/>
      <c r="X344" s="41"/>
      <c r="Y344" s="41"/>
      <c r="Z344" s="41"/>
    </row>
    <row r="345" ht="19.5" customHeight="1">
      <c r="A345" s="41"/>
      <c r="B345" s="84" t="s">
        <v>3514</v>
      </c>
      <c r="C345" s="110" t="str">
        <f>CONCATENATE(prefix_portable_component,"-ops01a")</f>
        <v>flt-ops01a</v>
      </c>
      <c r="D345" s="18" t="str">
        <f t="array" ref="D345">vvs_dr_flt_ops_nodea_hostname</f>
        <v>Value Missing</v>
      </c>
      <c r="E345" s="191"/>
      <c r="F345" s="41"/>
      <c r="G345" s="41"/>
      <c r="H345" s="41"/>
      <c r="I345" s="41"/>
      <c r="J345" s="41"/>
      <c r="K345" s="41"/>
      <c r="L345" s="41"/>
      <c r="M345" s="41"/>
      <c r="N345" s="41"/>
      <c r="O345" s="41"/>
      <c r="P345" s="41"/>
      <c r="Q345" s="41"/>
      <c r="R345" s="41"/>
      <c r="S345" s="41"/>
      <c r="T345" s="41"/>
      <c r="U345" s="41"/>
      <c r="V345" s="41"/>
      <c r="W345" s="41"/>
      <c r="X345" s="41"/>
      <c r="Y345" s="41"/>
      <c r="Z345" s="41"/>
    </row>
    <row r="346" ht="19.5" customHeight="1">
      <c r="A346" s="41"/>
      <c r="B346" s="84" t="s">
        <v>3515</v>
      </c>
      <c r="C346" s="110" t="str">
        <f>CONCATENATE(prefix_portable_component,"-ops01b")</f>
        <v>flt-ops01b</v>
      </c>
      <c r="D346" s="18" t="str">
        <f t="array" ref="D346">vvs_dr_flt_ops_nodeb_hostname</f>
        <v>Value Missing</v>
      </c>
      <c r="E346" s="191"/>
      <c r="F346" s="41"/>
      <c r="G346" s="41"/>
      <c r="H346" s="41"/>
      <c r="I346" s="41"/>
      <c r="J346" s="41"/>
      <c r="K346" s="41"/>
      <c r="L346" s="41"/>
      <c r="M346" s="41"/>
      <c r="N346" s="41"/>
      <c r="O346" s="41"/>
      <c r="P346" s="41"/>
      <c r="Q346" s="41"/>
      <c r="R346" s="41"/>
      <c r="S346" s="41"/>
      <c r="T346" s="41"/>
      <c r="U346" s="41"/>
      <c r="V346" s="41"/>
      <c r="W346" s="41"/>
      <c r="X346" s="41"/>
      <c r="Y346" s="41"/>
      <c r="Z346" s="41"/>
    </row>
    <row r="347" ht="19.5" customHeight="1">
      <c r="A347" s="41"/>
      <c r="B347" s="84" t="s">
        <v>3516</v>
      </c>
      <c r="C347" s="110" t="str">
        <f>CONCATENATE(prefix_portable_component,"-ops01c")</f>
        <v>flt-ops01c</v>
      </c>
      <c r="D347" s="18" t="str">
        <f t="array" ref="D347">vvs_dr_flt_ops_nodec_hostname</f>
        <v>Value Missing</v>
      </c>
      <c r="E347" s="191"/>
      <c r="F347" s="41"/>
      <c r="G347" s="41"/>
      <c r="H347" s="41"/>
      <c r="I347" s="41"/>
      <c r="J347" s="41"/>
      <c r="K347" s="41"/>
      <c r="L347" s="41"/>
      <c r="M347" s="41"/>
      <c r="N347" s="41"/>
      <c r="O347" s="41"/>
      <c r="P347" s="41"/>
      <c r="Q347" s="41"/>
      <c r="R347" s="41"/>
      <c r="S347" s="41"/>
      <c r="T347" s="41"/>
      <c r="U347" s="41"/>
      <c r="V347" s="41"/>
      <c r="W347" s="41"/>
      <c r="X347" s="41"/>
      <c r="Y347" s="41"/>
      <c r="Z347" s="41"/>
    </row>
    <row r="348" ht="19.5" customHeight="1">
      <c r="A348" s="41"/>
      <c r="B348" s="84" t="s">
        <v>3493</v>
      </c>
      <c r="C348" s="110" t="str">
        <f>sample_vvs_dr_flt_fleet_manager_hostname</f>
        <v>flt-fm01</v>
      </c>
      <c r="D348" s="18" t="str">
        <f>vvs_dr_flt_fleet_manager_hostname</f>
        <v>Value Missing</v>
      </c>
      <c r="E348" s="191"/>
      <c r="F348" s="41"/>
      <c r="G348" s="41"/>
      <c r="H348" s="41"/>
      <c r="I348" s="41"/>
      <c r="J348" s="41"/>
      <c r="K348" s="41"/>
      <c r="L348" s="41"/>
      <c r="M348" s="41"/>
      <c r="N348" s="41"/>
      <c r="O348" s="41"/>
      <c r="P348" s="41"/>
      <c r="Q348" s="41"/>
      <c r="R348" s="41"/>
      <c r="S348" s="41"/>
      <c r="T348" s="41"/>
      <c r="U348" s="41"/>
      <c r="V348" s="41"/>
      <c r="W348" s="41"/>
      <c r="X348" s="41"/>
      <c r="Y348" s="41"/>
      <c r="Z348" s="41"/>
    </row>
    <row r="349" ht="19.5" customHeight="1">
      <c r="A349" s="41"/>
      <c r="B349" s="17" t="s">
        <v>3529</v>
      </c>
      <c r="C349" s="13"/>
      <c r="D349" s="13"/>
      <c r="E349" s="14"/>
      <c r="F349" s="41"/>
      <c r="G349" s="41"/>
      <c r="H349" s="41"/>
      <c r="I349" s="41"/>
      <c r="J349" s="41"/>
      <c r="K349" s="41"/>
      <c r="L349" s="41"/>
      <c r="M349" s="41"/>
      <c r="N349" s="41"/>
      <c r="O349" s="41"/>
      <c r="P349" s="41"/>
      <c r="Q349" s="41"/>
      <c r="R349" s="41"/>
      <c r="S349" s="41"/>
      <c r="T349" s="41"/>
      <c r="U349" s="41"/>
      <c r="V349" s="41"/>
      <c r="W349" s="41"/>
      <c r="X349" s="41"/>
      <c r="Y349" s="41"/>
      <c r="Z349" s="41"/>
    </row>
    <row r="350" ht="19.5" customHeight="1">
      <c r="A350" s="41"/>
      <c r="B350" s="380" t="s">
        <v>3530</v>
      </c>
      <c r="C350" s="110" t="str">
        <f>CONCATENATE(prefix_portable_component,"-vm-group-","vcf-logs")</f>
        <v>flt-vm-group-vcf-logs</v>
      </c>
      <c r="D350" s="18"/>
      <c r="E350" s="191"/>
      <c r="F350" s="41"/>
      <c r="G350" s="41"/>
      <c r="H350" s="41"/>
      <c r="I350" s="41"/>
      <c r="J350" s="41"/>
      <c r="K350" s="41"/>
      <c r="L350" s="41"/>
      <c r="M350" s="41"/>
      <c r="N350" s="41"/>
      <c r="O350" s="41"/>
      <c r="P350" s="41"/>
      <c r="Q350" s="41"/>
      <c r="R350" s="41"/>
      <c r="S350" s="41"/>
      <c r="T350" s="41"/>
      <c r="U350" s="41"/>
      <c r="V350" s="41"/>
      <c r="W350" s="41"/>
      <c r="X350" s="41"/>
      <c r="Y350" s="41"/>
      <c r="Z350" s="41"/>
    </row>
    <row r="351" ht="19.5" customHeight="1">
      <c r="A351" s="41"/>
      <c r="B351" s="380" t="s">
        <v>3531</v>
      </c>
      <c r="C351" s="110" t="str">
        <f>CONCATENATE(prefix_portable_component,"-logs01a")</f>
        <v>flt-logs01a</v>
      </c>
      <c r="D351" s="18" t="str">
        <f>vvs_dr_flt_logs_nodea_hostname</f>
        <v>Value Missing</v>
      </c>
      <c r="E351" s="191"/>
      <c r="F351" s="41"/>
      <c r="G351" s="41"/>
      <c r="H351" s="41"/>
      <c r="I351" s="41"/>
      <c r="J351" s="41"/>
      <c r="K351" s="41"/>
      <c r="L351" s="41"/>
      <c r="M351" s="41"/>
      <c r="N351" s="41"/>
      <c r="O351" s="41"/>
      <c r="P351" s="41"/>
      <c r="Q351" s="41"/>
      <c r="R351" s="41"/>
      <c r="S351" s="41"/>
      <c r="T351" s="41"/>
      <c r="U351" s="41"/>
      <c r="V351" s="41"/>
      <c r="W351" s="41"/>
      <c r="X351" s="41"/>
      <c r="Y351" s="41"/>
      <c r="Z351" s="41"/>
    </row>
    <row r="352" ht="19.5" customHeight="1">
      <c r="A352" s="41"/>
      <c r="B352" s="380" t="s">
        <v>3532</v>
      </c>
      <c r="C352" s="110" t="str">
        <f>CONCATENATE(prefix_portable_component,"-logs01b")</f>
        <v>flt-logs01b</v>
      </c>
      <c r="D352" s="18" t="str">
        <f>vvs_dr_flt_logs_nodeb_hostname</f>
        <v>Value Missing</v>
      </c>
      <c r="E352" s="191"/>
      <c r="F352" s="41"/>
      <c r="G352" s="41"/>
      <c r="H352" s="41"/>
      <c r="I352" s="41"/>
      <c r="J352" s="41"/>
      <c r="K352" s="41"/>
      <c r="L352" s="41"/>
      <c r="M352" s="41"/>
      <c r="N352" s="41"/>
      <c r="O352" s="41"/>
      <c r="P352" s="41"/>
      <c r="Q352" s="41"/>
      <c r="R352" s="41"/>
      <c r="S352" s="41"/>
      <c r="T352" s="41"/>
      <c r="U352" s="41"/>
      <c r="V352" s="41"/>
      <c r="W352" s="41"/>
      <c r="X352" s="41"/>
      <c r="Y352" s="41"/>
      <c r="Z352" s="41"/>
    </row>
    <row r="353" ht="19.5" customHeight="1">
      <c r="A353" s="41"/>
      <c r="B353" s="380" t="s">
        <v>3533</v>
      </c>
      <c r="C353" s="110" t="str">
        <f>CONCATENATE(prefix_portable_component,"-logs01c")</f>
        <v>flt-logs01c</v>
      </c>
      <c r="D353" s="18" t="str">
        <f>vvs_dr_flt_logs_nodec_hostname</f>
        <v>Value Missing</v>
      </c>
      <c r="E353" s="191"/>
      <c r="F353" s="41"/>
      <c r="G353" s="41"/>
      <c r="H353" s="41"/>
      <c r="I353" s="41"/>
      <c r="J353" s="41"/>
      <c r="K353" s="41"/>
      <c r="L353" s="41"/>
      <c r="M353" s="41"/>
      <c r="N353" s="41"/>
      <c r="O353" s="41"/>
      <c r="P353" s="41"/>
      <c r="Q353" s="41"/>
      <c r="R353" s="41"/>
      <c r="S353" s="41"/>
      <c r="T353" s="41"/>
      <c r="U353" s="41"/>
      <c r="V353" s="41"/>
      <c r="W353" s="41"/>
      <c r="X353" s="41"/>
      <c r="Y353" s="41"/>
      <c r="Z353" s="41"/>
    </row>
    <row r="354" ht="19.5" customHeight="1">
      <c r="A354" s="41"/>
      <c r="B354" s="17" t="s">
        <v>3529</v>
      </c>
      <c r="C354" s="13"/>
      <c r="D354" s="13"/>
      <c r="E354" s="14"/>
      <c r="F354" s="41"/>
      <c r="G354" s="41"/>
      <c r="H354" s="41"/>
      <c r="I354" s="41"/>
      <c r="J354" s="41"/>
      <c r="K354" s="41"/>
      <c r="L354" s="41"/>
      <c r="M354" s="41"/>
      <c r="N354" s="41"/>
      <c r="O354" s="41"/>
      <c r="P354" s="41"/>
      <c r="Q354" s="41"/>
      <c r="R354" s="41"/>
      <c r="S354" s="41"/>
      <c r="T354" s="41"/>
      <c r="U354" s="41"/>
      <c r="V354" s="41"/>
      <c r="W354" s="41"/>
      <c r="X354" s="41"/>
      <c r="Y354" s="41"/>
      <c r="Z354" s="41"/>
    </row>
    <row r="355" ht="19.5" customHeight="1">
      <c r="A355" s="41"/>
      <c r="B355" s="380" t="s">
        <v>3534</v>
      </c>
      <c r="C355" s="110" t="str">
        <f>CONCATENATE(prefix_portable_component,"-vm-group-","vcf-neworks")</f>
        <v>flt-vm-group-vcf-neworks</v>
      </c>
      <c r="D355" s="18"/>
      <c r="E355" s="191"/>
      <c r="F355" s="41"/>
      <c r="G355" s="41"/>
      <c r="H355" s="41"/>
      <c r="I355" s="41"/>
      <c r="J355" s="41"/>
      <c r="K355" s="41"/>
      <c r="L355" s="41"/>
      <c r="M355" s="41"/>
      <c r="N355" s="41"/>
      <c r="O355" s="41"/>
      <c r="P355" s="41"/>
      <c r="Q355" s="41"/>
      <c r="R355" s="41"/>
      <c r="S355" s="41"/>
      <c r="T355" s="41"/>
      <c r="U355" s="41"/>
      <c r="V355" s="41"/>
      <c r="W355" s="41"/>
      <c r="X355" s="41"/>
      <c r="Y355" s="41"/>
      <c r="Z355" s="41"/>
    </row>
    <row r="356" ht="19.5" customHeight="1">
      <c r="A356" s="41"/>
      <c r="B356" s="380" t="s">
        <v>3535</v>
      </c>
      <c r="C356" s="110" t="str">
        <f>CONCATENATE(prefix_portable_component,"-net01a")</f>
        <v>flt-net01a</v>
      </c>
      <c r="D356" s="18" t="str">
        <f>vvs_dr_flt_net_nodea_hostname</f>
        <v>Value Missing</v>
      </c>
      <c r="E356" s="191"/>
      <c r="F356" s="41"/>
      <c r="G356" s="41"/>
      <c r="H356" s="41"/>
      <c r="I356" s="41"/>
      <c r="J356" s="41"/>
      <c r="K356" s="41"/>
      <c r="L356" s="41"/>
      <c r="M356" s="41"/>
      <c r="N356" s="41"/>
      <c r="O356" s="41"/>
      <c r="P356" s="41"/>
      <c r="Q356" s="41"/>
      <c r="R356" s="41"/>
      <c r="S356" s="41"/>
      <c r="T356" s="41"/>
      <c r="U356" s="41"/>
      <c r="V356" s="41"/>
      <c r="W356" s="41"/>
      <c r="X356" s="41"/>
      <c r="Y356" s="41"/>
      <c r="Z356" s="41"/>
    </row>
    <row r="357" ht="19.5" customHeight="1">
      <c r="A357" s="41"/>
      <c r="B357" s="380" t="s">
        <v>3536</v>
      </c>
      <c r="C357" s="110" t="str">
        <f>CONCATENATE(prefix_portable_component,"-net01b")</f>
        <v>flt-net01b</v>
      </c>
      <c r="D357" s="18" t="str">
        <f>vvs_dr_flt_net_nodeb_hostname</f>
        <v>Value Missing</v>
      </c>
      <c r="E357" s="191"/>
      <c r="F357" s="41"/>
      <c r="G357" s="41"/>
      <c r="H357" s="41"/>
      <c r="I357" s="41"/>
      <c r="J357" s="41"/>
      <c r="K357" s="41"/>
      <c r="L357" s="41"/>
      <c r="M357" s="41"/>
      <c r="N357" s="41"/>
      <c r="O357" s="41"/>
      <c r="P357" s="41"/>
      <c r="Q357" s="41"/>
      <c r="R357" s="41"/>
      <c r="S357" s="41"/>
      <c r="T357" s="41"/>
      <c r="U357" s="41"/>
      <c r="V357" s="41"/>
      <c r="W357" s="41"/>
      <c r="X357" s="41"/>
      <c r="Y357" s="41"/>
      <c r="Z357" s="41"/>
    </row>
    <row r="358" ht="19.5" customHeight="1">
      <c r="A358" s="41"/>
      <c r="B358" s="380" t="s">
        <v>3537</v>
      </c>
      <c r="C358" s="110" t="str">
        <f>CONCATENATE(prefix_portable_component,"-net01c")</f>
        <v>flt-net01c</v>
      </c>
      <c r="D358" s="18" t="str">
        <f>vvs_dr_flt_net_nodec_hostname</f>
        <v>Value Missing</v>
      </c>
      <c r="E358" s="191"/>
      <c r="F358" s="41"/>
      <c r="G358" s="41"/>
      <c r="H358" s="41"/>
      <c r="I358" s="41"/>
      <c r="J358" s="41"/>
      <c r="K358" s="41"/>
      <c r="L358" s="41"/>
      <c r="M358" s="41"/>
      <c r="N358" s="41"/>
      <c r="O358" s="41"/>
      <c r="P358" s="41"/>
      <c r="Q358" s="41"/>
      <c r="R358" s="41"/>
      <c r="S358" s="41"/>
      <c r="T358" s="41"/>
      <c r="U358" s="41"/>
      <c r="V358" s="41"/>
      <c r="W358" s="41"/>
      <c r="X358" s="41"/>
      <c r="Y358" s="41"/>
      <c r="Z358" s="41"/>
    </row>
    <row r="359" ht="19.5" customHeight="1">
      <c r="A359" s="41"/>
      <c r="B359" s="17" t="s">
        <v>3529</v>
      </c>
      <c r="C359" s="13"/>
      <c r="D359" s="13"/>
      <c r="E359" s="14"/>
      <c r="F359" s="41"/>
      <c r="G359" s="41"/>
      <c r="H359" s="41"/>
      <c r="I359" s="41"/>
      <c r="J359" s="41"/>
      <c r="K359" s="41"/>
      <c r="L359" s="41"/>
      <c r="M359" s="41"/>
      <c r="N359" s="41"/>
      <c r="O359" s="41"/>
      <c r="P359" s="41"/>
      <c r="Q359" s="41"/>
      <c r="R359" s="41"/>
      <c r="S359" s="41"/>
      <c r="T359" s="41"/>
      <c r="U359" s="41"/>
      <c r="V359" s="41"/>
      <c r="W359" s="41"/>
      <c r="X359" s="41"/>
      <c r="Y359" s="41"/>
      <c r="Z359" s="41"/>
    </row>
    <row r="360" ht="19.5" customHeight="1">
      <c r="A360" s="41"/>
      <c r="B360" s="380" t="s">
        <v>3538</v>
      </c>
      <c r="C360" s="110" t="s">
        <v>3539</v>
      </c>
      <c r="D360" s="18"/>
      <c r="E360" s="18"/>
      <c r="F360" s="41"/>
      <c r="G360" s="41"/>
      <c r="H360" s="41"/>
      <c r="I360" s="41"/>
      <c r="J360" s="41"/>
      <c r="K360" s="41"/>
      <c r="L360" s="41"/>
      <c r="M360" s="41"/>
      <c r="N360" s="41"/>
      <c r="O360" s="41"/>
      <c r="P360" s="41"/>
      <c r="Q360" s="41"/>
      <c r="R360" s="41"/>
      <c r="S360" s="41"/>
      <c r="T360" s="41"/>
      <c r="U360" s="41"/>
      <c r="V360" s="41"/>
      <c r="W360" s="41"/>
      <c r="X360" s="41"/>
      <c r="Y360" s="41"/>
      <c r="Z360" s="41"/>
    </row>
    <row r="361" ht="19.5" customHeight="1">
      <c r="A361" s="41"/>
      <c r="B361" s="380" t="s">
        <v>3540</v>
      </c>
      <c r="C361" s="110" t="str">
        <f>C344</f>
        <v>flt-vm-group-vcf-operations</v>
      </c>
      <c r="D361" s="18"/>
      <c r="E361" s="18"/>
      <c r="F361" s="41"/>
      <c r="G361" s="41"/>
      <c r="H361" s="41"/>
      <c r="I361" s="41"/>
      <c r="J361" s="41"/>
      <c r="K361" s="41"/>
      <c r="L361" s="41"/>
      <c r="M361" s="41"/>
      <c r="N361" s="41"/>
      <c r="O361" s="41"/>
      <c r="P361" s="41"/>
      <c r="Q361" s="41"/>
      <c r="R361" s="41"/>
      <c r="S361" s="41"/>
      <c r="T361" s="41"/>
      <c r="U361" s="41"/>
      <c r="V361" s="41"/>
      <c r="W361" s="41"/>
      <c r="X361" s="41"/>
      <c r="Y361" s="41"/>
      <c r="Z361" s="41"/>
    </row>
    <row r="362" ht="19.5" customHeight="1">
      <c r="A362" s="41"/>
      <c r="B362" s="380" t="s">
        <v>3541</v>
      </c>
      <c r="C362" s="110" t="s">
        <v>3542</v>
      </c>
      <c r="D362" s="18"/>
      <c r="E362" s="18"/>
      <c r="F362" s="41"/>
      <c r="G362" s="41"/>
      <c r="H362" s="41"/>
      <c r="I362" s="41"/>
      <c r="J362" s="41"/>
      <c r="K362" s="41"/>
      <c r="L362" s="41"/>
      <c r="M362" s="41"/>
      <c r="N362" s="41"/>
      <c r="O362" s="41"/>
      <c r="P362" s="41"/>
      <c r="Q362" s="41"/>
      <c r="R362" s="41"/>
      <c r="S362" s="41"/>
      <c r="T362" s="41"/>
      <c r="U362" s="41"/>
      <c r="V362" s="41"/>
      <c r="W362" s="41"/>
      <c r="X362" s="41"/>
      <c r="Y362" s="41"/>
      <c r="Z362" s="41"/>
    </row>
    <row r="363" ht="19.5" customHeight="1">
      <c r="A363" s="41"/>
      <c r="B363" s="380" t="s">
        <v>3543</v>
      </c>
      <c r="C363" s="110" t="s">
        <v>3544</v>
      </c>
      <c r="D363" s="18"/>
      <c r="E363" s="18"/>
      <c r="F363" s="41"/>
      <c r="G363" s="41"/>
      <c r="H363" s="41"/>
      <c r="I363" s="41"/>
      <c r="J363" s="41"/>
      <c r="K363" s="41"/>
      <c r="L363" s="41"/>
      <c r="M363" s="41"/>
      <c r="N363" s="41"/>
      <c r="O363" s="41"/>
      <c r="P363" s="41"/>
      <c r="Q363" s="41"/>
      <c r="R363" s="41"/>
      <c r="S363" s="41"/>
      <c r="T363" s="41"/>
      <c r="U363" s="41"/>
      <c r="V363" s="41"/>
      <c r="W363" s="41"/>
      <c r="X363" s="41"/>
      <c r="Y363" s="41"/>
      <c r="Z363" s="41"/>
    </row>
    <row r="364" ht="19.5" customHeight="1">
      <c r="A364" s="41"/>
      <c r="B364" s="380" t="s">
        <v>3545</v>
      </c>
      <c r="C364" s="110" t="s">
        <v>3546</v>
      </c>
      <c r="D364" s="18"/>
      <c r="E364" s="18"/>
      <c r="F364" s="41"/>
      <c r="G364" s="41"/>
      <c r="H364" s="41"/>
      <c r="I364" s="41"/>
      <c r="J364" s="41"/>
      <c r="K364" s="41"/>
      <c r="L364" s="41"/>
      <c r="M364" s="41"/>
      <c r="N364" s="41"/>
      <c r="O364" s="41"/>
      <c r="P364" s="41"/>
      <c r="Q364" s="41"/>
      <c r="R364" s="41"/>
      <c r="S364" s="41"/>
      <c r="T364" s="41"/>
      <c r="U364" s="41"/>
      <c r="V364" s="41"/>
      <c r="W364" s="41"/>
      <c r="X364" s="41"/>
      <c r="Y364" s="41"/>
      <c r="Z364" s="41"/>
    </row>
    <row r="365" ht="19.5" customHeight="1">
      <c r="A365" s="41"/>
      <c r="B365" s="380" t="s">
        <v>3541</v>
      </c>
      <c r="C365" s="110" t="s">
        <v>3542</v>
      </c>
      <c r="D365" s="18"/>
      <c r="E365" s="19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382"/>
      <c r="C366" s="210"/>
      <c r="D366" s="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33.75" customHeight="1">
      <c r="A367" s="41"/>
      <c r="B367" s="184" t="s">
        <v>3547</v>
      </c>
      <c r="C367" s="13"/>
      <c r="D367" s="13"/>
      <c r="E367" s="14"/>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382"/>
      <c r="C368" s="210"/>
      <c r="D368" s="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33.75" customHeight="1">
      <c r="A369" s="41"/>
      <c r="B369" s="197" t="s">
        <v>3548</v>
      </c>
      <c r="C369" s="13"/>
      <c r="D369" s="13"/>
      <c r="E369" s="14"/>
      <c r="F369" s="41"/>
      <c r="G369" s="41"/>
      <c r="H369" s="41"/>
      <c r="I369" s="41"/>
      <c r="J369" s="41"/>
      <c r="K369" s="41"/>
      <c r="L369" s="41"/>
      <c r="M369" s="41"/>
      <c r="N369" s="41"/>
      <c r="O369" s="41"/>
      <c r="P369" s="41"/>
      <c r="Q369" s="41"/>
      <c r="R369" s="41"/>
      <c r="S369" s="41"/>
      <c r="T369" s="41"/>
      <c r="U369" s="41"/>
      <c r="V369" s="41"/>
      <c r="W369" s="41"/>
      <c r="X369" s="41"/>
      <c r="Y369" s="41"/>
      <c r="Z369" s="41"/>
    </row>
    <row r="370" ht="19.5" customHeight="1">
      <c r="A370" s="41"/>
      <c r="B370" s="102"/>
      <c r="C370" s="13"/>
      <c r="D370" s="13"/>
      <c r="E370" s="14"/>
      <c r="F370" s="41"/>
      <c r="G370" s="41"/>
      <c r="H370" s="41"/>
      <c r="I370" s="41"/>
      <c r="J370" s="41"/>
      <c r="K370" s="41"/>
      <c r="L370" s="41"/>
      <c r="M370" s="41"/>
      <c r="N370" s="41"/>
      <c r="O370" s="41"/>
      <c r="P370" s="41"/>
      <c r="Q370" s="41"/>
      <c r="R370" s="41"/>
      <c r="S370" s="41"/>
      <c r="T370" s="41"/>
      <c r="U370" s="41"/>
      <c r="V370" s="41"/>
      <c r="W370" s="41"/>
      <c r="X370" s="41"/>
      <c r="Y370" s="41"/>
      <c r="Z370" s="41"/>
    </row>
    <row r="371" ht="19.5" customHeight="1">
      <c r="A371" s="41"/>
      <c r="B371" s="378" t="s">
        <v>37</v>
      </c>
      <c r="C371" s="379" t="s">
        <v>273</v>
      </c>
      <c r="D371" s="379" t="s">
        <v>274</v>
      </c>
      <c r="E371" s="379" t="s">
        <v>5</v>
      </c>
      <c r="F371" s="41"/>
      <c r="G371" s="41"/>
      <c r="H371" s="41"/>
      <c r="I371" s="41"/>
      <c r="J371" s="41"/>
      <c r="K371" s="41"/>
      <c r="L371" s="41"/>
      <c r="M371" s="41"/>
      <c r="N371" s="41"/>
      <c r="O371" s="41"/>
      <c r="P371" s="41"/>
      <c r="Q371" s="41"/>
      <c r="R371" s="41"/>
      <c r="S371" s="41"/>
      <c r="T371" s="41"/>
      <c r="U371" s="41"/>
      <c r="V371" s="41"/>
      <c r="W371" s="41"/>
      <c r="X371" s="41"/>
      <c r="Y371" s="41"/>
      <c r="Z371" s="41"/>
    </row>
    <row r="372" ht="19.5" customHeight="1">
      <c r="A372" s="41"/>
      <c r="B372" s="84" t="s">
        <v>3412</v>
      </c>
      <c r="C372" s="111" t="str">
        <f>sample_vvs_dr_flt_ops_nodea_fqdn</f>
        <v>flt-ops01a.rainpole.io</v>
      </c>
      <c r="D372" s="18" t="str">
        <f>vvs_dr_flt_ops_nodea_fqdn</f>
        <v>Value Missing</v>
      </c>
      <c r="E372" s="191"/>
      <c r="F372" s="41"/>
      <c r="G372" s="41"/>
      <c r="H372" s="41"/>
      <c r="I372" s="41"/>
      <c r="J372" s="41"/>
      <c r="K372" s="41"/>
      <c r="L372" s="41"/>
      <c r="M372" s="41"/>
      <c r="N372" s="41"/>
      <c r="O372" s="41"/>
      <c r="P372" s="41"/>
      <c r="Q372" s="41"/>
      <c r="R372" s="41"/>
      <c r="S372" s="41"/>
      <c r="T372" s="41"/>
      <c r="U372" s="41"/>
      <c r="V372" s="41"/>
      <c r="W372" s="41"/>
      <c r="X372" s="41"/>
      <c r="Y372" s="41"/>
      <c r="Z372" s="41"/>
    </row>
    <row r="373" ht="19.5" customHeight="1">
      <c r="A373" s="41"/>
      <c r="B373" s="17" t="s">
        <v>3549</v>
      </c>
      <c r="C373" s="13"/>
      <c r="D373" s="13"/>
      <c r="E373" s="14"/>
      <c r="F373" s="41"/>
      <c r="G373" s="41"/>
      <c r="H373" s="41"/>
      <c r="I373" s="41"/>
      <c r="J373" s="41"/>
      <c r="K373" s="41"/>
      <c r="L373" s="41"/>
      <c r="M373" s="41"/>
      <c r="N373" s="41"/>
      <c r="O373" s="41"/>
      <c r="P373" s="41"/>
      <c r="Q373" s="41"/>
      <c r="R373" s="41"/>
      <c r="S373" s="41"/>
      <c r="T373" s="41"/>
      <c r="U373" s="41"/>
      <c r="V373" s="41"/>
      <c r="W373" s="41"/>
      <c r="X373" s="41"/>
      <c r="Y373" s="41"/>
      <c r="Z373" s="41"/>
    </row>
    <row r="374" ht="19.5" customHeight="1">
      <c r="A374" s="41"/>
      <c r="B374" s="380" t="s">
        <v>299</v>
      </c>
      <c r="C374" s="111" t="str">
        <f>sample_mgmt_srm_recovery_vcenter_fqdn</f>
        <v>sfo-m01-vc01.sfo.rainpole.io</v>
      </c>
      <c r="D374" s="18" t="str">
        <f>mgmt_srm_recovery_vcenter_fqdn</f>
        <v>Value Missing</v>
      </c>
      <c r="E374" s="191"/>
      <c r="F374" s="41"/>
      <c r="G374" s="41"/>
      <c r="H374" s="41"/>
      <c r="I374" s="41"/>
      <c r="J374" s="41"/>
      <c r="K374" s="41"/>
      <c r="L374" s="41"/>
      <c r="M374" s="41"/>
      <c r="N374" s="41"/>
      <c r="O374" s="41"/>
      <c r="P374" s="41"/>
      <c r="Q374" s="41"/>
      <c r="R374" s="41"/>
      <c r="S374" s="41"/>
      <c r="T374" s="41"/>
      <c r="U374" s="41"/>
      <c r="V374" s="41"/>
      <c r="W374" s="41"/>
      <c r="X374" s="41"/>
      <c r="Y374" s="41"/>
      <c r="Z374" s="41"/>
    </row>
    <row r="375" ht="19.5" customHeight="1">
      <c r="A375" s="41"/>
      <c r="B375" s="380" t="s">
        <v>1178</v>
      </c>
      <c r="C375" s="110" t="str">
        <f>sample_mgmt_srm_recovery_cluster</f>
        <v>sfo-m01-cl01</v>
      </c>
      <c r="D375" s="18" t="str">
        <f>mgmt_srm_recovery_cluster</f>
        <v>Value Missing</v>
      </c>
      <c r="E375" s="191"/>
      <c r="F375" s="41"/>
      <c r="G375" s="41"/>
      <c r="H375" s="41"/>
      <c r="I375" s="41"/>
      <c r="J375" s="41"/>
      <c r="K375" s="41"/>
      <c r="L375" s="41"/>
      <c r="M375" s="41"/>
      <c r="N375" s="41"/>
      <c r="O375" s="41"/>
      <c r="P375" s="41"/>
      <c r="Q375" s="41"/>
      <c r="R375" s="41"/>
      <c r="S375" s="41"/>
      <c r="T375" s="41"/>
      <c r="U375" s="41"/>
      <c r="V375" s="41"/>
      <c r="W375" s="41"/>
      <c r="X375" s="41"/>
      <c r="Y375" s="41"/>
      <c r="Z375" s="41"/>
    </row>
    <row r="376" ht="19.5" customHeight="1">
      <c r="A376" s="41"/>
      <c r="B376" s="380" t="s">
        <v>717</v>
      </c>
      <c r="C376" s="110"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sfo-m01-cl01-vds01-pg-vm-mgmt</v>
      </c>
      <c r="D376" s="258"/>
      <c r="E376" s="191"/>
      <c r="F376" s="41"/>
      <c r="G376" s="41"/>
      <c r="H376" s="41"/>
      <c r="I376" s="41"/>
      <c r="J376" s="41"/>
      <c r="K376" s="41"/>
      <c r="L376" s="41"/>
      <c r="M376" s="41"/>
      <c r="N376" s="41"/>
      <c r="O376" s="41"/>
      <c r="P376" s="41"/>
      <c r="Q376" s="41"/>
      <c r="R376" s="41"/>
      <c r="S376" s="41"/>
      <c r="T376" s="41"/>
      <c r="U376" s="41"/>
      <c r="V376" s="41"/>
      <c r="W376" s="41"/>
      <c r="X376" s="41"/>
      <c r="Y376" s="41"/>
      <c r="Z376" s="41"/>
    </row>
    <row r="377" ht="19.5" customHeight="1">
      <c r="A377" s="41"/>
      <c r="B377" s="380" t="s">
        <v>596</v>
      </c>
      <c r="C377" s="110" t="str">
        <f>sample_mgmt_srm_recovery_datastore</f>
        <v>sfo-m01-cl01-ds-vsan01</v>
      </c>
      <c r="D377" s="18" t="str">
        <f>mgmt_srm_recovery_datastore</f>
        <v>Value Missing</v>
      </c>
      <c r="E377" s="191"/>
      <c r="F377" s="41"/>
      <c r="G377" s="41"/>
      <c r="H377" s="41"/>
      <c r="I377" s="41"/>
      <c r="J377" s="41"/>
      <c r="K377" s="41"/>
      <c r="L377" s="41"/>
      <c r="M377" s="41"/>
      <c r="N377" s="41"/>
      <c r="O377" s="41"/>
      <c r="P377" s="41"/>
      <c r="Q377" s="41"/>
      <c r="R377" s="41"/>
      <c r="S377" s="41"/>
      <c r="T377" s="41"/>
      <c r="U377" s="41"/>
      <c r="V377" s="41"/>
      <c r="W377" s="41"/>
      <c r="X377" s="41"/>
      <c r="Y377" s="41"/>
      <c r="Z377" s="41"/>
    </row>
    <row r="378" ht="19.5" customHeight="1">
      <c r="A378" s="41"/>
      <c r="B378" s="17" t="s">
        <v>717</v>
      </c>
      <c r="C378" s="13"/>
      <c r="D378" s="13"/>
      <c r="E378" s="14"/>
      <c r="F378" s="41"/>
      <c r="G378" s="41"/>
      <c r="H378" s="41"/>
      <c r="I378" s="41"/>
      <c r="J378" s="41"/>
      <c r="K378" s="41"/>
      <c r="L378" s="41"/>
      <c r="M378" s="41"/>
      <c r="N378" s="41"/>
      <c r="O378" s="41"/>
      <c r="P378" s="41"/>
      <c r="Q378" s="41"/>
      <c r="R378" s="41"/>
      <c r="S378" s="41"/>
      <c r="T378" s="41"/>
      <c r="U378" s="41"/>
      <c r="V378" s="41"/>
      <c r="W378" s="41"/>
      <c r="X378" s="41"/>
      <c r="Y378" s="41"/>
      <c r="Z378" s="41"/>
    </row>
    <row r="379" ht="19.5" customHeight="1">
      <c r="A379" s="41"/>
      <c r="B379" s="380" t="s">
        <v>356</v>
      </c>
      <c r="C379" s="111" t="str">
        <f>sample_parent_dns_zone</f>
        <v>rainpole.io</v>
      </c>
      <c r="D379" s="18" t="str">
        <f>vvs_dr_parent_dns_zone</f>
        <v>Value Missing</v>
      </c>
      <c r="E379" s="191"/>
      <c r="F379" s="41"/>
      <c r="G379" s="41"/>
      <c r="H379" s="41"/>
      <c r="I379" s="41"/>
      <c r="J379" s="41"/>
      <c r="K379" s="41"/>
      <c r="L379" s="41"/>
      <c r="M379" s="41"/>
      <c r="N379" s="41"/>
      <c r="O379" s="41"/>
      <c r="P379" s="41"/>
      <c r="Q379" s="41"/>
      <c r="R379" s="41"/>
      <c r="S379" s="41"/>
      <c r="T379" s="41"/>
      <c r="U379" s="41"/>
      <c r="V379" s="41"/>
      <c r="W379" s="41"/>
      <c r="X379" s="41"/>
      <c r="Y379" s="41"/>
      <c r="Z379" s="41"/>
    </row>
    <row r="380" ht="19.5" customHeight="1">
      <c r="A380" s="41"/>
      <c r="B380" s="380" t="s">
        <v>1055</v>
      </c>
      <c r="C380" s="111" t="str">
        <f>sample_parent_dns_zone</f>
        <v>rainpole.io</v>
      </c>
      <c r="D380" s="18" t="str">
        <f>vvs_dr_parent_dns_zone</f>
        <v>Value Missing</v>
      </c>
      <c r="E380" s="191"/>
      <c r="F380" s="41"/>
      <c r="G380" s="41"/>
      <c r="H380" s="41"/>
      <c r="I380" s="41"/>
      <c r="J380" s="41"/>
      <c r="K380" s="41"/>
      <c r="L380" s="41"/>
      <c r="M380" s="41"/>
      <c r="N380" s="41"/>
      <c r="O380" s="41"/>
      <c r="P380" s="41"/>
      <c r="Q380" s="41"/>
      <c r="R380" s="41"/>
      <c r="S380" s="41"/>
      <c r="T380" s="41"/>
      <c r="U380" s="41"/>
      <c r="V380" s="41"/>
      <c r="W380" s="41"/>
      <c r="X380" s="41"/>
      <c r="Y380" s="41"/>
      <c r="Z380" s="41"/>
    </row>
    <row r="381" ht="19.5" customHeight="1">
      <c r="A381" s="41"/>
      <c r="B381" s="380" t="s">
        <v>1056</v>
      </c>
      <c r="C381" s="110" t="str">
        <f>CONCATENATE(sample_vvs_dr_dns1_ip,",",sample_vvs_dr_dns2_ip)</f>
        <v>10.11.10.4,10.11.10.5</v>
      </c>
      <c r="D381" s="18" t="str">
        <f>CONCATENATE(vvs_dr_dns1_ip,",",vvs_dr_dns2_ip)</f>
        <v>Value Missing,Value Missing</v>
      </c>
      <c r="E381" s="191"/>
      <c r="F381" s="41"/>
      <c r="G381" s="41"/>
      <c r="H381" s="41"/>
      <c r="I381" s="41"/>
      <c r="J381" s="41"/>
      <c r="K381" s="41"/>
      <c r="L381" s="41"/>
      <c r="M381" s="41"/>
      <c r="N381" s="41"/>
      <c r="O381" s="41"/>
      <c r="P381" s="41"/>
      <c r="Q381" s="41"/>
      <c r="R381" s="41"/>
      <c r="S381" s="41"/>
      <c r="T381" s="41"/>
      <c r="U381" s="41"/>
      <c r="V381" s="41"/>
      <c r="W381" s="41"/>
      <c r="X381" s="41"/>
      <c r="Y381" s="41"/>
      <c r="Z381" s="41"/>
    </row>
    <row r="382" ht="19.5" customHeight="1">
      <c r="A382" s="41"/>
      <c r="B382" s="380" t="s">
        <v>1059</v>
      </c>
      <c r="C382" s="110" t="str">
        <f>IF(flt_custom_network_chosen="Shared Management Network",IF(mgmt_dpg_reuse_result="Included",CONCATENATE(prefix_mgmt_az1_cidr,"10.1"),CONCATENATE(prefix_mgmt_az1_cidr,"11.1")),IF(flt_custom_network_chosen="NSX Overlay Segment",CONCATENATE(prefix_xreg_cidr,".1"),CONCATENATE(prefix_flt_shared_cidr,".1")))</f>
        <v>10.21.10.1</v>
      </c>
      <c r="D382" s="18"/>
      <c r="E382" s="191"/>
      <c r="F382" s="41"/>
      <c r="G382" s="41"/>
      <c r="H382" s="41"/>
      <c r="I382" s="41"/>
      <c r="J382" s="41"/>
      <c r="K382" s="41"/>
      <c r="L382" s="41"/>
      <c r="M382" s="41"/>
      <c r="N382" s="41"/>
      <c r="O382" s="41"/>
      <c r="P382" s="41"/>
      <c r="Q382" s="41"/>
      <c r="R382" s="41"/>
      <c r="S382" s="41"/>
      <c r="T382" s="41"/>
      <c r="U382" s="41"/>
      <c r="V382" s="41"/>
      <c r="W382" s="41"/>
      <c r="X382" s="41"/>
      <c r="Y382" s="41"/>
      <c r="Z382" s="41"/>
    </row>
    <row r="383" ht="19.5" customHeight="1">
      <c r="A383" s="41"/>
      <c r="B383" s="380" t="s">
        <v>1060</v>
      </c>
      <c r="C383" s="110" t="s">
        <v>622</v>
      </c>
      <c r="D383" s="18"/>
      <c r="E383" s="191"/>
      <c r="F383" s="41"/>
      <c r="G383" s="41"/>
      <c r="H383" s="41"/>
      <c r="I383" s="41"/>
      <c r="J383" s="41"/>
      <c r="K383" s="41"/>
      <c r="L383" s="41"/>
      <c r="M383" s="41"/>
      <c r="N383" s="41"/>
      <c r="O383" s="41"/>
      <c r="P383" s="41"/>
      <c r="Q383" s="41"/>
      <c r="R383" s="41"/>
      <c r="S383" s="41"/>
      <c r="T383" s="41"/>
      <c r="U383" s="41"/>
      <c r="V383" s="41"/>
      <c r="W383" s="41"/>
      <c r="X383" s="41"/>
      <c r="Y383" s="41"/>
      <c r="Z383" s="41"/>
    </row>
    <row r="384" ht="19.5" customHeight="1">
      <c r="A384" s="41"/>
      <c r="B384" s="17" t="s">
        <v>3422</v>
      </c>
      <c r="C384" s="13"/>
      <c r="D384" s="13"/>
      <c r="E384" s="14"/>
      <c r="F384" s="41"/>
      <c r="G384" s="41"/>
      <c r="H384" s="41"/>
      <c r="I384" s="41"/>
      <c r="J384" s="41"/>
      <c r="K384" s="41"/>
      <c r="L384" s="41"/>
      <c r="M384" s="41"/>
      <c r="N384" s="41"/>
      <c r="O384" s="41"/>
      <c r="P384" s="41"/>
      <c r="Q384" s="41"/>
      <c r="R384" s="41"/>
      <c r="S384" s="41"/>
      <c r="T384" s="41"/>
      <c r="U384" s="41"/>
      <c r="V384" s="41"/>
      <c r="W384" s="41"/>
      <c r="X384" s="41"/>
      <c r="Y384" s="41"/>
      <c r="Z384" s="41"/>
    </row>
    <row r="385" ht="19.5" customHeight="1">
      <c r="A385" s="41"/>
      <c r="B385" s="380" t="s">
        <v>537</v>
      </c>
      <c r="C385" s="231" t="str">
        <f>sample_flt_vidb_vip_fqdn</f>
        <v>flt-idb01.rainpole.io</v>
      </c>
      <c r="D385" s="18"/>
      <c r="E385" s="191"/>
      <c r="F385" s="41"/>
      <c r="G385" s="41"/>
      <c r="H385" s="41"/>
      <c r="I385" s="41"/>
      <c r="J385" s="41"/>
      <c r="K385" s="41"/>
      <c r="L385" s="41"/>
      <c r="M385" s="41"/>
      <c r="N385" s="41"/>
      <c r="O385" s="41"/>
      <c r="P385" s="41"/>
      <c r="Q385" s="41"/>
      <c r="R385" s="41"/>
      <c r="S385" s="41"/>
      <c r="T385" s="41"/>
      <c r="U385" s="41"/>
      <c r="V385" s="41"/>
      <c r="W385" s="41"/>
      <c r="X385" s="41"/>
      <c r="Y385" s="41"/>
      <c r="Z385" s="41"/>
    </row>
    <row r="386" ht="19.5" customHeight="1">
      <c r="A386" s="41"/>
      <c r="B386" s="380" t="s">
        <v>3550</v>
      </c>
      <c r="C386" s="230" t="str">
        <f>sample_flt_vidb_cert_alias</f>
        <v>flt-idb01-cert</v>
      </c>
      <c r="D386" s="18"/>
      <c r="E386" s="191"/>
      <c r="F386" s="41"/>
      <c r="G386" s="41"/>
      <c r="H386" s="41"/>
      <c r="I386" s="41"/>
      <c r="J386" s="41"/>
      <c r="K386" s="41"/>
      <c r="L386" s="41"/>
      <c r="M386" s="41"/>
      <c r="N386" s="41"/>
      <c r="O386" s="41"/>
      <c r="P386" s="41"/>
      <c r="Q386" s="41"/>
      <c r="R386" s="41"/>
      <c r="S386" s="41"/>
      <c r="T386" s="41"/>
      <c r="U386" s="41"/>
      <c r="V386" s="41"/>
      <c r="W386" s="41"/>
      <c r="X386" s="41"/>
      <c r="Y386" s="41"/>
      <c r="Z386" s="41"/>
    </row>
    <row r="387" ht="19.5" customHeight="1">
      <c r="A387" s="41"/>
      <c r="B387" s="380" t="s">
        <v>1168</v>
      </c>
      <c r="C387" s="157" t="str">
        <f>sample_flt_vidb_password_alias</f>
        <v>flt-idb01-password</v>
      </c>
      <c r="D387" s="18"/>
      <c r="E387" s="191"/>
      <c r="F387" s="41"/>
      <c r="G387" s="41"/>
      <c r="H387" s="41"/>
      <c r="I387" s="41"/>
      <c r="J387" s="41"/>
      <c r="K387" s="41"/>
      <c r="L387" s="41"/>
      <c r="M387" s="41"/>
      <c r="N387" s="41"/>
      <c r="O387" s="41"/>
      <c r="P387" s="41"/>
      <c r="Q387" s="41"/>
      <c r="R387" s="41"/>
      <c r="S387" s="41"/>
      <c r="T387" s="41"/>
      <c r="U387" s="41"/>
      <c r="V387" s="41"/>
      <c r="W387" s="41"/>
      <c r="X387" s="41"/>
      <c r="Y387" s="41"/>
      <c r="Z387" s="41"/>
    </row>
    <row r="388" ht="19.5" customHeight="1">
      <c r="A388" s="41"/>
      <c r="B388" s="380" t="s">
        <v>3551</v>
      </c>
      <c r="C388" s="231" t="str">
        <f>sample_flt_vidb_vip_fqdn</f>
        <v>flt-idb01.rainpole.io</v>
      </c>
      <c r="D388" s="18"/>
      <c r="E388" s="191"/>
      <c r="F388" s="41"/>
      <c r="G388" s="41"/>
      <c r="H388" s="41"/>
      <c r="I388" s="41"/>
      <c r="J388" s="41"/>
      <c r="K388" s="41"/>
      <c r="L388" s="41"/>
      <c r="M388" s="41"/>
      <c r="N388" s="41"/>
      <c r="O388" s="41"/>
      <c r="P388" s="41"/>
      <c r="Q388" s="41"/>
      <c r="R388" s="41"/>
      <c r="S388" s="41"/>
      <c r="T388" s="41"/>
      <c r="U388" s="41"/>
      <c r="V388" s="41"/>
      <c r="W388" s="41"/>
      <c r="X388" s="41"/>
      <c r="Y388" s="41"/>
      <c r="Z388" s="41"/>
    </row>
    <row r="389" ht="19.5" customHeight="1">
      <c r="A389" s="41"/>
      <c r="B389" s="380" t="s">
        <v>1017</v>
      </c>
      <c r="C389" s="230" t="str">
        <f>sample_flt_vidb_node_prefix</f>
        <v>flt-idb</v>
      </c>
      <c r="D389" s="18"/>
      <c r="E389" s="191"/>
      <c r="F389" s="41"/>
      <c r="G389" s="41"/>
      <c r="H389" s="41"/>
      <c r="I389" s="41"/>
      <c r="J389" s="41"/>
      <c r="K389" s="41"/>
      <c r="L389" s="41"/>
      <c r="M389" s="41"/>
      <c r="N389" s="41"/>
      <c r="O389" s="41"/>
      <c r="P389" s="41"/>
      <c r="Q389" s="41"/>
      <c r="R389" s="41"/>
      <c r="S389" s="41"/>
      <c r="T389" s="41"/>
      <c r="U389" s="41"/>
      <c r="V389" s="41"/>
      <c r="W389" s="41"/>
      <c r="X389" s="41"/>
      <c r="Y389" s="41"/>
      <c r="Z389" s="41"/>
    </row>
    <row r="390" ht="19.5" customHeight="1">
      <c r="A390" s="41"/>
      <c r="B390" s="380" t="s">
        <v>348</v>
      </c>
      <c r="C390" s="230" t="s">
        <v>1091</v>
      </c>
      <c r="D390" s="18"/>
      <c r="E390" s="191"/>
      <c r="F390" s="41"/>
      <c r="G390" s="41"/>
      <c r="H390" s="41"/>
      <c r="I390" s="41"/>
      <c r="J390" s="41"/>
      <c r="K390" s="41"/>
      <c r="L390" s="41"/>
      <c r="M390" s="41"/>
      <c r="N390" s="41"/>
      <c r="O390" s="41"/>
      <c r="P390" s="41"/>
      <c r="Q390" s="41"/>
      <c r="R390" s="41"/>
      <c r="S390" s="41"/>
      <c r="T390" s="41"/>
      <c r="U390" s="41"/>
      <c r="V390" s="41"/>
      <c r="W390" s="41"/>
      <c r="X390" s="41"/>
      <c r="Y390" s="41"/>
      <c r="Z390" s="41"/>
    </row>
    <row r="391" ht="19.5" customHeight="1">
      <c r="A391" s="41"/>
      <c r="B391" s="380" t="s">
        <v>1076</v>
      </c>
      <c r="C391" s="110" t="str">
        <f>IF(flt_custom_network_chosen="Shared Management Network",IF(mgmt_dpg_reuse_result="Included",CONCATENATE(prefix_mgmt_az1_cidr,"20.23"),CONCATENATE(prefix_mgmt_az1_cidr,"20.23")),IF(flt_custom_network_chosen="NSX Overlay Segment",CONCATENATE(prefix_xreg_cidr,".23"),CONCATENATE(prefix_flt_shared_cidr,".23")))</f>
        <v>10.21.20.23</v>
      </c>
      <c r="D391" s="18"/>
      <c r="E391" s="191"/>
      <c r="F391" s="41"/>
      <c r="G391" s="41"/>
      <c r="H391" s="41"/>
      <c r="I391" s="41"/>
      <c r="J391" s="41"/>
      <c r="K391" s="41"/>
      <c r="L391" s="41"/>
      <c r="M391" s="41"/>
      <c r="N391" s="41"/>
      <c r="O391" s="41"/>
      <c r="P391" s="41"/>
      <c r="Q391" s="41"/>
      <c r="R391" s="41"/>
      <c r="S391" s="41"/>
      <c r="T391" s="41"/>
      <c r="U391" s="41"/>
      <c r="V391" s="41"/>
      <c r="W391" s="41"/>
      <c r="X391" s="41"/>
      <c r="Y391" s="41"/>
      <c r="Z391" s="41"/>
    </row>
    <row r="392" ht="19.5" customHeight="1">
      <c r="A392" s="41"/>
      <c r="B392" s="380" t="s">
        <v>3552</v>
      </c>
      <c r="C392" s="110"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10.21.20.55-10.21.20.58</v>
      </c>
      <c r="D392" s="18"/>
      <c r="E392" s="19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382"/>
      <c r="C393" s="41"/>
      <c r="D393" s="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33.75" customHeight="1">
      <c r="A394" s="55"/>
      <c r="B394" s="290" t="s">
        <v>3553</v>
      </c>
      <c r="C394" s="13"/>
      <c r="D394" s="13"/>
      <c r="E394" s="14"/>
      <c r="F394" s="55"/>
      <c r="G394" s="55"/>
      <c r="H394" s="55"/>
      <c r="I394" s="55"/>
      <c r="J394" s="55"/>
      <c r="K394" s="55"/>
      <c r="L394" s="55"/>
      <c r="M394" s="41"/>
      <c r="N394" s="41"/>
      <c r="O394" s="41"/>
      <c r="P394" s="41"/>
      <c r="Q394" s="41"/>
      <c r="R394" s="41"/>
      <c r="S394" s="41"/>
      <c r="T394" s="41"/>
      <c r="U394" s="41"/>
      <c r="V394" s="41"/>
      <c r="W394" s="41"/>
      <c r="X394" s="41"/>
      <c r="Y394" s="41"/>
      <c r="Z394" s="41"/>
    </row>
    <row r="395" ht="19.5" customHeight="1">
      <c r="A395" s="41"/>
      <c r="B395" s="102"/>
      <c r="C395" s="13"/>
      <c r="D395" s="13"/>
      <c r="E395" s="14"/>
      <c r="F395" s="41"/>
      <c r="G395" s="41"/>
      <c r="H395" s="41"/>
      <c r="I395" s="41"/>
      <c r="J395" s="41"/>
      <c r="K395" s="41"/>
      <c r="L395" s="41"/>
      <c r="M395" s="41"/>
      <c r="N395" s="41"/>
      <c r="O395" s="41"/>
      <c r="P395" s="41"/>
      <c r="Q395" s="41"/>
      <c r="R395" s="41"/>
      <c r="S395" s="41"/>
      <c r="T395" s="41"/>
      <c r="U395" s="41"/>
      <c r="V395" s="41"/>
      <c r="W395" s="41"/>
      <c r="X395" s="41"/>
      <c r="Y395" s="41"/>
      <c r="Z395" s="41"/>
    </row>
    <row r="396" ht="19.5" customHeight="1">
      <c r="A396" s="55"/>
      <c r="B396" s="378" t="s">
        <v>37</v>
      </c>
      <c r="C396" s="379" t="s">
        <v>273</v>
      </c>
      <c r="D396" s="379" t="s">
        <v>274</v>
      </c>
      <c r="E396" s="379" t="s">
        <v>5</v>
      </c>
      <c r="F396" s="55"/>
      <c r="G396" s="55"/>
      <c r="H396" s="55"/>
      <c r="I396" s="55"/>
      <c r="J396" s="55"/>
      <c r="K396" s="55"/>
      <c r="L396" s="55"/>
      <c r="M396" s="41"/>
      <c r="N396" s="41"/>
      <c r="O396" s="41"/>
      <c r="P396" s="41"/>
      <c r="Q396" s="41"/>
      <c r="R396" s="41"/>
      <c r="S396" s="41"/>
      <c r="T396" s="41"/>
      <c r="U396" s="41"/>
      <c r="V396" s="41"/>
      <c r="W396" s="41"/>
      <c r="X396" s="41"/>
      <c r="Y396" s="41"/>
      <c r="Z396" s="41"/>
    </row>
    <row r="397" ht="19.5" customHeight="1">
      <c r="A397" s="55"/>
      <c r="B397" s="84" t="s">
        <v>3412</v>
      </c>
      <c r="C397" s="111" t="str">
        <f>sample_vvs_dr_flt_ops_nodea_fqdn</f>
        <v>flt-ops01a.rainpole.io</v>
      </c>
      <c r="D397" s="258" t="str">
        <f>vvs_dr_flt_ops_nodea_fqdn</f>
        <v>Value Missing</v>
      </c>
      <c r="E397" s="256"/>
      <c r="F397" s="55"/>
      <c r="G397" s="55"/>
      <c r="H397" s="55"/>
      <c r="I397" s="55"/>
      <c r="J397" s="55"/>
      <c r="K397" s="55"/>
      <c r="L397" s="55"/>
      <c r="M397" s="41"/>
      <c r="N397" s="41"/>
      <c r="O397" s="41"/>
      <c r="P397" s="41"/>
      <c r="Q397" s="41"/>
      <c r="R397" s="41"/>
      <c r="S397" s="41"/>
      <c r="T397" s="41"/>
      <c r="U397" s="41"/>
      <c r="V397" s="41"/>
      <c r="W397" s="41"/>
      <c r="X397" s="41"/>
      <c r="Y397" s="41"/>
      <c r="Z397" s="41"/>
    </row>
    <row r="398" ht="19.5" customHeight="1">
      <c r="A398" s="55"/>
      <c r="B398" s="293" t="s">
        <v>3549</v>
      </c>
      <c r="C398" s="13"/>
      <c r="D398" s="13"/>
      <c r="E398" s="14"/>
      <c r="F398" s="55"/>
      <c r="G398" s="55"/>
      <c r="H398" s="55"/>
      <c r="I398" s="55"/>
      <c r="J398" s="55"/>
      <c r="K398" s="55"/>
      <c r="L398" s="55"/>
      <c r="M398" s="41"/>
      <c r="N398" s="41"/>
      <c r="O398" s="41"/>
      <c r="P398" s="41"/>
      <c r="Q398" s="41"/>
      <c r="R398" s="41"/>
      <c r="S398" s="41"/>
      <c r="T398" s="41"/>
      <c r="U398" s="41"/>
      <c r="V398" s="41"/>
      <c r="W398" s="41"/>
      <c r="X398" s="41"/>
      <c r="Y398" s="41"/>
      <c r="Z398" s="41"/>
    </row>
    <row r="399" ht="19.5" customHeight="1">
      <c r="A399" s="55"/>
      <c r="B399" s="385" t="s">
        <v>299</v>
      </c>
      <c r="C399" s="110" t="s">
        <v>3554</v>
      </c>
      <c r="D399" s="258" t="str">
        <f>mgmt_srm_recovery_vcenter_fqdn</f>
        <v>Value Missing</v>
      </c>
      <c r="E399" s="256"/>
      <c r="F399" s="55"/>
      <c r="G399" s="55"/>
      <c r="H399" s="55"/>
      <c r="I399" s="55"/>
      <c r="J399" s="55"/>
      <c r="K399" s="55"/>
      <c r="L399" s="55"/>
      <c r="M399" s="41"/>
      <c r="N399" s="41"/>
      <c r="O399" s="41"/>
      <c r="P399" s="41"/>
      <c r="Q399" s="41"/>
      <c r="R399" s="41"/>
      <c r="S399" s="41"/>
      <c r="T399" s="41"/>
      <c r="U399" s="41"/>
      <c r="V399" s="41"/>
      <c r="W399" s="41"/>
      <c r="X399" s="41"/>
      <c r="Y399" s="41"/>
      <c r="Z399" s="41"/>
    </row>
    <row r="400" ht="19.5" customHeight="1">
      <c r="A400" s="55"/>
      <c r="B400" s="385" t="s">
        <v>1178</v>
      </c>
      <c r="C400" s="110" t="s">
        <v>3555</v>
      </c>
      <c r="D400" s="258" t="str">
        <f>mgmt_srm_recovery_cluster</f>
        <v>Value Missing</v>
      </c>
      <c r="E400" s="256"/>
      <c r="F400" s="55"/>
      <c r="G400" s="55"/>
      <c r="H400" s="55"/>
      <c r="I400" s="55"/>
      <c r="J400" s="55"/>
      <c r="K400" s="55"/>
      <c r="L400" s="55"/>
      <c r="M400" s="41"/>
      <c r="N400" s="41"/>
      <c r="O400" s="41"/>
      <c r="P400" s="41"/>
      <c r="Q400" s="41"/>
      <c r="R400" s="41"/>
      <c r="S400" s="41"/>
      <c r="T400" s="41"/>
      <c r="U400" s="41"/>
      <c r="V400" s="41"/>
      <c r="W400" s="41"/>
      <c r="X400" s="41"/>
      <c r="Y400" s="41"/>
      <c r="Z400" s="41"/>
    </row>
    <row r="401" ht="19.5" customHeight="1">
      <c r="A401" s="55"/>
      <c r="B401" s="385" t="s">
        <v>717</v>
      </c>
      <c r="C401" s="110" t="str">
        <f>sample_mgmt_srm_recovery_pg</f>
        <v>sfo-m01-cl01-vds01-pg-vm-mgmt</v>
      </c>
      <c r="D401" s="258" t="str">
        <f t="array" ref="D401">mgmt_srm_recovery_pg</f>
        <v>Value Missing</v>
      </c>
      <c r="E401" s="256"/>
      <c r="F401" s="55"/>
      <c r="G401" s="55"/>
      <c r="H401" s="55"/>
      <c r="I401" s="55"/>
      <c r="J401" s="55"/>
      <c r="K401" s="55"/>
      <c r="L401" s="55"/>
      <c r="M401" s="41"/>
      <c r="N401" s="41"/>
      <c r="O401" s="41"/>
      <c r="P401" s="41"/>
      <c r="Q401" s="41"/>
      <c r="R401" s="41"/>
      <c r="S401" s="41"/>
      <c r="T401" s="41"/>
      <c r="U401" s="41"/>
      <c r="V401" s="41"/>
      <c r="W401" s="41"/>
      <c r="X401" s="41"/>
      <c r="Y401" s="41"/>
      <c r="Z401" s="41"/>
    </row>
    <row r="402" ht="19.5" customHeight="1">
      <c r="A402" s="55"/>
      <c r="B402" s="385" t="s">
        <v>596</v>
      </c>
      <c r="C402" s="110" t="s">
        <v>3556</v>
      </c>
      <c r="D402" s="258" t="str">
        <f>mgmt_srm_recovery_datastore</f>
        <v>Value Missing</v>
      </c>
      <c r="E402" s="256"/>
      <c r="F402" s="55"/>
      <c r="G402" s="55"/>
      <c r="H402" s="55"/>
      <c r="I402" s="55"/>
      <c r="J402" s="55"/>
      <c r="K402" s="55"/>
      <c r="L402" s="55"/>
      <c r="M402" s="41"/>
      <c r="N402" s="41"/>
      <c r="O402" s="41"/>
      <c r="P402" s="41"/>
      <c r="Q402" s="41"/>
      <c r="R402" s="41"/>
      <c r="S402" s="41"/>
      <c r="T402" s="41"/>
      <c r="U402" s="41"/>
      <c r="V402" s="41"/>
      <c r="W402" s="41"/>
      <c r="X402" s="41"/>
      <c r="Y402" s="41"/>
      <c r="Z402" s="41"/>
    </row>
    <row r="403" ht="19.5" customHeight="1">
      <c r="A403" s="55"/>
      <c r="B403" s="293" t="s">
        <v>717</v>
      </c>
      <c r="C403" s="13"/>
      <c r="D403" s="13"/>
      <c r="E403" s="14"/>
      <c r="F403" s="55"/>
      <c r="G403" s="55"/>
      <c r="H403" s="55"/>
      <c r="I403" s="55"/>
      <c r="J403" s="55"/>
      <c r="K403" s="55"/>
      <c r="L403" s="55"/>
      <c r="M403" s="41"/>
      <c r="N403" s="41"/>
      <c r="O403" s="41"/>
      <c r="P403" s="41"/>
      <c r="Q403" s="41"/>
      <c r="R403" s="41"/>
      <c r="S403" s="41"/>
      <c r="T403" s="41"/>
      <c r="U403" s="41"/>
      <c r="V403" s="41"/>
      <c r="W403" s="41"/>
      <c r="X403" s="41"/>
      <c r="Y403" s="41"/>
      <c r="Z403" s="41"/>
    </row>
    <row r="404" ht="19.5" customHeight="1">
      <c r="A404" s="55"/>
      <c r="B404" s="385" t="s">
        <v>356</v>
      </c>
      <c r="C404" s="110" t="s">
        <v>77</v>
      </c>
      <c r="D404" s="18" t="str">
        <f>vvs_dr_parent_dns_zone</f>
        <v>Value Missing</v>
      </c>
      <c r="E404" s="256"/>
      <c r="F404" s="55"/>
      <c r="G404" s="55"/>
      <c r="H404" s="55"/>
      <c r="I404" s="55"/>
      <c r="J404" s="55"/>
      <c r="K404" s="55"/>
      <c r="L404" s="55"/>
      <c r="M404" s="41"/>
      <c r="N404" s="41"/>
      <c r="O404" s="41"/>
      <c r="P404" s="41"/>
      <c r="Q404" s="41"/>
      <c r="R404" s="41"/>
      <c r="S404" s="41"/>
      <c r="T404" s="41"/>
      <c r="U404" s="41"/>
      <c r="V404" s="41"/>
      <c r="W404" s="41"/>
      <c r="X404" s="41"/>
      <c r="Y404" s="41"/>
      <c r="Z404" s="41"/>
    </row>
    <row r="405" ht="19.5" customHeight="1">
      <c r="A405" s="55"/>
      <c r="B405" s="385" t="s">
        <v>1055</v>
      </c>
      <c r="C405" s="110" t="s">
        <v>77</v>
      </c>
      <c r="D405" s="18" t="str">
        <f>vvs_dr_parent_dns_zone</f>
        <v>Value Missing</v>
      </c>
      <c r="E405" s="256"/>
      <c r="F405" s="55"/>
      <c r="G405" s="55"/>
      <c r="H405" s="55"/>
      <c r="I405" s="55"/>
      <c r="J405" s="55"/>
      <c r="K405" s="55"/>
      <c r="L405" s="55"/>
      <c r="M405" s="41"/>
      <c r="N405" s="41"/>
      <c r="O405" s="41"/>
      <c r="P405" s="41"/>
      <c r="Q405" s="41"/>
      <c r="R405" s="41"/>
      <c r="S405" s="41"/>
      <c r="T405" s="41"/>
      <c r="U405" s="41"/>
      <c r="V405" s="41"/>
      <c r="W405" s="41"/>
      <c r="X405" s="41"/>
      <c r="Y405" s="41"/>
      <c r="Z405" s="41"/>
    </row>
    <row r="406" ht="19.5" customHeight="1">
      <c r="A406" s="55"/>
      <c r="B406" s="385" t="s">
        <v>1056</v>
      </c>
      <c r="C406" s="110" t="str">
        <f>CONCATENATE(sample_vvs_dr_dns1_ip,",",sample_vvs_dr_dns2_ip)</f>
        <v>10.11.10.4,10.11.10.5</v>
      </c>
      <c r="D406" s="18" t="str">
        <f>CONCATENATE(vvs_dr_dns1_ip,",",vvs_dr_dns2_ip)</f>
        <v>Value Missing,Value Missing</v>
      </c>
      <c r="E406" s="256"/>
      <c r="F406" s="55"/>
      <c r="G406" s="55"/>
      <c r="H406" s="55"/>
      <c r="I406" s="55"/>
      <c r="J406" s="55"/>
      <c r="K406" s="55"/>
      <c r="L406" s="55"/>
      <c r="M406" s="41"/>
      <c r="N406" s="41"/>
      <c r="O406" s="41"/>
      <c r="P406" s="41"/>
      <c r="Q406" s="41"/>
      <c r="R406" s="41"/>
      <c r="S406" s="41"/>
      <c r="T406" s="41"/>
      <c r="U406" s="41"/>
      <c r="V406" s="41"/>
      <c r="W406" s="41"/>
      <c r="X406" s="41"/>
      <c r="Y406" s="41"/>
      <c r="Z406" s="41"/>
    </row>
    <row r="407" ht="19.5" customHeight="1">
      <c r="A407" s="55"/>
      <c r="B407" s="385" t="s">
        <v>1059</v>
      </c>
      <c r="C407" s="110" t="str">
        <f>IF(flt_custom_network_chosen="Shared Management Network",IF(mgmt_dpg_reuse_result="Included",CONCATENATE(prefix_mgmt_az1_cidr,"20.1"),CONCATENATE(prefix_mgmt_az1_cidr,"20.1")),IF(flt_custom_network_chosen="NSX Overlay Segment",CONCATENATE(prefix_xreg_cidr,".1"),CONCATENATE(prefix_flt_shared_cidr,".1")))</f>
        <v>10.21.20.1</v>
      </c>
      <c r="D407" s="258"/>
      <c r="E407" s="256"/>
      <c r="F407" s="55"/>
      <c r="G407" s="55"/>
      <c r="H407" s="55"/>
      <c r="I407" s="55"/>
      <c r="J407" s="55"/>
      <c r="K407" s="55"/>
      <c r="L407" s="55"/>
      <c r="M407" s="41"/>
      <c r="N407" s="41"/>
      <c r="O407" s="41"/>
      <c r="P407" s="41"/>
      <c r="Q407" s="41"/>
      <c r="R407" s="41"/>
      <c r="S407" s="41"/>
      <c r="T407" s="41"/>
      <c r="U407" s="41"/>
      <c r="V407" s="41"/>
      <c r="W407" s="41"/>
      <c r="X407" s="41"/>
      <c r="Y407" s="41"/>
      <c r="Z407" s="41"/>
    </row>
    <row r="408" ht="19.5" customHeight="1">
      <c r="A408" s="55"/>
      <c r="B408" s="385" t="s">
        <v>1060</v>
      </c>
      <c r="C408" s="110" t="str">
        <f>sample_mgmt_srm_recovery_mask</f>
        <v>255.255.255.0</v>
      </c>
      <c r="D408" s="258" t="str">
        <f>mgmt_srm_recovery_mask</f>
        <v>Value Missing</v>
      </c>
      <c r="E408" s="256"/>
      <c r="F408" s="55"/>
      <c r="G408" s="55"/>
      <c r="H408" s="55"/>
      <c r="I408" s="55"/>
      <c r="J408" s="55"/>
      <c r="K408" s="55"/>
      <c r="L408" s="55"/>
      <c r="M408" s="41"/>
      <c r="N408" s="41"/>
      <c r="O408" s="41"/>
      <c r="P408" s="41"/>
      <c r="Q408" s="41"/>
      <c r="R408" s="41"/>
      <c r="S408" s="41"/>
      <c r="T408" s="41"/>
      <c r="U408" s="41"/>
      <c r="V408" s="41"/>
      <c r="W408" s="41"/>
      <c r="X408" s="41"/>
      <c r="Y408" s="41"/>
      <c r="Z408" s="41"/>
    </row>
    <row r="409" ht="19.5" customHeight="1">
      <c r="A409" s="55"/>
      <c r="B409" s="293" t="s">
        <v>3422</v>
      </c>
      <c r="C409" s="13"/>
      <c r="D409" s="13"/>
      <c r="E409" s="14"/>
      <c r="F409" s="55"/>
      <c r="G409" s="55"/>
      <c r="H409" s="55"/>
      <c r="I409" s="55"/>
      <c r="J409" s="55"/>
      <c r="K409" s="55"/>
      <c r="L409" s="55"/>
      <c r="M409" s="41"/>
      <c r="N409" s="41"/>
      <c r="O409" s="41"/>
      <c r="P409" s="41"/>
      <c r="Q409" s="41"/>
      <c r="R409" s="41"/>
      <c r="S409" s="41"/>
      <c r="T409" s="41"/>
      <c r="U409" s="41"/>
      <c r="V409" s="41"/>
      <c r="W409" s="41"/>
      <c r="X409" s="41"/>
      <c r="Y409" s="41"/>
      <c r="Z409" s="41"/>
    </row>
    <row r="410" ht="19.5" customHeight="1">
      <c r="A410" s="55"/>
      <c r="B410" s="385" t="s">
        <v>537</v>
      </c>
      <c r="C410" s="231" t="str">
        <f>sample_vcf_automation_vip_fqdn</f>
        <v>flt-auto01.rainpole.io</v>
      </c>
      <c r="D410" s="258"/>
      <c r="E410" s="256"/>
      <c r="F410" s="55"/>
      <c r="G410" s="55"/>
      <c r="H410" s="55"/>
      <c r="I410" s="55"/>
      <c r="J410" s="55"/>
      <c r="K410" s="55"/>
      <c r="L410" s="55"/>
      <c r="M410" s="41"/>
      <c r="N410" s="41"/>
      <c r="O410" s="41"/>
      <c r="P410" s="41"/>
      <c r="Q410" s="41"/>
      <c r="R410" s="41"/>
      <c r="S410" s="41"/>
      <c r="T410" s="41"/>
      <c r="U410" s="41"/>
      <c r="V410" s="41"/>
      <c r="W410" s="41"/>
      <c r="X410" s="41"/>
      <c r="Y410" s="41"/>
      <c r="Z410" s="41"/>
    </row>
    <row r="411" ht="19.5" customHeight="1">
      <c r="A411" s="55"/>
      <c r="B411" s="385" t="s">
        <v>3550</v>
      </c>
      <c r="C411" s="230" t="str">
        <f>sample_vcf_automation_cert_alias</f>
        <v>flt-auto01-cert</v>
      </c>
      <c r="D411" s="258"/>
      <c r="E411" s="256"/>
      <c r="F411" s="55"/>
      <c r="G411" s="55"/>
      <c r="H411" s="55"/>
      <c r="I411" s="55"/>
      <c r="J411" s="55"/>
      <c r="K411" s="55"/>
      <c r="L411" s="55"/>
      <c r="M411" s="41"/>
      <c r="N411" s="41"/>
      <c r="O411" s="41"/>
      <c r="P411" s="41"/>
      <c r="Q411" s="41"/>
      <c r="R411" s="41"/>
      <c r="S411" s="41"/>
      <c r="T411" s="41"/>
      <c r="U411" s="41"/>
      <c r="V411" s="41"/>
      <c r="W411" s="41"/>
      <c r="X411" s="41"/>
      <c r="Y411" s="41"/>
      <c r="Z411" s="41"/>
    </row>
    <row r="412" ht="19.5" customHeight="1">
      <c r="A412" s="55"/>
      <c r="B412" s="385" t="s">
        <v>1168</v>
      </c>
      <c r="C412" s="157" t="str">
        <f>sample_vcf_automation_root_password_alias</f>
        <v>flt-auto01-password</v>
      </c>
      <c r="D412" s="258"/>
      <c r="E412" s="256"/>
      <c r="F412" s="55"/>
      <c r="G412" s="55"/>
      <c r="H412" s="55"/>
      <c r="I412" s="55"/>
      <c r="J412" s="55"/>
      <c r="K412" s="55"/>
      <c r="L412" s="55"/>
      <c r="M412" s="41"/>
      <c r="N412" s="41"/>
      <c r="O412" s="41"/>
      <c r="P412" s="41"/>
      <c r="Q412" s="41"/>
      <c r="R412" s="41"/>
      <c r="S412" s="41"/>
      <c r="T412" s="41"/>
      <c r="U412" s="41"/>
      <c r="V412" s="41"/>
      <c r="W412" s="41"/>
      <c r="X412" s="41"/>
      <c r="Y412" s="41"/>
      <c r="Z412" s="41"/>
    </row>
    <row r="413" ht="19.5" customHeight="1">
      <c r="A413" s="55"/>
      <c r="B413" s="385" t="s">
        <v>3551</v>
      </c>
      <c r="C413" s="231" t="str">
        <f>sample_vcf_automation_vip_fqdn</f>
        <v>flt-auto01.rainpole.io</v>
      </c>
      <c r="D413" s="258"/>
      <c r="E413" s="256"/>
      <c r="F413" s="55"/>
      <c r="G413" s="55"/>
      <c r="H413" s="55"/>
      <c r="I413" s="55"/>
      <c r="J413" s="55"/>
      <c r="K413" s="55"/>
      <c r="L413" s="55"/>
      <c r="M413" s="41"/>
      <c r="N413" s="41"/>
      <c r="O413" s="41"/>
      <c r="P413" s="41"/>
      <c r="Q413" s="41"/>
      <c r="R413" s="41"/>
      <c r="S413" s="41"/>
      <c r="T413" s="41"/>
      <c r="U413" s="41"/>
      <c r="V413" s="41"/>
      <c r="W413" s="41"/>
      <c r="X413" s="41"/>
      <c r="Y413" s="41"/>
      <c r="Z413" s="41"/>
    </row>
    <row r="414" ht="19.5" customHeight="1">
      <c r="A414" s="55"/>
      <c r="B414" s="385" t="s">
        <v>1073</v>
      </c>
      <c r="C414" s="230" t="s">
        <v>1074</v>
      </c>
      <c r="D414" s="258"/>
      <c r="E414" s="256"/>
      <c r="F414" s="55"/>
      <c r="G414" s="55"/>
      <c r="H414" s="55"/>
      <c r="I414" s="55"/>
      <c r="J414" s="55"/>
      <c r="K414" s="55"/>
      <c r="L414" s="55"/>
      <c r="M414" s="41"/>
      <c r="N414" s="41"/>
      <c r="O414" s="41"/>
      <c r="P414" s="41"/>
      <c r="Q414" s="41"/>
      <c r="R414" s="41"/>
      <c r="S414" s="41"/>
      <c r="T414" s="41"/>
      <c r="U414" s="41"/>
      <c r="V414" s="41"/>
      <c r="W414" s="41"/>
      <c r="X414" s="41"/>
      <c r="Y414" s="41"/>
      <c r="Z414" s="41"/>
    </row>
    <row r="415" ht="19.5" customHeight="1">
      <c r="A415" s="55"/>
      <c r="B415" s="385" t="s">
        <v>1017</v>
      </c>
      <c r="C415" s="230" t="str">
        <f>CONCATENATE(prefix_portable_component,"-auto")</f>
        <v>flt-auto</v>
      </c>
      <c r="D415" s="258"/>
      <c r="E415" s="256"/>
      <c r="F415" s="55"/>
      <c r="G415" s="55"/>
      <c r="H415" s="55"/>
      <c r="I415" s="55"/>
      <c r="J415" s="55"/>
      <c r="K415" s="55"/>
      <c r="L415" s="55"/>
      <c r="M415" s="41"/>
      <c r="N415" s="41"/>
      <c r="O415" s="41"/>
      <c r="P415" s="41"/>
      <c r="Q415" s="41"/>
      <c r="R415" s="41"/>
      <c r="S415" s="41"/>
      <c r="T415" s="41"/>
      <c r="U415" s="41"/>
      <c r="V415" s="41"/>
      <c r="W415" s="41"/>
      <c r="X415" s="41"/>
      <c r="Y415" s="41"/>
      <c r="Z415" s="41"/>
    </row>
    <row r="416" ht="19.5" customHeight="1">
      <c r="A416" s="55"/>
      <c r="B416" s="385" t="s">
        <v>1076</v>
      </c>
      <c r="C416" s="110" t="str">
        <f>IF(flt_custom_network_chosen="Shared Management Network",IF(mgmt_dpg_reuse_result="Included",CONCATENATE(prefix_mgmt_az1_cidr,"20.25"),CONCATENATE(prefix_mgmt_az1_cidr,"20.25")),IF(flt_custom_network_chosen="NSX Overlay Segment",CONCATENATE(prefix_xreg_cidr,".25"),CONCATENATE(prefix_flt_shared_cidr,".25")))</f>
        <v>10.21.20.25</v>
      </c>
      <c r="D416" s="258"/>
      <c r="E416" s="256"/>
      <c r="F416" s="55"/>
      <c r="G416" s="55"/>
      <c r="H416" s="55"/>
      <c r="I416" s="55"/>
      <c r="J416" s="55"/>
      <c r="K416" s="55"/>
      <c r="L416" s="55"/>
      <c r="M416" s="41"/>
      <c r="N416" s="41"/>
      <c r="O416" s="41"/>
      <c r="P416" s="41"/>
      <c r="Q416" s="41"/>
      <c r="R416" s="41"/>
      <c r="S416" s="41"/>
      <c r="T416" s="41"/>
      <c r="U416" s="41"/>
      <c r="V416" s="41"/>
      <c r="W416" s="41"/>
      <c r="X416" s="41"/>
      <c r="Y416" s="41"/>
      <c r="Z416" s="41"/>
    </row>
    <row r="417" ht="19.5" customHeight="1">
      <c r="A417" s="55"/>
      <c r="B417" s="385" t="s">
        <v>348</v>
      </c>
      <c r="C417" s="230" t="s">
        <v>1091</v>
      </c>
      <c r="D417" s="258"/>
      <c r="E417" s="256"/>
      <c r="F417" s="55"/>
      <c r="G417" s="55"/>
      <c r="H417" s="55"/>
      <c r="I417" s="55"/>
      <c r="J417" s="55"/>
      <c r="K417" s="55"/>
      <c r="L417" s="55"/>
      <c r="M417" s="41"/>
      <c r="N417" s="41"/>
      <c r="O417" s="41"/>
      <c r="P417" s="41"/>
      <c r="Q417" s="41"/>
      <c r="R417" s="41"/>
      <c r="S417" s="41"/>
      <c r="T417" s="41"/>
      <c r="U417" s="41"/>
      <c r="V417" s="41"/>
      <c r="W417" s="41"/>
      <c r="X417" s="41"/>
      <c r="Y417" s="41"/>
      <c r="Z417" s="41"/>
    </row>
    <row r="418" ht="19.5" customHeight="1">
      <c r="A418" s="55"/>
      <c r="B418" s="385" t="s">
        <v>3552</v>
      </c>
      <c r="C418" s="110"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10.21.20.46-10.21.20.51</v>
      </c>
      <c r="D418" s="258"/>
      <c r="E418" s="256"/>
      <c r="F418" s="55"/>
      <c r="G418" s="55"/>
      <c r="H418" s="55"/>
      <c r="I418" s="55"/>
      <c r="J418" s="55"/>
      <c r="K418" s="55"/>
      <c r="L418" s="55"/>
      <c r="M418" s="41"/>
      <c r="N418" s="41"/>
      <c r="O418" s="41"/>
      <c r="P418" s="41"/>
      <c r="Q418" s="41"/>
      <c r="R418" s="41"/>
      <c r="S418" s="41"/>
      <c r="T418" s="41"/>
      <c r="U418" s="41"/>
      <c r="V418" s="41"/>
      <c r="W418" s="41"/>
      <c r="X418" s="41"/>
      <c r="Y418" s="41"/>
      <c r="Z418" s="41"/>
    </row>
    <row r="419" ht="15.75" customHeight="1">
      <c r="A419" s="41"/>
      <c r="B419" s="382"/>
      <c r="C419" s="41"/>
      <c r="D419" s="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33.75" customHeight="1">
      <c r="A420" s="41"/>
      <c r="B420" s="197" t="s">
        <v>3557</v>
      </c>
      <c r="C420" s="13"/>
      <c r="D420" s="13"/>
      <c r="E420" s="14"/>
      <c r="F420" s="41"/>
      <c r="G420" s="41"/>
      <c r="H420" s="41"/>
      <c r="I420" s="41"/>
      <c r="J420" s="41"/>
      <c r="K420" s="41"/>
      <c r="L420" s="41"/>
      <c r="M420" s="41"/>
      <c r="N420" s="41"/>
      <c r="O420" s="41"/>
      <c r="P420" s="41"/>
      <c r="Q420" s="41"/>
      <c r="R420" s="41"/>
      <c r="S420" s="41"/>
      <c r="T420" s="41"/>
      <c r="U420" s="41"/>
      <c r="V420" s="41"/>
      <c r="W420" s="41"/>
      <c r="X420" s="41"/>
      <c r="Y420" s="41"/>
      <c r="Z420" s="41"/>
    </row>
    <row r="421" ht="19.5" customHeight="1">
      <c r="A421" s="41"/>
      <c r="B421" s="102"/>
      <c r="C421" s="13"/>
      <c r="D421" s="13"/>
      <c r="E421" s="14"/>
      <c r="F421" s="41"/>
      <c r="G421" s="41"/>
      <c r="H421" s="41"/>
      <c r="I421" s="41"/>
      <c r="J421" s="41"/>
      <c r="K421" s="41"/>
      <c r="L421" s="41"/>
      <c r="M421" s="41"/>
      <c r="N421" s="41"/>
      <c r="O421" s="41"/>
      <c r="P421" s="41"/>
      <c r="Q421" s="41"/>
      <c r="R421" s="41"/>
      <c r="S421" s="41"/>
      <c r="T421" s="41"/>
      <c r="U421" s="41"/>
      <c r="V421" s="41"/>
      <c r="W421" s="41"/>
      <c r="X421" s="41"/>
      <c r="Y421" s="41"/>
      <c r="Z421" s="41"/>
    </row>
    <row r="422" ht="19.5" customHeight="1">
      <c r="A422" s="41"/>
      <c r="B422" s="378" t="s">
        <v>37</v>
      </c>
      <c r="C422" s="379" t="s">
        <v>273</v>
      </c>
      <c r="D422" s="379" t="s">
        <v>274</v>
      </c>
      <c r="E422" s="379" t="s">
        <v>5</v>
      </c>
      <c r="F422" s="41"/>
      <c r="G422" s="41"/>
      <c r="H422" s="41"/>
      <c r="I422" s="41"/>
      <c r="J422" s="41"/>
      <c r="K422" s="41"/>
      <c r="L422" s="41"/>
      <c r="M422" s="41"/>
      <c r="N422" s="41"/>
      <c r="O422" s="41"/>
      <c r="P422" s="41"/>
      <c r="Q422" s="41"/>
      <c r="R422" s="41"/>
      <c r="S422" s="41"/>
      <c r="T422" s="41"/>
      <c r="U422" s="41"/>
      <c r="V422" s="41"/>
      <c r="W422" s="41"/>
      <c r="X422" s="41"/>
      <c r="Y422" s="41"/>
      <c r="Z422" s="41"/>
    </row>
    <row r="423" ht="19.5" customHeight="1">
      <c r="A423" s="41"/>
      <c r="B423" s="84" t="s">
        <v>3412</v>
      </c>
      <c r="C423" s="111" t="str">
        <f>sample_vvs_dr_flt_ops_nodea_fqdn</f>
        <v>flt-ops01a.rainpole.io</v>
      </c>
      <c r="D423" s="258" t="str">
        <f>vvs_dr_flt_ops_nodea_fqdn</f>
        <v>Value Missing</v>
      </c>
      <c r="E423" s="191"/>
      <c r="F423" s="41"/>
      <c r="G423" s="41"/>
      <c r="H423" s="41"/>
      <c r="I423" s="41"/>
      <c r="J423" s="41"/>
      <c r="K423" s="41"/>
      <c r="L423" s="41"/>
      <c r="M423" s="41"/>
      <c r="N423" s="41"/>
      <c r="O423" s="41"/>
      <c r="P423" s="41"/>
      <c r="Q423" s="41"/>
      <c r="R423" s="41"/>
      <c r="S423" s="41"/>
      <c r="T423" s="41"/>
      <c r="U423" s="41"/>
      <c r="V423" s="41"/>
      <c r="W423" s="41"/>
      <c r="X423" s="41"/>
      <c r="Y423" s="41"/>
      <c r="Z423" s="41"/>
    </row>
    <row r="424" ht="19.5" customHeight="1">
      <c r="A424" s="41"/>
      <c r="B424" s="17" t="s">
        <v>3549</v>
      </c>
      <c r="C424" s="13"/>
      <c r="D424" s="13"/>
      <c r="E424" s="14"/>
      <c r="F424" s="41"/>
      <c r="G424" s="41"/>
      <c r="H424" s="41"/>
      <c r="I424" s="41"/>
      <c r="J424" s="41"/>
      <c r="K424" s="41"/>
      <c r="L424" s="41"/>
      <c r="M424" s="41"/>
      <c r="N424" s="41"/>
      <c r="O424" s="41"/>
      <c r="P424" s="41"/>
      <c r="Q424" s="41"/>
      <c r="R424" s="41"/>
      <c r="S424" s="41"/>
      <c r="T424" s="41"/>
      <c r="U424" s="41"/>
      <c r="V424" s="41"/>
      <c r="W424" s="41"/>
      <c r="X424" s="41"/>
      <c r="Y424" s="41"/>
      <c r="Z424" s="41"/>
    </row>
    <row r="425" ht="19.5" customHeight="1">
      <c r="A425" s="41"/>
      <c r="B425" s="380" t="s">
        <v>299</v>
      </c>
      <c r="C425" s="111" t="str">
        <f>sample_mgmt_srm_recovery_vcenter_fqdn</f>
        <v>sfo-m01-vc01.sfo.rainpole.io</v>
      </c>
      <c r="D425" s="18" t="str">
        <f>mgmt_srm_recovery_vcenter_fqdn</f>
        <v>Value Missing</v>
      </c>
      <c r="E425" s="191"/>
      <c r="F425" s="41"/>
      <c r="G425" s="41"/>
      <c r="H425" s="41"/>
      <c r="I425" s="41"/>
      <c r="J425" s="41"/>
      <c r="K425" s="41"/>
      <c r="L425" s="41"/>
      <c r="M425" s="41"/>
      <c r="N425" s="41"/>
      <c r="O425" s="41"/>
      <c r="P425" s="41"/>
      <c r="Q425" s="41"/>
      <c r="R425" s="41"/>
      <c r="S425" s="41"/>
      <c r="T425" s="41"/>
      <c r="U425" s="41"/>
      <c r="V425" s="41"/>
      <c r="W425" s="41"/>
      <c r="X425" s="41"/>
      <c r="Y425" s="41"/>
      <c r="Z425" s="41"/>
    </row>
    <row r="426" ht="19.5" customHeight="1">
      <c r="A426" s="41"/>
      <c r="B426" s="380" t="s">
        <v>1178</v>
      </c>
      <c r="C426" s="110" t="str">
        <f>sample_mgmt_srm_recovery_cluster</f>
        <v>sfo-m01-cl01</v>
      </c>
      <c r="D426" s="18" t="str">
        <f>mgmt_srm_recovery_cluster</f>
        <v>Value Missing</v>
      </c>
      <c r="E426" s="191"/>
      <c r="F426" s="41"/>
      <c r="G426" s="41"/>
      <c r="H426" s="41"/>
      <c r="I426" s="41"/>
      <c r="J426" s="41"/>
      <c r="K426" s="41"/>
      <c r="L426" s="41"/>
      <c r="M426" s="41"/>
      <c r="N426" s="41"/>
      <c r="O426" s="41"/>
      <c r="P426" s="41"/>
      <c r="Q426" s="41"/>
      <c r="R426" s="41"/>
      <c r="S426" s="41"/>
      <c r="T426" s="41"/>
      <c r="U426" s="41"/>
      <c r="V426" s="41"/>
      <c r="W426" s="41"/>
      <c r="X426" s="41"/>
      <c r="Y426" s="41"/>
      <c r="Z426" s="41"/>
    </row>
    <row r="427" ht="19.5" customHeight="1">
      <c r="A427" s="41"/>
      <c r="B427" s="380" t="s">
        <v>717</v>
      </c>
      <c r="C427" s="110" t="str">
        <f>sample_mgmt_srm_recovery_pg</f>
        <v>sfo-m01-cl01-vds01-pg-vm-mgmt</v>
      </c>
      <c r="D427" s="18" t="str">
        <f t="array" ref="D427">mgmt_srm_recovery_pg</f>
        <v>Value Missing</v>
      </c>
      <c r="E427" s="191"/>
      <c r="F427" s="41"/>
      <c r="G427" s="41"/>
      <c r="H427" s="41"/>
      <c r="I427" s="41"/>
      <c r="J427" s="41"/>
      <c r="K427" s="41"/>
      <c r="L427" s="41"/>
      <c r="M427" s="41"/>
      <c r="N427" s="41"/>
      <c r="O427" s="41"/>
      <c r="P427" s="41"/>
      <c r="Q427" s="41"/>
      <c r="R427" s="41"/>
      <c r="S427" s="41"/>
      <c r="T427" s="41"/>
      <c r="U427" s="41"/>
      <c r="V427" s="41"/>
      <c r="W427" s="41"/>
      <c r="X427" s="41"/>
      <c r="Y427" s="41"/>
      <c r="Z427" s="41"/>
    </row>
    <row r="428" ht="19.5" customHeight="1">
      <c r="A428" s="41"/>
      <c r="B428" s="380" t="s">
        <v>596</v>
      </c>
      <c r="C428" s="110" t="str">
        <f>sample_mgmt_srm_recovery_datastore</f>
        <v>sfo-m01-cl01-ds-vsan01</v>
      </c>
      <c r="D428" s="18" t="str">
        <f>mgmt_srm_recovery_datastore</f>
        <v>Value Missing</v>
      </c>
      <c r="E428" s="191"/>
      <c r="F428" s="41"/>
      <c r="G428" s="41"/>
      <c r="H428" s="41"/>
      <c r="I428" s="41"/>
      <c r="J428" s="41"/>
      <c r="K428" s="41"/>
      <c r="L428" s="41"/>
      <c r="M428" s="41"/>
      <c r="N428" s="41"/>
      <c r="O428" s="41"/>
      <c r="P428" s="41"/>
      <c r="Q428" s="41"/>
      <c r="R428" s="41"/>
      <c r="S428" s="41"/>
      <c r="T428" s="41"/>
      <c r="U428" s="41"/>
      <c r="V428" s="41"/>
      <c r="W428" s="41"/>
      <c r="X428" s="41"/>
      <c r="Y428" s="41"/>
      <c r="Z428" s="41"/>
    </row>
    <row r="429" ht="19.5" customHeight="1">
      <c r="A429" s="41"/>
      <c r="B429" s="17" t="s">
        <v>717</v>
      </c>
      <c r="C429" s="13"/>
      <c r="D429" s="13"/>
      <c r="E429" s="14"/>
      <c r="F429" s="41"/>
      <c r="G429" s="41"/>
      <c r="H429" s="41"/>
      <c r="I429" s="41"/>
      <c r="J429" s="41"/>
      <c r="K429" s="41"/>
      <c r="L429" s="41"/>
      <c r="M429" s="41"/>
      <c r="N429" s="41"/>
      <c r="O429" s="41"/>
      <c r="P429" s="41"/>
      <c r="Q429" s="41"/>
      <c r="R429" s="41"/>
      <c r="S429" s="41"/>
      <c r="T429" s="41"/>
      <c r="U429" s="41"/>
      <c r="V429" s="41"/>
      <c r="W429" s="41"/>
      <c r="X429" s="41"/>
      <c r="Y429" s="41"/>
      <c r="Z429" s="41"/>
    </row>
    <row r="430" ht="19.5" customHeight="1">
      <c r="A430" s="41"/>
      <c r="B430" s="380" t="s">
        <v>356</v>
      </c>
      <c r="C430" s="111" t="str">
        <f>sample_parent_dns_zone</f>
        <v>rainpole.io</v>
      </c>
      <c r="D430" s="18" t="str">
        <f>vvs_dr_parent_dns_zone</f>
        <v>Value Missing</v>
      </c>
      <c r="E430" s="191"/>
      <c r="F430" s="41"/>
      <c r="G430" s="41"/>
      <c r="H430" s="41"/>
      <c r="I430" s="41"/>
      <c r="J430" s="41"/>
      <c r="K430" s="41"/>
      <c r="L430" s="41"/>
      <c r="M430" s="41"/>
      <c r="N430" s="41"/>
      <c r="O430" s="41"/>
      <c r="P430" s="41"/>
      <c r="Q430" s="41"/>
      <c r="R430" s="41"/>
      <c r="S430" s="41"/>
      <c r="T430" s="41"/>
      <c r="U430" s="41"/>
      <c r="V430" s="41"/>
      <c r="W430" s="41"/>
      <c r="X430" s="41"/>
      <c r="Y430" s="41"/>
      <c r="Z430" s="41"/>
    </row>
    <row r="431" ht="19.5" customHeight="1">
      <c r="A431" s="41"/>
      <c r="B431" s="380" t="s">
        <v>1055</v>
      </c>
      <c r="C431" s="111" t="str">
        <f>sample_parent_dns_zone</f>
        <v>rainpole.io</v>
      </c>
      <c r="D431" s="18" t="str">
        <f>vvs_dr_parent_dns_zone</f>
        <v>Value Missing</v>
      </c>
      <c r="E431" s="191"/>
      <c r="F431" s="41"/>
      <c r="G431" s="41"/>
      <c r="H431" s="41"/>
      <c r="I431" s="41"/>
      <c r="J431" s="41"/>
      <c r="K431" s="41"/>
      <c r="L431" s="41"/>
      <c r="M431" s="41"/>
      <c r="N431" s="41"/>
      <c r="O431" s="41"/>
      <c r="P431" s="41"/>
      <c r="Q431" s="41"/>
      <c r="R431" s="41"/>
      <c r="S431" s="41"/>
      <c r="T431" s="41"/>
      <c r="U431" s="41"/>
      <c r="V431" s="41"/>
      <c r="W431" s="41"/>
      <c r="X431" s="41"/>
      <c r="Y431" s="41"/>
      <c r="Z431" s="41"/>
    </row>
    <row r="432" ht="19.5" customHeight="1">
      <c r="A432" s="41"/>
      <c r="B432" s="380" t="s">
        <v>1056</v>
      </c>
      <c r="C432" s="110" t="str">
        <f>CONCATENATE(sample_vvs_dr_dns1_ip,",",sample_vvs_dr_dns2_ip)</f>
        <v>10.11.10.4,10.11.10.5</v>
      </c>
      <c r="D432" s="18" t="str">
        <f>CONCATENATE(vvs_dr_dns1_ip,",",vvs_dr_dns2_ip)</f>
        <v>Value Missing,Value Missing</v>
      </c>
      <c r="E432" s="191"/>
      <c r="F432" s="41"/>
      <c r="G432" s="41"/>
      <c r="H432" s="41"/>
      <c r="I432" s="41"/>
      <c r="J432" s="41"/>
      <c r="K432" s="41"/>
      <c r="L432" s="41"/>
      <c r="M432" s="41"/>
      <c r="N432" s="41"/>
      <c r="O432" s="41"/>
      <c r="P432" s="41"/>
      <c r="Q432" s="41"/>
      <c r="R432" s="41"/>
      <c r="S432" s="41"/>
      <c r="T432" s="41"/>
      <c r="U432" s="41"/>
      <c r="V432" s="41"/>
      <c r="W432" s="41"/>
      <c r="X432" s="41"/>
      <c r="Y432" s="41"/>
      <c r="Z432" s="41"/>
    </row>
    <row r="433" ht="19.5" customHeight="1">
      <c r="A433" s="41"/>
      <c r="B433" s="380" t="s">
        <v>1059</v>
      </c>
      <c r="C433" s="110" t="str">
        <f>IF(flt_custom_network_chosen="Shared Management Network",IF(mgmt_dpg_reuse_result="Included",CONCATENATE(prefix_mgmt_az1_cidr,"20.1"),CONCATENATE(prefix_mgmt_az1_cidr,"21.1")),IF(flt_custom_network_chosen="NSX Overlay Segment",CONCATENATE(prefix_xreg_cidr,".1"),CONCATENATE(prefix_flt_shared_cidr,".1")))</f>
        <v>10.21.20.1</v>
      </c>
      <c r="D433" s="18"/>
      <c r="E433" s="191"/>
      <c r="F433" s="41"/>
      <c r="G433" s="41"/>
      <c r="H433" s="41"/>
      <c r="I433" s="41"/>
      <c r="J433" s="41"/>
      <c r="K433" s="41"/>
      <c r="L433" s="41"/>
      <c r="M433" s="41"/>
      <c r="N433" s="41"/>
      <c r="O433" s="41"/>
      <c r="P433" s="41"/>
      <c r="Q433" s="41"/>
      <c r="R433" s="41"/>
      <c r="S433" s="41"/>
      <c r="T433" s="41"/>
      <c r="U433" s="41"/>
      <c r="V433" s="41"/>
      <c r="W433" s="41"/>
      <c r="X433" s="41"/>
      <c r="Y433" s="41"/>
      <c r="Z433" s="41"/>
    </row>
    <row r="434" ht="19.5" customHeight="1">
      <c r="A434" s="41"/>
      <c r="B434" s="380" t="s">
        <v>1060</v>
      </c>
      <c r="C434" s="110" t="s">
        <v>622</v>
      </c>
      <c r="D434" s="18" t="str">
        <f>mgmt_srm_recovery_mask</f>
        <v>Value Missing</v>
      </c>
      <c r="E434" s="191"/>
      <c r="F434" s="41"/>
      <c r="G434" s="41"/>
      <c r="H434" s="41"/>
      <c r="I434" s="41"/>
      <c r="J434" s="41"/>
      <c r="K434" s="41"/>
      <c r="L434" s="41"/>
      <c r="M434" s="41"/>
      <c r="N434" s="41"/>
      <c r="O434" s="41"/>
      <c r="P434" s="41"/>
      <c r="Q434" s="41"/>
      <c r="R434" s="41"/>
      <c r="S434" s="41"/>
      <c r="T434" s="41"/>
      <c r="U434" s="41"/>
      <c r="V434" s="41"/>
      <c r="W434" s="41"/>
      <c r="X434" s="41"/>
      <c r="Y434" s="41"/>
      <c r="Z434" s="41"/>
    </row>
    <row r="435" ht="19.5" customHeight="1">
      <c r="A435" s="41"/>
      <c r="B435" s="17" t="s">
        <v>3422</v>
      </c>
      <c r="C435" s="13"/>
      <c r="D435" s="13"/>
      <c r="E435" s="14"/>
      <c r="F435" s="41"/>
      <c r="G435" s="41"/>
      <c r="H435" s="41"/>
      <c r="I435" s="41"/>
      <c r="J435" s="41"/>
      <c r="K435" s="41"/>
      <c r="L435" s="41"/>
      <c r="M435" s="41"/>
      <c r="N435" s="41"/>
      <c r="O435" s="41"/>
      <c r="P435" s="41"/>
      <c r="Q435" s="41"/>
      <c r="R435" s="41"/>
      <c r="S435" s="41"/>
      <c r="T435" s="41"/>
      <c r="U435" s="41"/>
      <c r="V435" s="41"/>
      <c r="W435" s="41"/>
      <c r="X435" s="41"/>
      <c r="Y435" s="41"/>
      <c r="Z435" s="41"/>
    </row>
    <row r="436" ht="19.5" customHeight="1">
      <c r="A436" s="41"/>
      <c r="B436" s="380" t="s">
        <v>537</v>
      </c>
      <c r="C436" s="231" t="str">
        <f>sample_flt_vidb_vip_fqdn</f>
        <v>flt-idb01.rainpole.io</v>
      </c>
      <c r="D436" s="18"/>
      <c r="E436" s="191"/>
      <c r="F436" s="41"/>
      <c r="G436" s="41"/>
      <c r="H436" s="41"/>
      <c r="I436" s="41"/>
      <c r="J436" s="41"/>
      <c r="K436" s="41"/>
      <c r="L436" s="41"/>
      <c r="M436" s="41"/>
      <c r="N436" s="41"/>
      <c r="O436" s="41"/>
      <c r="P436" s="41"/>
      <c r="Q436" s="41"/>
      <c r="R436" s="41"/>
      <c r="S436" s="41"/>
      <c r="T436" s="41"/>
      <c r="U436" s="41"/>
      <c r="V436" s="41"/>
      <c r="W436" s="41"/>
      <c r="X436" s="41"/>
      <c r="Y436" s="41"/>
      <c r="Z436" s="41"/>
    </row>
    <row r="437" ht="19.5" customHeight="1">
      <c r="A437" s="41"/>
      <c r="B437" s="380" t="s">
        <v>3550</v>
      </c>
      <c r="C437" s="230" t="str">
        <f>sample_flt_vidb_cert_alias</f>
        <v>flt-idb01-cert</v>
      </c>
      <c r="D437" s="18"/>
      <c r="E437" s="191"/>
      <c r="F437" s="41"/>
      <c r="G437" s="41"/>
      <c r="H437" s="41"/>
      <c r="I437" s="41"/>
      <c r="J437" s="41"/>
      <c r="K437" s="41"/>
      <c r="L437" s="41"/>
      <c r="M437" s="41"/>
      <c r="N437" s="41"/>
      <c r="O437" s="41"/>
      <c r="P437" s="41"/>
      <c r="Q437" s="41"/>
      <c r="R437" s="41"/>
      <c r="S437" s="41"/>
      <c r="T437" s="41"/>
      <c r="U437" s="41"/>
      <c r="V437" s="41"/>
      <c r="W437" s="41"/>
      <c r="X437" s="41"/>
      <c r="Y437" s="41"/>
      <c r="Z437" s="41"/>
    </row>
    <row r="438" ht="19.5" customHeight="1">
      <c r="A438" s="41"/>
      <c r="B438" s="380" t="s">
        <v>1168</v>
      </c>
      <c r="C438" s="157" t="str">
        <f>sample_flt_vidb_password_alias</f>
        <v>flt-idb01-password</v>
      </c>
      <c r="D438" s="18"/>
      <c r="E438" s="191"/>
      <c r="F438" s="41"/>
      <c r="G438" s="41"/>
      <c r="H438" s="41"/>
      <c r="I438" s="41"/>
      <c r="J438" s="41"/>
      <c r="K438" s="41"/>
      <c r="L438" s="41"/>
      <c r="M438" s="41"/>
      <c r="N438" s="41"/>
      <c r="O438" s="41"/>
      <c r="P438" s="41"/>
      <c r="Q438" s="41"/>
      <c r="R438" s="41"/>
      <c r="S438" s="41"/>
      <c r="T438" s="41"/>
      <c r="U438" s="41"/>
      <c r="V438" s="41"/>
      <c r="W438" s="41"/>
      <c r="X438" s="41"/>
      <c r="Y438" s="41"/>
      <c r="Z438" s="41"/>
    </row>
    <row r="439" ht="19.5" customHeight="1">
      <c r="A439" s="41"/>
      <c r="B439" s="380" t="s">
        <v>3551</v>
      </c>
      <c r="C439" s="231" t="str">
        <f>sample_flt_vidb_vip_fqdn</f>
        <v>flt-idb01.rainpole.io</v>
      </c>
      <c r="D439" s="18"/>
      <c r="E439" s="191"/>
      <c r="F439" s="41"/>
      <c r="G439" s="41"/>
      <c r="H439" s="41"/>
      <c r="I439" s="41"/>
      <c r="J439" s="41"/>
      <c r="K439" s="41"/>
      <c r="L439" s="41"/>
      <c r="M439" s="41"/>
      <c r="N439" s="41"/>
      <c r="O439" s="41"/>
      <c r="P439" s="41"/>
      <c r="Q439" s="41"/>
      <c r="R439" s="41"/>
      <c r="S439" s="41"/>
      <c r="T439" s="41"/>
      <c r="U439" s="41"/>
      <c r="V439" s="41"/>
      <c r="W439" s="41"/>
      <c r="X439" s="41"/>
      <c r="Y439" s="41"/>
      <c r="Z439" s="41"/>
    </row>
    <row r="440" ht="19.5" customHeight="1">
      <c r="A440" s="41"/>
      <c r="B440" s="380" t="s">
        <v>1017</v>
      </c>
      <c r="C440" s="230" t="str">
        <f>sample_flt_vidb_node_prefix</f>
        <v>flt-idb</v>
      </c>
      <c r="D440" s="18"/>
      <c r="E440" s="191"/>
      <c r="F440" s="41"/>
      <c r="G440" s="41"/>
      <c r="H440" s="41"/>
      <c r="I440" s="41"/>
      <c r="J440" s="41"/>
      <c r="K440" s="41"/>
      <c r="L440" s="41"/>
      <c r="M440" s="41"/>
      <c r="N440" s="41"/>
      <c r="O440" s="41"/>
      <c r="P440" s="41"/>
      <c r="Q440" s="41"/>
      <c r="R440" s="41"/>
      <c r="S440" s="41"/>
      <c r="T440" s="41"/>
      <c r="U440" s="41"/>
      <c r="V440" s="41"/>
      <c r="W440" s="41"/>
      <c r="X440" s="41"/>
      <c r="Y440" s="41"/>
      <c r="Z440" s="41"/>
    </row>
    <row r="441" ht="19.5" customHeight="1">
      <c r="A441" s="41"/>
      <c r="B441" s="380" t="s">
        <v>348</v>
      </c>
      <c r="C441" s="230" t="s">
        <v>1077</v>
      </c>
      <c r="D441" s="18"/>
      <c r="E441" s="191"/>
      <c r="F441" s="41"/>
      <c r="G441" s="41"/>
      <c r="H441" s="41"/>
      <c r="I441" s="41"/>
      <c r="J441" s="41"/>
      <c r="K441" s="41"/>
      <c r="L441" s="41"/>
      <c r="M441" s="41"/>
      <c r="N441" s="41"/>
      <c r="O441" s="41"/>
      <c r="P441" s="41"/>
      <c r="Q441" s="41"/>
      <c r="R441" s="41"/>
      <c r="S441" s="41"/>
      <c r="T441" s="41"/>
      <c r="U441" s="41"/>
      <c r="V441" s="41"/>
      <c r="W441" s="41"/>
      <c r="X441" s="41"/>
      <c r="Y441" s="41"/>
      <c r="Z441" s="41"/>
    </row>
    <row r="442" ht="19.5" customHeight="1">
      <c r="A442" s="41"/>
      <c r="B442" s="380" t="s">
        <v>1076</v>
      </c>
      <c r="C442" s="110" t="str">
        <f>IF(flt_custom_network_chosen="Shared Management Network",IF(mgmt_dpg_reuse_result="Included",CONCATENATE(prefix_mgmt_az1_cidr,"20.23"),CONCATENATE(prefix_mgmt_az1_cidr,"20.23")),IF(flt_custom_network_chosen="NSX Overlay Segment",CONCATENATE(prefix_xreg_cidr,".23"),CONCATENATE(prefix_flt_shared_cidr,".23")))</f>
        <v>10.21.20.23</v>
      </c>
      <c r="D442" s="18"/>
      <c r="E442" s="191"/>
      <c r="F442" s="41"/>
      <c r="G442" s="41"/>
      <c r="H442" s="41"/>
      <c r="I442" s="41"/>
      <c r="J442" s="41"/>
      <c r="K442" s="41"/>
      <c r="L442" s="41"/>
      <c r="M442" s="41"/>
      <c r="N442" s="41"/>
      <c r="O442" s="41"/>
      <c r="P442" s="41"/>
      <c r="Q442" s="41"/>
      <c r="R442" s="41"/>
      <c r="S442" s="41"/>
      <c r="T442" s="41"/>
      <c r="U442" s="41"/>
      <c r="V442" s="41"/>
      <c r="W442" s="41"/>
      <c r="X442" s="41"/>
      <c r="Y442" s="41"/>
      <c r="Z442" s="41"/>
    </row>
    <row r="443" ht="19.5" customHeight="1">
      <c r="A443" s="41"/>
      <c r="B443" s="380" t="s">
        <v>3552</v>
      </c>
      <c r="C443" s="110" t="str">
        <f>CONCATENATE(IF(flt_custom_network_chosen="Shared Management Network",IF(mgmt_dpg_reuse_result="Included",CONCATENATE(prefix_mgmt_az1_cidr,"20.55"),CONCATENATE(prefix_mgmt_az1_cidr,"20.55")),IF(flt_custom_network_chosen="NSX Overlay Segment",CONCATENATE(prefix_xreg_cidr,".55"),CONCATENATE(prefix_flt_shared_cidr,".55"))),"-",IF(flt_custom_network_chosen="Shared Management Network",IF(mgmt_dpg_reuse_result="Included",CONCATENATE(prefix_mgmt_az1_cidr,"20.58"),CONCATENATE(prefix_mgmt_az1_cidr,"20.58")),IF(flt_custom_network_chosen="NSX Overlay Segment",CONCATENATE(prefix_xreg_cidr,".58"),CONCATENATE(prefix_flt_shared_cidr,".58"))))</f>
        <v>10.21.20.55-10.21.20.58</v>
      </c>
      <c r="D443" s="18"/>
      <c r="E443" s="19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382"/>
      <c r="C444" s="41"/>
      <c r="D444" s="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33.75" customHeight="1">
      <c r="A445" s="41"/>
      <c r="B445" s="290" t="s">
        <v>3558</v>
      </c>
      <c r="C445" s="13"/>
      <c r="D445" s="13"/>
      <c r="E445" s="14"/>
      <c r="F445" s="41"/>
      <c r="G445" s="41"/>
      <c r="H445" s="41"/>
      <c r="I445" s="41"/>
      <c r="J445" s="41"/>
      <c r="K445" s="41"/>
      <c r="L445" s="41"/>
      <c r="M445" s="41"/>
      <c r="N445" s="41"/>
      <c r="O445" s="41"/>
      <c r="P445" s="41"/>
      <c r="Q445" s="41"/>
      <c r="R445" s="41"/>
      <c r="S445" s="41"/>
      <c r="T445" s="41"/>
      <c r="U445" s="41"/>
      <c r="V445" s="41"/>
      <c r="W445" s="41"/>
      <c r="X445" s="41"/>
      <c r="Y445" s="41"/>
      <c r="Z445" s="41"/>
    </row>
    <row r="446" ht="19.5" customHeight="1">
      <c r="A446" s="41"/>
      <c r="B446" s="102"/>
      <c r="C446" s="13"/>
      <c r="D446" s="13"/>
      <c r="E446" s="14"/>
      <c r="F446" s="41"/>
      <c r="G446" s="41"/>
      <c r="H446" s="41"/>
      <c r="I446" s="41"/>
      <c r="J446" s="41"/>
      <c r="K446" s="41"/>
      <c r="L446" s="41"/>
      <c r="M446" s="41"/>
      <c r="N446" s="41"/>
      <c r="O446" s="41"/>
      <c r="P446" s="41"/>
      <c r="Q446" s="41"/>
      <c r="R446" s="41"/>
      <c r="S446" s="41"/>
      <c r="T446" s="41"/>
      <c r="U446" s="41"/>
      <c r="V446" s="41"/>
      <c r="W446" s="41"/>
      <c r="X446" s="41"/>
      <c r="Y446" s="41"/>
      <c r="Z446" s="41"/>
    </row>
    <row r="447" ht="19.5" customHeight="1">
      <c r="A447" s="41"/>
      <c r="B447" s="378" t="s">
        <v>37</v>
      </c>
      <c r="C447" s="379" t="s">
        <v>273</v>
      </c>
      <c r="D447" s="379" t="s">
        <v>274</v>
      </c>
      <c r="E447" s="379" t="s">
        <v>5</v>
      </c>
      <c r="F447" s="41"/>
      <c r="G447" s="41"/>
      <c r="H447" s="41"/>
      <c r="I447" s="41"/>
      <c r="J447" s="41"/>
      <c r="K447" s="41"/>
      <c r="L447" s="41"/>
      <c r="M447" s="41"/>
      <c r="N447" s="41"/>
      <c r="O447" s="41"/>
      <c r="P447" s="41"/>
      <c r="Q447" s="41"/>
      <c r="R447" s="41"/>
      <c r="S447" s="41"/>
      <c r="T447" s="41"/>
      <c r="U447" s="41"/>
      <c r="V447" s="41"/>
      <c r="W447" s="41"/>
      <c r="X447" s="41"/>
      <c r="Y447" s="41"/>
      <c r="Z447" s="41"/>
    </row>
    <row r="448" ht="19.5" customHeight="1">
      <c r="A448" s="41"/>
      <c r="B448" s="385" t="s">
        <v>3421</v>
      </c>
      <c r="C448" s="111" t="str">
        <f>sample_vvs_dr_flt_ops_nodea_fqdn</f>
        <v>flt-ops01a.rainpole.io</v>
      </c>
      <c r="D448" s="258" t="str">
        <f>vvs_dr_flt_ops_nodea_fqdn</f>
        <v>Value Missing</v>
      </c>
      <c r="E448" s="256"/>
      <c r="F448" s="41"/>
      <c r="G448" s="41"/>
      <c r="H448" s="41"/>
      <c r="I448" s="41"/>
      <c r="J448" s="41"/>
      <c r="K448" s="41"/>
      <c r="L448" s="41"/>
      <c r="M448" s="41"/>
      <c r="N448" s="41"/>
      <c r="O448" s="41"/>
      <c r="P448" s="41"/>
      <c r="Q448" s="41"/>
      <c r="R448" s="41"/>
      <c r="S448" s="41"/>
      <c r="T448" s="41"/>
      <c r="U448" s="41"/>
      <c r="V448" s="41"/>
      <c r="W448" s="41"/>
      <c r="X448" s="41"/>
      <c r="Y448" s="41"/>
      <c r="Z448" s="41"/>
    </row>
    <row r="449" ht="19.5" customHeight="1">
      <c r="A449" s="41"/>
      <c r="B449" s="386" t="s">
        <v>3549</v>
      </c>
      <c r="C449" s="13"/>
      <c r="D449" s="13"/>
      <c r="E449" s="14"/>
      <c r="F449" s="41"/>
      <c r="G449" s="41"/>
      <c r="H449" s="41"/>
      <c r="I449" s="41"/>
      <c r="J449" s="41"/>
      <c r="K449" s="41"/>
      <c r="L449" s="41"/>
      <c r="M449" s="41"/>
      <c r="N449" s="41"/>
      <c r="O449" s="41"/>
      <c r="P449" s="41"/>
      <c r="Q449" s="41"/>
      <c r="R449" s="41"/>
      <c r="S449" s="41"/>
      <c r="T449" s="41"/>
      <c r="U449" s="41"/>
      <c r="V449" s="41"/>
      <c r="W449" s="41"/>
      <c r="X449" s="41"/>
      <c r="Y449" s="41"/>
      <c r="Z449" s="41"/>
    </row>
    <row r="450" ht="19.5" customHeight="1">
      <c r="A450" s="41"/>
      <c r="B450" s="385" t="s">
        <v>299</v>
      </c>
      <c r="C450" s="110" t="s">
        <v>3554</v>
      </c>
      <c r="D450" s="18" t="str">
        <f>mgmt_srm_recovery_vcenter_fqdn</f>
        <v>Value Missing</v>
      </c>
      <c r="E450" s="256"/>
      <c r="F450" s="41"/>
      <c r="G450" s="41"/>
      <c r="H450" s="41"/>
      <c r="I450" s="41"/>
      <c r="J450" s="41"/>
      <c r="K450" s="41"/>
      <c r="L450" s="41"/>
      <c r="M450" s="41"/>
      <c r="N450" s="41"/>
      <c r="O450" s="41"/>
      <c r="P450" s="41"/>
      <c r="Q450" s="41"/>
      <c r="R450" s="41"/>
      <c r="S450" s="41"/>
      <c r="T450" s="41"/>
      <c r="U450" s="41"/>
      <c r="V450" s="41"/>
      <c r="W450" s="41"/>
      <c r="X450" s="41"/>
      <c r="Y450" s="41"/>
      <c r="Z450" s="41"/>
    </row>
    <row r="451" ht="19.5" customHeight="1">
      <c r="A451" s="41"/>
      <c r="B451" s="385" t="s">
        <v>1178</v>
      </c>
      <c r="C451" s="110" t="s">
        <v>3555</v>
      </c>
      <c r="D451" s="18" t="str">
        <f>mgmt_srm_recovery_cluster</f>
        <v>Value Missing</v>
      </c>
      <c r="E451" s="256"/>
      <c r="F451" s="41"/>
      <c r="G451" s="41"/>
      <c r="H451" s="41"/>
      <c r="I451" s="41"/>
      <c r="J451" s="41"/>
      <c r="K451" s="41"/>
      <c r="L451" s="41"/>
      <c r="M451" s="41"/>
      <c r="N451" s="41"/>
      <c r="O451" s="41"/>
      <c r="P451" s="41"/>
      <c r="Q451" s="41"/>
      <c r="R451" s="41"/>
      <c r="S451" s="41"/>
      <c r="T451" s="41"/>
      <c r="U451" s="41"/>
      <c r="V451" s="41"/>
      <c r="W451" s="41"/>
      <c r="X451" s="41"/>
      <c r="Y451" s="41"/>
      <c r="Z451" s="41"/>
    </row>
    <row r="452" ht="19.5" customHeight="1">
      <c r="A452" s="41"/>
      <c r="B452" s="385" t="s">
        <v>717</v>
      </c>
      <c r="C452" s="110" t="str">
        <f>sample_mgmt_srm_recovery_pg</f>
        <v>sfo-m01-cl01-vds01-pg-vm-mgmt</v>
      </c>
      <c r="D452" s="18" t="str">
        <f t="array" ref="D452">mgmt_srm_recovery_pg</f>
        <v>Value Missing</v>
      </c>
      <c r="E452" s="256"/>
      <c r="F452" s="41"/>
      <c r="G452" s="41"/>
      <c r="H452" s="41"/>
      <c r="I452" s="41"/>
      <c r="J452" s="41"/>
      <c r="K452" s="41"/>
      <c r="L452" s="41"/>
      <c r="M452" s="41"/>
      <c r="N452" s="41"/>
      <c r="O452" s="41"/>
      <c r="P452" s="41"/>
      <c r="Q452" s="41"/>
      <c r="R452" s="41"/>
      <c r="S452" s="41"/>
      <c r="T452" s="41"/>
      <c r="U452" s="41"/>
      <c r="V452" s="41"/>
      <c r="W452" s="41"/>
      <c r="X452" s="41"/>
      <c r="Y452" s="41"/>
      <c r="Z452" s="41"/>
    </row>
    <row r="453" ht="19.5" customHeight="1">
      <c r="A453" s="41"/>
      <c r="B453" s="385" t="s">
        <v>596</v>
      </c>
      <c r="C453" s="110" t="s">
        <v>3556</v>
      </c>
      <c r="D453" s="18" t="str">
        <f>mgmt_srm_recovery_datastore</f>
        <v>Value Missing</v>
      </c>
      <c r="E453" s="256"/>
      <c r="F453" s="41"/>
      <c r="G453" s="41"/>
      <c r="H453" s="41"/>
      <c r="I453" s="41"/>
      <c r="J453" s="41"/>
      <c r="K453" s="41"/>
      <c r="L453" s="41"/>
      <c r="M453" s="41"/>
      <c r="N453" s="41"/>
      <c r="O453" s="41"/>
      <c r="P453" s="41"/>
      <c r="Q453" s="41"/>
      <c r="R453" s="41"/>
      <c r="S453" s="41"/>
      <c r="T453" s="41"/>
      <c r="U453" s="41"/>
      <c r="V453" s="41"/>
      <c r="W453" s="41"/>
      <c r="X453" s="41"/>
      <c r="Y453" s="41"/>
      <c r="Z453" s="41"/>
    </row>
    <row r="454" ht="19.5" customHeight="1">
      <c r="A454" s="41"/>
      <c r="B454" s="386" t="s">
        <v>717</v>
      </c>
      <c r="C454" s="13"/>
      <c r="D454" s="13"/>
      <c r="E454" s="14"/>
      <c r="F454" s="41"/>
      <c r="G454" s="41"/>
      <c r="H454" s="41"/>
      <c r="I454" s="41"/>
      <c r="J454" s="41"/>
      <c r="K454" s="41"/>
      <c r="L454" s="41"/>
      <c r="M454" s="41"/>
      <c r="N454" s="41"/>
      <c r="O454" s="41"/>
      <c r="P454" s="41"/>
      <c r="Q454" s="41"/>
      <c r="R454" s="41"/>
      <c r="S454" s="41"/>
      <c r="T454" s="41"/>
      <c r="U454" s="41"/>
      <c r="V454" s="41"/>
      <c r="W454" s="41"/>
      <c r="X454" s="41"/>
      <c r="Y454" s="41"/>
      <c r="Z454" s="41"/>
    </row>
    <row r="455" ht="19.5" customHeight="1">
      <c r="A455" s="41"/>
      <c r="B455" s="385" t="s">
        <v>356</v>
      </c>
      <c r="C455" s="110" t="s">
        <v>77</v>
      </c>
      <c r="D455" s="258" t="str">
        <f>vvs_dr_parent_dns_zone</f>
        <v>Value Missing</v>
      </c>
      <c r="E455" s="256"/>
      <c r="F455" s="41"/>
      <c r="G455" s="41"/>
      <c r="H455" s="41"/>
      <c r="I455" s="41"/>
      <c r="J455" s="41"/>
      <c r="K455" s="41"/>
      <c r="L455" s="41"/>
      <c r="M455" s="41"/>
      <c r="N455" s="41"/>
      <c r="O455" s="41"/>
      <c r="P455" s="41"/>
      <c r="Q455" s="41"/>
      <c r="R455" s="41"/>
      <c r="S455" s="41"/>
      <c r="T455" s="41"/>
      <c r="U455" s="41"/>
      <c r="V455" s="41"/>
      <c r="W455" s="41"/>
      <c r="X455" s="41"/>
      <c r="Y455" s="41"/>
      <c r="Z455" s="41"/>
    </row>
    <row r="456" ht="19.5" customHeight="1">
      <c r="A456" s="41"/>
      <c r="B456" s="385" t="s">
        <v>1055</v>
      </c>
      <c r="C456" s="110" t="s">
        <v>77</v>
      </c>
      <c r="D456" s="258" t="str">
        <f>vvs_dr_parent_dns_zone</f>
        <v>Value Missing</v>
      </c>
      <c r="E456" s="256"/>
      <c r="F456" s="41"/>
      <c r="G456" s="41"/>
      <c r="H456" s="41"/>
      <c r="I456" s="41"/>
      <c r="J456" s="41"/>
      <c r="K456" s="41"/>
      <c r="L456" s="41"/>
      <c r="M456" s="41"/>
      <c r="N456" s="41"/>
      <c r="O456" s="41"/>
      <c r="P456" s="41"/>
      <c r="Q456" s="41"/>
      <c r="R456" s="41"/>
      <c r="S456" s="41"/>
      <c r="T456" s="41"/>
      <c r="U456" s="41"/>
      <c r="V456" s="41"/>
      <c r="W456" s="41"/>
      <c r="X456" s="41"/>
      <c r="Y456" s="41"/>
      <c r="Z456" s="41"/>
    </row>
    <row r="457" ht="19.5" customHeight="1">
      <c r="A457" s="41"/>
      <c r="B457" s="385" t="s">
        <v>1056</v>
      </c>
      <c r="C457" s="110" t="str">
        <f>CONCATENATE(sample_vvs_dr_dns1_ip,",",sample_vvs_dr_dns2_ip)</f>
        <v>10.11.10.4,10.11.10.5</v>
      </c>
      <c r="D457" s="18" t="str">
        <f>CONCATENATE(vvs_dr_dns1_ip,",",vvs_dr_dns2_ip)</f>
        <v>Value Missing,Value Missing</v>
      </c>
      <c r="E457" s="256"/>
      <c r="F457" s="41"/>
      <c r="G457" s="41"/>
      <c r="H457" s="41"/>
      <c r="I457" s="41"/>
      <c r="J457" s="41"/>
      <c r="K457" s="41"/>
      <c r="L457" s="41"/>
      <c r="M457" s="41"/>
      <c r="N457" s="41"/>
      <c r="O457" s="41"/>
      <c r="P457" s="41"/>
      <c r="Q457" s="41"/>
      <c r="R457" s="41"/>
      <c r="S457" s="41"/>
      <c r="T457" s="41"/>
      <c r="U457" s="41"/>
      <c r="V457" s="41"/>
      <c r="W457" s="41"/>
      <c r="X457" s="41"/>
      <c r="Y457" s="41"/>
      <c r="Z457" s="41"/>
    </row>
    <row r="458" ht="19.5" customHeight="1">
      <c r="A458" s="41"/>
      <c r="B458" s="385" t="s">
        <v>1059</v>
      </c>
      <c r="C458" s="110" t="str">
        <f>IF(flt_custom_network_chosen="Shared Management Network",IF(mgmt_dpg_reuse_result="Included",CONCATENATE(prefix_mgmt_az1_cidr,"20.1"),CONCATENATE(prefix_mgmt_az1_cidr,"21.1")),IF(flt_custom_network_chosen="NSX Overlay Segment",CONCATENATE(prefix_xreg_cidr,".1"),CONCATENATE(prefix_flt_shared_cidr,".1")))</f>
        <v>10.21.20.1</v>
      </c>
      <c r="D458" s="18"/>
      <c r="E458" s="256"/>
      <c r="F458" s="41"/>
      <c r="G458" s="41"/>
      <c r="H458" s="41"/>
      <c r="I458" s="41"/>
      <c r="J458" s="41"/>
      <c r="K458" s="41"/>
      <c r="L458" s="41"/>
      <c r="M458" s="41"/>
      <c r="N458" s="41"/>
      <c r="O458" s="41"/>
      <c r="P458" s="41"/>
      <c r="Q458" s="41"/>
      <c r="R458" s="41"/>
      <c r="S458" s="41"/>
      <c r="T458" s="41"/>
      <c r="U458" s="41"/>
      <c r="V458" s="41"/>
      <c r="W458" s="41"/>
      <c r="X458" s="41"/>
      <c r="Y458" s="41"/>
      <c r="Z458" s="41"/>
    </row>
    <row r="459" ht="19.5" customHeight="1">
      <c r="A459" s="41"/>
      <c r="B459" s="385" t="s">
        <v>1060</v>
      </c>
      <c r="C459" s="110" t="s">
        <v>622</v>
      </c>
      <c r="D459" s="18" t="str">
        <f>mgmt_srm_recovery_mask</f>
        <v>Value Missing</v>
      </c>
      <c r="E459" s="256"/>
      <c r="F459" s="41"/>
      <c r="G459" s="41"/>
      <c r="H459" s="41"/>
      <c r="I459" s="41"/>
      <c r="J459" s="41"/>
      <c r="K459" s="41"/>
      <c r="L459" s="41"/>
      <c r="M459" s="41"/>
      <c r="N459" s="41"/>
      <c r="O459" s="41"/>
      <c r="P459" s="41"/>
      <c r="Q459" s="41"/>
      <c r="R459" s="41"/>
      <c r="S459" s="41"/>
      <c r="T459" s="41"/>
      <c r="U459" s="41"/>
      <c r="V459" s="41"/>
      <c r="W459" s="41"/>
      <c r="X459" s="41"/>
      <c r="Y459" s="41"/>
      <c r="Z459" s="41"/>
    </row>
    <row r="460" ht="19.5" customHeight="1">
      <c r="A460" s="41"/>
      <c r="B460" s="386" t="s">
        <v>3422</v>
      </c>
      <c r="C460" s="13"/>
      <c r="D460" s="13"/>
      <c r="E460" s="14"/>
      <c r="F460" s="41"/>
      <c r="G460" s="41"/>
      <c r="H460" s="41"/>
      <c r="I460" s="41"/>
      <c r="J460" s="41"/>
      <c r="K460" s="41"/>
      <c r="L460" s="41"/>
      <c r="M460" s="41"/>
      <c r="N460" s="41"/>
      <c r="O460" s="41"/>
      <c r="P460" s="41"/>
      <c r="Q460" s="41"/>
      <c r="R460" s="41"/>
      <c r="S460" s="41"/>
      <c r="T460" s="41"/>
      <c r="U460" s="41"/>
      <c r="V460" s="41"/>
      <c r="W460" s="41"/>
      <c r="X460" s="41"/>
      <c r="Y460" s="41"/>
      <c r="Z460" s="41"/>
    </row>
    <row r="461" ht="19.5" customHeight="1">
      <c r="A461" s="41"/>
      <c r="B461" s="385" t="s">
        <v>537</v>
      </c>
      <c r="C461" s="231" t="str">
        <f>sample_vcf_automation_vip_fqdn</f>
        <v>flt-auto01.rainpole.io</v>
      </c>
      <c r="D461" s="258"/>
      <c r="E461" s="256"/>
      <c r="F461" s="41"/>
      <c r="G461" s="41"/>
      <c r="H461" s="41"/>
      <c r="I461" s="41"/>
      <c r="J461" s="41"/>
      <c r="K461" s="41"/>
      <c r="L461" s="41"/>
      <c r="M461" s="41"/>
      <c r="N461" s="41"/>
      <c r="O461" s="41"/>
      <c r="P461" s="41"/>
      <c r="Q461" s="41"/>
      <c r="R461" s="41"/>
      <c r="S461" s="41"/>
      <c r="T461" s="41"/>
      <c r="U461" s="41"/>
      <c r="V461" s="41"/>
      <c r="W461" s="41"/>
      <c r="X461" s="41"/>
      <c r="Y461" s="41"/>
      <c r="Z461" s="41"/>
    </row>
    <row r="462" ht="19.5" customHeight="1">
      <c r="A462" s="41"/>
      <c r="B462" s="385" t="s">
        <v>3550</v>
      </c>
      <c r="C462" s="230" t="str">
        <f>sample_vcf_automation_cert_alias</f>
        <v>flt-auto01-cert</v>
      </c>
      <c r="D462" s="258"/>
      <c r="E462" s="256"/>
      <c r="F462" s="41"/>
      <c r="G462" s="41"/>
      <c r="H462" s="41"/>
      <c r="I462" s="41"/>
      <c r="J462" s="41"/>
      <c r="K462" s="41"/>
      <c r="L462" s="41"/>
      <c r="M462" s="41"/>
      <c r="N462" s="41"/>
      <c r="O462" s="41"/>
      <c r="P462" s="41"/>
      <c r="Q462" s="41"/>
      <c r="R462" s="41"/>
      <c r="S462" s="41"/>
      <c r="T462" s="41"/>
      <c r="U462" s="41"/>
      <c r="V462" s="41"/>
      <c r="W462" s="41"/>
      <c r="X462" s="41"/>
      <c r="Y462" s="41"/>
      <c r="Z462" s="41"/>
    </row>
    <row r="463" ht="19.5" customHeight="1">
      <c r="A463" s="41"/>
      <c r="B463" s="385" t="s">
        <v>1168</v>
      </c>
      <c r="C463" s="157" t="str">
        <f>sample_vcf_automation_root_password_alias</f>
        <v>flt-auto01-password</v>
      </c>
      <c r="D463" s="258"/>
      <c r="E463" s="256"/>
      <c r="F463" s="41"/>
      <c r="G463" s="41"/>
      <c r="H463" s="41"/>
      <c r="I463" s="41"/>
      <c r="J463" s="41"/>
      <c r="K463" s="41"/>
      <c r="L463" s="41"/>
      <c r="M463" s="41"/>
      <c r="N463" s="41"/>
      <c r="O463" s="41"/>
      <c r="P463" s="41"/>
      <c r="Q463" s="41"/>
      <c r="R463" s="41"/>
      <c r="S463" s="41"/>
      <c r="T463" s="41"/>
      <c r="U463" s="41"/>
      <c r="V463" s="41"/>
      <c r="W463" s="41"/>
      <c r="X463" s="41"/>
      <c r="Y463" s="41"/>
      <c r="Z463" s="41"/>
    </row>
    <row r="464" ht="19.5" customHeight="1">
      <c r="A464" s="41"/>
      <c r="B464" s="385" t="s">
        <v>3551</v>
      </c>
      <c r="C464" s="231" t="str">
        <f>sample_vcf_automation_vip_fqdn</f>
        <v>flt-auto01.rainpole.io</v>
      </c>
      <c r="D464" s="258"/>
      <c r="E464" s="256"/>
      <c r="F464" s="41"/>
      <c r="G464" s="41"/>
      <c r="H464" s="41"/>
      <c r="I464" s="41"/>
      <c r="J464" s="41"/>
      <c r="K464" s="41"/>
      <c r="L464" s="41"/>
      <c r="M464" s="41"/>
      <c r="N464" s="41"/>
      <c r="O464" s="41"/>
      <c r="P464" s="41"/>
      <c r="Q464" s="41"/>
      <c r="R464" s="41"/>
      <c r="S464" s="41"/>
      <c r="T464" s="41"/>
      <c r="U464" s="41"/>
      <c r="V464" s="41"/>
      <c r="W464" s="41"/>
      <c r="X464" s="41"/>
      <c r="Y464" s="41"/>
      <c r="Z464" s="41"/>
    </row>
    <row r="465" ht="19.5" customHeight="1">
      <c r="A465" s="41"/>
      <c r="B465" s="385" t="s">
        <v>1073</v>
      </c>
      <c r="C465" s="230" t="s">
        <v>1074</v>
      </c>
      <c r="D465" s="258"/>
      <c r="E465" s="256"/>
      <c r="F465" s="41"/>
      <c r="G465" s="41"/>
      <c r="H465" s="41"/>
      <c r="I465" s="41"/>
      <c r="J465" s="41"/>
      <c r="K465" s="41"/>
      <c r="L465" s="41"/>
      <c r="M465" s="41"/>
      <c r="N465" s="41"/>
      <c r="O465" s="41"/>
      <c r="P465" s="41"/>
      <c r="Q465" s="41"/>
      <c r="R465" s="41"/>
      <c r="S465" s="41"/>
      <c r="T465" s="41"/>
      <c r="U465" s="41"/>
      <c r="V465" s="41"/>
      <c r="W465" s="41"/>
      <c r="X465" s="41"/>
      <c r="Y465" s="41"/>
      <c r="Z465" s="41"/>
    </row>
    <row r="466" ht="19.5" customHeight="1">
      <c r="A466" s="41"/>
      <c r="B466" s="385" t="s">
        <v>1017</v>
      </c>
      <c r="C466" s="230" t="str">
        <f>CONCATENATE(prefix_portable_component,"-auto")</f>
        <v>flt-auto</v>
      </c>
      <c r="D466" s="258"/>
      <c r="E466" s="256"/>
      <c r="F466" s="41"/>
      <c r="G466" s="41"/>
      <c r="H466" s="41"/>
      <c r="I466" s="41"/>
      <c r="J466" s="41"/>
      <c r="K466" s="41"/>
      <c r="L466" s="41"/>
      <c r="M466" s="41"/>
      <c r="N466" s="41"/>
      <c r="O466" s="41"/>
      <c r="P466" s="41"/>
      <c r="Q466" s="41"/>
      <c r="R466" s="41"/>
      <c r="S466" s="41"/>
      <c r="T466" s="41"/>
      <c r="U466" s="41"/>
      <c r="V466" s="41"/>
      <c r="W466" s="41"/>
      <c r="X466" s="41"/>
      <c r="Y466" s="41"/>
      <c r="Z466" s="41"/>
    </row>
    <row r="467" ht="19.5" customHeight="1">
      <c r="A467" s="41"/>
      <c r="B467" s="385" t="s">
        <v>1076</v>
      </c>
      <c r="C467" s="110" t="str">
        <f>IF(flt_custom_network_chosen="Shared Management Network",IF(mgmt_dpg_reuse_result="Included",CONCATENATE(prefix_mgmt_az1_cidr,"20.25"),CONCATENATE(prefix_mgmt_az1_cidr,"20.25")),IF(flt_custom_network_chosen="NSX Overlay Segment",CONCATENATE(prefix_xreg_cidr,".25"),CONCATENATE(prefix_flt_shared_cidr,".25")))</f>
        <v>10.21.20.25</v>
      </c>
      <c r="D467" s="258"/>
      <c r="E467" s="256"/>
      <c r="F467" s="41"/>
      <c r="G467" s="41"/>
      <c r="H467" s="41"/>
      <c r="I467" s="41"/>
      <c r="J467" s="41"/>
      <c r="K467" s="41"/>
      <c r="L467" s="41"/>
      <c r="M467" s="41"/>
      <c r="N467" s="41"/>
      <c r="O467" s="41"/>
      <c r="P467" s="41"/>
      <c r="Q467" s="41"/>
      <c r="R467" s="41"/>
      <c r="S467" s="41"/>
      <c r="T467" s="41"/>
      <c r="U467" s="41"/>
      <c r="V467" s="41"/>
      <c r="W467" s="41"/>
      <c r="X467" s="41"/>
      <c r="Y467" s="41"/>
      <c r="Z467" s="41"/>
    </row>
    <row r="468" ht="19.5" customHeight="1">
      <c r="A468" s="41"/>
      <c r="B468" s="385" t="s">
        <v>348</v>
      </c>
      <c r="C468" s="230" t="s">
        <v>1077</v>
      </c>
      <c r="D468" s="258"/>
      <c r="E468" s="256"/>
      <c r="F468" s="41"/>
      <c r="G468" s="41"/>
      <c r="H468" s="41"/>
      <c r="I468" s="41"/>
      <c r="J468" s="41"/>
      <c r="K468" s="41"/>
      <c r="L468" s="41"/>
      <c r="M468" s="41"/>
      <c r="N468" s="41"/>
      <c r="O468" s="41"/>
      <c r="P468" s="41"/>
      <c r="Q468" s="41"/>
      <c r="R468" s="41"/>
      <c r="S468" s="41"/>
      <c r="T468" s="41"/>
      <c r="U468" s="41"/>
      <c r="V468" s="41"/>
      <c r="W468" s="41"/>
      <c r="X468" s="41"/>
      <c r="Y468" s="41"/>
      <c r="Z468" s="41"/>
    </row>
    <row r="469" ht="19.5" customHeight="1">
      <c r="A469" s="41"/>
      <c r="B469" s="385" t="s">
        <v>3552</v>
      </c>
      <c r="C469" s="110" t="str">
        <f>CONCATENATE(IF(flt_custom_network_chosen="Shared Management Network",IF(mgmt_dpg_reuse_result="Included",CONCATENATE(prefix_mgmt_az1_cidr,"20.46"),CONCATENATE(prefix_mgmt_az1_cidr,"20.46")),IF(flt_custom_network_chosen="NSX Overlay Segment",CONCATENATE(prefix_xreg_cidr,".46"),CONCATENATE(prefix_flt_shared_cidr,".46"))),"-",IF(flt_custom_network_chosen="Shared Management Network",IF(mgmt_dpg_reuse_result="Included",CONCATENATE(prefix_mgmt_az1_cidr,"20.51"),CONCATENATE(prefix_mgmt_az1_cidr,"20.51")),IF(flt_custom_network_chosen="NSX Overlay Segment",CONCATENATE(prefix_xreg_cidr,".51"),CONCATENATE(prefix_flt_shared_cidr,".51"))))</f>
        <v>10.21.20.46-10.21.20.51</v>
      </c>
      <c r="D469" s="258"/>
      <c r="E469" s="256"/>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387"/>
      <c r="C470" s="55"/>
      <c r="D470" s="81"/>
      <c r="E470" s="55"/>
      <c r="F470" s="41"/>
      <c r="G470" s="41"/>
      <c r="H470" s="41"/>
      <c r="I470" s="41"/>
      <c r="J470" s="41"/>
      <c r="K470" s="41"/>
      <c r="L470" s="41"/>
      <c r="M470" s="41"/>
      <c r="N470" s="41"/>
      <c r="O470" s="41"/>
      <c r="P470" s="41"/>
      <c r="Q470" s="41"/>
      <c r="R470" s="41"/>
      <c r="S470" s="41"/>
      <c r="T470" s="41"/>
      <c r="U470" s="41"/>
      <c r="V470" s="41"/>
      <c r="W470" s="41"/>
      <c r="X470" s="41"/>
      <c r="Y470" s="41"/>
      <c r="Z470" s="41"/>
    </row>
    <row r="471" ht="33.75" customHeight="1">
      <c r="A471" s="41"/>
      <c r="B471" s="197" t="s">
        <v>3405</v>
      </c>
      <c r="C471" s="13"/>
      <c r="D471" s="13"/>
      <c r="E471" s="14"/>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387"/>
      <c r="C472" s="55"/>
      <c r="D472" s="81"/>
      <c r="E472" s="55"/>
      <c r="F472" s="41"/>
      <c r="G472" s="41"/>
      <c r="H472" s="41"/>
      <c r="I472" s="41"/>
      <c r="J472" s="41"/>
      <c r="K472" s="41"/>
      <c r="L472" s="41"/>
      <c r="M472" s="41"/>
      <c r="N472" s="41"/>
      <c r="O472" s="41"/>
      <c r="P472" s="41"/>
      <c r="Q472" s="41"/>
      <c r="R472" s="41"/>
      <c r="S472" s="41"/>
      <c r="T472" s="41"/>
      <c r="U472" s="41"/>
      <c r="V472" s="41"/>
      <c r="W472" s="41"/>
      <c r="X472" s="41"/>
      <c r="Y472" s="41"/>
      <c r="Z472" s="41"/>
    </row>
    <row r="473" ht="33.75" customHeight="1">
      <c r="A473" s="41"/>
      <c r="B473" s="197" t="s">
        <v>3559</v>
      </c>
      <c r="C473" s="13"/>
      <c r="D473" s="13"/>
      <c r="E473" s="14"/>
      <c r="F473" s="41"/>
      <c r="G473" s="41"/>
      <c r="H473" s="41"/>
      <c r="I473" s="41"/>
      <c r="J473" s="41"/>
      <c r="K473" s="41"/>
      <c r="L473" s="41"/>
      <c r="M473" s="41"/>
      <c r="N473" s="41"/>
      <c r="O473" s="41"/>
      <c r="P473" s="41"/>
      <c r="Q473" s="41"/>
      <c r="R473" s="41"/>
      <c r="S473" s="41"/>
      <c r="T473" s="41"/>
      <c r="U473" s="41"/>
      <c r="V473" s="41"/>
      <c r="W473" s="41"/>
      <c r="X473" s="41"/>
      <c r="Y473" s="41"/>
      <c r="Z473" s="41"/>
    </row>
    <row r="474" ht="19.5" customHeight="1">
      <c r="A474" s="41"/>
      <c r="B474" s="102"/>
      <c r="C474" s="13"/>
      <c r="D474" s="13"/>
      <c r="E474" s="14"/>
      <c r="F474" s="41"/>
      <c r="G474" s="41"/>
      <c r="H474" s="41"/>
      <c r="I474" s="41"/>
      <c r="J474" s="41"/>
      <c r="K474" s="41"/>
      <c r="L474" s="41"/>
      <c r="M474" s="41"/>
      <c r="N474" s="41"/>
      <c r="O474" s="41"/>
      <c r="P474" s="41"/>
      <c r="Q474" s="41"/>
      <c r="R474" s="41"/>
      <c r="S474" s="41"/>
      <c r="T474" s="41"/>
      <c r="U474" s="41"/>
      <c r="V474" s="41"/>
      <c r="W474" s="41"/>
      <c r="X474" s="41"/>
      <c r="Y474" s="41"/>
      <c r="Z474" s="41"/>
    </row>
    <row r="475" ht="19.5" customHeight="1">
      <c r="A475" s="41"/>
      <c r="B475" s="378" t="s">
        <v>37</v>
      </c>
      <c r="C475" s="379" t="s">
        <v>273</v>
      </c>
      <c r="D475" s="379" t="s">
        <v>274</v>
      </c>
      <c r="E475" s="379" t="s">
        <v>5</v>
      </c>
      <c r="F475" s="41"/>
      <c r="G475" s="41"/>
      <c r="H475" s="41"/>
      <c r="I475" s="41"/>
      <c r="J475" s="41"/>
      <c r="K475" s="41"/>
      <c r="L475" s="41"/>
      <c r="M475" s="41"/>
      <c r="N475" s="41"/>
      <c r="O475" s="41"/>
      <c r="P475" s="41"/>
      <c r="Q475" s="41"/>
      <c r="R475" s="41"/>
      <c r="S475" s="41"/>
      <c r="T475" s="41"/>
      <c r="U475" s="41"/>
      <c r="V475" s="41"/>
      <c r="W475" s="41"/>
      <c r="X475" s="41"/>
      <c r="Y475" s="41"/>
      <c r="Z475" s="41"/>
    </row>
    <row r="476" ht="19.5" customHeight="1">
      <c r="A476" s="41"/>
      <c r="B476" s="85" t="s">
        <v>3442</v>
      </c>
      <c r="C476" s="111" t="str">
        <f>sample_vvs_dr_mgmt_vc_fqdn</f>
        <v>lax-m01-vc01.lax.rainpole.io</v>
      </c>
      <c r="D476" s="18" t="str">
        <f>vvs_dr_mgmt_vc_fqdn</f>
        <v>Value Missing</v>
      </c>
      <c r="E476" s="191"/>
      <c r="F476" s="41"/>
      <c r="G476" s="41"/>
      <c r="H476" s="41"/>
      <c r="I476" s="41"/>
      <c r="J476" s="41"/>
      <c r="K476" s="41"/>
      <c r="L476" s="41"/>
      <c r="M476" s="41"/>
      <c r="N476" s="41"/>
      <c r="O476" s="41"/>
      <c r="P476" s="41"/>
      <c r="Q476" s="41"/>
      <c r="R476" s="41"/>
      <c r="S476" s="41"/>
      <c r="T476" s="41"/>
      <c r="U476" s="41"/>
      <c r="V476" s="41"/>
      <c r="W476" s="41"/>
      <c r="X476" s="41"/>
      <c r="Y476" s="41"/>
      <c r="Z476" s="41"/>
    </row>
    <row r="477" ht="19.5" customHeight="1">
      <c r="A477" s="41"/>
      <c r="B477" s="85" t="s">
        <v>200</v>
      </c>
      <c r="C477" s="110" t="str">
        <f>sample_vvs_dr_sso_domain</f>
        <v>vsphere.local</v>
      </c>
      <c r="D477" s="18" t="str">
        <f>vvs_dr_sso_domain</f>
        <v>Value Missing</v>
      </c>
      <c r="E477" s="191"/>
      <c r="F477" s="41"/>
      <c r="G477" s="41"/>
      <c r="H477" s="41"/>
      <c r="I477" s="41"/>
      <c r="J477" s="41"/>
      <c r="K477" s="41"/>
      <c r="L477" s="41"/>
      <c r="M477" s="41"/>
      <c r="N477" s="41"/>
      <c r="O477" s="41"/>
      <c r="P477" s="41"/>
      <c r="Q477" s="41"/>
      <c r="R477" s="41"/>
      <c r="S477" s="41"/>
      <c r="T477" s="41"/>
      <c r="U477" s="41"/>
      <c r="V477" s="41"/>
      <c r="W477" s="41"/>
      <c r="X477" s="41"/>
      <c r="Y477" s="41"/>
      <c r="Z477" s="41"/>
    </row>
    <row r="478" ht="19.5" customHeight="1">
      <c r="A478" s="41"/>
      <c r="B478" s="84" t="s">
        <v>3560</v>
      </c>
      <c r="C478" s="110" t="s">
        <v>3561</v>
      </c>
      <c r="D478" s="18"/>
      <c r="E478" s="84"/>
      <c r="F478" s="41"/>
      <c r="G478" s="41"/>
      <c r="H478" s="41"/>
      <c r="I478" s="41"/>
      <c r="J478" s="41"/>
      <c r="K478" s="41"/>
      <c r="L478" s="41"/>
      <c r="M478" s="41"/>
      <c r="N478" s="41"/>
      <c r="O478" s="41"/>
      <c r="P478" s="41"/>
      <c r="Q478" s="41"/>
      <c r="R478" s="41"/>
      <c r="S478" s="41"/>
      <c r="T478" s="41"/>
      <c r="U478" s="41"/>
      <c r="V478" s="41"/>
      <c r="W478" s="41"/>
      <c r="X478" s="41"/>
      <c r="Y478" s="41"/>
      <c r="Z478" s="41"/>
    </row>
    <row r="479" ht="19.5" customHeight="1">
      <c r="A479" s="41"/>
      <c r="B479" s="84" t="s">
        <v>3562</v>
      </c>
      <c r="C479" s="110" t="s">
        <v>382</v>
      </c>
      <c r="D479" s="18"/>
      <c r="E479" s="84"/>
      <c r="F479" s="41"/>
      <c r="G479" s="41"/>
      <c r="H479" s="41"/>
      <c r="I479" s="41"/>
      <c r="J479" s="41"/>
      <c r="K479" s="41"/>
      <c r="L479" s="41"/>
      <c r="M479" s="41"/>
      <c r="N479" s="41"/>
      <c r="O479" s="41"/>
      <c r="P479" s="41"/>
      <c r="Q479" s="41"/>
      <c r="R479" s="41"/>
      <c r="S479" s="41"/>
      <c r="T479" s="41"/>
      <c r="U479" s="41"/>
      <c r="V479" s="41"/>
      <c r="W479" s="41"/>
      <c r="X479" s="41"/>
      <c r="Y479" s="41"/>
      <c r="Z479" s="41"/>
    </row>
    <row r="480" ht="19.5" customHeight="1">
      <c r="A480" s="41"/>
      <c r="B480" s="84" t="s">
        <v>3563</v>
      </c>
      <c r="C480" s="110" t="s">
        <v>3564</v>
      </c>
      <c r="D480" s="18"/>
      <c r="E480" s="84"/>
      <c r="F480" s="41"/>
      <c r="G480" s="41"/>
      <c r="H480" s="41"/>
      <c r="I480" s="41"/>
      <c r="J480" s="41"/>
      <c r="K480" s="41"/>
      <c r="L480" s="41"/>
      <c r="M480" s="41"/>
      <c r="N480" s="41"/>
      <c r="O480" s="41"/>
      <c r="P480" s="41"/>
      <c r="Q480" s="41"/>
      <c r="R480" s="41"/>
      <c r="S480" s="41"/>
      <c r="T480" s="41"/>
      <c r="U480" s="41"/>
      <c r="V480" s="41"/>
      <c r="W480" s="41"/>
      <c r="X480" s="41"/>
      <c r="Y480" s="41"/>
      <c r="Z480" s="41"/>
    </row>
    <row r="481" ht="19.5" customHeight="1">
      <c r="A481" s="41"/>
      <c r="B481" s="84" t="s">
        <v>3565</v>
      </c>
      <c r="C481" s="110" t="s">
        <v>382</v>
      </c>
      <c r="D481" s="18"/>
      <c r="E481" s="84"/>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1"/>
      <c r="C482" s="41"/>
      <c r="D482" s="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33.75" customHeight="1">
      <c r="A483" s="41"/>
      <c r="B483" s="197" t="s">
        <v>3566</v>
      </c>
      <c r="C483" s="13"/>
      <c r="D483" s="13"/>
      <c r="E483" s="14"/>
      <c r="F483" s="41"/>
      <c r="G483" s="41"/>
      <c r="H483" s="41"/>
      <c r="I483" s="41"/>
      <c r="J483" s="41"/>
      <c r="K483" s="41"/>
      <c r="L483" s="41"/>
      <c r="M483" s="41"/>
      <c r="N483" s="41"/>
      <c r="O483" s="41"/>
      <c r="P483" s="41"/>
      <c r="Q483" s="41"/>
      <c r="R483" s="41"/>
      <c r="S483" s="41"/>
      <c r="T483" s="41"/>
      <c r="U483" s="41"/>
      <c r="V483" s="41"/>
      <c r="W483" s="41"/>
      <c r="X483" s="41"/>
      <c r="Y483" s="41"/>
      <c r="Z483" s="41"/>
    </row>
    <row r="484" ht="19.5" customHeight="1">
      <c r="A484" s="41"/>
      <c r="B484" s="102"/>
      <c r="C484" s="13"/>
      <c r="D484" s="13"/>
      <c r="E484" s="14"/>
      <c r="F484" s="41"/>
      <c r="G484" s="41"/>
      <c r="H484" s="41"/>
      <c r="I484" s="41"/>
      <c r="J484" s="41"/>
      <c r="K484" s="41"/>
      <c r="L484" s="41"/>
      <c r="M484" s="41"/>
      <c r="N484" s="41"/>
      <c r="O484" s="41"/>
      <c r="P484" s="41"/>
      <c r="Q484" s="41"/>
      <c r="R484" s="41"/>
      <c r="S484" s="41"/>
      <c r="T484" s="41"/>
      <c r="U484" s="41"/>
      <c r="V484" s="41"/>
      <c r="W484" s="41"/>
      <c r="X484" s="41"/>
      <c r="Y484" s="41"/>
      <c r="Z484" s="41"/>
    </row>
    <row r="485" ht="19.5" customHeight="1">
      <c r="A485" s="41"/>
      <c r="B485" s="378" t="s">
        <v>37</v>
      </c>
      <c r="C485" s="379" t="s">
        <v>273</v>
      </c>
      <c r="D485" s="379" t="s">
        <v>274</v>
      </c>
      <c r="E485" s="379" t="s">
        <v>5</v>
      </c>
      <c r="F485" s="41"/>
      <c r="G485" s="41"/>
      <c r="H485" s="41"/>
      <c r="I485" s="41"/>
      <c r="J485" s="41"/>
      <c r="K485" s="41"/>
      <c r="L485" s="41"/>
      <c r="M485" s="41"/>
      <c r="N485" s="41"/>
      <c r="O485" s="41"/>
      <c r="P485" s="41"/>
      <c r="Q485" s="41"/>
      <c r="R485" s="41"/>
      <c r="S485" s="41"/>
      <c r="T485" s="41"/>
      <c r="U485" s="41"/>
      <c r="V485" s="41"/>
      <c r="W485" s="41"/>
      <c r="X485" s="41"/>
      <c r="Y485" s="41"/>
      <c r="Z485" s="41"/>
    </row>
    <row r="486" ht="19.5" customHeight="1">
      <c r="A486" s="41"/>
      <c r="B486" s="84" t="s">
        <v>3442</v>
      </c>
      <c r="C486" s="111" t="str">
        <f>sample_vvs_dr_mgmt_vc_fqdn</f>
        <v>lax-m01-vc01.lax.rainpole.io</v>
      </c>
      <c r="D486" s="18" t="str">
        <f>vvs_dr_mgmt_vc_fqdn</f>
        <v>Value Missing</v>
      </c>
      <c r="E486" s="84"/>
      <c r="F486" s="41"/>
      <c r="G486" s="41"/>
      <c r="H486" s="41"/>
      <c r="I486" s="41"/>
      <c r="J486" s="41"/>
      <c r="K486" s="41"/>
      <c r="L486" s="41"/>
      <c r="M486" s="41"/>
      <c r="N486" s="41"/>
      <c r="O486" s="41"/>
      <c r="P486" s="41"/>
      <c r="Q486" s="41"/>
      <c r="R486" s="41"/>
      <c r="S486" s="41"/>
      <c r="T486" s="41"/>
      <c r="U486" s="41"/>
      <c r="V486" s="41"/>
      <c r="W486" s="41"/>
      <c r="X486" s="41"/>
      <c r="Y486" s="41"/>
      <c r="Z486" s="41"/>
    </row>
    <row r="487" ht="19.5" customHeight="1">
      <c r="A487" s="41"/>
      <c r="B487" s="84" t="s">
        <v>200</v>
      </c>
      <c r="C487" s="110" t="str">
        <f>sample_vvs_dr_sso_domain</f>
        <v>vsphere.local</v>
      </c>
      <c r="D487" s="18" t="str">
        <f>vvs_dr_sso_domain</f>
        <v>Value Missing</v>
      </c>
      <c r="E487" s="84"/>
      <c r="F487" s="41"/>
      <c r="G487" s="41"/>
      <c r="H487" s="41"/>
      <c r="I487" s="41"/>
      <c r="J487" s="41"/>
      <c r="K487" s="41"/>
      <c r="L487" s="41"/>
      <c r="M487" s="41"/>
      <c r="N487" s="41"/>
      <c r="O487" s="41"/>
      <c r="P487" s="41"/>
      <c r="Q487" s="41"/>
      <c r="R487" s="41"/>
      <c r="S487" s="41"/>
      <c r="T487" s="41"/>
      <c r="U487" s="41"/>
      <c r="V487" s="41"/>
      <c r="W487" s="41"/>
      <c r="X487" s="41"/>
      <c r="Y487" s="41"/>
      <c r="Z487" s="41"/>
    </row>
    <row r="488" ht="19.5" customHeight="1">
      <c r="A488" s="41"/>
      <c r="B488" s="84" t="s">
        <v>3567</v>
      </c>
      <c r="C488" s="110" t="str">
        <f>sample_xreg_vrops_vrms_sso_username</f>
        <v>svc-vcfops-vlsr</v>
      </c>
      <c r="D488" s="18" t="str">
        <f>xreg_vrops_vrms_sso_username</f>
        <v>Value Missing</v>
      </c>
      <c r="E488" s="84"/>
      <c r="F488" s="41"/>
      <c r="G488" s="41"/>
      <c r="H488" s="41"/>
      <c r="I488" s="41"/>
      <c r="J488" s="41"/>
      <c r="K488" s="41"/>
      <c r="L488" s="41"/>
      <c r="M488" s="41"/>
      <c r="N488" s="41"/>
      <c r="O488" s="41"/>
      <c r="P488" s="41"/>
      <c r="Q488" s="41"/>
      <c r="R488" s="41"/>
      <c r="S488" s="41"/>
      <c r="T488" s="41"/>
      <c r="U488" s="41"/>
      <c r="V488" s="41"/>
      <c r="W488" s="41"/>
      <c r="X488" s="41"/>
      <c r="Y488" s="41"/>
      <c r="Z488" s="41"/>
    </row>
    <row r="489" ht="19.5" customHeight="1">
      <c r="A489" s="41"/>
      <c r="B489" s="84" t="s">
        <v>3568</v>
      </c>
      <c r="C489" s="110" t="s">
        <v>3569</v>
      </c>
      <c r="D489" s="18" t="str">
        <f>C489</f>
        <v>Read-Only</v>
      </c>
      <c r="E489" s="84"/>
      <c r="F489" s="41"/>
      <c r="G489" s="41"/>
      <c r="H489" s="41"/>
      <c r="I489" s="41"/>
      <c r="J489" s="41"/>
      <c r="K489" s="41"/>
      <c r="L489" s="41"/>
      <c r="M489" s="41"/>
      <c r="N489" s="41"/>
      <c r="O489" s="41"/>
      <c r="P489" s="41"/>
      <c r="Q489" s="41"/>
      <c r="R489" s="41"/>
      <c r="S489" s="41"/>
      <c r="T489" s="41"/>
      <c r="U489" s="41"/>
      <c r="V489" s="41"/>
      <c r="W489" s="41"/>
      <c r="X489" s="41"/>
      <c r="Y489" s="41"/>
      <c r="Z489" s="41"/>
    </row>
    <row r="490" ht="19.5" customHeight="1">
      <c r="A490" s="41"/>
      <c r="B490" s="84" t="s">
        <v>3570</v>
      </c>
      <c r="C490" s="110" t="str">
        <f>sample_xreg_vrops_srm_sso_username</f>
        <v>svc-vcfops-vr</v>
      </c>
      <c r="D490" s="18" t="str">
        <f>xreg_vrops_srm_sso_username</f>
        <v>Value Missing</v>
      </c>
      <c r="E490" s="84"/>
      <c r="F490" s="41"/>
      <c r="G490" s="41"/>
      <c r="H490" s="41"/>
      <c r="I490" s="41"/>
      <c r="J490" s="41"/>
      <c r="K490" s="41"/>
      <c r="L490" s="41"/>
      <c r="M490" s="41"/>
      <c r="N490" s="41"/>
      <c r="O490" s="41"/>
      <c r="P490" s="41"/>
      <c r="Q490" s="41"/>
      <c r="R490" s="41"/>
      <c r="S490" s="41"/>
      <c r="T490" s="41"/>
      <c r="U490" s="41"/>
      <c r="V490" s="41"/>
      <c r="W490" s="41"/>
      <c r="X490" s="41"/>
      <c r="Y490" s="41"/>
      <c r="Z490" s="41"/>
    </row>
    <row r="491" ht="19.5" customHeight="1">
      <c r="A491" s="41"/>
      <c r="B491" s="84" t="s">
        <v>3571</v>
      </c>
      <c r="C491" s="110" t="s">
        <v>3572</v>
      </c>
      <c r="D491" s="18" t="str">
        <f>C491</f>
        <v>VRM replication viewer</v>
      </c>
      <c r="E491" s="84"/>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1"/>
      <c r="C492" s="41"/>
      <c r="D492" s="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33.75" customHeight="1">
      <c r="A493" s="41"/>
      <c r="B493" s="197" t="s">
        <v>3573</v>
      </c>
      <c r="C493" s="13"/>
      <c r="D493" s="13"/>
      <c r="E493" s="14"/>
      <c r="F493" s="41"/>
      <c r="G493" s="41"/>
      <c r="H493" s="41"/>
      <c r="I493" s="41"/>
      <c r="J493" s="41"/>
      <c r="K493" s="41"/>
      <c r="L493" s="41"/>
      <c r="M493" s="41"/>
      <c r="N493" s="41"/>
      <c r="O493" s="41"/>
      <c r="P493" s="41"/>
      <c r="Q493" s="41"/>
      <c r="R493" s="41"/>
      <c r="S493" s="41"/>
      <c r="T493" s="41"/>
      <c r="U493" s="41"/>
      <c r="V493" s="41"/>
      <c r="W493" s="41"/>
      <c r="X493" s="41"/>
      <c r="Y493" s="41"/>
      <c r="Z493" s="41"/>
    </row>
    <row r="494" ht="19.5" customHeight="1">
      <c r="A494" s="41"/>
      <c r="B494" s="102"/>
      <c r="C494" s="13"/>
      <c r="D494" s="13"/>
      <c r="E494" s="14"/>
      <c r="F494" s="41"/>
      <c r="G494" s="41"/>
      <c r="H494" s="41"/>
      <c r="I494" s="41"/>
      <c r="J494" s="41"/>
      <c r="K494" s="41"/>
      <c r="L494" s="41"/>
      <c r="M494" s="41"/>
      <c r="N494" s="41"/>
      <c r="O494" s="41"/>
      <c r="P494" s="41"/>
      <c r="Q494" s="41"/>
      <c r="R494" s="41"/>
      <c r="S494" s="41"/>
      <c r="T494" s="41"/>
      <c r="U494" s="41"/>
      <c r="V494" s="41"/>
      <c r="W494" s="41"/>
      <c r="X494" s="41"/>
      <c r="Y494" s="41"/>
      <c r="Z494" s="41"/>
    </row>
    <row r="495" ht="19.5" customHeight="1">
      <c r="A495" s="41"/>
      <c r="B495" s="378" t="s">
        <v>37</v>
      </c>
      <c r="C495" s="379" t="s">
        <v>273</v>
      </c>
      <c r="D495" s="379" t="s">
        <v>274</v>
      </c>
      <c r="E495" s="379" t="s">
        <v>5</v>
      </c>
      <c r="F495" s="41"/>
      <c r="G495" s="41"/>
      <c r="H495" s="41"/>
      <c r="I495" s="41"/>
      <c r="J495" s="41"/>
      <c r="K495" s="41"/>
      <c r="L495" s="41"/>
      <c r="M495" s="41"/>
      <c r="N495" s="41"/>
      <c r="O495" s="41"/>
      <c r="P495" s="41"/>
      <c r="Q495" s="41"/>
      <c r="R495" s="41"/>
      <c r="S495" s="41"/>
      <c r="T495" s="41"/>
      <c r="U495" s="41"/>
      <c r="V495" s="41"/>
      <c r="W495" s="41"/>
      <c r="X495" s="41"/>
      <c r="Y495" s="41"/>
      <c r="Z495" s="41"/>
    </row>
    <row r="496" ht="19.5" customHeight="1">
      <c r="A496" s="41"/>
      <c r="B496" s="84" t="s">
        <v>3574</v>
      </c>
      <c r="C496" s="111" t="str">
        <f>sample_vvs_dr_flt_ops_nodea_fqdn</f>
        <v>flt-ops01a.rainpole.io</v>
      </c>
      <c r="D496" s="258" t="str">
        <f>vvs_dr_flt_ops_nodea_fqdn</f>
        <v>Value Missing</v>
      </c>
      <c r="E496" s="191"/>
      <c r="F496" s="41"/>
      <c r="G496" s="41"/>
      <c r="H496" s="41"/>
      <c r="I496" s="41"/>
      <c r="J496" s="41"/>
      <c r="K496" s="41"/>
      <c r="L496" s="41"/>
      <c r="M496" s="41"/>
      <c r="N496" s="41"/>
      <c r="O496" s="41"/>
      <c r="P496" s="41"/>
      <c r="Q496" s="41"/>
      <c r="R496" s="41"/>
      <c r="S496" s="41"/>
      <c r="T496" s="41"/>
      <c r="U496" s="41"/>
      <c r="V496" s="41"/>
      <c r="W496" s="41"/>
      <c r="X496" s="41"/>
      <c r="Y496" s="41"/>
      <c r="Z496" s="41"/>
    </row>
    <row r="497" ht="19.5" customHeight="1">
      <c r="A497" s="41"/>
      <c r="B497" s="84" t="s">
        <v>3575</v>
      </c>
      <c r="C497" s="110" t="s">
        <v>3576</v>
      </c>
      <c r="D497" s="18"/>
      <c r="E497" s="19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1"/>
      <c r="C498" s="41"/>
      <c r="D498" s="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33.75" customHeight="1">
      <c r="A499" s="41"/>
      <c r="B499" s="197" t="s">
        <v>3577</v>
      </c>
      <c r="C499" s="13"/>
      <c r="D499" s="13"/>
      <c r="E499" s="14"/>
      <c r="F499" s="41"/>
      <c r="G499" s="41"/>
      <c r="H499" s="41"/>
      <c r="I499" s="41"/>
      <c r="J499" s="41"/>
      <c r="K499" s="41"/>
      <c r="L499" s="41"/>
      <c r="M499" s="41"/>
      <c r="N499" s="41"/>
      <c r="O499" s="41"/>
      <c r="P499" s="41"/>
      <c r="Q499" s="41"/>
      <c r="R499" s="41"/>
      <c r="S499" s="41"/>
      <c r="T499" s="41"/>
      <c r="U499" s="41"/>
      <c r="V499" s="41"/>
      <c r="W499" s="41"/>
      <c r="X499" s="41"/>
      <c r="Y499" s="41"/>
      <c r="Z499" s="41"/>
    </row>
    <row r="500" ht="19.5" customHeight="1">
      <c r="A500" s="41"/>
      <c r="B500" s="102"/>
      <c r="C500" s="13"/>
      <c r="D500" s="13"/>
      <c r="E500" s="14"/>
      <c r="F500" s="41"/>
      <c r="G500" s="41"/>
      <c r="H500" s="41"/>
      <c r="I500" s="41"/>
      <c r="J500" s="41"/>
      <c r="K500" s="41"/>
      <c r="L500" s="41"/>
      <c r="M500" s="41"/>
      <c r="N500" s="41"/>
      <c r="O500" s="41"/>
      <c r="P500" s="41"/>
      <c r="Q500" s="41"/>
      <c r="R500" s="41"/>
      <c r="S500" s="41"/>
      <c r="T500" s="41"/>
      <c r="U500" s="41"/>
      <c r="V500" s="41"/>
      <c r="W500" s="41"/>
      <c r="X500" s="41"/>
      <c r="Y500" s="41"/>
      <c r="Z500" s="41"/>
    </row>
    <row r="501" ht="19.5" customHeight="1">
      <c r="A501" s="41"/>
      <c r="B501" s="378" t="s">
        <v>37</v>
      </c>
      <c r="C501" s="379" t="s">
        <v>273</v>
      </c>
      <c r="D501" s="379" t="s">
        <v>274</v>
      </c>
      <c r="E501" s="379" t="s">
        <v>5</v>
      </c>
      <c r="F501" s="41"/>
      <c r="G501" s="41"/>
      <c r="H501" s="41"/>
      <c r="I501" s="41"/>
      <c r="J501" s="41"/>
      <c r="K501" s="41"/>
      <c r="L501" s="41"/>
      <c r="M501" s="41"/>
      <c r="N501" s="41"/>
      <c r="O501" s="41"/>
      <c r="P501" s="41"/>
      <c r="Q501" s="41"/>
      <c r="R501" s="41"/>
      <c r="S501" s="41"/>
      <c r="T501" s="41"/>
      <c r="U501" s="41"/>
      <c r="V501" s="41"/>
      <c r="W501" s="41"/>
      <c r="X501" s="41"/>
      <c r="Y501" s="41"/>
      <c r="Z501" s="41"/>
    </row>
    <row r="502" ht="19.5" customHeight="1">
      <c r="A502" s="41"/>
      <c r="B502" s="85" t="s">
        <v>3421</v>
      </c>
      <c r="C502" s="111" t="str">
        <f>sample_vvs_dr_flt_ops_nodea_fqdn</f>
        <v>flt-ops01a.rainpole.io</v>
      </c>
      <c r="D502" s="258" t="str">
        <f>vvs_dr_flt_ops_nodea_fqdn</f>
        <v>Value Missing</v>
      </c>
      <c r="E502" s="191"/>
      <c r="F502" s="41"/>
      <c r="G502" s="41"/>
      <c r="H502" s="41"/>
      <c r="I502" s="41"/>
      <c r="J502" s="41"/>
      <c r="K502" s="41"/>
      <c r="L502" s="41"/>
      <c r="M502" s="41"/>
      <c r="N502" s="41"/>
      <c r="O502" s="41"/>
      <c r="P502" s="41"/>
      <c r="Q502" s="41"/>
      <c r="R502" s="41"/>
      <c r="S502" s="41"/>
      <c r="T502" s="41"/>
      <c r="U502" s="41"/>
      <c r="V502" s="41"/>
      <c r="W502" s="41"/>
      <c r="X502" s="41"/>
      <c r="Y502" s="41"/>
      <c r="Z502" s="41"/>
    </row>
    <row r="503" ht="19.5" customHeight="1">
      <c r="A503" s="41"/>
      <c r="B503" s="85" t="s">
        <v>3578</v>
      </c>
      <c r="C503" s="110" t="str">
        <f>CONCATENATE(this_instance,"-m01-vslr")</f>
        <v>lax-m01-vslr</v>
      </c>
      <c r="D503" s="18"/>
      <c r="E503" s="191"/>
      <c r="F503" s="41"/>
      <c r="G503" s="41"/>
      <c r="H503" s="41"/>
      <c r="I503" s="41"/>
      <c r="J503" s="41"/>
      <c r="K503" s="41"/>
      <c r="L503" s="41"/>
      <c r="M503" s="41"/>
      <c r="N503" s="41"/>
      <c r="O503" s="41"/>
      <c r="P503" s="41"/>
      <c r="Q503" s="41"/>
      <c r="R503" s="41"/>
      <c r="S503" s="41"/>
      <c r="T503" s="41"/>
      <c r="U503" s="41"/>
      <c r="V503" s="41"/>
      <c r="W503" s="41"/>
      <c r="X503" s="41"/>
      <c r="Y503" s="41"/>
      <c r="Z503" s="41"/>
    </row>
    <row r="504" ht="19.5" customHeight="1">
      <c r="A504" s="41"/>
      <c r="B504" s="85" t="s">
        <v>3579</v>
      </c>
      <c r="C504" s="111" t="str">
        <f>sample_vvs_mgmt_dr_vlr_fqdn</f>
        <v>lax-m01-vlr01.lax.rainpole.io</v>
      </c>
      <c r="D504" s="18" t="str">
        <f>vvs_mgmt_dr_vlr_fqdn</f>
        <v>Value Missing</v>
      </c>
      <c r="E504" s="191"/>
      <c r="F504" s="41"/>
      <c r="G504" s="41"/>
      <c r="H504" s="41"/>
      <c r="I504" s="41"/>
      <c r="J504" s="41"/>
      <c r="K504" s="41"/>
      <c r="L504" s="41"/>
      <c r="M504" s="41"/>
      <c r="N504" s="41"/>
      <c r="O504" s="41"/>
      <c r="P504" s="41"/>
      <c r="Q504" s="41"/>
      <c r="R504" s="41"/>
      <c r="S504" s="41"/>
      <c r="T504" s="41"/>
      <c r="U504" s="41"/>
      <c r="V504" s="41"/>
      <c r="W504" s="41"/>
      <c r="X504" s="41"/>
      <c r="Y504" s="41"/>
      <c r="Z504" s="41"/>
    </row>
    <row r="505" ht="19.5" customHeight="1">
      <c r="A505" s="41"/>
      <c r="B505" s="85" t="s">
        <v>3580</v>
      </c>
      <c r="C505" s="110">
        <v>443.0</v>
      </c>
      <c r="D505" s="18"/>
      <c r="E505" s="191"/>
      <c r="F505" s="41"/>
      <c r="G505" s="41"/>
      <c r="H505" s="41"/>
      <c r="I505" s="41"/>
      <c r="J505" s="41"/>
      <c r="K505" s="41"/>
      <c r="L505" s="41"/>
      <c r="M505" s="41"/>
      <c r="N505" s="41"/>
      <c r="O505" s="41"/>
      <c r="P505" s="41"/>
      <c r="Q505" s="41"/>
      <c r="R505" s="41"/>
      <c r="S505" s="41"/>
      <c r="T505" s="41"/>
      <c r="U505" s="41"/>
      <c r="V505" s="41"/>
      <c r="W505" s="41"/>
      <c r="X505" s="41"/>
      <c r="Y505" s="41"/>
      <c r="Z505" s="41"/>
    </row>
    <row r="506" ht="19.5" customHeight="1">
      <c r="A506" s="41"/>
      <c r="B506" s="85" t="s">
        <v>3581</v>
      </c>
      <c r="C506" s="110" t="str">
        <f>sample_xreg_vrops_srm_sso_username</f>
        <v>svc-vcfops-vr</v>
      </c>
      <c r="D506" s="18" t="str">
        <f>xreg_vrops_srm_sso_username</f>
        <v>Value Missing</v>
      </c>
      <c r="E506" s="191"/>
      <c r="F506" s="41"/>
      <c r="G506" s="41"/>
      <c r="H506" s="41"/>
      <c r="I506" s="41"/>
      <c r="J506" s="41"/>
      <c r="K506" s="41"/>
      <c r="L506" s="41"/>
      <c r="M506" s="41"/>
      <c r="N506" s="41"/>
      <c r="O506" s="41"/>
      <c r="P506" s="41"/>
      <c r="Q506" s="41"/>
      <c r="R506" s="41"/>
      <c r="S506" s="41"/>
      <c r="T506" s="41"/>
      <c r="U506" s="41"/>
      <c r="V506" s="41"/>
      <c r="W506" s="41"/>
      <c r="X506" s="41"/>
      <c r="Y506" s="41"/>
      <c r="Z506" s="41"/>
    </row>
    <row r="507" ht="19.5" customHeight="1">
      <c r="A507" s="41"/>
      <c r="B507" s="85" t="s">
        <v>3582</v>
      </c>
      <c r="C507" s="110" t="str">
        <f>CONCATENATE(sample_xreg_vrops_srm_sso_username,"@vsphere.local")</f>
        <v>svc-vcfops-vr@vsphere.local</v>
      </c>
      <c r="D507" s="18" t="str">
        <f>CONCATENATE(xreg_vrops_srm_sso_username,"@",vvs_dr_sso_domain)</f>
        <v>Value Missing@Value Missing</v>
      </c>
      <c r="E507" s="191"/>
      <c r="F507" s="41"/>
      <c r="G507" s="41"/>
      <c r="H507" s="41"/>
      <c r="I507" s="41"/>
      <c r="J507" s="41"/>
      <c r="K507" s="41"/>
      <c r="L507" s="41"/>
      <c r="M507" s="41"/>
      <c r="N507" s="41"/>
      <c r="O507" s="41"/>
      <c r="P507" s="41"/>
      <c r="Q507" s="41"/>
      <c r="R507" s="41"/>
      <c r="S507" s="41"/>
      <c r="T507" s="41"/>
      <c r="U507" s="41"/>
      <c r="V507" s="41"/>
      <c r="W507" s="41"/>
      <c r="X507" s="41"/>
      <c r="Y507" s="41"/>
      <c r="Z507" s="41"/>
    </row>
    <row r="508" ht="19.5" customHeight="1">
      <c r="A508" s="41"/>
      <c r="B508" s="85" t="s">
        <v>3583</v>
      </c>
      <c r="C508" s="110" t="str">
        <f>sample_xreg_vrops_srm_sso_password</f>
        <v>VMw@re1!</v>
      </c>
      <c r="D508" s="18" t="str">
        <f>xreg_vrops_srm_sso_password</f>
        <v>Value Missing</v>
      </c>
      <c r="E508" s="191"/>
      <c r="F508" s="41"/>
      <c r="G508" s="41"/>
      <c r="H508" s="41"/>
      <c r="I508" s="41"/>
      <c r="J508" s="41"/>
      <c r="K508" s="41"/>
      <c r="L508" s="41"/>
      <c r="M508" s="41"/>
      <c r="N508" s="41"/>
      <c r="O508" s="41"/>
      <c r="P508" s="41"/>
      <c r="Q508" s="41"/>
      <c r="R508" s="41"/>
      <c r="S508" s="41"/>
      <c r="T508" s="41"/>
      <c r="U508" s="41"/>
      <c r="V508" s="41"/>
      <c r="W508" s="41"/>
      <c r="X508" s="41"/>
      <c r="Y508" s="41"/>
      <c r="Z508" s="41"/>
    </row>
    <row r="509" ht="19.5" customHeight="1">
      <c r="A509" s="41"/>
      <c r="B509" s="85" t="s">
        <v>3584</v>
      </c>
      <c r="C509" s="110" t="str">
        <f>CONCATENATE(sample_mgmt_sddc_domain,"-collector-group")</f>
        <v>lax-m01-collector-group</v>
      </c>
      <c r="D509" s="18" t="str">
        <f>CONCATENATE(mgmt_sddc_domain,"-collector-group")</f>
        <v>Value Missing-collector-group</v>
      </c>
      <c r="E509" s="19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1"/>
      <c r="C510" s="41"/>
      <c r="D510" s="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33.75" customHeight="1">
      <c r="A511" s="41"/>
      <c r="B511" s="197" t="s">
        <v>3585</v>
      </c>
      <c r="C511" s="13"/>
      <c r="D511" s="13"/>
      <c r="E511" s="14"/>
      <c r="F511" s="41"/>
      <c r="G511" s="41"/>
      <c r="H511" s="41"/>
      <c r="I511" s="41"/>
      <c r="J511" s="41"/>
      <c r="K511" s="41"/>
      <c r="L511" s="41"/>
      <c r="M511" s="41"/>
      <c r="N511" s="41"/>
      <c r="O511" s="41"/>
      <c r="P511" s="41"/>
      <c r="Q511" s="41"/>
      <c r="R511" s="41"/>
      <c r="S511" s="41"/>
      <c r="T511" s="41"/>
      <c r="U511" s="41"/>
      <c r="V511" s="41"/>
      <c r="W511" s="41"/>
      <c r="X511" s="41"/>
      <c r="Y511" s="41"/>
      <c r="Z511" s="41"/>
    </row>
    <row r="512" ht="19.5" customHeight="1">
      <c r="A512" s="41"/>
      <c r="B512" s="102"/>
      <c r="C512" s="13"/>
      <c r="D512" s="13"/>
      <c r="E512" s="14"/>
      <c r="F512" s="41"/>
      <c r="G512" s="41"/>
      <c r="H512" s="41"/>
      <c r="I512" s="41"/>
      <c r="J512" s="41"/>
      <c r="K512" s="41"/>
      <c r="L512" s="41"/>
      <c r="M512" s="41"/>
      <c r="N512" s="41"/>
      <c r="O512" s="41"/>
      <c r="P512" s="41"/>
      <c r="Q512" s="41"/>
      <c r="R512" s="41"/>
      <c r="S512" s="41"/>
      <c r="T512" s="41"/>
      <c r="U512" s="41"/>
      <c r="V512" s="41"/>
      <c r="W512" s="41"/>
      <c r="X512" s="41"/>
      <c r="Y512" s="41"/>
      <c r="Z512" s="41"/>
    </row>
    <row r="513" ht="19.5" customHeight="1">
      <c r="A513" s="41"/>
      <c r="B513" s="378" t="s">
        <v>37</v>
      </c>
      <c r="C513" s="379" t="s">
        <v>273</v>
      </c>
      <c r="D513" s="379" t="s">
        <v>274</v>
      </c>
      <c r="E513" s="379" t="s">
        <v>5</v>
      </c>
      <c r="F513" s="41"/>
      <c r="G513" s="41"/>
      <c r="H513" s="41"/>
      <c r="I513" s="41"/>
      <c r="J513" s="41"/>
      <c r="K513" s="41"/>
      <c r="L513" s="41"/>
      <c r="M513" s="41"/>
      <c r="N513" s="41"/>
      <c r="O513" s="41"/>
      <c r="P513" s="41"/>
      <c r="Q513" s="41"/>
      <c r="R513" s="41"/>
      <c r="S513" s="41"/>
      <c r="T513" s="41"/>
      <c r="U513" s="41"/>
      <c r="V513" s="41"/>
      <c r="W513" s="41"/>
      <c r="X513" s="41"/>
      <c r="Y513" s="41"/>
      <c r="Z513" s="41"/>
    </row>
    <row r="514" ht="19.5" customHeight="1">
      <c r="A514" s="41"/>
      <c r="B514" s="85" t="s">
        <v>3421</v>
      </c>
      <c r="C514" s="111" t="str">
        <f>sample_vvs_dr_flt_ops_nodea_fqdn</f>
        <v>flt-ops01a.rainpole.io</v>
      </c>
      <c r="D514" s="258" t="str">
        <f>vvs_dr_flt_ops_nodea_fqdn</f>
        <v>Value Missing</v>
      </c>
      <c r="E514" s="191"/>
      <c r="F514" s="41"/>
      <c r="G514" s="41"/>
      <c r="H514" s="41"/>
      <c r="I514" s="41"/>
      <c r="J514" s="41"/>
      <c r="K514" s="41"/>
      <c r="L514" s="41"/>
      <c r="M514" s="41"/>
      <c r="N514" s="41"/>
      <c r="O514" s="41"/>
      <c r="P514" s="41"/>
      <c r="Q514" s="41"/>
      <c r="R514" s="41"/>
      <c r="S514" s="41"/>
      <c r="T514" s="41"/>
      <c r="U514" s="41"/>
      <c r="V514" s="41"/>
      <c r="W514" s="41"/>
      <c r="X514" s="41"/>
      <c r="Y514" s="41"/>
      <c r="Z514" s="41"/>
    </row>
    <row r="515" ht="19.5" customHeight="1">
      <c r="A515" s="41"/>
      <c r="B515" s="85" t="s">
        <v>3586</v>
      </c>
      <c r="C515" s="110" t="str">
        <f>CONCATENATE(this_instance,"-m01-vr")</f>
        <v>lax-m01-vr</v>
      </c>
      <c r="D515" s="18"/>
      <c r="E515" s="191"/>
      <c r="F515" s="41"/>
      <c r="G515" s="41"/>
      <c r="H515" s="41"/>
      <c r="I515" s="41"/>
      <c r="J515" s="41"/>
      <c r="K515" s="41"/>
      <c r="L515" s="41"/>
      <c r="M515" s="41"/>
      <c r="N515" s="41"/>
      <c r="O515" s="41"/>
      <c r="P515" s="41"/>
      <c r="Q515" s="41"/>
      <c r="R515" s="41"/>
      <c r="S515" s="41"/>
      <c r="T515" s="41"/>
      <c r="U515" s="41"/>
      <c r="V515" s="41"/>
      <c r="W515" s="41"/>
      <c r="X515" s="41"/>
      <c r="Y515" s="41"/>
      <c r="Z515" s="41"/>
    </row>
    <row r="516" ht="19.5" customHeight="1">
      <c r="A516" s="41"/>
      <c r="B516" s="243" t="s">
        <v>3587</v>
      </c>
      <c r="C516" s="111" t="str">
        <f>sample_vvs_dr_mgmt_vc_fqdn</f>
        <v>lax-m01-vc01.lax.rainpole.io</v>
      </c>
      <c r="D516" s="18" t="str">
        <f>vvs_dr_mgmt_vc_fqdn</f>
        <v>Value Missing</v>
      </c>
      <c r="E516" s="191"/>
      <c r="F516" s="41"/>
      <c r="G516" s="41"/>
      <c r="H516" s="41"/>
      <c r="I516" s="41"/>
      <c r="J516" s="41"/>
      <c r="K516" s="41"/>
      <c r="L516" s="41"/>
      <c r="M516" s="41"/>
      <c r="N516" s="41"/>
      <c r="O516" s="41"/>
      <c r="P516" s="41"/>
      <c r="Q516" s="41"/>
      <c r="R516" s="41"/>
      <c r="S516" s="41"/>
      <c r="T516" s="41"/>
      <c r="U516" s="41"/>
      <c r="V516" s="41"/>
      <c r="W516" s="41"/>
      <c r="X516" s="41"/>
      <c r="Y516" s="41"/>
      <c r="Z516" s="41"/>
    </row>
    <row r="517" ht="19.5" customHeight="1">
      <c r="A517" s="41"/>
      <c r="B517" s="85" t="s">
        <v>3588</v>
      </c>
      <c r="C517" s="110" t="str">
        <f>CONCATENATE(sample_xreg_vrops_vrms_sso_username,"@vsphere.local")</f>
        <v>svc-vcfops-vlsr@vsphere.local</v>
      </c>
      <c r="D517" s="18" t="str">
        <f>CONCATENATE(xreg_vrops_vrms_sso_username,"@",vvs_dr_sso_domain)</f>
        <v>Value Missing@Value Missing</v>
      </c>
      <c r="E517" s="191"/>
      <c r="F517" s="41"/>
      <c r="G517" s="41"/>
      <c r="H517" s="41"/>
      <c r="I517" s="41"/>
      <c r="J517" s="41"/>
      <c r="K517" s="41"/>
      <c r="L517" s="41"/>
      <c r="M517" s="41"/>
      <c r="N517" s="41"/>
      <c r="O517" s="41"/>
      <c r="P517" s="41"/>
      <c r="Q517" s="41"/>
      <c r="R517" s="41"/>
      <c r="S517" s="41"/>
      <c r="T517" s="41"/>
      <c r="U517" s="41"/>
      <c r="V517" s="41"/>
      <c r="W517" s="41"/>
      <c r="X517" s="41"/>
      <c r="Y517" s="41"/>
      <c r="Z517" s="41"/>
    </row>
    <row r="518" ht="19.5" customHeight="1">
      <c r="A518" s="41"/>
      <c r="B518" s="85" t="s">
        <v>3589</v>
      </c>
      <c r="C518" s="110" t="str">
        <f>CONCATENATE(sample_xreg_vrops_vrms_sso_username,"@vsphere.local")</f>
        <v>svc-vcfops-vlsr@vsphere.local</v>
      </c>
      <c r="D518" s="18" t="str">
        <f>CONCATENATE(xreg_vrops_vrms_sso_username,"@",vvs_dr_sso_domain)</f>
        <v>Value Missing@Value Missing</v>
      </c>
      <c r="E518" s="191"/>
      <c r="F518" s="41"/>
      <c r="G518" s="41"/>
      <c r="H518" s="41"/>
      <c r="I518" s="41"/>
      <c r="J518" s="41"/>
      <c r="K518" s="41"/>
      <c r="L518" s="41"/>
      <c r="M518" s="41"/>
      <c r="N518" s="41"/>
      <c r="O518" s="41"/>
      <c r="P518" s="41"/>
      <c r="Q518" s="41"/>
      <c r="R518" s="41"/>
      <c r="S518" s="41"/>
      <c r="T518" s="41"/>
      <c r="U518" s="41"/>
      <c r="V518" s="41"/>
      <c r="W518" s="41"/>
      <c r="X518" s="41"/>
      <c r="Y518" s="41"/>
      <c r="Z518" s="41"/>
    </row>
    <row r="519" ht="19.5" customHeight="1">
      <c r="A519" s="41"/>
      <c r="B519" s="85" t="s">
        <v>3590</v>
      </c>
      <c r="C519" s="110" t="str">
        <f>sample_xreg_vrops_vrms_sso_password</f>
        <v>VMw@re1!</v>
      </c>
      <c r="D519" s="18" t="str">
        <f>xreg_vrops_vrms_sso_password</f>
        <v>Value Missing</v>
      </c>
      <c r="E519" s="191"/>
      <c r="F519" s="41"/>
      <c r="G519" s="41"/>
      <c r="H519" s="41"/>
      <c r="I519" s="41"/>
      <c r="J519" s="41"/>
      <c r="K519" s="41"/>
      <c r="L519" s="41"/>
      <c r="M519" s="41"/>
      <c r="N519" s="41"/>
      <c r="O519" s="41"/>
      <c r="P519" s="41"/>
      <c r="Q519" s="41"/>
      <c r="R519" s="41"/>
      <c r="S519" s="41"/>
      <c r="T519" s="41"/>
      <c r="U519" s="41"/>
      <c r="V519" s="41"/>
      <c r="W519" s="41"/>
      <c r="X519" s="41"/>
      <c r="Y519" s="41"/>
      <c r="Z519" s="41"/>
    </row>
    <row r="520" ht="19.5" customHeight="1">
      <c r="A520" s="41"/>
      <c r="B520" s="85" t="s">
        <v>3591</v>
      </c>
      <c r="C520" s="110" t="str">
        <f>CONCATENATE(sample_mgmt_sddc_domain,"-collector-group")</f>
        <v>lax-m01-collector-group</v>
      </c>
      <c r="D520" s="18" t="str">
        <f>CONCATENATE(mgmt_sddc_domain,"-collector-group")</f>
        <v>Value Missing-collector-group</v>
      </c>
      <c r="E520" s="19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1"/>
      <c r="C521" s="41"/>
      <c r="D521" s="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33.75" customHeight="1">
      <c r="A522" s="41"/>
      <c r="B522" s="197" t="s">
        <v>3592</v>
      </c>
      <c r="C522" s="13"/>
      <c r="D522" s="13"/>
      <c r="E522" s="14"/>
      <c r="F522" s="41"/>
      <c r="G522" s="41"/>
      <c r="H522" s="41"/>
      <c r="I522" s="41"/>
      <c r="J522" s="41"/>
      <c r="K522" s="41"/>
      <c r="L522" s="41"/>
      <c r="M522" s="41"/>
      <c r="N522" s="41"/>
      <c r="O522" s="41"/>
      <c r="P522" s="41"/>
      <c r="Q522" s="41"/>
      <c r="R522" s="41"/>
      <c r="S522" s="41"/>
      <c r="T522" s="41"/>
      <c r="U522" s="41"/>
      <c r="V522" s="41"/>
      <c r="W522" s="41"/>
      <c r="X522" s="41"/>
      <c r="Y522" s="41"/>
      <c r="Z522" s="41"/>
    </row>
    <row r="523" ht="19.5" customHeight="1">
      <c r="A523" s="41"/>
      <c r="B523" s="102"/>
      <c r="C523" s="13"/>
      <c r="D523" s="13"/>
      <c r="E523" s="14"/>
      <c r="F523" s="41"/>
      <c r="G523" s="41"/>
      <c r="H523" s="41"/>
      <c r="I523" s="41"/>
      <c r="J523" s="41"/>
      <c r="K523" s="41"/>
      <c r="L523" s="41"/>
      <c r="M523" s="41"/>
      <c r="N523" s="41"/>
      <c r="O523" s="41"/>
      <c r="P523" s="41"/>
      <c r="Q523" s="41"/>
      <c r="R523" s="41"/>
      <c r="S523" s="41"/>
      <c r="T523" s="41"/>
      <c r="U523" s="41"/>
      <c r="V523" s="41"/>
      <c r="W523" s="41"/>
      <c r="X523" s="41"/>
      <c r="Y523" s="41"/>
      <c r="Z523" s="41"/>
    </row>
    <row r="524" ht="19.5" customHeight="1">
      <c r="A524" s="41"/>
      <c r="B524" s="378" t="s">
        <v>37</v>
      </c>
      <c r="C524" s="379" t="s">
        <v>273</v>
      </c>
      <c r="D524" s="379" t="s">
        <v>274</v>
      </c>
      <c r="E524" s="379" t="s">
        <v>5</v>
      </c>
      <c r="F524" s="41"/>
      <c r="G524" s="41"/>
      <c r="H524" s="41"/>
      <c r="I524" s="41"/>
      <c r="J524" s="41"/>
      <c r="K524" s="41"/>
      <c r="L524" s="41"/>
      <c r="M524" s="41"/>
      <c r="N524" s="41"/>
      <c r="O524" s="41"/>
      <c r="P524" s="41"/>
      <c r="Q524" s="41"/>
      <c r="R524" s="41"/>
      <c r="S524" s="41"/>
      <c r="T524" s="41"/>
      <c r="U524" s="41"/>
      <c r="V524" s="41"/>
      <c r="W524" s="41"/>
      <c r="X524" s="41"/>
      <c r="Y524" s="41"/>
      <c r="Z524" s="41"/>
    </row>
    <row r="525" ht="19.5" customHeight="1">
      <c r="A525" s="41"/>
      <c r="B525" s="84" t="s">
        <v>3574</v>
      </c>
      <c r="C525" s="111" t="str">
        <f>sample_vvs_dr_flt_ops_nodea_fqdn</f>
        <v>flt-ops01a.rainpole.io</v>
      </c>
      <c r="D525" s="18" t="str">
        <f>vvs_dr_flt_ops_nodea_fqdn</f>
        <v>Value Missing</v>
      </c>
      <c r="E525" s="19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1" t="s">
        <v>1441</v>
      </c>
      <c r="C526" s="41"/>
      <c r="D526" s="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33.75" customHeight="1">
      <c r="A527" s="41"/>
      <c r="B527" s="197" t="s">
        <v>3593</v>
      </c>
      <c r="C527" s="13"/>
      <c r="D527" s="13"/>
      <c r="E527" s="14"/>
      <c r="F527" s="41"/>
      <c r="G527" s="41"/>
      <c r="H527" s="41"/>
      <c r="I527" s="41"/>
      <c r="J527" s="41"/>
      <c r="K527" s="41"/>
      <c r="L527" s="41"/>
      <c r="M527" s="41"/>
      <c r="N527" s="41"/>
      <c r="O527" s="41"/>
      <c r="P527" s="41"/>
      <c r="Q527" s="41"/>
      <c r="R527" s="41"/>
      <c r="S527" s="41"/>
      <c r="T527" s="41"/>
      <c r="U527" s="41"/>
      <c r="V527" s="41"/>
      <c r="W527" s="41"/>
      <c r="X527" s="41"/>
      <c r="Y527" s="41"/>
      <c r="Z527" s="41"/>
    </row>
    <row r="528" ht="19.5" customHeight="1">
      <c r="A528" s="41"/>
      <c r="B528" s="102"/>
      <c r="C528" s="13"/>
      <c r="D528" s="13"/>
      <c r="E528" s="14"/>
      <c r="F528" s="41"/>
      <c r="G528" s="41"/>
      <c r="H528" s="41"/>
      <c r="I528" s="41"/>
      <c r="J528" s="41"/>
      <c r="K528" s="41"/>
      <c r="L528" s="41"/>
      <c r="M528" s="41"/>
      <c r="N528" s="41"/>
      <c r="O528" s="41"/>
      <c r="P528" s="41"/>
      <c r="Q528" s="41"/>
      <c r="R528" s="41"/>
      <c r="S528" s="41"/>
      <c r="T528" s="41"/>
      <c r="U528" s="41"/>
      <c r="V528" s="41"/>
      <c r="W528" s="41"/>
      <c r="X528" s="41"/>
      <c r="Y528" s="41"/>
      <c r="Z528" s="41"/>
    </row>
    <row r="529" ht="19.5" customHeight="1">
      <c r="A529" s="41"/>
      <c r="B529" s="378" t="s">
        <v>37</v>
      </c>
      <c r="C529" s="379" t="s">
        <v>273</v>
      </c>
      <c r="D529" s="379" t="s">
        <v>274</v>
      </c>
      <c r="E529" s="379" t="s">
        <v>5</v>
      </c>
      <c r="F529" s="41"/>
      <c r="G529" s="41"/>
      <c r="H529" s="41"/>
      <c r="I529" s="41"/>
      <c r="J529" s="41"/>
      <c r="K529" s="41"/>
      <c r="L529" s="41"/>
      <c r="M529" s="41"/>
      <c r="N529" s="41"/>
      <c r="O529" s="41"/>
      <c r="P529" s="41"/>
      <c r="Q529" s="41"/>
      <c r="R529" s="41"/>
      <c r="S529" s="41"/>
      <c r="T529" s="41"/>
      <c r="U529" s="41"/>
      <c r="V529" s="41"/>
      <c r="W529" s="41"/>
      <c r="X529" s="41"/>
      <c r="Y529" s="41"/>
      <c r="Z529" s="41"/>
    </row>
    <row r="530" ht="19.5" customHeight="1">
      <c r="A530" s="41"/>
      <c r="B530" s="84" t="s">
        <v>3448</v>
      </c>
      <c r="C530" s="111" t="str">
        <f>sample_vvs_mgmt_dr_vlr_fqdn</f>
        <v>lax-m01-vlr01.lax.rainpole.io</v>
      </c>
      <c r="D530" s="18" t="str">
        <f>vvs_mgmt_dr_vlr_fqdn</f>
        <v>Value Missing</v>
      </c>
      <c r="E530" s="191"/>
      <c r="F530" s="41"/>
      <c r="G530" s="41"/>
      <c r="H530" s="41"/>
      <c r="I530" s="41"/>
      <c r="J530" s="41"/>
      <c r="K530" s="41"/>
      <c r="L530" s="41"/>
      <c r="M530" s="41"/>
      <c r="N530" s="41"/>
      <c r="O530" s="41"/>
      <c r="P530" s="41"/>
      <c r="Q530" s="41"/>
      <c r="R530" s="41"/>
      <c r="S530" s="41"/>
      <c r="T530" s="41"/>
      <c r="U530" s="41"/>
      <c r="V530" s="41"/>
      <c r="W530" s="41"/>
      <c r="X530" s="41"/>
      <c r="Y530" s="41"/>
      <c r="Z530" s="41"/>
    </row>
    <row r="531" ht="19.5" customHeight="1">
      <c r="A531" s="41"/>
      <c r="B531" s="84" t="s">
        <v>3594</v>
      </c>
      <c r="C531" s="111" t="str">
        <f>sample_xreg_vrops_virtual_fqdn</f>
        <v>flt-ops01.rainpole.io</v>
      </c>
      <c r="D531" s="18"/>
      <c r="E531" s="191"/>
      <c r="F531" s="41"/>
      <c r="G531" s="41"/>
      <c r="H531" s="41"/>
      <c r="I531" s="41"/>
      <c r="J531" s="41"/>
      <c r="K531" s="41"/>
      <c r="L531" s="41"/>
      <c r="M531" s="41"/>
      <c r="N531" s="41"/>
      <c r="O531" s="41"/>
      <c r="P531" s="41"/>
      <c r="Q531" s="41"/>
      <c r="R531" s="41"/>
      <c r="S531" s="41"/>
      <c r="T531" s="41"/>
      <c r="U531" s="41"/>
      <c r="V531" s="41"/>
      <c r="W531" s="41"/>
      <c r="X531" s="41"/>
      <c r="Y531" s="41"/>
      <c r="Z531" s="41"/>
    </row>
    <row r="532" ht="19.5" customHeight="1">
      <c r="A532" s="41"/>
      <c r="B532" s="84" t="s">
        <v>3595</v>
      </c>
      <c r="C532" s="110" t="s">
        <v>3596</v>
      </c>
      <c r="D532" s="18"/>
      <c r="E532" s="191"/>
      <c r="F532" s="41"/>
      <c r="G532" s="41"/>
      <c r="H532" s="41"/>
      <c r="I532" s="41"/>
      <c r="J532" s="41"/>
      <c r="K532" s="41"/>
      <c r="L532" s="41"/>
      <c r="M532" s="41"/>
      <c r="N532" s="41"/>
      <c r="O532" s="41"/>
      <c r="P532" s="41"/>
      <c r="Q532" s="41"/>
      <c r="R532" s="41"/>
      <c r="S532" s="41"/>
      <c r="T532" s="41"/>
      <c r="U532" s="41"/>
      <c r="V532" s="41"/>
      <c r="W532" s="41"/>
      <c r="X532" s="41"/>
      <c r="Y532" s="41"/>
      <c r="Z532" s="41"/>
    </row>
    <row r="533" ht="19.5" customHeight="1">
      <c r="A533" s="41"/>
      <c r="B533" s="84" t="s">
        <v>3597</v>
      </c>
      <c r="C533" s="110" t="s">
        <v>3598</v>
      </c>
      <c r="D533" s="18"/>
      <c r="E533" s="19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1"/>
      <c r="C534" s="41"/>
      <c r="D534" s="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9.5" customHeight="1">
      <c r="A535" s="41"/>
      <c r="B535" s="1"/>
      <c r="C535" s="41"/>
      <c r="D535" s="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9.5" customHeight="1">
      <c r="A536" s="41"/>
      <c r="B536" s="1"/>
      <c r="C536" s="41"/>
      <c r="D536" s="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9.5" customHeight="1">
      <c r="A537" s="41"/>
      <c r="B537" s="1"/>
      <c r="C537" s="41"/>
      <c r="D537" s="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9.5" customHeight="1">
      <c r="A538" s="41"/>
      <c r="B538" s="1"/>
      <c r="C538" s="41"/>
      <c r="D538" s="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9.5" customHeight="1">
      <c r="A539" s="41"/>
      <c r="B539" s="1"/>
      <c r="C539" s="41"/>
      <c r="D539" s="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9.5" customHeight="1">
      <c r="A540" s="41"/>
      <c r="B540" s="1"/>
      <c r="C540" s="41"/>
      <c r="D540" s="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9.5" customHeight="1">
      <c r="A541" s="41"/>
      <c r="B541" s="1"/>
      <c r="C541" s="41"/>
      <c r="D541" s="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9.5" customHeight="1">
      <c r="A542" s="41"/>
      <c r="B542" s="1"/>
      <c r="C542" s="41"/>
      <c r="D542" s="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1"/>
      <c r="C543" s="41"/>
      <c r="D543" s="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33.75" customHeight="1">
      <c r="A544" s="41"/>
      <c r="B544" s="1"/>
      <c r="C544" s="41"/>
      <c r="D544" s="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9.5" customHeight="1">
      <c r="A545" s="41"/>
      <c r="B545" s="1"/>
      <c r="C545" s="41"/>
      <c r="D545" s="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9.5" customHeight="1">
      <c r="A546" s="41"/>
      <c r="B546" s="1"/>
      <c r="C546" s="41"/>
      <c r="D546" s="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9.5" customHeight="1">
      <c r="A547" s="41"/>
      <c r="B547" s="1"/>
      <c r="C547" s="41"/>
      <c r="D547" s="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9.5" customHeight="1">
      <c r="A548" s="41"/>
      <c r="B548" s="1"/>
      <c r="C548" s="41"/>
      <c r="D548" s="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9.5" customHeight="1">
      <c r="A549" s="41"/>
      <c r="B549" s="1"/>
      <c r="C549" s="41"/>
      <c r="D549" s="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9.5" customHeight="1">
      <c r="A550" s="41"/>
      <c r="B550" s="1"/>
      <c r="C550" s="41"/>
      <c r="D550" s="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9.5" customHeight="1">
      <c r="A551" s="41"/>
      <c r="B551" s="1"/>
      <c r="C551" s="41"/>
      <c r="D551" s="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1"/>
      <c r="C552" s="41"/>
      <c r="D552" s="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1"/>
      <c r="C553" s="41"/>
      <c r="D553" s="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1"/>
      <c r="C554" s="41"/>
      <c r="D554" s="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1"/>
      <c r="C555" s="41"/>
      <c r="D555" s="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1"/>
      <c r="C556" s="41"/>
      <c r="D556" s="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1"/>
      <c r="C557" s="41"/>
      <c r="D557" s="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1"/>
      <c r="C558" s="41"/>
      <c r="D558" s="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1"/>
      <c r="C559" s="41"/>
      <c r="D559" s="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1"/>
      <c r="C560" s="41"/>
      <c r="D560" s="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1"/>
      <c r="C561" s="41"/>
      <c r="D561" s="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1"/>
      <c r="C562" s="41"/>
      <c r="D562" s="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1"/>
      <c r="C563" s="41"/>
      <c r="D563" s="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1"/>
      <c r="C564" s="41"/>
      <c r="D564" s="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1"/>
      <c r="C565" s="41"/>
      <c r="D565" s="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1"/>
      <c r="C566" s="41"/>
      <c r="D566" s="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1"/>
      <c r="C567" s="41"/>
      <c r="D567" s="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1"/>
      <c r="C568" s="41"/>
      <c r="D568" s="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1"/>
      <c r="C569" s="41"/>
      <c r="D569" s="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1"/>
      <c r="C570" s="41"/>
      <c r="D570" s="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1"/>
      <c r="C571" s="41"/>
      <c r="D571" s="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1"/>
      <c r="C572" s="41"/>
      <c r="D572" s="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1"/>
      <c r="C573" s="41"/>
      <c r="D573" s="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1"/>
      <c r="C574" s="41"/>
      <c r="D574" s="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1"/>
      <c r="C575" s="41"/>
      <c r="D575" s="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1"/>
      <c r="C576" s="41"/>
      <c r="D576" s="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1"/>
      <c r="C577" s="41"/>
      <c r="D577" s="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1"/>
      <c r="C578" s="41"/>
      <c r="D578" s="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1"/>
      <c r="C579" s="41"/>
      <c r="D579" s="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1"/>
      <c r="C580" s="41"/>
      <c r="D580" s="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1"/>
      <c r="C581" s="41"/>
      <c r="D581" s="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1"/>
      <c r="C582" s="41"/>
      <c r="D582" s="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1"/>
      <c r="C583" s="41"/>
      <c r="D583" s="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1"/>
      <c r="C584" s="41"/>
      <c r="D584" s="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1"/>
      <c r="C585" s="41"/>
      <c r="D585" s="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1"/>
      <c r="C586" s="41"/>
      <c r="D586" s="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1"/>
      <c r="C587" s="41"/>
      <c r="D587" s="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1"/>
      <c r="C588" s="41"/>
      <c r="D588" s="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1"/>
      <c r="C589" s="41"/>
      <c r="D589" s="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1"/>
      <c r="C590" s="41"/>
      <c r="D590" s="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1"/>
      <c r="C591" s="41"/>
      <c r="D591" s="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1"/>
      <c r="C592" s="41"/>
      <c r="D592" s="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1"/>
      <c r="C593" s="41"/>
      <c r="D593" s="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1"/>
      <c r="C594" s="41"/>
      <c r="D594" s="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1"/>
      <c r="C595" s="41"/>
      <c r="D595" s="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1"/>
      <c r="C596" s="41"/>
      <c r="D596" s="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1"/>
      <c r="C597" s="41"/>
      <c r="D597" s="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1"/>
      <c r="C598" s="41"/>
      <c r="D598" s="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1"/>
      <c r="C599" s="41"/>
      <c r="D599" s="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1"/>
      <c r="C600" s="41"/>
      <c r="D600" s="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1"/>
      <c r="C601" s="41"/>
      <c r="D601" s="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1"/>
      <c r="C602" s="41"/>
      <c r="D602" s="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1"/>
      <c r="C603" s="41"/>
      <c r="D603" s="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1"/>
      <c r="C604" s="41"/>
      <c r="D604" s="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1"/>
      <c r="C605" s="41"/>
      <c r="D605" s="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1"/>
      <c r="C606" s="41"/>
      <c r="D606" s="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1"/>
      <c r="C607" s="41"/>
      <c r="D607" s="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1"/>
      <c r="C608" s="41"/>
      <c r="D608" s="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1"/>
      <c r="C609" s="41"/>
      <c r="D609" s="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1"/>
      <c r="C610" s="41"/>
      <c r="D610" s="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1"/>
      <c r="C611" s="41"/>
      <c r="D611" s="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1"/>
      <c r="C612" s="41"/>
      <c r="D612" s="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1"/>
      <c r="C613" s="41"/>
      <c r="D613" s="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1"/>
      <c r="C614" s="41"/>
      <c r="D614" s="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1"/>
      <c r="C615" s="41"/>
      <c r="D615" s="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1"/>
      <c r="C616" s="41"/>
      <c r="D616" s="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1"/>
      <c r="C617" s="41"/>
      <c r="D617" s="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1"/>
      <c r="C618" s="41"/>
      <c r="D618" s="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1"/>
      <c r="C619" s="41"/>
      <c r="D619" s="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1"/>
      <c r="C620" s="41"/>
      <c r="D620" s="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1"/>
      <c r="C621" s="41"/>
      <c r="D621" s="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1"/>
      <c r="C622" s="41"/>
      <c r="D622" s="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1"/>
      <c r="C623" s="41"/>
      <c r="D623" s="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1"/>
      <c r="C624" s="41"/>
      <c r="D624" s="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1"/>
      <c r="C625" s="41"/>
      <c r="D625" s="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1"/>
      <c r="C626" s="41"/>
      <c r="D626" s="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1"/>
      <c r="C627" s="41"/>
      <c r="D627" s="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1"/>
      <c r="C628" s="41"/>
      <c r="D628" s="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1"/>
      <c r="C629" s="41"/>
      <c r="D629" s="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1"/>
      <c r="C630" s="41"/>
      <c r="D630" s="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1"/>
      <c r="C631" s="41"/>
      <c r="D631" s="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1"/>
      <c r="C632" s="41"/>
      <c r="D632" s="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1"/>
      <c r="C633" s="41"/>
      <c r="D633" s="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1"/>
      <c r="C634" s="41"/>
      <c r="D634" s="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1"/>
      <c r="C635" s="41"/>
      <c r="D635" s="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1"/>
      <c r="C636" s="41"/>
      <c r="D636" s="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1"/>
      <c r="C637" s="41"/>
      <c r="D637" s="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1"/>
      <c r="C638" s="41"/>
      <c r="D638" s="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1"/>
      <c r="C639" s="41"/>
      <c r="D639" s="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1"/>
      <c r="C640" s="41"/>
      <c r="D640" s="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1"/>
      <c r="C641" s="41"/>
      <c r="D641" s="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1"/>
      <c r="C642" s="41"/>
      <c r="D642" s="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1"/>
      <c r="C643" s="41"/>
      <c r="D643" s="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1"/>
      <c r="C644" s="41"/>
      <c r="D644" s="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1"/>
      <c r="C645" s="41"/>
      <c r="D645" s="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1"/>
      <c r="C646" s="41"/>
      <c r="D646" s="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1"/>
      <c r="C647" s="41"/>
      <c r="D647" s="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1"/>
      <c r="C648" s="41"/>
      <c r="D648" s="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1"/>
      <c r="C649" s="41"/>
      <c r="D649" s="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1"/>
      <c r="C650" s="41"/>
      <c r="D650" s="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1"/>
      <c r="C651" s="41"/>
      <c r="D651" s="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1"/>
      <c r="C652" s="41"/>
      <c r="D652" s="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1"/>
      <c r="C653" s="41"/>
      <c r="D653" s="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1"/>
      <c r="C654" s="41"/>
      <c r="D654" s="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1"/>
      <c r="C655" s="41"/>
      <c r="D655" s="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1"/>
      <c r="C656" s="41"/>
      <c r="D656" s="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1"/>
      <c r="C657" s="41"/>
      <c r="D657" s="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1"/>
      <c r="C658" s="41"/>
      <c r="D658" s="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1"/>
      <c r="C659" s="41"/>
      <c r="D659" s="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1"/>
      <c r="C660" s="41"/>
      <c r="D660" s="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1"/>
      <c r="C661" s="41"/>
      <c r="D661" s="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1"/>
      <c r="C662" s="41"/>
      <c r="D662" s="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1"/>
      <c r="C663" s="41"/>
      <c r="D663" s="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1"/>
      <c r="C664" s="41"/>
      <c r="D664" s="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1"/>
      <c r="C665" s="41"/>
      <c r="D665" s="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1"/>
      <c r="C666" s="41"/>
      <c r="D666" s="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1"/>
      <c r="C667" s="41"/>
      <c r="D667" s="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1"/>
      <c r="C668" s="41"/>
      <c r="D668" s="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1"/>
      <c r="C669" s="41"/>
      <c r="D669" s="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1"/>
      <c r="C670" s="41"/>
      <c r="D670" s="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1"/>
      <c r="C671" s="41"/>
      <c r="D671" s="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1"/>
      <c r="C672" s="41"/>
      <c r="D672" s="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1"/>
      <c r="C673" s="41"/>
      <c r="D673" s="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1"/>
      <c r="C674" s="41"/>
      <c r="D674" s="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1"/>
      <c r="C675" s="41"/>
      <c r="D675" s="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1"/>
      <c r="C676" s="41"/>
      <c r="D676" s="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1"/>
      <c r="C677" s="41"/>
      <c r="D677" s="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1"/>
      <c r="C678" s="41"/>
      <c r="D678" s="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1"/>
      <c r="C679" s="41"/>
      <c r="D679" s="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1"/>
      <c r="C680" s="41"/>
      <c r="D680" s="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1"/>
      <c r="C681" s="41"/>
      <c r="D681" s="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1"/>
      <c r="C682" s="41"/>
      <c r="D682" s="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1"/>
      <c r="C683" s="41"/>
      <c r="D683" s="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1"/>
      <c r="C684" s="41"/>
      <c r="D684" s="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1"/>
      <c r="C685" s="41"/>
      <c r="D685" s="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1"/>
      <c r="C686" s="41"/>
      <c r="D686" s="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1"/>
      <c r="C687" s="41"/>
      <c r="D687" s="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1"/>
      <c r="C688" s="41"/>
      <c r="D688" s="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1"/>
      <c r="C689" s="41"/>
      <c r="D689" s="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1"/>
      <c r="C690" s="41"/>
      <c r="D690" s="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1"/>
      <c r="C691" s="41"/>
      <c r="D691" s="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1"/>
      <c r="C692" s="41"/>
      <c r="D692" s="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1"/>
      <c r="C693" s="41"/>
      <c r="D693" s="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1"/>
      <c r="C694" s="41"/>
      <c r="D694" s="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1"/>
      <c r="C695" s="41"/>
      <c r="D695" s="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1"/>
      <c r="C696" s="41"/>
      <c r="D696" s="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1"/>
      <c r="C697" s="41"/>
      <c r="D697" s="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1"/>
      <c r="C698" s="41"/>
      <c r="D698" s="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1"/>
      <c r="C699" s="41"/>
      <c r="D699" s="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1"/>
      <c r="C700" s="41"/>
      <c r="D700" s="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1"/>
      <c r="C701" s="41"/>
      <c r="D701" s="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1"/>
      <c r="C702" s="41"/>
      <c r="D702" s="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1"/>
      <c r="C703" s="41"/>
      <c r="D703" s="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1"/>
      <c r="C704" s="41"/>
      <c r="D704" s="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1"/>
      <c r="C705" s="41"/>
      <c r="D705" s="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1"/>
      <c r="C706" s="41"/>
      <c r="D706" s="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1"/>
      <c r="C707" s="41"/>
      <c r="D707" s="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1"/>
      <c r="C708" s="41"/>
      <c r="D708" s="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1"/>
      <c r="C709" s="41"/>
      <c r="D709" s="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1"/>
      <c r="C710" s="41"/>
      <c r="D710" s="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1"/>
      <c r="C711" s="41"/>
      <c r="D711" s="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1"/>
      <c r="C712" s="41"/>
      <c r="D712" s="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1"/>
      <c r="C713" s="41"/>
      <c r="D713" s="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1"/>
      <c r="C714" s="41"/>
      <c r="D714" s="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1"/>
      <c r="C715" s="41"/>
      <c r="D715" s="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1"/>
      <c r="C716" s="41"/>
      <c r="D716" s="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1"/>
      <c r="C717" s="41"/>
      <c r="D717" s="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1"/>
      <c r="C718" s="41"/>
      <c r="D718" s="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1"/>
      <c r="C719" s="41"/>
      <c r="D719" s="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1"/>
      <c r="C720" s="41"/>
      <c r="D720" s="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1"/>
      <c r="C721" s="41"/>
      <c r="D721" s="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1"/>
      <c r="C722" s="41"/>
      <c r="D722" s="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1"/>
      <c r="C723" s="41"/>
      <c r="D723" s="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1"/>
      <c r="C724" s="41"/>
      <c r="D724" s="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1"/>
      <c r="C725" s="41"/>
      <c r="D725" s="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1"/>
      <c r="C726" s="41"/>
      <c r="D726" s="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1"/>
      <c r="C727" s="41"/>
      <c r="D727" s="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1"/>
      <c r="C728" s="41"/>
      <c r="D728" s="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1"/>
      <c r="C729" s="41"/>
      <c r="D729" s="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1"/>
      <c r="C730" s="41"/>
      <c r="D730" s="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1"/>
      <c r="C731" s="41"/>
      <c r="D731" s="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1"/>
      <c r="C732" s="41"/>
      <c r="D732" s="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1"/>
      <c r="C733" s="41"/>
      <c r="D733" s="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1"/>
      <c r="C734" s="41"/>
      <c r="D734" s="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1"/>
      <c r="C735" s="41"/>
      <c r="D735" s="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1"/>
      <c r="C736" s="41"/>
      <c r="D736" s="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1"/>
      <c r="C737" s="41"/>
      <c r="D737" s="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1"/>
      <c r="C738" s="41"/>
      <c r="D738" s="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1"/>
      <c r="C739" s="41"/>
      <c r="D739" s="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1"/>
      <c r="C740" s="41"/>
      <c r="D740" s="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1"/>
      <c r="C741" s="41"/>
      <c r="D741" s="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1"/>
      <c r="C742" s="41"/>
      <c r="D742" s="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1"/>
      <c r="C743" s="41"/>
      <c r="D743" s="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1"/>
      <c r="C744" s="41"/>
      <c r="D744" s="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1"/>
      <c r="C745" s="41"/>
      <c r="D745" s="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1"/>
      <c r="C746" s="41"/>
      <c r="D746" s="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1"/>
      <c r="C747" s="41"/>
      <c r="D747" s="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1"/>
      <c r="C748" s="41"/>
      <c r="D748" s="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1"/>
      <c r="C749" s="41"/>
      <c r="D749" s="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1"/>
      <c r="C750" s="41"/>
      <c r="D750" s="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1"/>
      <c r="C751" s="41"/>
      <c r="D751" s="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1"/>
      <c r="C752" s="41"/>
      <c r="D752" s="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1"/>
      <c r="C753" s="41"/>
      <c r="D753" s="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1"/>
      <c r="C754" s="41"/>
      <c r="D754" s="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1"/>
      <c r="C755" s="41"/>
      <c r="D755" s="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1"/>
      <c r="C756" s="41"/>
      <c r="D756" s="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1"/>
      <c r="C757" s="41"/>
      <c r="D757" s="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1"/>
      <c r="C758" s="41"/>
      <c r="D758" s="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1"/>
      <c r="C759" s="41"/>
      <c r="D759" s="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1"/>
      <c r="C760" s="41"/>
      <c r="D760" s="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1"/>
      <c r="C761" s="41"/>
      <c r="D761" s="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1"/>
      <c r="C762" s="41"/>
      <c r="D762" s="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1"/>
      <c r="C763" s="41"/>
      <c r="D763" s="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1"/>
      <c r="C764" s="41"/>
      <c r="D764" s="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1"/>
      <c r="C765" s="41"/>
      <c r="D765" s="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1"/>
      <c r="C766" s="41"/>
      <c r="D766" s="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1"/>
      <c r="C767" s="41"/>
      <c r="D767" s="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1"/>
      <c r="C768" s="41"/>
      <c r="D768" s="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1"/>
      <c r="C769" s="41"/>
      <c r="D769" s="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1"/>
      <c r="C770" s="41"/>
      <c r="D770" s="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1"/>
      <c r="C771" s="41"/>
      <c r="D771" s="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1"/>
      <c r="C772" s="41"/>
      <c r="D772" s="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1"/>
      <c r="C773" s="41"/>
      <c r="D773" s="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1"/>
      <c r="C774" s="41"/>
      <c r="D774" s="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1"/>
      <c r="C775" s="41"/>
      <c r="D775" s="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1"/>
      <c r="C776" s="41"/>
      <c r="D776" s="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1"/>
      <c r="C777" s="41"/>
      <c r="D777" s="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1"/>
      <c r="C778" s="41"/>
      <c r="D778" s="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1"/>
      <c r="C779" s="41"/>
      <c r="D779" s="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1"/>
      <c r="C780" s="41"/>
      <c r="D780" s="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1"/>
      <c r="C781" s="41"/>
      <c r="D781" s="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1"/>
      <c r="C782" s="41"/>
      <c r="D782" s="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1"/>
      <c r="C783" s="41"/>
      <c r="D783" s="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1"/>
      <c r="C784" s="41"/>
      <c r="D784" s="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1"/>
      <c r="C785" s="41"/>
      <c r="D785" s="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1"/>
      <c r="C786" s="41"/>
      <c r="D786" s="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1"/>
      <c r="C787" s="41"/>
      <c r="D787" s="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1"/>
      <c r="C788" s="41"/>
      <c r="D788" s="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1"/>
      <c r="C789" s="41"/>
      <c r="D789" s="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1"/>
      <c r="C790" s="41"/>
      <c r="D790" s="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1"/>
      <c r="C791" s="41"/>
      <c r="D791" s="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1"/>
      <c r="C792" s="41"/>
      <c r="D792" s="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1"/>
      <c r="C793" s="41"/>
      <c r="D793" s="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1"/>
      <c r="C794" s="41"/>
      <c r="D794" s="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1"/>
      <c r="C795" s="41"/>
      <c r="D795" s="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1"/>
      <c r="C796" s="41"/>
      <c r="D796" s="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1"/>
      <c r="C797" s="41"/>
      <c r="D797" s="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1"/>
      <c r="C798" s="41"/>
      <c r="D798" s="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1"/>
      <c r="C799" s="41"/>
      <c r="D799" s="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1"/>
      <c r="C800" s="41"/>
      <c r="D800" s="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1"/>
      <c r="C801" s="41"/>
      <c r="D801" s="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1"/>
      <c r="C802" s="41"/>
      <c r="D802" s="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1"/>
      <c r="C803" s="41"/>
      <c r="D803" s="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1"/>
      <c r="C804" s="41"/>
      <c r="D804" s="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1"/>
      <c r="C805" s="41"/>
      <c r="D805" s="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1"/>
      <c r="C806" s="41"/>
      <c r="D806" s="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1"/>
      <c r="C807" s="41"/>
      <c r="D807" s="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1"/>
      <c r="C808" s="41"/>
      <c r="D808" s="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1"/>
      <c r="C809" s="41"/>
      <c r="D809" s="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1"/>
      <c r="C810" s="41"/>
      <c r="D810" s="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1"/>
      <c r="C811" s="41"/>
      <c r="D811" s="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1"/>
      <c r="C812" s="41"/>
      <c r="D812" s="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1"/>
      <c r="C813" s="41"/>
      <c r="D813" s="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1"/>
      <c r="C814" s="41"/>
      <c r="D814" s="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1"/>
      <c r="C815" s="41"/>
      <c r="D815" s="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1"/>
      <c r="C816" s="41"/>
      <c r="D816" s="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1"/>
      <c r="C817" s="41"/>
      <c r="D817" s="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1"/>
      <c r="C818" s="41"/>
      <c r="D818" s="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1"/>
      <c r="C819" s="41"/>
      <c r="D819" s="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1"/>
      <c r="C820" s="41"/>
      <c r="D820" s="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1"/>
      <c r="C821" s="41"/>
      <c r="D821" s="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1"/>
      <c r="C822" s="41"/>
      <c r="D822" s="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1"/>
      <c r="C823" s="41"/>
      <c r="D823" s="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1"/>
      <c r="C824" s="41"/>
      <c r="D824" s="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1"/>
      <c r="C825" s="41"/>
      <c r="D825" s="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1"/>
      <c r="C826" s="41"/>
      <c r="D826" s="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1"/>
      <c r="C827" s="41"/>
      <c r="D827" s="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1"/>
      <c r="C828" s="41"/>
      <c r="D828" s="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1"/>
      <c r="C829" s="41"/>
      <c r="D829" s="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1"/>
      <c r="C830" s="41"/>
      <c r="D830" s="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1"/>
      <c r="C831" s="41"/>
      <c r="D831" s="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1"/>
      <c r="C832" s="41"/>
      <c r="D832" s="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1"/>
      <c r="C833" s="41"/>
      <c r="D833" s="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1"/>
      <c r="C834" s="41"/>
      <c r="D834" s="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1"/>
      <c r="C835" s="41"/>
      <c r="D835" s="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1"/>
      <c r="C836" s="41"/>
      <c r="D836" s="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1"/>
      <c r="C837" s="41"/>
      <c r="D837" s="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1"/>
      <c r="C838" s="41"/>
      <c r="D838" s="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1"/>
      <c r="C839" s="41"/>
      <c r="D839" s="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1"/>
      <c r="C840" s="41"/>
      <c r="D840" s="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1"/>
      <c r="C841" s="41"/>
      <c r="D841" s="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1"/>
      <c r="C842" s="41"/>
      <c r="D842" s="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1"/>
      <c r="C843" s="41"/>
      <c r="D843" s="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1"/>
      <c r="C844" s="41"/>
      <c r="D844" s="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1"/>
      <c r="C845" s="41"/>
      <c r="D845" s="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1"/>
      <c r="C846" s="41"/>
      <c r="D846" s="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1"/>
      <c r="C847" s="41"/>
      <c r="D847" s="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1"/>
      <c r="C848" s="41"/>
      <c r="D848" s="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1"/>
      <c r="C849" s="41"/>
      <c r="D849" s="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1"/>
      <c r="C850" s="41"/>
      <c r="D850" s="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1"/>
      <c r="C851" s="41"/>
      <c r="D851" s="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1"/>
      <c r="C852" s="41"/>
      <c r="D852" s="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1"/>
      <c r="C853" s="41"/>
      <c r="D853" s="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1"/>
      <c r="C854" s="41"/>
      <c r="D854" s="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1"/>
      <c r="C855" s="41"/>
      <c r="D855" s="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1"/>
      <c r="C856" s="41"/>
      <c r="D856" s="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1"/>
      <c r="C857" s="41"/>
      <c r="D857" s="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1"/>
      <c r="C858" s="41"/>
      <c r="D858" s="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1"/>
      <c r="C859" s="41"/>
      <c r="D859" s="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1"/>
      <c r="C860" s="41"/>
      <c r="D860" s="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1"/>
      <c r="C861" s="41"/>
      <c r="D861" s="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1"/>
      <c r="C862" s="41"/>
      <c r="D862" s="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1"/>
      <c r="C863" s="41"/>
      <c r="D863" s="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1"/>
      <c r="C864" s="41"/>
      <c r="D864" s="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1"/>
      <c r="C865" s="41"/>
      <c r="D865" s="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1"/>
      <c r="C866" s="41"/>
      <c r="D866" s="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1"/>
      <c r="C867" s="41"/>
      <c r="D867" s="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1"/>
      <c r="C868" s="41"/>
      <c r="D868" s="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1"/>
      <c r="C869" s="41"/>
      <c r="D869" s="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1"/>
      <c r="C870" s="41"/>
      <c r="D870" s="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1"/>
      <c r="C871" s="41"/>
      <c r="D871" s="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1"/>
      <c r="C872" s="41"/>
      <c r="D872" s="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1"/>
      <c r="C873" s="41"/>
      <c r="D873" s="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1"/>
      <c r="C874" s="41"/>
      <c r="D874" s="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1"/>
      <c r="C875" s="41"/>
      <c r="D875" s="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1"/>
      <c r="C876" s="41"/>
      <c r="D876" s="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1"/>
      <c r="C877" s="41"/>
      <c r="D877" s="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1"/>
      <c r="C878" s="41"/>
      <c r="D878" s="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1"/>
      <c r="C879" s="41"/>
      <c r="D879" s="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1"/>
      <c r="C880" s="41"/>
      <c r="D880" s="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1"/>
      <c r="C881" s="41"/>
      <c r="D881" s="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1"/>
      <c r="C882" s="41"/>
      <c r="D882" s="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1"/>
      <c r="C883" s="41"/>
      <c r="D883" s="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1"/>
      <c r="C884" s="41"/>
      <c r="D884" s="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1"/>
      <c r="C885" s="41"/>
      <c r="D885" s="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1"/>
      <c r="C886" s="41"/>
      <c r="D886" s="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1"/>
      <c r="C887" s="41"/>
      <c r="D887" s="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1"/>
      <c r="C888" s="41"/>
      <c r="D888" s="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1"/>
      <c r="C889" s="41"/>
      <c r="D889" s="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1"/>
      <c r="C890" s="41"/>
      <c r="D890" s="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1"/>
      <c r="C891" s="41"/>
      <c r="D891" s="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1"/>
      <c r="C892" s="41"/>
      <c r="D892" s="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1"/>
      <c r="C893" s="41"/>
      <c r="D893" s="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1"/>
      <c r="C894" s="41"/>
      <c r="D894" s="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1"/>
      <c r="C895" s="41"/>
      <c r="D895" s="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1"/>
      <c r="C896" s="41"/>
      <c r="D896" s="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1"/>
      <c r="C897" s="41"/>
      <c r="D897" s="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1"/>
      <c r="C898" s="41"/>
      <c r="D898" s="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1"/>
      <c r="C899" s="41"/>
      <c r="D899" s="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1"/>
      <c r="C900" s="41"/>
      <c r="D900" s="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1"/>
      <c r="C901" s="41"/>
      <c r="D901" s="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1"/>
      <c r="C902" s="41"/>
      <c r="D902" s="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1"/>
      <c r="C903" s="41"/>
      <c r="D903" s="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1"/>
      <c r="C904" s="41"/>
      <c r="D904" s="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1"/>
      <c r="C905" s="41"/>
      <c r="D905" s="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1"/>
      <c r="C906" s="41"/>
      <c r="D906" s="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1"/>
      <c r="C907" s="41"/>
      <c r="D907" s="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1"/>
      <c r="C908" s="41"/>
      <c r="D908" s="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1"/>
      <c r="C909" s="41"/>
      <c r="D909" s="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1"/>
      <c r="C910" s="41"/>
      <c r="D910" s="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1"/>
      <c r="C911" s="41"/>
      <c r="D911" s="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1"/>
      <c r="C912" s="41"/>
      <c r="D912" s="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1"/>
      <c r="C913" s="41"/>
      <c r="D913" s="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1"/>
      <c r="C914" s="41"/>
      <c r="D914" s="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1"/>
      <c r="C915" s="41"/>
      <c r="D915" s="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1"/>
      <c r="C916" s="41"/>
      <c r="D916" s="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1"/>
      <c r="C917" s="41"/>
      <c r="D917" s="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1"/>
      <c r="C918" s="41"/>
      <c r="D918" s="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1"/>
      <c r="C919" s="41"/>
      <c r="D919" s="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1"/>
      <c r="C920" s="41"/>
      <c r="D920" s="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1"/>
      <c r="C921" s="41"/>
      <c r="D921" s="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1"/>
      <c r="C922" s="41"/>
      <c r="D922" s="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1"/>
      <c r="C923" s="41"/>
      <c r="D923" s="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1"/>
      <c r="C924" s="41"/>
      <c r="D924" s="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1"/>
      <c r="C925" s="41"/>
      <c r="D925" s="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1"/>
      <c r="C926" s="41"/>
      <c r="D926" s="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1"/>
      <c r="C927" s="41"/>
      <c r="D927" s="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1"/>
      <c r="C928" s="41"/>
      <c r="D928" s="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1"/>
      <c r="C929" s="41"/>
      <c r="D929" s="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1"/>
      <c r="C930" s="41"/>
      <c r="D930" s="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1"/>
      <c r="C931" s="41"/>
      <c r="D931" s="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1"/>
      <c r="C932" s="41"/>
      <c r="D932" s="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1"/>
      <c r="C933" s="41"/>
      <c r="D933" s="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1"/>
      <c r="C934" s="41"/>
      <c r="D934" s="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1"/>
      <c r="C935" s="41"/>
      <c r="D935" s="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1"/>
      <c r="C936" s="41"/>
      <c r="D936" s="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1"/>
      <c r="C937" s="41"/>
      <c r="D937" s="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1"/>
      <c r="C938" s="41"/>
      <c r="D938" s="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1"/>
      <c r="C939" s="41"/>
      <c r="D939" s="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1"/>
      <c r="C940" s="41"/>
      <c r="D940" s="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1"/>
      <c r="C941" s="41"/>
      <c r="D941" s="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1"/>
      <c r="C942" s="41"/>
      <c r="D942" s="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1"/>
      <c r="C943" s="41"/>
      <c r="D943" s="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1"/>
      <c r="C944" s="41"/>
      <c r="D944" s="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1"/>
      <c r="C945" s="41"/>
      <c r="D945" s="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1"/>
      <c r="C946" s="41"/>
      <c r="D946" s="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1"/>
      <c r="C947" s="41"/>
      <c r="D947" s="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1"/>
      <c r="C948" s="41"/>
      <c r="D948" s="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1"/>
      <c r="C949" s="41"/>
      <c r="D949" s="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1"/>
      <c r="C950" s="41"/>
      <c r="D950" s="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1"/>
      <c r="C951" s="41"/>
      <c r="D951" s="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1"/>
      <c r="C952" s="41"/>
      <c r="D952" s="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1"/>
      <c r="C953" s="41"/>
      <c r="D953" s="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1"/>
      <c r="C954" s="41"/>
      <c r="D954" s="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1"/>
      <c r="C955" s="41"/>
      <c r="D955" s="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1"/>
      <c r="C956" s="41"/>
      <c r="D956" s="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1"/>
      <c r="C957" s="41"/>
      <c r="D957" s="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1"/>
      <c r="C958" s="41"/>
      <c r="D958" s="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1"/>
      <c r="C959" s="41"/>
      <c r="D959" s="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1"/>
      <c r="C960" s="41"/>
      <c r="D960" s="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1"/>
      <c r="C961" s="41"/>
      <c r="D961" s="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1"/>
      <c r="C962" s="41"/>
      <c r="D962" s="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1"/>
      <c r="C963" s="41"/>
      <c r="D963" s="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1"/>
      <c r="C964" s="41"/>
      <c r="D964" s="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1"/>
      <c r="C965" s="41"/>
      <c r="D965" s="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1"/>
      <c r="C966" s="41"/>
      <c r="D966" s="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1"/>
      <c r="C967" s="41"/>
      <c r="D967" s="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1"/>
      <c r="C968" s="41"/>
      <c r="D968" s="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1"/>
      <c r="C969" s="41"/>
      <c r="D969" s="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1"/>
      <c r="C970" s="41"/>
      <c r="D970" s="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1"/>
      <c r="C971" s="41"/>
      <c r="D971" s="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1"/>
      <c r="C972" s="41"/>
      <c r="D972" s="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1"/>
      <c r="C973" s="41"/>
      <c r="D973" s="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1"/>
      <c r="C974" s="41"/>
      <c r="D974" s="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1"/>
      <c r="C975" s="41"/>
      <c r="D975" s="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1"/>
      <c r="C976" s="41"/>
      <c r="D976" s="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1"/>
      <c r="C977" s="41"/>
      <c r="D977" s="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1"/>
      <c r="C978" s="41"/>
      <c r="D978" s="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1"/>
      <c r="C979" s="41"/>
      <c r="D979" s="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1"/>
      <c r="C980" s="41"/>
      <c r="D980" s="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1"/>
      <c r="C981" s="41"/>
      <c r="D981" s="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1"/>
      <c r="C982" s="41"/>
      <c r="D982" s="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1"/>
      <c r="C983" s="41"/>
      <c r="D983" s="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1"/>
      <c r="C984" s="41"/>
      <c r="D984" s="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1"/>
      <c r="C985" s="41"/>
      <c r="D985" s="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1"/>
      <c r="C986" s="41"/>
      <c r="D986" s="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1"/>
      <c r="C987" s="41"/>
      <c r="D987" s="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1"/>
      <c r="C988" s="41"/>
      <c r="D988" s="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1"/>
      <c r="C989" s="41"/>
      <c r="D989" s="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1"/>
      <c r="C990" s="41"/>
      <c r="D990" s="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1"/>
      <c r="C991" s="41"/>
      <c r="D991" s="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1"/>
      <c r="C992" s="41"/>
      <c r="D992" s="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1"/>
      <c r="C993" s="41"/>
      <c r="D993" s="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1"/>
      <c r="C994" s="41"/>
      <c r="D994" s="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1"/>
      <c r="C995" s="41"/>
      <c r="D995" s="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1"/>
      <c r="C996" s="41"/>
      <c r="D996" s="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1"/>
      <c r="C997" s="41"/>
      <c r="D997" s="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1"/>
      <c r="C998" s="41"/>
      <c r="D998" s="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1"/>
      <c r="C999" s="41"/>
      <c r="D999" s="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1"/>
      <c r="C1000" s="41"/>
      <c r="D1000" s="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07">
    <mergeCell ref="B2:E2"/>
    <mergeCell ref="B3:E3"/>
    <mergeCell ref="B8:E8"/>
    <mergeCell ref="B10:E10"/>
    <mergeCell ref="B11:E11"/>
    <mergeCell ref="B14:E14"/>
    <mergeCell ref="B16:E16"/>
    <mergeCell ref="B19:E19"/>
    <mergeCell ref="B25:E25"/>
    <mergeCell ref="B26:E26"/>
    <mergeCell ref="B29:E29"/>
    <mergeCell ref="B31:E31"/>
    <mergeCell ref="B42:E42"/>
    <mergeCell ref="B43:E43"/>
    <mergeCell ref="B48:E48"/>
    <mergeCell ref="B49:E49"/>
    <mergeCell ref="B56:E56"/>
    <mergeCell ref="B57:E57"/>
    <mergeCell ref="B64:E64"/>
    <mergeCell ref="B65:E65"/>
    <mergeCell ref="B72:E72"/>
    <mergeCell ref="B73:E73"/>
    <mergeCell ref="B79:E79"/>
    <mergeCell ref="B80:E80"/>
    <mergeCell ref="B87:E87"/>
    <mergeCell ref="B88:E88"/>
    <mergeCell ref="B94:E94"/>
    <mergeCell ref="B96:E96"/>
    <mergeCell ref="B97:E97"/>
    <mergeCell ref="B116:E116"/>
    <mergeCell ref="B117:E117"/>
    <mergeCell ref="B129:E129"/>
    <mergeCell ref="B130:E130"/>
    <mergeCell ref="B137:E137"/>
    <mergeCell ref="B138:E138"/>
    <mergeCell ref="B144:E144"/>
    <mergeCell ref="B145:E145"/>
    <mergeCell ref="B156:E156"/>
    <mergeCell ref="B157:E157"/>
    <mergeCell ref="B161:E161"/>
    <mergeCell ref="B165:E165"/>
    <mergeCell ref="B166:E166"/>
    <mergeCell ref="B175:E175"/>
    <mergeCell ref="B192:E192"/>
    <mergeCell ref="B210:E210"/>
    <mergeCell ref="B212:E212"/>
    <mergeCell ref="B213:E213"/>
    <mergeCell ref="B222:E222"/>
    <mergeCell ref="B223:E223"/>
    <mergeCell ref="B460:E460"/>
    <mergeCell ref="B471:E471"/>
    <mergeCell ref="B473:E473"/>
    <mergeCell ref="B474:E474"/>
    <mergeCell ref="B483:E483"/>
    <mergeCell ref="B484:E484"/>
    <mergeCell ref="B493:E493"/>
    <mergeCell ref="B494:E494"/>
    <mergeCell ref="B499:E499"/>
    <mergeCell ref="B500:E500"/>
    <mergeCell ref="B511:E511"/>
    <mergeCell ref="B512:E512"/>
    <mergeCell ref="B522:E522"/>
    <mergeCell ref="B523:E523"/>
    <mergeCell ref="B231:E231"/>
    <mergeCell ref="B232:E232"/>
    <mergeCell ref="B243:E243"/>
    <mergeCell ref="B244:E244"/>
    <mergeCell ref="B259:E259"/>
    <mergeCell ref="B260:E260"/>
    <mergeCell ref="B270:E270"/>
    <mergeCell ref="B271:E271"/>
    <mergeCell ref="B285:E285"/>
    <mergeCell ref="B286:E286"/>
    <mergeCell ref="B295:E295"/>
    <mergeCell ref="B296:E296"/>
    <mergeCell ref="B310:E310"/>
    <mergeCell ref="B311:E311"/>
    <mergeCell ref="B320:E320"/>
    <mergeCell ref="B321:E321"/>
    <mergeCell ref="B338:E338"/>
    <mergeCell ref="B339:E339"/>
    <mergeCell ref="B343:E343"/>
    <mergeCell ref="B349:E349"/>
    <mergeCell ref="B354:E354"/>
    <mergeCell ref="B359:E359"/>
    <mergeCell ref="B367:E367"/>
    <mergeCell ref="B369:E369"/>
    <mergeCell ref="B370:E370"/>
    <mergeCell ref="B373:E373"/>
    <mergeCell ref="B378:E378"/>
    <mergeCell ref="B384:E384"/>
    <mergeCell ref="B394:E394"/>
    <mergeCell ref="B395:E395"/>
    <mergeCell ref="B398:E398"/>
    <mergeCell ref="B403:E403"/>
    <mergeCell ref="B409:E409"/>
    <mergeCell ref="B420:E420"/>
    <mergeCell ref="B421:E421"/>
    <mergeCell ref="B424:E424"/>
    <mergeCell ref="B429:E429"/>
    <mergeCell ref="B435:E435"/>
    <mergeCell ref="B445:E445"/>
    <mergeCell ref="B446:E446"/>
    <mergeCell ref="B449:E449"/>
    <mergeCell ref="B454:E454"/>
    <mergeCell ref="B527:E527"/>
    <mergeCell ref="B528:E528"/>
  </mergeCells>
  <conditionalFormatting sqref="C385:C386">
    <cfRule type="expression" dxfId="19" priority="1">
      <formula>OR((private_cloud_result="Excluded"),(private_cloud_chosen="Connect Instance"))</formula>
    </cfRule>
  </conditionalFormatting>
  <conditionalFormatting sqref="C388:C390">
    <cfRule type="expression" dxfId="19" priority="2">
      <formula>OR((private_cloud_result="Excluded"),(private_cloud_chosen="Connect Instance"))</formula>
    </cfRule>
  </conditionalFormatting>
  <conditionalFormatting sqref="C410:C411">
    <cfRule type="expression" dxfId="19" priority="3">
      <formula>OR((private_cloud_result="Excluded"),(private_cloud_chosen="Connect Instance"))</formula>
    </cfRule>
  </conditionalFormatting>
  <conditionalFormatting sqref="C413:C415">
    <cfRule type="expression" dxfId="19" priority="4">
      <formula>OR((private_cloud_result="Excluded"),(private_cloud_chosen="Connect Instance"))</formula>
    </cfRule>
  </conditionalFormatting>
  <conditionalFormatting sqref="C417">
    <cfRule type="expression" dxfId="19" priority="5">
      <formula>OR((private_cloud_result="Excluded"),(private_cloud_chosen="Connect Instance"))</formula>
    </cfRule>
  </conditionalFormatting>
  <conditionalFormatting sqref="C436:C437">
    <cfRule type="expression" dxfId="19" priority="6">
      <formula>OR((private_cloud_result="Excluded"),(private_cloud_chosen="Connect Instance"))</formula>
    </cfRule>
  </conditionalFormatting>
  <conditionalFormatting sqref="C439:C441">
    <cfRule type="expression" dxfId="19" priority="7">
      <formula>OR((private_cloud_result="Excluded"),(private_cloud_chosen="Connect Instance"))</formula>
    </cfRule>
  </conditionalFormatting>
  <conditionalFormatting sqref="C461:C462">
    <cfRule type="expression" dxfId="19" priority="8">
      <formula>OR((private_cloud_result="Excluded"),(private_cloud_chosen="Connect Instance"))</formula>
    </cfRule>
  </conditionalFormatting>
  <conditionalFormatting sqref="C464:C466">
    <cfRule type="expression" dxfId="19" priority="9">
      <formula>OR((private_cloud_result="Excluded"),(private_cloud_chosen="Connect Instance"))</formula>
    </cfRule>
  </conditionalFormatting>
  <conditionalFormatting sqref="C468">
    <cfRule type="expression" dxfId="19" priority="10">
      <formula>OR((private_cloud_result="Excluded"),(private_cloud_chosen="Connect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10" priority="11">
      <formula>LEN(TRIM(D13))=0</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notContainsBlanks" dxfId="15" priority="12">
      <formula>LEN(TRIM(D13))&gt;0</formula>
    </cfRule>
  </conditionalFormatting>
  <conditionalFormatting sqref="D15">
    <cfRule type="containsBlanks" dxfId="10" priority="13">
      <formula>LEN(TRIM(D15))=0</formula>
    </cfRule>
  </conditionalFormatting>
  <conditionalFormatting sqref="D15">
    <cfRule type="notContainsBlanks" dxfId="15" priority="14">
      <formula>LEN(TRIM(D15))&gt;0</formula>
    </cfRule>
  </conditionalFormatting>
  <conditionalFormatting sqref="D28">
    <cfRule type="containsBlanks" dxfId="10" priority="15">
      <formula>LEN(TRIM(D28))=0</formula>
    </cfRule>
  </conditionalFormatting>
  <conditionalFormatting sqref="D28">
    <cfRule type="notContainsBlanks" dxfId="15" priority="16">
      <formula>LEN(TRIM(D28))&gt;0</formula>
    </cfRule>
  </conditionalFormatting>
  <hyperlinks>
    <hyperlink display="Management Domain" location="'Site Protection &amp; DR'!navigation_site_protection_mgmt" ref="B5"/>
    <hyperlink display="Solution Interoperability" location="'Site Protection &amp; DR'!navigation_site_protection_solution_interop" ref="C5"/>
  </hyperlink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4" width="75.78"/>
    <col customWidth="1" min="5" max="5" width="100.78"/>
    <col customWidth="1" min="6" max="26" width="10.78"/>
  </cols>
  <sheetData>
    <row r="1" ht="15.75" customHeight="1">
      <c r="A1" s="41"/>
      <c r="B1" s="41"/>
      <c r="C1" s="1"/>
      <c r="D1" s="1"/>
      <c r="E1" s="1"/>
      <c r="F1" s="41"/>
      <c r="G1" s="41"/>
      <c r="H1" s="41"/>
      <c r="I1" s="41"/>
      <c r="J1" s="41"/>
      <c r="K1" s="41"/>
      <c r="L1" s="41"/>
      <c r="M1" s="41"/>
      <c r="N1" s="41"/>
      <c r="O1" s="41"/>
      <c r="P1" s="41"/>
      <c r="Q1" s="41"/>
      <c r="R1" s="41"/>
      <c r="S1" s="41"/>
      <c r="T1" s="41"/>
      <c r="U1" s="41"/>
      <c r="V1" s="41"/>
      <c r="W1" s="41"/>
      <c r="X1" s="41"/>
      <c r="Y1" s="41"/>
      <c r="Z1" s="41"/>
    </row>
    <row r="2" ht="54.0" customHeight="1">
      <c r="A2" s="178"/>
      <c r="B2" s="179" t="s">
        <v>3599</v>
      </c>
      <c r="C2" s="13"/>
      <c r="D2" s="13"/>
      <c r="E2" s="14"/>
      <c r="F2" s="41"/>
      <c r="G2" s="41"/>
      <c r="H2" s="41"/>
      <c r="I2" s="41"/>
      <c r="J2" s="41"/>
      <c r="K2" s="41"/>
      <c r="L2" s="41"/>
      <c r="M2" s="41"/>
      <c r="N2" s="41"/>
      <c r="O2" s="41"/>
      <c r="P2" s="41"/>
      <c r="Q2" s="41"/>
      <c r="R2" s="41"/>
      <c r="S2" s="41"/>
      <c r="T2" s="41"/>
      <c r="U2" s="41"/>
      <c r="V2" s="41"/>
      <c r="W2" s="41"/>
      <c r="X2" s="41"/>
      <c r="Y2" s="41"/>
      <c r="Z2" s="41"/>
    </row>
    <row r="3" ht="19.5" customHeight="1">
      <c r="A3" s="107"/>
      <c r="B3" s="102" t="s">
        <v>508</v>
      </c>
      <c r="C3" s="13"/>
      <c r="D3" s="13"/>
      <c r="E3" s="14"/>
      <c r="F3" s="114"/>
      <c r="G3" s="114"/>
      <c r="H3" s="114"/>
      <c r="I3" s="114"/>
      <c r="J3" s="114"/>
      <c r="K3" s="114"/>
      <c r="L3" s="114"/>
      <c r="M3" s="114"/>
      <c r="N3" s="114"/>
      <c r="O3" s="114"/>
      <c r="P3" s="114"/>
      <c r="Q3" s="114"/>
      <c r="R3" s="114"/>
      <c r="S3" s="114"/>
      <c r="T3" s="114"/>
      <c r="U3" s="114"/>
      <c r="V3" s="114"/>
      <c r="W3" s="114"/>
      <c r="X3" s="114"/>
      <c r="Y3" s="114"/>
      <c r="Z3" s="114"/>
    </row>
    <row r="4" ht="15.75" customHeight="1">
      <c r="A4" s="41"/>
      <c r="B4" s="41"/>
      <c r="C4" s="1"/>
      <c r="D4" s="1"/>
      <c r="E4" s="1"/>
      <c r="F4" s="41"/>
      <c r="G4" s="41"/>
      <c r="H4" s="41"/>
      <c r="I4" s="41"/>
      <c r="J4" s="41"/>
      <c r="K4" s="41"/>
      <c r="L4" s="41"/>
      <c r="M4" s="41"/>
      <c r="N4" s="41"/>
      <c r="O4" s="41"/>
      <c r="P4" s="41"/>
      <c r="Q4" s="41"/>
      <c r="R4" s="41"/>
      <c r="S4" s="41"/>
      <c r="T4" s="41"/>
      <c r="U4" s="41"/>
      <c r="V4" s="41"/>
      <c r="W4" s="41"/>
      <c r="X4" s="41"/>
      <c r="Y4" s="41"/>
      <c r="Z4" s="41"/>
    </row>
    <row r="5" ht="15.75" customHeight="1">
      <c r="A5" s="41"/>
      <c r="B5" s="41"/>
      <c r="C5" s="1"/>
      <c r="D5" s="1"/>
      <c r="E5" s="1"/>
      <c r="F5" s="41"/>
      <c r="G5" s="41"/>
      <c r="H5" s="41"/>
      <c r="I5" s="41"/>
      <c r="J5" s="41"/>
      <c r="K5" s="41"/>
      <c r="L5" s="41"/>
      <c r="M5" s="41"/>
      <c r="N5" s="41"/>
      <c r="O5" s="41"/>
      <c r="P5" s="41"/>
      <c r="Q5" s="41"/>
      <c r="R5" s="41"/>
      <c r="S5" s="41"/>
      <c r="T5" s="41"/>
      <c r="U5" s="41"/>
      <c r="V5" s="41"/>
      <c r="W5" s="41"/>
      <c r="X5" s="41"/>
      <c r="Y5" s="41"/>
      <c r="Z5" s="41"/>
    </row>
    <row r="6" ht="31.5" customHeight="1">
      <c r="A6" s="41"/>
      <c r="B6" s="184" t="s">
        <v>3600</v>
      </c>
      <c r="C6" s="13"/>
      <c r="D6" s="13"/>
      <c r="E6" s="14"/>
      <c r="F6" s="41"/>
      <c r="G6" s="41"/>
      <c r="H6" s="41"/>
      <c r="I6" s="41"/>
      <c r="J6" s="41"/>
      <c r="K6" s="41"/>
      <c r="L6" s="41"/>
      <c r="M6" s="41"/>
      <c r="N6" s="41"/>
      <c r="O6" s="41"/>
      <c r="P6" s="41"/>
      <c r="Q6" s="41"/>
      <c r="R6" s="41"/>
      <c r="S6" s="41"/>
      <c r="T6" s="41"/>
      <c r="U6" s="41"/>
      <c r="V6" s="41"/>
      <c r="W6" s="41"/>
      <c r="X6" s="41"/>
      <c r="Y6" s="41"/>
      <c r="Z6" s="41"/>
    </row>
    <row r="7" ht="19.5" customHeight="1">
      <c r="A7" s="41"/>
      <c r="B7" s="17"/>
      <c r="C7" s="13"/>
      <c r="D7" s="13"/>
      <c r="E7" s="14"/>
      <c r="F7" s="41"/>
      <c r="G7" s="41"/>
      <c r="H7" s="41"/>
      <c r="I7" s="41"/>
      <c r="J7" s="41"/>
      <c r="K7" s="41"/>
      <c r="L7" s="41"/>
      <c r="M7" s="41"/>
      <c r="N7" s="41"/>
      <c r="O7" s="41"/>
      <c r="P7" s="41"/>
      <c r="Q7" s="41"/>
      <c r="R7" s="41"/>
      <c r="S7" s="41"/>
      <c r="T7" s="41"/>
      <c r="U7" s="41"/>
      <c r="V7" s="41"/>
      <c r="W7" s="41"/>
      <c r="X7" s="41"/>
      <c r="Y7" s="41"/>
      <c r="Z7" s="41"/>
    </row>
    <row r="8" ht="19.5" customHeight="1">
      <c r="A8" s="41"/>
      <c r="B8" s="49" t="s">
        <v>37</v>
      </c>
      <c r="C8" s="49" t="s">
        <v>273</v>
      </c>
      <c r="D8" s="49" t="s">
        <v>274</v>
      </c>
      <c r="E8" s="49" t="s">
        <v>5</v>
      </c>
      <c r="F8" s="41"/>
      <c r="G8" s="41"/>
      <c r="H8" s="41"/>
      <c r="I8" s="41"/>
      <c r="J8" s="41"/>
      <c r="K8" s="41"/>
      <c r="L8" s="41"/>
      <c r="M8" s="41"/>
      <c r="N8" s="41"/>
      <c r="O8" s="41"/>
      <c r="P8" s="41"/>
      <c r="Q8" s="41"/>
      <c r="R8" s="41"/>
      <c r="S8" s="41"/>
      <c r="T8" s="41"/>
      <c r="U8" s="41"/>
      <c r="V8" s="41"/>
      <c r="W8" s="41"/>
      <c r="X8" s="41"/>
      <c r="Y8" s="41"/>
      <c r="Z8" s="41"/>
    </row>
    <row r="9" ht="19.5" customHeight="1">
      <c r="A9" s="41"/>
      <c r="B9" s="84" t="s">
        <v>3331</v>
      </c>
      <c r="C9" s="111" t="str">
        <f>CONCATENATE(this_instance,"-m01-vc01.",sample_child_dns_zone)</f>
        <v>lax-m01-vc01.lax.rainpole.io</v>
      </c>
      <c r="D9" s="18"/>
      <c r="E9" s="18"/>
      <c r="F9" s="41"/>
      <c r="G9" s="41"/>
      <c r="H9" s="41"/>
      <c r="I9" s="41"/>
      <c r="J9" s="41"/>
      <c r="K9" s="41"/>
      <c r="L9" s="41"/>
      <c r="M9" s="41"/>
      <c r="N9" s="41"/>
      <c r="O9" s="41"/>
      <c r="P9" s="41"/>
      <c r="Q9" s="41"/>
      <c r="R9" s="41"/>
      <c r="S9" s="41"/>
      <c r="T9" s="41"/>
      <c r="U9" s="41"/>
      <c r="V9" s="41"/>
      <c r="W9" s="41"/>
      <c r="X9" s="41"/>
      <c r="Y9" s="41"/>
      <c r="Z9" s="41"/>
    </row>
    <row r="10" ht="19.5" customHeight="1">
      <c r="A10" s="41"/>
      <c r="B10" s="84" t="s">
        <v>1178</v>
      </c>
      <c r="C10" s="110" t="str">
        <f>sample_mgmt_cl01_cluster</f>
        <v>lax-m01-cl01</v>
      </c>
      <c r="D10" s="18"/>
      <c r="E10" s="18"/>
      <c r="F10" s="41"/>
      <c r="G10" s="41"/>
      <c r="H10" s="41"/>
      <c r="I10" s="41"/>
      <c r="J10" s="41"/>
      <c r="K10" s="41"/>
      <c r="L10" s="41"/>
      <c r="M10" s="41"/>
      <c r="N10" s="41"/>
      <c r="O10" s="41"/>
      <c r="P10" s="41"/>
      <c r="Q10" s="41"/>
      <c r="R10" s="41"/>
      <c r="S10" s="41"/>
      <c r="T10" s="41"/>
      <c r="U10" s="41"/>
      <c r="V10" s="41"/>
      <c r="W10" s="41"/>
      <c r="X10" s="41"/>
      <c r="Y10" s="41"/>
      <c r="Z10" s="41"/>
    </row>
    <row r="11" ht="19.5" customHeight="1">
      <c r="A11" s="41"/>
      <c r="B11" s="84" t="s">
        <v>3254</v>
      </c>
      <c r="C11" s="210" t="str">
        <f>CONCATENATE(this_instance,"-w01-vlr01")</f>
        <v>lax-w01-vlr01</v>
      </c>
      <c r="D11" s="18"/>
      <c r="E11" s="18"/>
      <c r="F11" s="41"/>
      <c r="G11" s="41"/>
      <c r="H11" s="41"/>
      <c r="I11" s="41"/>
      <c r="J11" s="41"/>
      <c r="K11" s="41"/>
      <c r="L11" s="41"/>
      <c r="M11" s="41"/>
      <c r="N11" s="41"/>
      <c r="O11" s="41"/>
      <c r="P11" s="41"/>
      <c r="Q11" s="41"/>
      <c r="R11" s="41"/>
      <c r="S11" s="41"/>
      <c r="T11" s="41"/>
      <c r="U11" s="41"/>
      <c r="V11" s="41"/>
      <c r="W11" s="41"/>
      <c r="X11" s="41"/>
      <c r="Y11" s="41"/>
      <c r="Z11" s="41"/>
    </row>
    <row r="12" ht="19.5" customHeight="1">
      <c r="A12" s="41"/>
      <c r="B12" s="84" t="s">
        <v>3256</v>
      </c>
      <c r="C12" s="110" t="str">
        <f>sample_mgmt_cl01_cluster</f>
        <v>lax-m01-cl01</v>
      </c>
      <c r="D12" s="18"/>
      <c r="E12" s="18"/>
      <c r="F12" s="41"/>
      <c r="G12" s="41"/>
      <c r="H12" s="41"/>
      <c r="I12" s="41"/>
      <c r="J12" s="41"/>
      <c r="K12" s="41"/>
      <c r="L12" s="41"/>
      <c r="M12" s="41"/>
      <c r="N12" s="41"/>
      <c r="O12" s="41"/>
      <c r="P12" s="41"/>
      <c r="Q12" s="41"/>
      <c r="R12" s="41"/>
      <c r="S12" s="41"/>
      <c r="T12" s="41"/>
      <c r="U12" s="41"/>
      <c r="V12" s="41"/>
      <c r="W12" s="41"/>
      <c r="X12" s="41"/>
      <c r="Y12" s="41"/>
      <c r="Z12" s="41"/>
    </row>
    <row r="13" ht="19.5" customHeight="1">
      <c r="A13" s="41"/>
      <c r="B13" s="84" t="s">
        <v>596</v>
      </c>
      <c r="C13" s="110" t="str">
        <f>sample_mgmt_cl01_vsan_datastore</f>
        <v>lax-m01-cl01-ds-nfs01</v>
      </c>
      <c r="D13" s="18"/>
      <c r="E13" s="18"/>
      <c r="F13" s="41"/>
      <c r="G13" s="41"/>
      <c r="H13" s="41"/>
      <c r="I13" s="41"/>
      <c r="J13" s="41"/>
      <c r="K13" s="41"/>
      <c r="L13" s="41"/>
      <c r="M13" s="41"/>
      <c r="N13" s="41"/>
      <c r="O13" s="41"/>
      <c r="P13" s="41"/>
      <c r="Q13" s="41"/>
      <c r="R13" s="41"/>
      <c r="S13" s="41"/>
      <c r="T13" s="41"/>
      <c r="U13" s="41"/>
      <c r="V13" s="41"/>
      <c r="W13" s="41"/>
      <c r="X13" s="41"/>
      <c r="Y13" s="41"/>
      <c r="Z13" s="41"/>
    </row>
    <row r="14" ht="19.5" customHeight="1">
      <c r="A14" s="41"/>
      <c r="B14" s="84" t="s">
        <v>3257</v>
      </c>
      <c r="C14" s="110" t="str">
        <f>sample_mgmt_cl01_az1_mgmt_vm_pg</f>
        <v>lax-m01-cl01-vds01-pg-vm-mgmt</v>
      </c>
      <c r="D14" s="18"/>
      <c r="E14" s="18"/>
      <c r="F14" s="41"/>
      <c r="G14" s="41"/>
      <c r="H14" s="41"/>
      <c r="I14" s="41"/>
      <c r="J14" s="41"/>
      <c r="K14" s="41"/>
      <c r="L14" s="41"/>
      <c r="M14" s="41"/>
      <c r="N14" s="41"/>
      <c r="O14" s="41"/>
      <c r="P14" s="41"/>
      <c r="Q14" s="41"/>
      <c r="R14" s="41"/>
      <c r="S14" s="41"/>
      <c r="T14" s="41"/>
      <c r="U14" s="41"/>
      <c r="V14" s="41"/>
      <c r="W14" s="41"/>
      <c r="X14" s="41"/>
      <c r="Y14" s="41"/>
      <c r="Z14" s="41"/>
    </row>
    <row r="15" ht="19.5" customHeight="1">
      <c r="A15" s="41"/>
      <c r="B15" s="84" t="s">
        <v>760</v>
      </c>
      <c r="C15" s="111" t="str">
        <f>CONCATENATE(this_instance,"-w01-vlr01",".",sample_child_dns_zone)</f>
        <v>lax-w01-vlr01.lax.rainpole.io</v>
      </c>
      <c r="D15" s="18" t="str">
        <f>wld_vlr_fqdn</f>
        <v>Value Missing.Value Missing</v>
      </c>
      <c r="E15" s="18"/>
      <c r="F15" s="41"/>
      <c r="G15" s="41"/>
      <c r="H15" s="41"/>
      <c r="I15" s="41"/>
      <c r="J15" s="41"/>
      <c r="K15" s="41"/>
      <c r="L15" s="41"/>
      <c r="M15" s="41"/>
      <c r="N15" s="41"/>
      <c r="O15" s="41"/>
      <c r="P15" s="41"/>
      <c r="Q15" s="41"/>
      <c r="R15" s="41"/>
      <c r="S15" s="41"/>
      <c r="T15" s="41"/>
      <c r="U15" s="41"/>
      <c r="V15" s="41"/>
      <c r="W15" s="41"/>
      <c r="X15" s="41"/>
      <c r="Y15" s="41"/>
      <c r="Z15" s="41"/>
    </row>
    <row r="16" ht="19.5" customHeight="1">
      <c r="A16" s="41"/>
      <c r="B16" s="84" t="s">
        <v>3601</v>
      </c>
      <c r="C16" s="110" t="s">
        <v>297</v>
      </c>
      <c r="D16" s="18"/>
      <c r="E16" s="18"/>
      <c r="F16" s="41"/>
      <c r="G16" s="41"/>
      <c r="H16" s="41"/>
      <c r="I16" s="41"/>
      <c r="J16" s="41"/>
      <c r="K16" s="41"/>
      <c r="L16" s="41"/>
      <c r="M16" s="41"/>
      <c r="N16" s="41"/>
      <c r="O16" s="41"/>
      <c r="P16" s="41"/>
      <c r="Q16" s="41"/>
      <c r="R16" s="41"/>
      <c r="S16" s="41"/>
      <c r="T16" s="41"/>
      <c r="U16" s="41"/>
      <c r="V16" s="41"/>
      <c r="W16" s="41"/>
      <c r="X16" s="41"/>
      <c r="Y16" s="41"/>
      <c r="Z16" s="41"/>
    </row>
    <row r="17" ht="19.5" customHeight="1">
      <c r="A17" s="41"/>
      <c r="B17" s="84" t="s">
        <v>3602</v>
      </c>
      <c r="C17" s="110" t="s">
        <v>297</v>
      </c>
      <c r="D17" s="18"/>
      <c r="E17" s="18"/>
      <c r="F17" s="41"/>
      <c r="G17" s="41"/>
      <c r="H17" s="41"/>
      <c r="I17" s="41"/>
      <c r="J17" s="41"/>
      <c r="K17" s="41"/>
      <c r="L17" s="41"/>
      <c r="M17" s="41"/>
      <c r="N17" s="41"/>
      <c r="O17" s="41"/>
      <c r="P17" s="41"/>
      <c r="Q17" s="41"/>
      <c r="R17" s="41"/>
      <c r="S17" s="41"/>
      <c r="T17" s="41"/>
      <c r="U17" s="41"/>
      <c r="V17" s="41"/>
      <c r="W17" s="41"/>
      <c r="X17" s="41"/>
      <c r="Y17" s="41"/>
      <c r="Z17" s="41"/>
    </row>
    <row r="18" ht="19.5" customHeight="1">
      <c r="A18" s="41"/>
      <c r="B18" s="84" t="s">
        <v>757</v>
      </c>
      <c r="C18" s="111" t="str">
        <f>sample_region_ntp1_server</f>
        <v>ntp0.lax.rainpole.io</v>
      </c>
      <c r="D18" s="18"/>
      <c r="E18" s="18"/>
      <c r="F18" s="41"/>
      <c r="G18" s="41"/>
      <c r="H18" s="41"/>
      <c r="I18" s="41"/>
      <c r="J18" s="41"/>
      <c r="K18" s="41"/>
      <c r="L18" s="41"/>
      <c r="M18" s="41"/>
      <c r="N18" s="41"/>
      <c r="O18" s="41"/>
      <c r="P18" s="41"/>
      <c r="Q18" s="41"/>
      <c r="R18" s="41"/>
      <c r="S18" s="41"/>
      <c r="T18" s="41"/>
      <c r="U18" s="41"/>
      <c r="V18" s="41"/>
      <c r="W18" s="41"/>
      <c r="X18" s="41"/>
      <c r="Y18" s="41"/>
      <c r="Z18" s="41"/>
    </row>
    <row r="19" ht="19.5" customHeight="1">
      <c r="A19" s="41"/>
      <c r="B19" s="84" t="s">
        <v>719</v>
      </c>
      <c r="C19" s="110" t="str">
        <f>sample_mgmt_az1_mgmt_vm_gateway_ip</f>
        <v>10.21.10.1</v>
      </c>
      <c r="D19" s="18"/>
      <c r="E19" s="18"/>
      <c r="F19" s="41"/>
      <c r="G19" s="41"/>
      <c r="H19" s="41"/>
      <c r="I19" s="41"/>
      <c r="J19" s="41"/>
      <c r="K19" s="41"/>
      <c r="L19" s="41"/>
      <c r="M19" s="41"/>
      <c r="N19" s="41"/>
      <c r="O19" s="41"/>
      <c r="P19" s="41"/>
      <c r="Q19" s="41"/>
      <c r="R19" s="41"/>
      <c r="S19" s="41"/>
      <c r="T19" s="41"/>
      <c r="U19" s="41"/>
      <c r="V19" s="41"/>
      <c r="W19" s="41"/>
      <c r="X19" s="41"/>
      <c r="Y19" s="41"/>
      <c r="Z19" s="41"/>
    </row>
    <row r="20" ht="19.5" customHeight="1">
      <c r="A20" s="41"/>
      <c r="B20" s="84" t="s">
        <v>356</v>
      </c>
      <c r="C20" s="111" t="str">
        <f>CONCATENATE(this_instance,".rainpole.io")</f>
        <v>lax.rainpole.io</v>
      </c>
      <c r="D20" s="18"/>
      <c r="E20" s="18"/>
      <c r="F20" s="41"/>
      <c r="G20" s="41"/>
      <c r="H20" s="41"/>
      <c r="I20" s="41"/>
      <c r="J20" s="41"/>
      <c r="K20" s="41"/>
      <c r="L20" s="41"/>
      <c r="M20" s="41"/>
      <c r="N20" s="41"/>
      <c r="O20" s="41"/>
      <c r="P20" s="41"/>
      <c r="Q20" s="41"/>
      <c r="R20" s="41"/>
      <c r="S20" s="41"/>
      <c r="T20" s="41"/>
      <c r="U20" s="41"/>
      <c r="V20" s="41"/>
      <c r="W20" s="41"/>
      <c r="X20" s="41"/>
      <c r="Y20" s="41"/>
      <c r="Z20" s="41"/>
    </row>
    <row r="21" ht="19.5" customHeight="1">
      <c r="A21" s="41"/>
      <c r="B21" s="84" t="s">
        <v>1055</v>
      </c>
      <c r="C21" s="111" t="str">
        <f>sample_rwr_child_dns_zone</f>
        <v>lax.rainpole.io</v>
      </c>
      <c r="D21" s="18" t="str">
        <f>rwr_child_dns_zone</f>
        <v>Value Missing</v>
      </c>
      <c r="E21" s="18"/>
      <c r="F21" s="41"/>
      <c r="G21" s="41"/>
      <c r="H21" s="41"/>
      <c r="I21" s="41"/>
      <c r="J21" s="41"/>
      <c r="K21" s="41"/>
      <c r="L21" s="41"/>
      <c r="M21" s="41"/>
      <c r="N21" s="41"/>
      <c r="O21" s="41"/>
      <c r="P21" s="41"/>
      <c r="Q21" s="41"/>
      <c r="R21" s="41"/>
      <c r="S21" s="41"/>
      <c r="T21" s="41"/>
      <c r="U21" s="41"/>
      <c r="V21" s="41"/>
      <c r="W21" s="41"/>
      <c r="X21" s="41"/>
      <c r="Y21" s="41"/>
      <c r="Z21" s="41"/>
    </row>
    <row r="22" ht="19.5" customHeight="1">
      <c r="A22" s="41"/>
      <c r="B22" s="84" t="s">
        <v>3261</v>
      </c>
      <c r="C22" s="110" t="str">
        <f>CONCATENATE(sample_region_dns1_ip,",",sample_region_dns2_ip)</f>
        <v>10.21.10.4,10.21.10.5</v>
      </c>
      <c r="D22" s="18"/>
      <c r="E22" s="18"/>
      <c r="F22" s="41"/>
      <c r="G22" s="41"/>
      <c r="H22" s="41"/>
      <c r="I22" s="41"/>
      <c r="J22" s="41"/>
      <c r="K22" s="41"/>
      <c r="L22" s="41"/>
      <c r="M22" s="41"/>
      <c r="N22" s="41"/>
      <c r="O22" s="41"/>
      <c r="P22" s="41"/>
      <c r="Q22" s="41"/>
      <c r="R22" s="41"/>
      <c r="S22" s="41"/>
      <c r="T22" s="41"/>
      <c r="U22" s="41"/>
      <c r="V22" s="41"/>
      <c r="W22" s="41"/>
      <c r="X22" s="41"/>
      <c r="Y22" s="41"/>
      <c r="Z22" s="41"/>
    </row>
    <row r="23" ht="19.5" customHeight="1">
      <c r="A23" s="41"/>
      <c r="B23" s="84" t="s">
        <v>3262</v>
      </c>
      <c r="C23" s="210" t="str">
        <f>IF(mgmt_dpg_reuse_result="Included",CONCATENATE(prefix_mgmt_az1_cidr,"10.127"),CONCATENATE(prefix_mgmt_az1_cidr,"11.127"))</f>
        <v>10.21.10.127</v>
      </c>
      <c r="D23" s="18"/>
      <c r="E23" s="18"/>
      <c r="F23" s="41"/>
      <c r="G23" s="41"/>
      <c r="H23" s="41"/>
      <c r="I23" s="41"/>
      <c r="J23" s="41"/>
      <c r="K23" s="41"/>
      <c r="L23" s="41"/>
      <c r="M23" s="41"/>
      <c r="N23" s="41"/>
      <c r="O23" s="41"/>
      <c r="P23" s="41"/>
      <c r="Q23" s="41"/>
      <c r="R23" s="41"/>
      <c r="S23" s="41"/>
      <c r="T23" s="41"/>
      <c r="U23" s="41"/>
      <c r="V23" s="41"/>
      <c r="W23" s="41"/>
      <c r="X23" s="41"/>
      <c r="Y23" s="41"/>
      <c r="Z23" s="41"/>
    </row>
    <row r="24" ht="19.5" customHeight="1">
      <c r="A24" s="41"/>
      <c r="B24" s="84" t="s">
        <v>3603</v>
      </c>
      <c r="C24" s="110">
        <v>24.0</v>
      </c>
      <c r="D24" s="18"/>
      <c r="E24" s="18"/>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1"/>
      <c r="D25" s="1"/>
      <c r="E25" s="1"/>
      <c r="F25" s="41"/>
      <c r="G25" s="41"/>
      <c r="H25" s="41"/>
      <c r="I25" s="41"/>
      <c r="J25" s="41"/>
      <c r="K25" s="41"/>
      <c r="L25" s="41"/>
      <c r="M25" s="41"/>
      <c r="N25" s="41"/>
      <c r="O25" s="41"/>
      <c r="P25" s="41"/>
      <c r="Q25" s="41"/>
      <c r="R25" s="41"/>
      <c r="S25" s="41"/>
      <c r="T25" s="41"/>
      <c r="U25" s="41"/>
      <c r="V25" s="41"/>
      <c r="W25" s="41"/>
      <c r="X25" s="41"/>
      <c r="Y25" s="41"/>
      <c r="Z25" s="41"/>
    </row>
    <row r="26" ht="31.5" customHeight="1">
      <c r="A26" s="41"/>
      <c r="B26" s="184" t="s">
        <v>3604</v>
      </c>
      <c r="C26" s="13"/>
      <c r="D26" s="13"/>
      <c r="E26" s="14"/>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17"/>
      <c r="C27" s="13"/>
      <c r="D27" s="13"/>
      <c r="E27" s="14"/>
      <c r="F27" s="41"/>
      <c r="G27" s="41"/>
      <c r="H27" s="41"/>
      <c r="I27" s="41"/>
      <c r="J27" s="41"/>
      <c r="K27" s="41"/>
      <c r="L27" s="41"/>
      <c r="M27" s="41"/>
      <c r="N27" s="41"/>
      <c r="O27" s="41"/>
      <c r="P27" s="41"/>
      <c r="Q27" s="41"/>
      <c r="R27" s="41"/>
      <c r="S27" s="41"/>
      <c r="T27" s="41"/>
      <c r="U27" s="41"/>
      <c r="V27" s="41"/>
      <c r="W27" s="41"/>
      <c r="X27" s="41"/>
      <c r="Y27" s="41"/>
      <c r="Z27" s="41"/>
    </row>
    <row r="28" ht="19.5" customHeight="1">
      <c r="A28" s="41"/>
      <c r="B28" s="49" t="s">
        <v>37</v>
      </c>
      <c r="C28" s="49" t="s">
        <v>273</v>
      </c>
      <c r="D28" s="49" t="s">
        <v>274</v>
      </c>
      <c r="E28" s="49" t="s">
        <v>5</v>
      </c>
      <c r="F28" s="41"/>
      <c r="G28" s="41"/>
      <c r="H28" s="41"/>
      <c r="I28" s="41"/>
      <c r="J28" s="41"/>
      <c r="K28" s="41"/>
      <c r="L28" s="41"/>
      <c r="M28" s="41"/>
      <c r="N28" s="41"/>
      <c r="O28" s="41"/>
      <c r="P28" s="41"/>
      <c r="Q28" s="41"/>
      <c r="R28" s="41"/>
      <c r="S28" s="41"/>
      <c r="T28" s="41"/>
      <c r="U28" s="41"/>
      <c r="V28" s="41"/>
      <c r="W28" s="41"/>
      <c r="X28" s="41"/>
      <c r="Y28" s="41"/>
      <c r="Z28" s="41"/>
    </row>
    <row r="29" ht="19.5" customHeight="1">
      <c r="A29" s="41"/>
      <c r="B29" s="84" t="s">
        <v>3448</v>
      </c>
      <c r="C29" s="111" t="str">
        <f>CONCATENATE(sample_wld_vlr_fqdn,":5480")</f>
        <v>lax-w01-vlr01.lax.rainpole.io:5480</v>
      </c>
      <c r="D29" s="18" t="str">
        <f>CONCATENATE(wld_vlr_fqdn,":5480")</f>
        <v>Value Missing.Value Missing:5480</v>
      </c>
      <c r="E29" s="18"/>
      <c r="F29" s="41"/>
      <c r="G29" s="41"/>
      <c r="H29" s="41"/>
      <c r="I29" s="41"/>
      <c r="J29" s="41"/>
      <c r="K29" s="41"/>
      <c r="L29" s="41"/>
      <c r="M29" s="41"/>
      <c r="N29" s="41"/>
      <c r="O29" s="41"/>
      <c r="P29" s="41"/>
      <c r="Q29" s="41"/>
      <c r="R29" s="41"/>
      <c r="S29" s="41"/>
      <c r="T29" s="41"/>
      <c r="U29" s="41"/>
      <c r="V29" s="41"/>
      <c r="W29" s="41"/>
      <c r="X29" s="41"/>
      <c r="Y29" s="41"/>
      <c r="Z29" s="41"/>
    </row>
    <row r="30" ht="19.5" customHeight="1">
      <c r="A30" s="41"/>
      <c r="B30" s="84" t="s">
        <v>556</v>
      </c>
      <c r="C30" s="110" t="s">
        <v>74</v>
      </c>
      <c r="D30" s="18"/>
      <c r="E30" s="18"/>
      <c r="F30" s="41"/>
      <c r="G30" s="41"/>
      <c r="H30" s="41"/>
      <c r="I30" s="41"/>
      <c r="J30" s="41"/>
      <c r="K30" s="41"/>
      <c r="L30" s="41"/>
      <c r="M30" s="41"/>
      <c r="N30" s="41"/>
      <c r="O30" s="41"/>
      <c r="P30" s="41"/>
      <c r="Q30" s="41"/>
      <c r="R30" s="41"/>
      <c r="S30" s="41"/>
      <c r="T30" s="41"/>
      <c r="U30" s="41"/>
      <c r="V30" s="41"/>
      <c r="W30" s="41"/>
      <c r="X30" s="41"/>
      <c r="Y30" s="41"/>
      <c r="Z30" s="41"/>
    </row>
    <row r="31" ht="19.5" customHeight="1">
      <c r="A31" s="41"/>
      <c r="B31" s="84" t="s">
        <v>3437</v>
      </c>
      <c r="C31" s="110" t="s">
        <v>558</v>
      </c>
      <c r="D31" s="18"/>
      <c r="E31" s="18"/>
      <c r="F31" s="41"/>
      <c r="G31" s="41"/>
      <c r="H31" s="41"/>
      <c r="I31" s="41"/>
      <c r="J31" s="41"/>
      <c r="K31" s="41"/>
      <c r="L31" s="41"/>
      <c r="M31" s="41"/>
      <c r="N31" s="41"/>
      <c r="O31" s="41"/>
      <c r="P31" s="41"/>
      <c r="Q31" s="41"/>
      <c r="R31" s="41"/>
      <c r="S31" s="41"/>
      <c r="T31" s="41"/>
      <c r="U31" s="41"/>
      <c r="V31" s="41"/>
      <c r="W31" s="41"/>
      <c r="X31" s="41"/>
      <c r="Y31" s="41"/>
      <c r="Z31" s="41"/>
    </row>
    <row r="32" ht="19.5" customHeight="1">
      <c r="A32" s="41"/>
      <c r="B32" s="84" t="s">
        <v>563</v>
      </c>
      <c r="C32" s="110" t="str">
        <f>IF(mgmt_domain_chosen="First Instance","San Francisco","Los Angeles ")</f>
        <v>Los Angeles </v>
      </c>
      <c r="D32" s="18"/>
      <c r="E32" s="18"/>
      <c r="F32" s="41"/>
      <c r="G32" s="41"/>
      <c r="H32" s="41"/>
      <c r="I32" s="41"/>
      <c r="J32" s="41"/>
      <c r="K32" s="41"/>
      <c r="L32" s="41"/>
      <c r="M32" s="41"/>
      <c r="N32" s="41"/>
      <c r="O32" s="41"/>
      <c r="P32" s="41"/>
      <c r="Q32" s="41"/>
      <c r="R32" s="41"/>
      <c r="S32" s="41"/>
      <c r="T32" s="41"/>
      <c r="U32" s="41"/>
      <c r="V32" s="41"/>
      <c r="W32" s="41"/>
      <c r="X32" s="41"/>
      <c r="Y32" s="41"/>
      <c r="Z32" s="41"/>
    </row>
    <row r="33" ht="19.5" customHeight="1">
      <c r="A33" s="41"/>
      <c r="B33" s="84" t="s">
        <v>561</v>
      </c>
      <c r="C33" s="210" t="s">
        <v>562</v>
      </c>
      <c r="D33" s="18"/>
      <c r="E33" s="18"/>
      <c r="F33" s="41"/>
      <c r="G33" s="41"/>
      <c r="H33" s="41"/>
      <c r="I33" s="41"/>
      <c r="J33" s="41"/>
      <c r="K33" s="41"/>
      <c r="L33" s="41"/>
      <c r="M33" s="41"/>
      <c r="N33" s="41"/>
      <c r="O33" s="41"/>
      <c r="P33" s="41"/>
      <c r="Q33" s="41"/>
      <c r="R33" s="41"/>
      <c r="S33" s="41"/>
      <c r="T33" s="41"/>
      <c r="U33" s="41"/>
      <c r="V33" s="41"/>
      <c r="W33" s="41"/>
      <c r="X33" s="41"/>
      <c r="Y33" s="41"/>
      <c r="Z33" s="41"/>
    </row>
    <row r="34" ht="19.5" customHeight="1">
      <c r="A34" s="41"/>
      <c r="B34" s="84" t="s">
        <v>559</v>
      </c>
      <c r="C34" s="110" t="s">
        <v>560</v>
      </c>
      <c r="D34" s="18"/>
      <c r="E34" s="18"/>
      <c r="F34" s="41"/>
      <c r="G34" s="41"/>
      <c r="H34" s="41"/>
      <c r="I34" s="41"/>
      <c r="J34" s="41"/>
      <c r="K34" s="41"/>
      <c r="L34" s="41"/>
      <c r="M34" s="41"/>
      <c r="N34" s="41"/>
      <c r="O34" s="41"/>
      <c r="P34" s="41"/>
      <c r="Q34" s="41"/>
      <c r="R34" s="41"/>
      <c r="S34" s="41"/>
      <c r="T34" s="41"/>
      <c r="U34" s="41"/>
      <c r="V34" s="41"/>
      <c r="W34" s="41"/>
      <c r="X34" s="41"/>
      <c r="Y34" s="41"/>
      <c r="Z34" s="41"/>
    </row>
    <row r="35" ht="19.5" customHeight="1">
      <c r="A35" s="41"/>
      <c r="B35" s="84" t="s">
        <v>537</v>
      </c>
      <c r="C35" s="111" t="str">
        <f>sample_wld_vlr_fqdn</f>
        <v>lax-w01-vlr01.lax.rainpole.io</v>
      </c>
      <c r="D35" s="18"/>
      <c r="E35" s="18"/>
      <c r="F35" s="41"/>
      <c r="G35" s="41"/>
      <c r="H35" s="41"/>
      <c r="I35" s="41"/>
      <c r="J35" s="41"/>
      <c r="K35" s="41"/>
      <c r="L35" s="41"/>
      <c r="M35" s="41"/>
      <c r="N35" s="41"/>
      <c r="O35" s="41"/>
      <c r="P35" s="41"/>
      <c r="Q35" s="41"/>
      <c r="R35" s="41"/>
      <c r="S35" s="41"/>
      <c r="T35" s="41"/>
      <c r="U35" s="41"/>
      <c r="V35" s="41"/>
      <c r="W35" s="41"/>
      <c r="X35" s="41"/>
      <c r="Y35" s="41"/>
      <c r="Z35" s="41"/>
    </row>
    <row r="36" ht="19.5" customHeight="1">
      <c r="A36" s="41"/>
      <c r="B36" s="84" t="s">
        <v>3438</v>
      </c>
      <c r="C36" s="110" t="str">
        <f>sample_wld_vlr_mgmt_ip</f>
        <v>10.21.10.127</v>
      </c>
      <c r="D36" s="18"/>
      <c r="E36" s="18"/>
      <c r="F36" s="41"/>
      <c r="G36" s="41"/>
      <c r="H36" s="41"/>
      <c r="I36" s="41"/>
      <c r="J36" s="41"/>
      <c r="K36" s="41"/>
      <c r="L36" s="41"/>
      <c r="M36" s="41"/>
      <c r="N36" s="41"/>
      <c r="O36" s="41"/>
      <c r="P36" s="41"/>
      <c r="Q36" s="41"/>
      <c r="R36" s="41"/>
      <c r="S36" s="41"/>
      <c r="T36" s="41"/>
      <c r="U36" s="41"/>
      <c r="V36" s="41"/>
      <c r="W36" s="41"/>
      <c r="X36" s="41"/>
      <c r="Y36" s="41"/>
      <c r="Z36" s="41"/>
    </row>
    <row r="37" ht="19.5" customHeight="1">
      <c r="A37" s="41"/>
      <c r="B37" s="84" t="s">
        <v>3439</v>
      </c>
      <c r="C37" s="110" t="s">
        <v>3440</v>
      </c>
      <c r="D37" s="18"/>
      <c r="E37" s="18"/>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1"/>
      <c r="D38" s="1"/>
      <c r="E38" s="1"/>
      <c r="F38" s="41"/>
      <c r="G38" s="41"/>
      <c r="H38" s="41"/>
      <c r="I38" s="41"/>
      <c r="J38" s="41"/>
      <c r="K38" s="41"/>
      <c r="L38" s="41"/>
      <c r="M38" s="41"/>
      <c r="N38" s="41"/>
      <c r="O38" s="41"/>
      <c r="P38" s="41"/>
      <c r="Q38" s="41"/>
      <c r="R38" s="41"/>
      <c r="S38" s="41"/>
      <c r="T38" s="41"/>
      <c r="U38" s="41"/>
      <c r="V38" s="41"/>
      <c r="W38" s="41"/>
      <c r="X38" s="41"/>
      <c r="Y38" s="41"/>
      <c r="Z38" s="41"/>
    </row>
    <row r="39" ht="31.5" customHeight="1">
      <c r="A39" s="41"/>
      <c r="B39" s="184" t="s">
        <v>3605</v>
      </c>
      <c r="C39" s="13"/>
      <c r="D39" s="13"/>
      <c r="E39" s="14"/>
      <c r="F39" s="41"/>
      <c r="G39" s="41"/>
      <c r="H39" s="41"/>
      <c r="I39" s="41"/>
      <c r="J39" s="41"/>
      <c r="K39" s="41"/>
      <c r="L39" s="41"/>
      <c r="M39" s="41"/>
      <c r="N39" s="41"/>
      <c r="O39" s="41"/>
      <c r="P39" s="41"/>
      <c r="Q39" s="41"/>
      <c r="R39" s="41"/>
      <c r="S39" s="41"/>
      <c r="T39" s="41"/>
      <c r="U39" s="41"/>
      <c r="V39" s="41"/>
      <c r="W39" s="41"/>
      <c r="X39" s="41"/>
      <c r="Y39" s="41"/>
      <c r="Z39" s="41"/>
    </row>
    <row r="40" ht="19.5" customHeight="1">
      <c r="A40" s="41"/>
      <c r="B40" s="17"/>
      <c r="C40" s="13"/>
      <c r="D40" s="13"/>
      <c r="E40" s="14"/>
      <c r="F40" s="41"/>
      <c r="G40" s="41"/>
      <c r="H40" s="41"/>
      <c r="I40" s="41"/>
      <c r="J40" s="41"/>
      <c r="K40" s="41"/>
      <c r="L40" s="41"/>
      <c r="M40" s="41"/>
      <c r="N40" s="41"/>
      <c r="O40" s="41"/>
      <c r="P40" s="41"/>
      <c r="Q40" s="41"/>
      <c r="R40" s="41"/>
      <c r="S40" s="41"/>
      <c r="T40" s="41"/>
      <c r="U40" s="41"/>
      <c r="V40" s="41"/>
      <c r="W40" s="41"/>
      <c r="X40" s="41"/>
      <c r="Y40" s="41"/>
      <c r="Z40" s="41"/>
    </row>
    <row r="41" ht="19.5" customHeight="1">
      <c r="A41" s="41"/>
      <c r="B41" s="49" t="s">
        <v>37</v>
      </c>
      <c r="C41" s="49" t="s">
        <v>273</v>
      </c>
      <c r="D41" s="49" t="s">
        <v>274</v>
      </c>
      <c r="E41" s="49" t="s">
        <v>5</v>
      </c>
      <c r="F41" s="41"/>
      <c r="G41" s="41"/>
      <c r="H41" s="41"/>
      <c r="I41" s="41"/>
      <c r="J41" s="41"/>
      <c r="K41" s="41"/>
      <c r="L41" s="41"/>
      <c r="M41" s="41"/>
      <c r="N41" s="41"/>
      <c r="O41" s="41"/>
      <c r="P41" s="41"/>
      <c r="Q41" s="41"/>
      <c r="R41" s="41"/>
      <c r="S41" s="41"/>
      <c r="T41" s="41"/>
      <c r="U41" s="41"/>
      <c r="V41" s="41"/>
      <c r="W41" s="41"/>
      <c r="X41" s="41"/>
      <c r="Y41" s="41"/>
      <c r="Z41" s="41"/>
    </row>
    <row r="42" ht="19.5" customHeight="1">
      <c r="A42" s="41"/>
      <c r="B42" s="84" t="s">
        <v>3442</v>
      </c>
      <c r="C42" s="111" t="str">
        <f>CONCATENATE(this_instance,"-w01-vc01.",sample_child_dns_zone)</f>
        <v>lax-w01-vc01.lax.rainpole.io</v>
      </c>
      <c r="D42" s="18"/>
      <c r="E42" s="18"/>
      <c r="F42" s="41"/>
      <c r="G42" s="41"/>
      <c r="H42" s="41"/>
      <c r="I42" s="41"/>
      <c r="J42" s="41"/>
      <c r="K42" s="41"/>
      <c r="L42" s="41"/>
      <c r="M42" s="41"/>
      <c r="N42" s="41"/>
      <c r="O42" s="41"/>
      <c r="P42" s="41"/>
      <c r="Q42" s="41"/>
      <c r="R42" s="41"/>
      <c r="S42" s="41"/>
      <c r="T42" s="41"/>
      <c r="U42" s="41"/>
      <c r="V42" s="41"/>
      <c r="W42" s="41"/>
      <c r="X42" s="41"/>
      <c r="Y42" s="41"/>
      <c r="Z42" s="41"/>
    </row>
    <row r="43" ht="19.5" customHeight="1">
      <c r="A43" s="41"/>
      <c r="B43" s="84" t="s">
        <v>200</v>
      </c>
      <c r="C43" s="110" t="str">
        <f>CONCATENATE(this_instance,"-w0",wld_domain_number_chosen,".local")</f>
        <v>lax-w01.local</v>
      </c>
      <c r="D43" s="18"/>
      <c r="E43" s="18"/>
      <c r="F43" s="41"/>
      <c r="G43" s="41"/>
      <c r="H43" s="41"/>
      <c r="I43" s="41"/>
      <c r="J43" s="41"/>
      <c r="K43" s="41"/>
      <c r="L43" s="41"/>
      <c r="M43" s="41"/>
      <c r="N43" s="41"/>
      <c r="O43" s="41"/>
      <c r="P43" s="41"/>
      <c r="Q43" s="41"/>
      <c r="R43" s="41"/>
      <c r="S43" s="41"/>
      <c r="T43" s="41"/>
      <c r="U43" s="41"/>
      <c r="V43" s="41"/>
      <c r="W43" s="41"/>
      <c r="X43" s="41"/>
      <c r="Y43" s="41"/>
      <c r="Z43" s="41"/>
    </row>
    <row r="44" ht="19.5" customHeight="1">
      <c r="A44" s="41"/>
      <c r="B44" s="84" t="s">
        <v>3443</v>
      </c>
      <c r="C44" s="110" t="str">
        <f>CONCATENATE("svc_",sample_wld_vlr_hostname,"_",CONCATENATE(this_instance,"-w01","-vc01"))</f>
        <v>svc_lax-w01-vlr01_lax-w01-vc01</v>
      </c>
      <c r="D44" s="18"/>
      <c r="E44" s="18"/>
      <c r="F44" s="41"/>
      <c r="G44" s="41"/>
      <c r="H44" s="41"/>
      <c r="I44" s="41"/>
      <c r="J44" s="41"/>
      <c r="K44" s="41"/>
      <c r="L44" s="41"/>
      <c r="M44" s="41"/>
      <c r="N44" s="41"/>
      <c r="O44" s="41"/>
      <c r="P44" s="41"/>
      <c r="Q44" s="41"/>
      <c r="R44" s="41"/>
      <c r="S44" s="41"/>
      <c r="T44" s="41"/>
      <c r="U44" s="41"/>
      <c r="V44" s="41"/>
      <c r="W44" s="41"/>
      <c r="X44" s="41"/>
      <c r="Y44" s="41"/>
      <c r="Z44" s="41"/>
    </row>
    <row r="45" ht="19.5" customHeight="1">
      <c r="A45" s="41"/>
      <c r="B45" s="84" t="s">
        <v>3444</v>
      </c>
      <c r="C45" s="110" t="s">
        <v>297</v>
      </c>
      <c r="D45" s="18"/>
      <c r="E45" s="18"/>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1"/>
      <c r="D46" s="1"/>
      <c r="E46" s="1"/>
      <c r="F46" s="41"/>
      <c r="G46" s="41"/>
      <c r="H46" s="41"/>
      <c r="I46" s="41"/>
      <c r="J46" s="41"/>
      <c r="K46" s="41"/>
      <c r="L46" s="41"/>
      <c r="M46" s="41"/>
      <c r="N46" s="41"/>
      <c r="O46" s="41"/>
      <c r="P46" s="41"/>
      <c r="Q46" s="41"/>
      <c r="R46" s="41"/>
      <c r="S46" s="41"/>
      <c r="T46" s="41"/>
      <c r="U46" s="41"/>
      <c r="V46" s="41"/>
      <c r="W46" s="41"/>
      <c r="X46" s="41"/>
      <c r="Y46" s="41"/>
      <c r="Z46" s="41"/>
    </row>
    <row r="47" ht="31.5" customHeight="1">
      <c r="A47" s="41"/>
      <c r="B47" s="184" t="s">
        <v>3606</v>
      </c>
      <c r="C47" s="13"/>
      <c r="D47" s="13"/>
      <c r="E47" s="14"/>
      <c r="F47" s="41"/>
      <c r="G47" s="41"/>
      <c r="H47" s="41"/>
      <c r="I47" s="41"/>
      <c r="J47" s="41"/>
      <c r="K47" s="41"/>
      <c r="L47" s="41"/>
      <c r="M47" s="41"/>
      <c r="N47" s="41"/>
      <c r="O47" s="41"/>
      <c r="P47" s="41"/>
      <c r="Q47" s="41"/>
      <c r="R47" s="41"/>
      <c r="S47" s="41"/>
      <c r="T47" s="41"/>
      <c r="U47" s="41"/>
      <c r="V47" s="41"/>
      <c r="W47" s="41"/>
      <c r="X47" s="41"/>
      <c r="Y47" s="41"/>
      <c r="Z47" s="41"/>
    </row>
    <row r="48" ht="19.5" customHeight="1">
      <c r="A48" s="41"/>
      <c r="B48" s="17"/>
      <c r="C48" s="13"/>
      <c r="D48" s="13"/>
      <c r="E48" s="14"/>
      <c r="F48" s="41"/>
      <c r="G48" s="41"/>
      <c r="H48" s="41"/>
      <c r="I48" s="41"/>
      <c r="J48" s="41"/>
      <c r="K48" s="41"/>
      <c r="L48" s="41"/>
      <c r="M48" s="41"/>
      <c r="N48" s="41"/>
      <c r="O48" s="41"/>
      <c r="P48" s="41"/>
      <c r="Q48" s="41"/>
      <c r="R48" s="41"/>
      <c r="S48" s="41"/>
      <c r="T48" s="41"/>
      <c r="U48" s="41"/>
      <c r="V48" s="41"/>
      <c r="W48" s="41"/>
      <c r="X48" s="41"/>
      <c r="Y48" s="41"/>
      <c r="Z48" s="41"/>
    </row>
    <row r="49" ht="19.5" customHeight="1">
      <c r="A49" s="41"/>
      <c r="B49" s="49" t="s">
        <v>37</v>
      </c>
      <c r="C49" s="49" t="s">
        <v>273</v>
      </c>
      <c r="D49" s="49" t="s">
        <v>274</v>
      </c>
      <c r="E49" s="49" t="s">
        <v>5</v>
      </c>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170" t="s">
        <v>3442</v>
      </c>
      <c r="C50" s="111" t="str">
        <f>sample_wld_rwr_vc_fqdn</f>
        <v>lax-w01-vc01.lax.rainpole.io</v>
      </c>
      <c r="D50" s="18" t="str">
        <f>wld_rwr_vc_fqdn</f>
        <v>Value Missing</v>
      </c>
      <c r="E50" s="18"/>
      <c r="F50" s="41"/>
      <c r="G50" s="41"/>
      <c r="H50" s="41"/>
      <c r="I50" s="41"/>
      <c r="J50" s="41"/>
      <c r="K50" s="41"/>
      <c r="L50" s="41"/>
      <c r="M50" s="41"/>
      <c r="N50" s="41"/>
      <c r="O50" s="41"/>
      <c r="P50" s="41"/>
      <c r="Q50" s="41"/>
      <c r="R50" s="41"/>
      <c r="S50" s="41"/>
      <c r="T50" s="41"/>
      <c r="U50" s="41"/>
      <c r="V50" s="41"/>
      <c r="W50" s="41"/>
      <c r="X50" s="41"/>
      <c r="Y50" s="41"/>
      <c r="Z50" s="41"/>
    </row>
    <row r="51" ht="19.5" customHeight="1">
      <c r="A51" s="41"/>
      <c r="B51" s="170" t="s">
        <v>200</v>
      </c>
      <c r="C51" s="110" t="str">
        <f>sample_wld_sso_domain_name</f>
        <v>lax-w01.local</v>
      </c>
      <c r="D51" s="18" t="str">
        <f>wld_sso_domain_name</f>
        <v>Value Missing</v>
      </c>
      <c r="E51" s="18"/>
      <c r="F51" s="41"/>
      <c r="G51" s="41"/>
      <c r="H51" s="41"/>
      <c r="I51" s="41"/>
      <c r="J51" s="41"/>
      <c r="K51" s="41"/>
      <c r="L51" s="41"/>
      <c r="M51" s="41"/>
      <c r="N51" s="41"/>
      <c r="O51" s="41"/>
      <c r="P51" s="41"/>
      <c r="Q51" s="41"/>
      <c r="R51" s="41"/>
      <c r="S51" s="41"/>
      <c r="T51" s="41"/>
      <c r="U51" s="41"/>
      <c r="V51" s="41"/>
      <c r="W51" s="41"/>
      <c r="X51" s="41"/>
      <c r="Y51" s="41"/>
      <c r="Z51" s="41"/>
    </row>
    <row r="52" ht="19.5" customHeight="1">
      <c r="A52" s="41"/>
      <c r="B52" s="170" t="s">
        <v>539</v>
      </c>
      <c r="C52" s="110" t="str">
        <f>sample_wld_vlr_replication_user</f>
        <v>svc_lax-w01-vlr01_lax-w01-vc01</v>
      </c>
      <c r="D52" s="18" t="str">
        <f>wld_vlr_replication_user</f>
        <v>Value Missing</v>
      </c>
      <c r="E52" s="18"/>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388"/>
      <c r="C53" s="1"/>
      <c r="D53" s="1"/>
      <c r="E53" s="1"/>
      <c r="F53" s="41"/>
      <c r="G53" s="41"/>
      <c r="H53" s="41"/>
      <c r="I53" s="41"/>
      <c r="J53" s="41"/>
      <c r="K53" s="41"/>
      <c r="L53" s="41"/>
      <c r="M53" s="41"/>
      <c r="N53" s="41"/>
      <c r="O53" s="41"/>
      <c r="P53" s="41"/>
      <c r="Q53" s="41"/>
      <c r="R53" s="41"/>
      <c r="S53" s="41"/>
      <c r="T53" s="41"/>
      <c r="U53" s="41"/>
      <c r="V53" s="41"/>
      <c r="W53" s="41"/>
      <c r="X53" s="41"/>
      <c r="Y53" s="41"/>
      <c r="Z53" s="41"/>
    </row>
    <row r="54" ht="31.5" customHeight="1">
      <c r="A54" s="41"/>
      <c r="B54" s="184" t="s">
        <v>3607</v>
      </c>
      <c r="C54" s="13"/>
      <c r="D54" s="13"/>
      <c r="E54" s="14"/>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17"/>
      <c r="C55" s="13"/>
      <c r="D55" s="13"/>
      <c r="E55" s="14"/>
      <c r="F55" s="41"/>
      <c r="G55" s="41"/>
      <c r="H55" s="41"/>
      <c r="I55" s="41"/>
      <c r="J55" s="41"/>
      <c r="K55" s="41"/>
      <c r="L55" s="41"/>
      <c r="M55" s="41"/>
      <c r="N55" s="41"/>
      <c r="O55" s="41"/>
      <c r="P55" s="41"/>
      <c r="Q55" s="41"/>
      <c r="R55" s="41"/>
      <c r="S55" s="41"/>
      <c r="T55" s="41"/>
      <c r="U55" s="41"/>
      <c r="V55" s="41"/>
      <c r="W55" s="41"/>
      <c r="X55" s="41"/>
      <c r="Y55" s="41"/>
      <c r="Z55" s="41"/>
    </row>
    <row r="56" ht="19.5" customHeight="1">
      <c r="A56" s="41"/>
      <c r="B56" s="49" t="s">
        <v>37</v>
      </c>
      <c r="C56" s="49" t="s">
        <v>273</v>
      </c>
      <c r="D56" s="49" t="s">
        <v>274</v>
      </c>
      <c r="E56" s="49" t="s">
        <v>5</v>
      </c>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84" t="s">
        <v>3448</v>
      </c>
      <c r="C57" s="111" t="str">
        <f>CONCATENATE(sample_wld_vlr_fqdn,":5480")</f>
        <v>lax-w01-vlr01.lax.rainpole.io:5480</v>
      </c>
      <c r="D57" s="18" t="str">
        <f>CONCATENATE(wld_vlr_fqdn,":5480")</f>
        <v>Value Missing.Value Missing:5480</v>
      </c>
      <c r="E57" s="18"/>
      <c r="F57" s="41"/>
      <c r="G57" s="41"/>
      <c r="H57" s="41"/>
      <c r="I57" s="41"/>
      <c r="J57" s="41"/>
      <c r="K57" s="41"/>
      <c r="L57" s="41"/>
      <c r="M57" s="41"/>
      <c r="N57" s="41"/>
      <c r="O57" s="41"/>
      <c r="P57" s="41"/>
      <c r="Q57" s="41"/>
      <c r="R57" s="41"/>
      <c r="S57" s="41"/>
      <c r="T57" s="41"/>
      <c r="U57" s="41"/>
      <c r="V57" s="41"/>
      <c r="W57" s="41"/>
      <c r="X57" s="41"/>
      <c r="Y57" s="41"/>
      <c r="Z57" s="41"/>
    </row>
    <row r="58" ht="19.5" customHeight="1">
      <c r="A58" s="41"/>
      <c r="B58" s="84" t="s">
        <v>3268</v>
      </c>
      <c r="C58" s="111" t="str">
        <f>sample_wld_rwr_vc_fqdn</f>
        <v>lax-w01-vc01.lax.rainpole.io</v>
      </c>
      <c r="D58" s="18" t="str">
        <f>wld_rwr_vc_fqdn</f>
        <v>Value Missing</v>
      </c>
      <c r="E58" s="18"/>
      <c r="F58" s="41"/>
      <c r="G58" s="41"/>
      <c r="H58" s="41"/>
      <c r="I58" s="41"/>
      <c r="J58" s="41"/>
      <c r="K58" s="41"/>
      <c r="L58" s="41"/>
      <c r="M58" s="41"/>
      <c r="N58" s="41"/>
      <c r="O58" s="41"/>
      <c r="P58" s="41"/>
      <c r="Q58" s="41"/>
      <c r="R58" s="41"/>
      <c r="S58" s="41"/>
      <c r="T58" s="41"/>
      <c r="U58" s="41"/>
      <c r="V58" s="41"/>
      <c r="W58" s="41"/>
      <c r="X58" s="41"/>
      <c r="Y58" s="41"/>
      <c r="Z58" s="41"/>
    </row>
    <row r="59" ht="19.5" customHeight="1">
      <c r="A59" s="41"/>
      <c r="B59" s="84" t="s">
        <v>575</v>
      </c>
      <c r="C59" s="110" t="str">
        <f>CONCATENATE(sample_wld_vlr_replication_user,"@",sample_rwr_sso_domain_name)</f>
        <v>svc_lax-w01-vlr01_lax-w01-vc01@lax-w01.local</v>
      </c>
      <c r="D59" s="18" t="str">
        <f t="array" ref="D59">CONCATENATE(wld_vlr_replication_user,"@",rwr_sso_domain_name)</f>
        <v>Value Missing@Value Missing</v>
      </c>
      <c r="E59" s="18"/>
      <c r="F59" s="41"/>
      <c r="G59" s="41"/>
      <c r="H59" s="41"/>
      <c r="I59" s="41"/>
      <c r="J59" s="41"/>
      <c r="K59" s="41"/>
      <c r="L59" s="41"/>
      <c r="M59" s="41"/>
      <c r="N59" s="41"/>
      <c r="O59" s="41"/>
      <c r="P59" s="41"/>
      <c r="Q59" s="41"/>
      <c r="R59" s="41"/>
      <c r="S59" s="41"/>
      <c r="T59" s="41"/>
      <c r="U59" s="41"/>
      <c r="V59" s="41"/>
      <c r="W59" s="41"/>
      <c r="X59" s="41"/>
      <c r="Y59" s="41"/>
      <c r="Z59" s="41"/>
    </row>
    <row r="60" ht="19.5" customHeight="1">
      <c r="A60" s="41"/>
      <c r="B60" s="84" t="s">
        <v>296</v>
      </c>
      <c r="C60" s="110" t="s">
        <v>297</v>
      </c>
      <c r="D60" s="18" t="str">
        <f>rwr_vlr_replication_password</f>
        <v>Value Missing</v>
      </c>
      <c r="E60" s="18"/>
      <c r="F60" s="41"/>
      <c r="G60" s="41"/>
      <c r="H60" s="41"/>
      <c r="I60" s="41"/>
      <c r="J60" s="41"/>
      <c r="K60" s="41"/>
      <c r="L60" s="41"/>
      <c r="M60" s="41"/>
      <c r="N60" s="41"/>
      <c r="O60" s="41"/>
      <c r="P60" s="41"/>
      <c r="Q60" s="41"/>
      <c r="R60" s="41"/>
      <c r="S60" s="41"/>
      <c r="T60" s="41"/>
      <c r="U60" s="41"/>
      <c r="V60" s="41"/>
      <c r="W60" s="41"/>
      <c r="X60" s="41"/>
      <c r="Y60" s="41"/>
      <c r="Z60" s="41"/>
    </row>
    <row r="61" ht="19.5" customHeight="1">
      <c r="A61" s="41"/>
      <c r="B61" s="84" t="s">
        <v>2081</v>
      </c>
      <c r="C61" s="111" t="str">
        <f>sample_wld_vc_fqdn</f>
        <v>lax-w01-vc01.lax.rainpole.io</v>
      </c>
      <c r="D61" s="18" t="str">
        <f>wld_rwr_vc_fqdn</f>
        <v>Value Missing</v>
      </c>
      <c r="E61" s="18"/>
      <c r="F61" s="41"/>
      <c r="G61" s="41"/>
      <c r="H61" s="41"/>
      <c r="I61" s="41"/>
      <c r="J61" s="41"/>
      <c r="K61" s="41"/>
      <c r="L61" s="41"/>
      <c r="M61" s="41"/>
      <c r="N61" s="41"/>
      <c r="O61" s="41"/>
      <c r="P61" s="41"/>
      <c r="Q61" s="41"/>
      <c r="R61" s="41"/>
      <c r="S61" s="41"/>
      <c r="T61" s="41"/>
      <c r="U61" s="41"/>
      <c r="V61" s="41"/>
      <c r="W61" s="41"/>
      <c r="X61" s="41"/>
      <c r="Y61" s="41"/>
      <c r="Z61" s="41"/>
    </row>
    <row r="62" ht="19.5" customHeight="1">
      <c r="A62" s="41"/>
      <c r="B62" s="84" t="s">
        <v>3143</v>
      </c>
      <c r="C62" s="110" t="str">
        <f>IF(mgmt_domain_chosen="First Instance","SFO-W01","LAX-W01 ")</f>
        <v>LAX-W01 </v>
      </c>
      <c r="D62" s="18"/>
      <c r="E62" s="18"/>
      <c r="F62" s="41"/>
      <c r="G62" s="41"/>
      <c r="H62" s="41"/>
      <c r="I62" s="41"/>
      <c r="J62" s="41"/>
      <c r="K62" s="41"/>
      <c r="L62" s="41"/>
      <c r="M62" s="41"/>
      <c r="N62" s="41"/>
      <c r="O62" s="41"/>
      <c r="P62" s="41"/>
      <c r="Q62" s="41"/>
      <c r="R62" s="41"/>
      <c r="S62" s="41"/>
      <c r="T62" s="41"/>
      <c r="U62" s="41"/>
      <c r="V62" s="41"/>
      <c r="W62" s="41"/>
      <c r="X62" s="41"/>
      <c r="Y62" s="41"/>
      <c r="Z62" s="41"/>
    </row>
    <row r="63" ht="19.5" customHeight="1">
      <c r="A63" s="41"/>
      <c r="B63" s="84" t="s">
        <v>3269</v>
      </c>
      <c r="C63" s="110" t="s">
        <v>3608</v>
      </c>
      <c r="D63" s="18"/>
      <c r="E63" s="18"/>
      <c r="F63" s="41"/>
      <c r="G63" s="41"/>
      <c r="H63" s="41"/>
      <c r="I63" s="41"/>
      <c r="J63" s="41"/>
      <c r="K63" s="41"/>
      <c r="L63" s="41"/>
      <c r="M63" s="41"/>
      <c r="N63" s="41"/>
      <c r="O63" s="41"/>
      <c r="P63" s="41"/>
      <c r="Q63" s="41"/>
      <c r="R63" s="41"/>
      <c r="S63" s="41"/>
      <c r="T63" s="41"/>
      <c r="U63" s="41"/>
      <c r="V63" s="41"/>
      <c r="W63" s="41"/>
      <c r="X63" s="41"/>
      <c r="Y63" s="41"/>
      <c r="Z63" s="41"/>
    </row>
    <row r="64" ht="19.5" customHeight="1">
      <c r="A64" s="41"/>
      <c r="B64" s="84" t="s">
        <v>3270</v>
      </c>
      <c r="C64" s="111" t="str">
        <f>sample_wld_vlr_fqdn</f>
        <v>lax-w01-vlr01.lax.rainpole.io</v>
      </c>
      <c r="D64" s="18" t="str">
        <f>wld_vlr_fqdn</f>
        <v>Value Missing.Value Missing</v>
      </c>
      <c r="E64" s="18"/>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1"/>
      <c r="D65" s="1"/>
      <c r="E65" s="1"/>
      <c r="F65" s="41"/>
      <c r="G65" s="41"/>
      <c r="H65" s="41"/>
      <c r="I65" s="41"/>
      <c r="J65" s="41"/>
      <c r="K65" s="41"/>
      <c r="L65" s="41"/>
      <c r="M65" s="41"/>
      <c r="N65" s="41"/>
      <c r="O65" s="41"/>
      <c r="P65" s="41"/>
      <c r="Q65" s="41"/>
      <c r="R65" s="41"/>
      <c r="S65" s="41"/>
      <c r="T65" s="41"/>
      <c r="U65" s="41"/>
      <c r="V65" s="41"/>
      <c r="W65" s="41"/>
      <c r="X65" s="41"/>
      <c r="Y65" s="41"/>
      <c r="Z65" s="41"/>
    </row>
    <row r="66" ht="31.5" customHeight="1">
      <c r="A66" s="41"/>
      <c r="B66" s="184" t="s">
        <v>3609</v>
      </c>
      <c r="C66" s="13"/>
      <c r="D66" s="13"/>
      <c r="E66" s="14"/>
      <c r="F66" s="41"/>
      <c r="G66" s="41"/>
      <c r="H66" s="41"/>
      <c r="I66" s="41"/>
      <c r="J66" s="41"/>
      <c r="K66" s="41"/>
      <c r="L66" s="41"/>
      <c r="M66" s="41"/>
      <c r="N66" s="41"/>
      <c r="O66" s="41"/>
      <c r="P66" s="41"/>
      <c r="Q66" s="41"/>
      <c r="R66" s="41"/>
      <c r="S66" s="41"/>
      <c r="T66" s="41"/>
      <c r="U66" s="41"/>
      <c r="V66" s="41"/>
      <c r="W66" s="41"/>
      <c r="X66" s="41"/>
      <c r="Y66" s="41"/>
      <c r="Z66" s="41"/>
    </row>
    <row r="67" ht="19.5" customHeight="1">
      <c r="A67" s="41"/>
      <c r="B67" s="17"/>
      <c r="C67" s="13"/>
      <c r="D67" s="13"/>
      <c r="E67" s="14"/>
      <c r="F67" s="41"/>
      <c r="G67" s="41"/>
      <c r="H67" s="41"/>
      <c r="I67" s="41"/>
      <c r="J67" s="41"/>
      <c r="K67" s="41"/>
      <c r="L67" s="41"/>
      <c r="M67" s="41"/>
      <c r="N67" s="41"/>
      <c r="O67" s="41"/>
      <c r="P67" s="41"/>
      <c r="Q67" s="41"/>
      <c r="R67" s="41"/>
      <c r="S67" s="41"/>
      <c r="T67" s="41"/>
      <c r="U67" s="41"/>
      <c r="V67" s="41"/>
      <c r="W67" s="41"/>
      <c r="X67" s="41"/>
      <c r="Y67" s="41"/>
      <c r="Z67" s="41"/>
    </row>
    <row r="68" ht="19.5" customHeight="1">
      <c r="A68" s="41"/>
      <c r="B68" s="49" t="s">
        <v>37</v>
      </c>
      <c r="C68" s="49" t="s">
        <v>273</v>
      </c>
      <c r="D68" s="49" t="s">
        <v>274</v>
      </c>
      <c r="E68" s="49" t="s">
        <v>5</v>
      </c>
      <c r="F68" s="41"/>
      <c r="G68" s="41"/>
      <c r="H68" s="41"/>
      <c r="I68" s="41"/>
      <c r="J68" s="41"/>
      <c r="K68" s="41"/>
      <c r="L68" s="41"/>
      <c r="M68" s="41"/>
      <c r="N68" s="41"/>
      <c r="O68" s="41"/>
      <c r="P68" s="41"/>
      <c r="Q68" s="41"/>
      <c r="R68" s="41"/>
      <c r="S68" s="41"/>
      <c r="T68" s="41"/>
      <c r="U68" s="41"/>
      <c r="V68" s="41"/>
      <c r="W68" s="41"/>
      <c r="X68" s="41"/>
      <c r="Y68" s="41"/>
      <c r="Z68" s="41"/>
    </row>
    <row r="69" ht="19.5" customHeight="1">
      <c r="A69" s="41"/>
      <c r="B69" s="84" t="s">
        <v>3442</v>
      </c>
      <c r="C69" s="111" t="str">
        <f>sample_wld_rwr_vc_fqdn</f>
        <v>lax-w01-vc01.lax.rainpole.io</v>
      </c>
      <c r="D69" s="18" t="str">
        <f>wld_rwr_vc_fqdn</f>
        <v>Value Missing</v>
      </c>
      <c r="E69" s="18"/>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84" t="s">
        <v>3272</v>
      </c>
      <c r="C70" s="110" t="str">
        <f>IF(mgmt_domain_chosen="First Instance",CONCAT(this_instance,"-w01","-cl01","-vds01"),CONCAT(this_instance,"-w01","-cl01","-vds01"))</f>
        <v>#N/A</v>
      </c>
      <c r="D70" s="18"/>
      <c r="E70" s="18" t="str">
        <f>IF(mgmt_domain_chosen="First Instance","","vSAN Storage Cluster")</f>
        <v>vSAN Storage Cluster</v>
      </c>
      <c r="F70" s="41"/>
      <c r="G70" s="41"/>
      <c r="H70" s="41"/>
      <c r="I70" s="41"/>
      <c r="J70" s="41"/>
      <c r="K70" s="41"/>
      <c r="L70" s="41"/>
      <c r="M70" s="41"/>
      <c r="N70" s="41"/>
      <c r="O70" s="41"/>
      <c r="P70" s="41"/>
      <c r="Q70" s="41"/>
      <c r="R70" s="41"/>
      <c r="S70" s="41"/>
      <c r="T70" s="41"/>
      <c r="U70" s="41"/>
      <c r="V70" s="41"/>
      <c r="W70" s="41"/>
      <c r="X70" s="41"/>
      <c r="Y70" s="41"/>
      <c r="Z70" s="41"/>
    </row>
    <row r="71" ht="19.5" customHeight="1">
      <c r="A71" s="41"/>
      <c r="B71" s="84" t="s">
        <v>256</v>
      </c>
      <c r="C71" s="110" t="str">
        <f>CONCATENATE(sample_wld_rwr_cl02_vds01,"-pg-vrms")</f>
        <v>#N/A</v>
      </c>
      <c r="D71" s="18"/>
      <c r="E71" s="18" t="str">
        <f>IF(mgmt_domain_chosen="First Instance","","vSAN Storage Cluster")</f>
        <v>vSAN Storage Cluster</v>
      </c>
      <c r="F71" s="41"/>
      <c r="G71" s="41"/>
      <c r="H71" s="41"/>
      <c r="I71" s="41"/>
      <c r="J71" s="41"/>
      <c r="K71" s="41"/>
      <c r="L71" s="41"/>
      <c r="M71" s="41"/>
      <c r="N71" s="41"/>
      <c r="O71" s="41"/>
      <c r="P71" s="41"/>
      <c r="Q71" s="41"/>
      <c r="R71" s="41"/>
      <c r="S71" s="41"/>
      <c r="T71" s="41"/>
      <c r="U71" s="41"/>
      <c r="V71" s="41"/>
      <c r="W71" s="41"/>
      <c r="X71" s="41"/>
      <c r="Y71" s="41"/>
      <c r="Z71" s="41"/>
    </row>
    <row r="72" ht="19.5" customHeight="1">
      <c r="A72" s="41"/>
      <c r="B72" s="84" t="s">
        <v>401</v>
      </c>
      <c r="C72" s="156" t="str">
        <f>CONCATENATE(prefix_wld_az1_vlan,"09")</f>
        <v>2309</v>
      </c>
      <c r="D72" s="18"/>
      <c r="E72" s="18"/>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1"/>
      <c r="D73" s="1"/>
      <c r="E73" s="1"/>
      <c r="F73" s="41"/>
      <c r="G73" s="41"/>
      <c r="H73" s="41"/>
      <c r="I73" s="41"/>
      <c r="J73" s="41"/>
      <c r="K73" s="41"/>
      <c r="L73" s="41"/>
      <c r="M73" s="41"/>
      <c r="N73" s="41"/>
      <c r="O73" s="41"/>
      <c r="P73" s="41"/>
      <c r="Q73" s="41"/>
      <c r="R73" s="41"/>
      <c r="S73" s="41"/>
      <c r="T73" s="41"/>
      <c r="U73" s="41"/>
      <c r="V73" s="41"/>
      <c r="W73" s="41"/>
      <c r="X73" s="41"/>
      <c r="Y73" s="41"/>
      <c r="Z73" s="41"/>
    </row>
    <row r="74" ht="31.5" customHeight="1">
      <c r="A74" s="41"/>
      <c r="B74" s="184" t="s">
        <v>3610</v>
      </c>
      <c r="C74" s="13"/>
      <c r="D74" s="13"/>
      <c r="E74" s="14"/>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17"/>
      <c r="C75" s="13"/>
      <c r="D75" s="13"/>
      <c r="E75" s="14"/>
      <c r="F75" s="41"/>
      <c r="G75" s="41"/>
      <c r="H75" s="41"/>
      <c r="I75" s="41"/>
      <c r="J75" s="41"/>
      <c r="K75" s="41"/>
      <c r="L75" s="41"/>
      <c r="M75" s="41"/>
      <c r="N75" s="41"/>
      <c r="O75" s="41"/>
      <c r="P75" s="41"/>
      <c r="Q75" s="41"/>
      <c r="R75" s="41"/>
      <c r="S75" s="41"/>
      <c r="T75" s="41"/>
      <c r="U75" s="41"/>
      <c r="V75" s="41"/>
      <c r="W75" s="41"/>
      <c r="X75" s="41"/>
      <c r="Y75" s="41"/>
      <c r="Z75" s="41"/>
    </row>
    <row r="76" ht="19.5" customHeight="1">
      <c r="A76" s="41"/>
      <c r="B76" s="49" t="s">
        <v>37</v>
      </c>
      <c r="C76" s="49" t="s">
        <v>273</v>
      </c>
      <c r="D76" s="49" t="s">
        <v>274</v>
      </c>
      <c r="E76" s="49" t="s">
        <v>5</v>
      </c>
      <c r="F76" s="41"/>
      <c r="G76" s="41"/>
      <c r="H76" s="41"/>
      <c r="I76" s="41"/>
      <c r="J76" s="41"/>
      <c r="K76" s="41"/>
      <c r="L76" s="41"/>
      <c r="M76" s="41"/>
      <c r="N76" s="41"/>
      <c r="O76" s="41"/>
      <c r="P76" s="41"/>
      <c r="Q76" s="41"/>
      <c r="R76" s="41"/>
      <c r="S76" s="41"/>
      <c r="T76" s="41"/>
      <c r="U76" s="41"/>
      <c r="V76" s="41"/>
      <c r="W76" s="41"/>
      <c r="X76" s="41"/>
      <c r="Y76" s="41"/>
      <c r="Z76" s="41"/>
    </row>
    <row r="77" ht="19.5" customHeight="1">
      <c r="A77" s="41"/>
      <c r="B77" s="84" t="s">
        <v>3442</v>
      </c>
      <c r="C77" s="111" t="str">
        <f>sample_wld_rwr_vc_fqdn</f>
        <v>lax-w01-vc01.lax.rainpole.io</v>
      </c>
      <c r="D77" s="18" t="str">
        <f>wld_rwr_vc_fqdn</f>
        <v>Value Missing</v>
      </c>
      <c r="E77" s="18"/>
      <c r="F77" s="41"/>
      <c r="G77" s="41"/>
      <c r="H77" s="41"/>
      <c r="I77" s="41"/>
      <c r="J77" s="41"/>
      <c r="K77" s="41"/>
      <c r="L77" s="41"/>
      <c r="M77" s="41"/>
      <c r="N77" s="41"/>
      <c r="O77" s="41"/>
      <c r="P77" s="41"/>
      <c r="Q77" s="41"/>
      <c r="R77" s="41"/>
      <c r="S77" s="41"/>
      <c r="T77" s="41"/>
      <c r="U77" s="41"/>
      <c r="V77" s="41"/>
      <c r="W77" s="41"/>
      <c r="X77" s="41"/>
      <c r="Y77" s="41"/>
      <c r="Z77" s="41"/>
    </row>
    <row r="78" ht="19.5" customHeight="1">
      <c r="A78" s="41"/>
      <c r="B78" s="84" t="s">
        <v>1178</v>
      </c>
      <c r="C78" s="110" t="str">
        <f>IF(mgmt_domain_chosen="First Instance",sample_wld_cl01_cluster,CONCAT(this_instance,"-w01","-cl01"))</f>
        <v>#N/A</v>
      </c>
      <c r="D78" s="18"/>
      <c r="E78" s="18" t="str">
        <f>IF(mgmt_domain_chosen="First Instance","","vSAN Storage Cluster")</f>
        <v>vSAN Storage Cluster</v>
      </c>
      <c r="F78" s="41"/>
      <c r="G78" s="41"/>
      <c r="H78" s="41"/>
      <c r="I78" s="41"/>
      <c r="J78" s="41"/>
      <c r="K78" s="41"/>
      <c r="L78" s="41"/>
      <c r="M78" s="41"/>
      <c r="N78" s="41"/>
      <c r="O78" s="41"/>
      <c r="P78" s="41"/>
      <c r="Q78" s="41"/>
      <c r="R78" s="41"/>
      <c r="S78" s="41"/>
      <c r="T78" s="41"/>
      <c r="U78" s="41"/>
      <c r="V78" s="41"/>
      <c r="W78" s="41"/>
      <c r="X78" s="41"/>
      <c r="Y78" s="41"/>
      <c r="Z78" s="41"/>
    </row>
    <row r="79" ht="19.5" customHeight="1">
      <c r="A79" s="41"/>
      <c r="B79" s="84" t="s">
        <v>1053</v>
      </c>
      <c r="C79" s="110" t="str">
        <f>IF(mgmt_domain_chosen="First Domain",sample_wld_vrms_pg,CONCAT(this_instance,"-w01","-cl01","-vds01-pg-vrms"))</f>
        <v>#N/A</v>
      </c>
      <c r="D79" s="18" t="str">
        <f>rwr_vrms_pg</f>
        <v>Value Missing</v>
      </c>
      <c r="E79" s="18"/>
      <c r="F79" s="41"/>
      <c r="G79" s="41"/>
      <c r="H79" s="41"/>
      <c r="I79" s="41"/>
      <c r="J79" s="41"/>
      <c r="K79" s="41"/>
      <c r="L79" s="41"/>
      <c r="M79" s="41"/>
      <c r="N79" s="41"/>
      <c r="O79" s="41"/>
      <c r="P79" s="41"/>
      <c r="Q79" s="41"/>
      <c r="R79" s="41"/>
      <c r="S79" s="41"/>
      <c r="T79" s="41"/>
      <c r="U79" s="41"/>
      <c r="V79" s="41"/>
      <c r="W79" s="41"/>
      <c r="X79" s="41"/>
      <c r="Y79" s="41"/>
      <c r="Z79" s="41"/>
    </row>
    <row r="80" ht="19.5" customHeight="1">
      <c r="A80" s="41"/>
      <c r="B80" s="84" t="s">
        <v>3611</v>
      </c>
      <c r="C80" s="111" t="str">
        <f>sample_wld_az1_host1_fqdn</f>
        <v>lax01-w01-r01-esx01.lax.rainpole.io</v>
      </c>
      <c r="D80" s="18"/>
      <c r="E80" s="18"/>
      <c r="F80" s="41"/>
      <c r="G80" s="41"/>
      <c r="H80" s="41"/>
      <c r="I80" s="41"/>
      <c r="J80" s="41"/>
      <c r="K80" s="41"/>
      <c r="L80" s="41"/>
      <c r="M80" s="41"/>
      <c r="N80" s="41"/>
      <c r="O80" s="41"/>
      <c r="P80" s="41"/>
      <c r="Q80" s="41"/>
      <c r="R80" s="41"/>
      <c r="S80" s="41"/>
      <c r="T80" s="41"/>
      <c r="U80" s="41"/>
      <c r="V80" s="41"/>
      <c r="W80" s="41"/>
      <c r="X80" s="41"/>
      <c r="Y80" s="41"/>
      <c r="Z80" s="41"/>
    </row>
    <row r="81" ht="19.5" customHeight="1">
      <c r="A81" s="41"/>
      <c r="B81" s="84" t="s">
        <v>3612</v>
      </c>
      <c r="C81" s="110" t="str">
        <f>sample_wld_az1_host1_vrms_ip</f>
        <v>10.23.9.101</v>
      </c>
      <c r="D81" s="18"/>
      <c r="E81" s="18"/>
      <c r="F81" s="41"/>
      <c r="G81" s="41"/>
      <c r="H81" s="41"/>
      <c r="I81" s="41"/>
      <c r="J81" s="41"/>
      <c r="K81" s="41"/>
      <c r="L81" s="41"/>
      <c r="M81" s="41"/>
      <c r="N81" s="41"/>
      <c r="O81" s="41"/>
      <c r="P81" s="41"/>
      <c r="Q81" s="41"/>
      <c r="R81" s="41"/>
      <c r="S81" s="41"/>
      <c r="T81" s="41"/>
      <c r="U81" s="41"/>
      <c r="V81" s="41"/>
      <c r="W81" s="41"/>
      <c r="X81" s="41"/>
      <c r="Y81" s="41"/>
      <c r="Z81" s="41"/>
    </row>
    <row r="82" ht="19.5" customHeight="1">
      <c r="A82" s="41"/>
      <c r="B82" s="84" t="s">
        <v>3613</v>
      </c>
      <c r="C82" s="110" t="s">
        <v>622</v>
      </c>
      <c r="D82" s="18"/>
      <c r="E82" s="18"/>
      <c r="F82" s="41"/>
      <c r="G82" s="41"/>
      <c r="H82" s="41"/>
      <c r="I82" s="41"/>
      <c r="J82" s="41"/>
      <c r="K82" s="41"/>
      <c r="L82" s="41"/>
      <c r="M82" s="41"/>
      <c r="N82" s="41"/>
      <c r="O82" s="41"/>
      <c r="P82" s="41"/>
      <c r="Q82" s="41"/>
      <c r="R82" s="41"/>
      <c r="S82" s="41"/>
      <c r="T82" s="41"/>
      <c r="U82" s="41"/>
      <c r="V82" s="41"/>
      <c r="W82" s="41"/>
      <c r="X82" s="41"/>
      <c r="Y82" s="41"/>
      <c r="Z82" s="41"/>
    </row>
    <row r="83" ht="19.5" customHeight="1">
      <c r="A83" s="41"/>
      <c r="B83" s="84" t="s">
        <v>3614</v>
      </c>
      <c r="C83" s="111" t="str">
        <f>sample_wld_az1_host2_fqdn</f>
        <v>lax01-w01-r01-esx02.lax.rainpole.io</v>
      </c>
      <c r="D83" s="18"/>
      <c r="E83" s="18"/>
      <c r="F83" s="41"/>
      <c r="G83" s="41"/>
      <c r="H83" s="41"/>
      <c r="I83" s="41"/>
      <c r="J83" s="41"/>
      <c r="K83" s="41"/>
      <c r="L83" s="41"/>
      <c r="M83" s="41"/>
      <c r="N83" s="41"/>
      <c r="O83" s="41"/>
      <c r="P83" s="41"/>
      <c r="Q83" s="41"/>
      <c r="R83" s="41"/>
      <c r="S83" s="41"/>
      <c r="T83" s="41"/>
      <c r="U83" s="41"/>
      <c r="V83" s="41"/>
      <c r="W83" s="41"/>
      <c r="X83" s="41"/>
      <c r="Y83" s="41"/>
      <c r="Z83" s="41"/>
    </row>
    <row r="84" ht="19.5" customHeight="1">
      <c r="A84" s="41"/>
      <c r="B84" s="84" t="s">
        <v>3615</v>
      </c>
      <c r="C84" s="110" t="str">
        <f>sample_wld_az1_host2_vrms_ip</f>
        <v>10.23.9.102</v>
      </c>
      <c r="D84" s="18"/>
      <c r="E84" s="18"/>
      <c r="F84" s="41"/>
      <c r="G84" s="41"/>
      <c r="H84" s="41"/>
      <c r="I84" s="41"/>
      <c r="J84" s="41"/>
      <c r="K84" s="41"/>
      <c r="L84" s="41"/>
      <c r="M84" s="41"/>
      <c r="N84" s="41"/>
      <c r="O84" s="41"/>
      <c r="P84" s="41"/>
      <c r="Q84" s="41"/>
      <c r="R84" s="41"/>
      <c r="S84" s="41"/>
      <c r="T84" s="41"/>
      <c r="U84" s="41"/>
      <c r="V84" s="41"/>
      <c r="W84" s="41"/>
      <c r="X84" s="41"/>
      <c r="Y84" s="41"/>
      <c r="Z84" s="41"/>
    </row>
    <row r="85" ht="19.5" customHeight="1">
      <c r="A85" s="41"/>
      <c r="B85" s="84" t="s">
        <v>3616</v>
      </c>
      <c r="C85" s="110" t="str">
        <f>sample_wld_az1_vrms_mask</f>
        <v>255.255.255.0</v>
      </c>
      <c r="D85" s="18" t="str">
        <f t="array" ref="D85">wld_rwr_az1_vrms_gateway_mask</f>
        <v>Value Missing</v>
      </c>
      <c r="E85" s="18"/>
      <c r="F85" s="41"/>
      <c r="G85" s="41"/>
      <c r="H85" s="41"/>
      <c r="I85" s="41"/>
      <c r="J85" s="41"/>
      <c r="K85" s="41"/>
      <c r="L85" s="41"/>
      <c r="M85" s="41"/>
      <c r="N85" s="41"/>
      <c r="O85" s="41"/>
      <c r="P85" s="41"/>
      <c r="Q85" s="41"/>
      <c r="R85" s="41"/>
      <c r="S85" s="41"/>
      <c r="T85" s="41"/>
      <c r="U85" s="41"/>
      <c r="V85" s="41"/>
      <c r="W85" s="41"/>
      <c r="X85" s="41"/>
      <c r="Y85" s="41"/>
      <c r="Z85" s="41"/>
    </row>
    <row r="86" ht="19.5" customHeight="1">
      <c r="A86" s="41"/>
      <c r="B86" s="84" t="s">
        <v>3617</v>
      </c>
      <c r="C86" s="111" t="str">
        <f>sample_wld_az1_host3_fqdn</f>
        <v>lax01-w01-r01-esx03.lax.rainpole.io</v>
      </c>
      <c r="D86" s="18"/>
      <c r="E86" s="18"/>
      <c r="F86" s="41"/>
      <c r="G86" s="41"/>
      <c r="H86" s="41"/>
      <c r="I86" s="41"/>
      <c r="J86" s="41"/>
      <c r="K86" s="41"/>
      <c r="L86" s="41"/>
      <c r="M86" s="41"/>
      <c r="N86" s="41"/>
      <c r="O86" s="41"/>
      <c r="P86" s="41"/>
      <c r="Q86" s="41"/>
      <c r="R86" s="41"/>
      <c r="S86" s="41"/>
      <c r="T86" s="41"/>
      <c r="U86" s="41"/>
      <c r="V86" s="41"/>
      <c r="W86" s="41"/>
      <c r="X86" s="41"/>
      <c r="Y86" s="41"/>
      <c r="Z86" s="41"/>
    </row>
    <row r="87" ht="19.5" customHeight="1">
      <c r="A87" s="41"/>
      <c r="B87" s="84" t="s">
        <v>3618</v>
      </c>
      <c r="C87" s="110" t="str">
        <f>sample_wld_az1_host3_vrms_ip</f>
        <v>10.23.9.103</v>
      </c>
      <c r="D87" s="18"/>
      <c r="E87" s="18"/>
      <c r="F87" s="41"/>
      <c r="G87" s="41"/>
      <c r="H87" s="41"/>
      <c r="I87" s="41"/>
      <c r="J87" s="41"/>
      <c r="K87" s="41"/>
      <c r="L87" s="41"/>
      <c r="M87" s="41"/>
      <c r="N87" s="41"/>
      <c r="O87" s="41"/>
      <c r="P87" s="41"/>
      <c r="Q87" s="41"/>
      <c r="R87" s="41"/>
      <c r="S87" s="41"/>
      <c r="T87" s="41"/>
      <c r="U87" s="41"/>
      <c r="V87" s="41"/>
      <c r="W87" s="41"/>
      <c r="X87" s="41"/>
      <c r="Y87" s="41"/>
      <c r="Z87" s="41"/>
    </row>
    <row r="88" ht="19.5" customHeight="1">
      <c r="A88" s="41"/>
      <c r="B88" s="84" t="s">
        <v>3619</v>
      </c>
      <c r="C88" s="110" t="str">
        <f>sample_wld_az1_vrms_mask</f>
        <v>255.255.255.0</v>
      </c>
      <c r="D88" s="18" t="str">
        <f t="array" ref="D88">wld_rwr_az1_vrms_gateway_mask</f>
        <v>Value Missing</v>
      </c>
      <c r="E88" s="18"/>
      <c r="F88" s="41"/>
      <c r="G88" s="41"/>
      <c r="H88" s="41"/>
      <c r="I88" s="41"/>
      <c r="J88" s="41"/>
      <c r="K88" s="41"/>
      <c r="L88" s="41"/>
      <c r="M88" s="41"/>
      <c r="N88" s="41"/>
      <c r="O88" s="41"/>
      <c r="P88" s="41"/>
      <c r="Q88" s="41"/>
      <c r="R88" s="41"/>
      <c r="S88" s="41"/>
      <c r="T88" s="41"/>
      <c r="U88" s="41"/>
      <c r="V88" s="41"/>
      <c r="W88" s="41"/>
      <c r="X88" s="41"/>
      <c r="Y88" s="41"/>
      <c r="Z88" s="41"/>
    </row>
    <row r="89" ht="19.5" customHeight="1">
      <c r="A89" s="41"/>
      <c r="B89" s="84" t="s">
        <v>3620</v>
      </c>
      <c r="C89" s="111" t="str">
        <f>sample_wld_az1_host4_fqdn</f>
        <v>lax01-w01-r01-esx04.lax.rainpole.io</v>
      </c>
      <c r="D89" s="18"/>
      <c r="E89" s="18"/>
      <c r="F89" s="41"/>
      <c r="G89" s="41"/>
      <c r="H89" s="41"/>
      <c r="I89" s="41"/>
      <c r="J89" s="41"/>
      <c r="K89" s="41"/>
      <c r="L89" s="41"/>
      <c r="M89" s="41"/>
      <c r="N89" s="41"/>
      <c r="O89" s="41"/>
      <c r="P89" s="41"/>
      <c r="Q89" s="41"/>
      <c r="R89" s="41"/>
      <c r="S89" s="41"/>
      <c r="T89" s="41"/>
      <c r="U89" s="41"/>
      <c r="V89" s="41"/>
      <c r="W89" s="41"/>
      <c r="X89" s="41"/>
      <c r="Y89" s="41"/>
      <c r="Z89" s="41"/>
    </row>
    <row r="90" ht="19.5" customHeight="1">
      <c r="A90" s="41"/>
      <c r="B90" s="84" t="s">
        <v>3621</v>
      </c>
      <c r="C90" s="110" t="str">
        <f>sample_wld_az1_host4_vrms_ip</f>
        <v>10.23.9.104</v>
      </c>
      <c r="D90" s="18"/>
      <c r="E90" s="18"/>
      <c r="F90" s="41"/>
      <c r="G90" s="41"/>
      <c r="H90" s="41"/>
      <c r="I90" s="41"/>
      <c r="J90" s="41"/>
      <c r="K90" s="41"/>
      <c r="L90" s="41"/>
      <c r="M90" s="41"/>
      <c r="N90" s="41"/>
      <c r="O90" s="41"/>
      <c r="P90" s="41"/>
      <c r="Q90" s="41"/>
      <c r="R90" s="41"/>
      <c r="S90" s="41"/>
      <c r="T90" s="41"/>
      <c r="U90" s="41"/>
      <c r="V90" s="41"/>
      <c r="W90" s="41"/>
      <c r="X90" s="41"/>
      <c r="Y90" s="41"/>
      <c r="Z90" s="41"/>
    </row>
    <row r="91" ht="19.5" customHeight="1">
      <c r="A91" s="41"/>
      <c r="B91" s="84" t="s">
        <v>3622</v>
      </c>
      <c r="C91" s="110" t="str">
        <f>sample_wld_az1_vrms_mask</f>
        <v>255.255.255.0</v>
      </c>
      <c r="D91" s="18" t="str">
        <f t="array" ref="D91">wld_rwr_az1_vrms_gateway_mask</f>
        <v>Value Missing</v>
      </c>
      <c r="E91" s="18"/>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1"/>
      <c r="D92" s="1"/>
      <c r="E92" s="1"/>
      <c r="F92" s="41"/>
      <c r="G92" s="41"/>
      <c r="H92" s="41"/>
      <c r="I92" s="41"/>
      <c r="J92" s="41"/>
      <c r="K92" s="41"/>
      <c r="L92" s="41"/>
      <c r="M92" s="41"/>
      <c r="N92" s="41"/>
      <c r="O92" s="41"/>
      <c r="P92" s="41"/>
      <c r="Q92" s="41"/>
      <c r="R92" s="41"/>
      <c r="S92" s="41"/>
      <c r="T92" s="41"/>
      <c r="U92" s="41"/>
      <c r="V92" s="41"/>
      <c r="W92" s="41"/>
      <c r="X92" s="41"/>
      <c r="Y92" s="41"/>
      <c r="Z92" s="41"/>
    </row>
    <row r="93" ht="31.5" customHeight="1">
      <c r="A93" s="41"/>
      <c r="B93" s="184" t="s">
        <v>3623</v>
      </c>
      <c r="C93" s="13"/>
      <c r="D93" s="13"/>
      <c r="E93" s="14"/>
      <c r="F93" s="41"/>
      <c r="G93" s="41"/>
      <c r="H93" s="41"/>
      <c r="I93" s="41"/>
      <c r="J93" s="41"/>
      <c r="K93" s="41"/>
      <c r="L93" s="41"/>
      <c r="M93" s="41"/>
      <c r="N93" s="41"/>
      <c r="O93" s="41"/>
      <c r="P93" s="41"/>
      <c r="Q93" s="41"/>
      <c r="R93" s="41"/>
      <c r="S93" s="41"/>
      <c r="T93" s="41"/>
      <c r="U93" s="41"/>
      <c r="V93" s="41"/>
      <c r="W93" s="41"/>
      <c r="X93" s="41"/>
      <c r="Y93" s="41"/>
      <c r="Z93" s="41"/>
    </row>
    <row r="94" ht="19.5" customHeight="1">
      <c r="A94" s="41"/>
      <c r="B94" s="17"/>
      <c r="C94" s="13"/>
      <c r="D94" s="13"/>
      <c r="E94" s="14"/>
      <c r="F94" s="41"/>
      <c r="G94" s="41"/>
      <c r="H94" s="41"/>
      <c r="I94" s="41"/>
      <c r="J94" s="41"/>
      <c r="K94" s="41"/>
      <c r="L94" s="41"/>
      <c r="M94" s="41"/>
      <c r="N94" s="41"/>
      <c r="O94" s="41"/>
      <c r="P94" s="41"/>
      <c r="Q94" s="41"/>
      <c r="R94" s="41"/>
      <c r="S94" s="41"/>
      <c r="T94" s="41"/>
      <c r="U94" s="41"/>
      <c r="V94" s="41"/>
      <c r="W94" s="41"/>
      <c r="X94" s="41"/>
      <c r="Y94" s="41"/>
      <c r="Z94" s="41"/>
    </row>
    <row r="95" ht="19.5" customHeight="1">
      <c r="A95" s="41"/>
      <c r="B95" s="49" t="s">
        <v>37</v>
      </c>
      <c r="C95" s="49" t="s">
        <v>273</v>
      </c>
      <c r="D95" s="49" t="s">
        <v>274</v>
      </c>
      <c r="E95" s="49" t="s">
        <v>5</v>
      </c>
      <c r="F95" s="41"/>
      <c r="G95" s="41"/>
      <c r="H95" s="41"/>
      <c r="I95" s="41"/>
      <c r="J95" s="41"/>
      <c r="K95" s="41"/>
      <c r="L95" s="41"/>
      <c r="M95" s="41"/>
      <c r="N95" s="41"/>
      <c r="O95" s="41"/>
      <c r="P95" s="41"/>
      <c r="Q95" s="41"/>
      <c r="R95" s="41"/>
      <c r="S95" s="41"/>
      <c r="T95" s="41"/>
      <c r="U95" s="41"/>
      <c r="V95" s="41"/>
      <c r="W95" s="41"/>
      <c r="X95" s="41"/>
      <c r="Y95" s="41"/>
      <c r="Z95" s="41"/>
    </row>
    <row r="96" ht="19.5" customHeight="1">
      <c r="A96" s="41"/>
      <c r="B96" s="84" t="s">
        <v>3442</v>
      </c>
      <c r="C96" s="111" t="str">
        <f>sample_wld_rwr_vc_fqdn</f>
        <v>lax-w01-vc01.lax.rainpole.io</v>
      </c>
      <c r="D96" s="18" t="str">
        <f>wld_rwr_vc_fqdn</f>
        <v>Value Missing</v>
      </c>
      <c r="E96" s="18"/>
      <c r="F96" s="41"/>
      <c r="G96" s="41"/>
      <c r="H96" s="41"/>
      <c r="I96" s="41"/>
      <c r="J96" s="41"/>
      <c r="K96" s="41"/>
      <c r="L96" s="41"/>
      <c r="M96" s="41"/>
      <c r="N96" s="41"/>
      <c r="O96" s="41"/>
      <c r="P96" s="41"/>
      <c r="Q96" s="41"/>
      <c r="R96" s="41"/>
      <c r="S96" s="41"/>
      <c r="T96" s="41"/>
      <c r="U96" s="41"/>
      <c r="V96" s="41"/>
      <c r="W96" s="41"/>
      <c r="X96" s="41"/>
      <c r="Y96" s="41"/>
      <c r="Z96" s="41"/>
    </row>
    <row r="97" ht="19.5" customHeight="1">
      <c r="A97" s="41"/>
      <c r="B97" s="84" t="s">
        <v>1178</v>
      </c>
      <c r="C97" s="110" t="str">
        <f>sample_wld_rwr_cl02_cluster</f>
        <v>#N/A</v>
      </c>
      <c r="D97" s="18" t="str">
        <f t="array" ref="D97">wld_rwr_cl02_cluster</f>
        <v>Value Missing</v>
      </c>
      <c r="E97" s="18" t="str">
        <f>IF(mgmt_domain_chosen="First Instance","","vSAN Storage Cluster")</f>
        <v>vSAN Storage Cluster</v>
      </c>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84" t="s">
        <v>3611</v>
      </c>
      <c r="C98" s="111" t="str">
        <f>sample_wld_az1_host1_fqdn</f>
        <v>lax01-w01-r01-esx01.lax.rainpole.io</v>
      </c>
      <c r="D98" s="18"/>
      <c r="E98" s="18"/>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84" t="s">
        <v>3624</v>
      </c>
      <c r="C99" s="110" t="str">
        <f>CONCATENATE(prefix_wld_az1_cidr,"9.1")</f>
        <v>10.23.9.1</v>
      </c>
      <c r="D99" s="18"/>
      <c r="E99" s="18"/>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84" t="s">
        <v>3625</v>
      </c>
      <c r="C100" s="110" t="str">
        <f>CONCATENATE(wld_rwr_recoverysite_prefix,"9.0/24")</f>
        <v>10.13.9.0/24</v>
      </c>
      <c r="D100" s="18"/>
      <c r="E100" s="18"/>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84" t="s">
        <v>3626</v>
      </c>
      <c r="C101" s="110" t="str">
        <f>CONCATENATE(prefix_other_region_az1_cidr,"10.0/24")</f>
        <v>10.11.10.0/24</v>
      </c>
      <c r="D101" s="18"/>
      <c r="E101" s="18"/>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84" t="s">
        <v>3614</v>
      </c>
      <c r="C102" s="111" t="str">
        <f>sample_wld_az1_host2_fqdn</f>
        <v>lax01-w01-r01-esx02.lax.rainpole.io</v>
      </c>
      <c r="D102" s="18"/>
      <c r="E102" s="18"/>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84" t="s">
        <v>3627</v>
      </c>
      <c r="C103" s="110" t="str">
        <f>sample_wld_az1_vrms_gateway_ip</f>
        <v>10.23.9.1</v>
      </c>
      <c r="D103" s="18" t="str">
        <f>wld_rwr_az1_vrms_gateway_ip</f>
        <v>Value Missing</v>
      </c>
      <c r="E103" s="18"/>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84" t="s">
        <v>3628</v>
      </c>
      <c r="C104" s="110" t="str">
        <f>CONCATENATE(wld_rwr_recoverysite_prefix,"9.0/24")</f>
        <v>10.13.9.0/24</v>
      </c>
      <c r="D104" s="18" t="str">
        <f>wld_rwr_recovery_site_az1_vrms_cidr</f>
        <v>Value Missing</v>
      </c>
      <c r="E104" s="18"/>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84" t="s">
        <v>3629</v>
      </c>
      <c r="C105" s="110" t="str">
        <f>sample_mgmt_rwr_recovery_site_az1_mgmt_cidr</f>
        <v>10.11.10.0/24</v>
      </c>
      <c r="D105" s="18" t="str">
        <f>mgmt_rwr_recovery_site_az1_mgmt_cidr</f>
        <v>Value Missing</v>
      </c>
      <c r="E105" s="18"/>
      <c r="F105" s="41"/>
      <c r="G105" s="41"/>
      <c r="H105" s="41"/>
      <c r="I105" s="41"/>
      <c r="J105" s="41"/>
      <c r="K105" s="41"/>
      <c r="L105" s="41"/>
      <c r="M105" s="41"/>
      <c r="N105" s="41"/>
      <c r="O105" s="41"/>
      <c r="P105" s="41"/>
      <c r="Q105" s="41"/>
      <c r="R105" s="41"/>
      <c r="S105" s="41"/>
      <c r="T105" s="41"/>
      <c r="U105" s="41"/>
      <c r="V105" s="41"/>
      <c r="W105" s="41"/>
      <c r="X105" s="41"/>
      <c r="Y105" s="41"/>
      <c r="Z105" s="41"/>
    </row>
    <row r="106" ht="19.5" customHeight="1">
      <c r="A106" s="41"/>
      <c r="B106" s="84" t="s">
        <v>3617</v>
      </c>
      <c r="C106" s="111" t="str">
        <f>sample_wld_az1_host3_fqdn</f>
        <v>lax01-w01-r01-esx03.lax.rainpole.io</v>
      </c>
      <c r="D106" s="18"/>
      <c r="E106" s="18"/>
      <c r="F106" s="41"/>
      <c r="G106" s="41"/>
      <c r="H106" s="41"/>
      <c r="I106" s="41"/>
      <c r="J106" s="41"/>
      <c r="K106" s="41"/>
      <c r="L106" s="41"/>
      <c r="M106" s="41"/>
      <c r="N106" s="41"/>
      <c r="O106" s="41"/>
      <c r="P106" s="41"/>
      <c r="Q106" s="41"/>
      <c r="R106" s="41"/>
      <c r="S106" s="41"/>
      <c r="T106" s="41"/>
      <c r="U106" s="41"/>
      <c r="V106" s="41"/>
      <c r="W106" s="41"/>
      <c r="X106" s="41"/>
      <c r="Y106" s="41"/>
      <c r="Z106" s="41"/>
    </row>
    <row r="107" ht="19.5" customHeight="1">
      <c r="A107" s="41"/>
      <c r="B107" s="84" t="s">
        <v>3630</v>
      </c>
      <c r="C107" s="110" t="str">
        <f>sample_wld_az1_vrms_gateway_ip</f>
        <v>10.23.9.1</v>
      </c>
      <c r="D107" s="18" t="str">
        <f>wld_rwr_az1_vrms_gateway_ip</f>
        <v>Value Missing</v>
      </c>
      <c r="E107" s="18"/>
      <c r="F107" s="41"/>
      <c r="G107" s="41"/>
      <c r="H107" s="41"/>
      <c r="I107" s="41"/>
      <c r="J107" s="41"/>
      <c r="K107" s="41"/>
      <c r="L107" s="41"/>
      <c r="M107" s="41"/>
      <c r="N107" s="41"/>
      <c r="O107" s="41"/>
      <c r="P107" s="41"/>
      <c r="Q107" s="41"/>
      <c r="R107" s="41"/>
      <c r="S107" s="41"/>
      <c r="T107" s="41"/>
      <c r="U107" s="41"/>
      <c r="V107" s="41"/>
      <c r="W107" s="41"/>
      <c r="X107" s="41"/>
      <c r="Y107" s="41"/>
      <c r="Z107" s="41"/>
    </row>
    <row r="108" ht="19.5" customHeight="1">
      <c r="A108" s="41"/>
      <c r="B108" s="84" t="s">
        <v>3631</v>
      </c>
      <c r="C108" s="110" t="str">
        <f>CONCATENATE(wld_rwr_recoverysite_prefix,"9.0/24")</f>
        <v>10.13.9.0/24</v>
      </c>
      <c r="D108" s="18" t="str">
        <f>wld_rwr_recovery_site_az1_vrms_cidr</f>
        <v>Value Missing</v>
      </c>
      <c r="E108" s="18"/>
      <c r="F108" s="41"/>
      <c r="G108" s="41"/>
      <c r="H108" s="41"/>
      <c r="I108" s="41"/>
      <c r="J108" s="41"/>
      <c r="K108" s="41"/>
      <c r="L108" s="41"/>
      <c r="M108" s="41"/>
      <c r="N108" s="41"/>
      <c r="O108" s="41"/>
      <c r="P108" s="41"/>
      <c r="Q108" s="41"/>
      <c r="R108" s="41"/>
      <c r="S108" s="41"/>
      <c r="T108" s="41"/>
      <c r="U108" s="41"/>
      <c r="V108" s="41"/>
      <c r="W108" s="41"/>
      <c r="X108" s="41"/>
      <c r="Y108" s="41"/>
      <c r="Z108" s="41"/>
    </row>
    <row r="109" ht="19.5" customHeight="1">
      <c r="A109" s="41"/>
      <c r="B109" s="84" t="s">
        <v>3632</v>
      </c>
      <c r="C109" s="110" t="str">
        <f>sample_mgmt_rwr_recovery_site_az1_mgmt_cidr</f>
        <v>10.11.10.0/24</v>
      </c>
      <c r="D109" s="18" t="str">
        <f>mgmt_rwr_recovery_site_az1_mgmt_cidr</f>
        <v>Value Missing</v>
      </c>
      <c r="E109" s="18"/>
      <c r="F109" s="41"/>
      <c r="G109" s="41"/>
      <c r="H109" s="41"/>
      <c r="I109" s="41"/>
      <c r="J109" s="41"/>
      <c r="K109" s="41"/>
      <c r="L109" s="41"/>
      <c r="M109" s="41"/>
      <c r="N109" s="41"/>
      <c r="O109" s="41"/>
      <c r="P109" s="41"/>
      <c r="Q109" s="41"/>
      <c r="R109" s="41"/>
      <c r="S109" s="41"/>
      <c r="T109" s="41"/>
      <c r="U109" s="41"/>
      <c r="V109" s="41"/>
      <c r="W109" s="41"/>
      <c r="X109" s="41"/>
      <c r="Y109" s="41"/>
      <c r="Z109" s="41"/>
    </row>
    <row r="110" ht="19.5" customHeight="1">
      <c r="A110" s="41"/>
      <c r="B110" s="84" t="s">
        <v>3620</v>
      </c>
      <c r="C110" s="111" t="str">
        <f>sample_wld_az1_host4_fqdn</f>
        <v>lax01-w01-r01-esx04.lax.rainpole.io</v>
      </c>
      <c r="D110" s="18"/>
      <c r="E110" s="18"/>
      <c r="F110" s="41"/>
      <c r="G110" s="41"/>
      <c r="H110" s="41"/>
      <c r="I110" s="41"/>
      <c r="J110" s="41"/>
      <c r="K110" s="41"/>
      <c r="L110" s="41"/>
      <c r="M110" s="41"/>
      <c r="N110" s="41"/>
      <c r="O110" s="41"/>
      <c r="P110" s="41"/>
      <c r="Q110" s="41"/>
      <c r="R110" s="41"/>
      <c r="S110" s="41"/>
      <c r="T110" s="41"/>
      <c r="U110" s="41"/>
      <c r="V110" s="41"/>
      <c r="W110" s="41"/>
      <c r="X110" s="41"/>
      <c r="Y110" s="41"/>
      <c r="Z110" s="41"/>
    </row>
    <row r="111" ht="19.5" customHeight="1">
      <c r="A111" s="41"/>
      <c r="B111" s="84" t="s">
        <v>3633</v>
      </c>
      <c r="C111" s="110" t="str">
        <f>sample_wld_az1_vrms_gateway_ip</f>
        <v>10.23.9.1</v>
      </c>
      <c r="D111" s="18" t="str">
        <f>wld_rwr_az1_vrms_gateway_ip</f>
        <v>Value Missing</v>
      </c>
      <c r="E111" s="18"/>
      <c r="F111" s="41"/>
      <c r="G111" s="41"/>
      <c r="H111" s="41"/>
      <c r="I111" s="41"/>
      <c r="J111" s="41"/>
      <c r="K111" s="41"/>
      <c r="L111" s="41"/>
      <c r="M111" s="41"/>
      <c r="N111" s="41"/>
      <c r="O111" s="41"/>
      <c r="P111" s="41"/>
      <c r="Q111" s="41"/>
      <c r="R111" s="41"/>
      <c r="S111" s="41"/>
      <c r="T111" s="41"/>
      <c r="U111" s="41"/>
      <c r="V111" s="41"/>
      <c r="W111" s="41"/>
      <c r="X111" s="41"/>
      <c r="Y111" s="41"/>
      <c r="Z111" s="41"/>
    </row>
    <row r="112" ht="19.5" customHeight="1">
      <c r="A112" s="41"/>
      <c r="B112" s="84" t="s">
        <v>3634</v>
      </c>
      <c r="C112" s="110" t="str">
        <f>CONCATENATE(wld_rwr_recoverysite_prefix,"9.0/24")</f>
        <v>10.13.9.0/24</v>
      </c>
      <c r="D112" s="18" t="str">
        <f>wld_rwr_recovery_site_az1_vrms_cidr</f>
        <v>Value Missing</v>
      </c>
      <c r="E112" s="18"/>
      <c r="F112" s="41"/>
      <c r="G112" s="41"/>
      <c r="H112" s="41"/>
      <c r="I112" s="41"/>
      <c r="J112" s="41"/>
      <c r="K112" s="41"/>
      <c r="L112" s="41"/>
      <c r="M112" s="41"/>
      <c r="N112" s="41"/>
      <c r="O112" s="41"/>
      <c r="P112" s="41"/>
      <c r="Q112" s="41"/>
      <c r="R112" s="41"/>
      <c r="S112" s="41"/>
      <c r="T112" s="41"/>
      <c r="U112" s="41"/>
      <c r="V112" s="41"/>
      <c r="W112" s="41"/>
      <c r="X112" s="41"/>
      <c r="Y112" s="41"/>
      <c r="Z112" s="41"/>
    </row>
    <row r="113" ht="19.5" customHeight="1">
      <c r="A113" s="41"/>
      <c r="B113" s="84" t="s">
        <v>3635</v>
      </c>
      <c r="C113" s="110" t="str">
        <f>sample_mgmt_rwr_recovery_site_az1_mgmt_cidr</f>
        <v>10.11.10.0/24</v>
      </c>
      <c r="D113" s="18" t="str">
        <f>mgmt_rwr_recovery_site_az1_mgmt_cidr</f>
        <v>Value Missing</v>
      </c>
      <c r="E113" s="18"/>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1"/>
      <c r="D114" s="1"/>
      <c r="E114" s="1"/>
      <c r="F114" s="41"/>
      <c r="G114" s="41"/>
      <c r="H114" s="41"/>
      <c r="I114" s="41"/>
      <c r="J114" s="41"/>
      <c r="K114" s="41"/>
      <c r="L114" s="41"/>
      <c r="M114" s="41"/>
      <c r="N114" s="41"/>
      <c r="O114" s="41"/>
      <c r="P114" s="41"/>
      <c r="Q114" s="41"/>
      <c r="R114" s="41"/>
      <c r="S114" s="41"/>
      <c r="T114" s="41"/>
      <c r="U114" s="41"/>
      <c r="V114" s="41"/>
      <c r="W114" s="41"/>
      <c r="X114" s="41"/>
      <c r="Y114" s="41"/>
      <c r="Z114" s="41"/>
    </row>
    <row r="115" ht="31.5" customHeight="1">
      <c r="A115" s="41"/>
      <c r="B115" s="184" t="s">
        <v>3636</v>
      </c>
      <c r="C115" s="13"/>
      <c r="D115" s="13"/>
      <c r="E115" s="14"/>
      <c r="F115" s="41"/>
      <c r="G115" s="41"/>
      <c r="H115" s="41"/>
      <c r="I115" s="41"/>
      <c r="J115" s="41"/>
      <c r="K115" s="41"/>
      <c r="L115" s="41"/>
      <c r="M115" s="41"/>
      <c r="N115" s="41"/>
      <c r="O115" s="41"/>
      <c r="P115" s="41"/>
      <c r="Q115" s="41"/>
      <c r="R115" s="41"/>
      <c r="S115" s="41"/>
      <c r="T115" s="41"/>
      <c r="U115" s="41"/>
      <c r="V115" s="41"/>
      <c r="W115" s="41"/>
      <c r="X115" s="41"/>
      <c r="Y115" s="41"/>
      <c r="Z115" s="41"/>
    </row>
    <row r="116" ht="19.5" customHeight="1">
      <c r="A116" s="41"/>
      <c r="B116" s="17"/>
      <c r="C116" s="13"/>
      <c r="D116" s="13"/>
      <c r="E116" s="14"/>
      <c r="F116" s="41"/>
      <c r="G116" s="41"/>
      <c r="H116" s="41"/>
      <c r="I116" s="41"/>
      <c r="J116" s="41"/>
      <c r="K116" s="41"/>
      <c r="L116" s="41"/>
      <c r="M116" s="41"/>
      <c r="N116" s="41"/>
      <c r="O116" s="41"/>
      <c r="P116" s="41"/>
      <c r="Q116" s="41"/>
      <c r="R116" s="41"/>
      <c r="S116" s="41"/>
      <c r="T116" s="41"/>
      <c r="U116" s="41"/>
      <c r="V116" s="41"/>
      <c r="W116" s="41"/>
      <c r="X116" s="41"/>
      <c r="Y116" s="41"/>
      <c r="Z116" s="41"/>
    </row>
    <row r="117" ht="19.5" customHeight="1">
      <c r="A117" s="41"/>
      <c r="B117" s="49" t="s">
        <v>37</v>
      </c>
      <c r="C117" s="49" t="s">
        <v>273</v>
      </c>
      <c r="D117" s="49" t="s">
        <v>274</v>
      </c>
      <c r="E117" s="49" t="s">
        <v>5</v>
      </c>
      <c r="F117" s="41"/>
      <c r="G117" s="41"/>
      <c r="H117" s="41"/>
      <c r="I117" s="41"/>
      <c r="J117" s="41"/>
      <c r="K117" s="41"/>
      <c r="L117" s="41"/>
      <c r="M117" s="41"/>
      <c r="N117" s="41"/>
      <c r="O117" s="41"/>
      <c r="P117" s="41"/>
      <c r="Q117" s="41"/>
      <c r="R117" s="41"/>
      <c r="S117" s="41"/>
      <c r="T117" s="41"/>
      <c r="U117" s="41"/>
      <c r="V117" s="41"/>
      <c r="W117" s="41"/>
      <c r="X117" s="41"/>
      <c r="Y117" s="41"/>
      <c r="Z117" s="41"/>
    </row>
    <row r="118" ht="19.5" customHeight="1">
      <c r="A118" s="41"/>
      <c r="B118" s="84" t="s">
        <v>3637</v>
      </c>
      <c r="C118" s="111" t="str">
        <f>CONCATENATE(this_instance,"-w01-nsx01.",this_instance,".",sample_parent_dns_zone)</f>
        <v>lax-w01-nsx01.lax.rainpole.io</v>
      </c>
      <c r="D118" s="18"/>
      <c r="E118" s="18"/>
      <c r="F118" s="41"/>
      <c r="G118" s="41"/>
      <c r="H118" s="41"/>
      <c r="I118" s="41"/>
      <c r="J118" s="41"/>
      <c r="K118" s="41"/>
      <c r="L118" s="41"/>
      <c r="M118" s="41"/>
      <c r="N118" s="41"/>
      <c r="O118" s="41"/>
      <c r="P118" s="41"/>
      <c r="Q118" s="41"/>
      <c r="R118" s="41"/>
      <c r="S118" s="41"/>
      <c r="T118" s="41"/>
      <c r="U118" s="41"/>
      <c r="V118" s="41"/>
      <c r="W118" s="41"/>
      <c r="X118" s="41"/>
      <c r="Y118" s="41"/>
      <c r="Z118" s="41"/>
    </row>
    <row r="119" ht="19.5" customHeight="1">
      <c r="A119" s="41"/>
      <c r="B119" s="17" t="s">
        <v>3638</v>
      </c>
      <c r="C119" s="13"/>
      <c r="D119" s="13"/>
      <c r="E119" s="14"/>
      <c r="F119" s="41"/>
      <c r="G119" s="41"/>
      <c r="H119" s="41"/>
      <c r="I119" s="41"/>
      <c r="J119" s="41"/>
      <c r="K119" s="41"/>
      <c r="L119" s="41"/>
      <c r="M119" s="41"/>
      <c r="N119" s="41"/>
      <c r="O119" s="41"/>
      <c r="P119" s="41"/>
      <c r="Q119" s="41"/>
      <c r="R119" s="41"/>
      <c r="S119" s="41"/>
      <c r="T119" s="41"/>
      <c r="U119" s="41"/>
      <c r="V119" s="41"/>
      <c r="W119" s="41"/>
      <c r="X119" s="41"/>
      <c r="Y119" s="41"/>
      <c r="Z119" s="41"/>
    </row>
    <row r="120" ht="19.5" customHeight="1">
      <c r="A120" s="41"/>
      <c r="B120" s="84" t="s">
        <v>3639</v>
      </c>
      <c r="C120" s="110" t="s">
        <v>3640</v>
      </c>
      <c r="D120" s="18"/>
      <c r="E120" s="18"/>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84" t="s">
        <v>3641</v>
      </c>
      <c r="C121" s="110" t="s">
        <v>3642</v>
      </c>
      <c r="D121" s="18"/>
      <c r="E121" s="18"/>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84" t="s">
        <v>3643</v>
      </c>
      <c r="C122" s="110" t="s">
        <v>3644</v>
      </c>
      <c r="D122" s="18"/>
      <c r="E122" s="18"/>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84" t="s">
        <v>3645</v>
      </c>
      <c r="C123" s="110" t="str">
        <f>CONCATENATE(this_instance,"-w01","-ec01")</f>
        <v>lax-w01-ec01</v>
      </c>
      <c r="D123" s="18"/>
      <c r="E123" s="18"/>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17" t="s">
        <v>3646</v>
      </c>
      <c r="C124" s="13"/>
      <c r="D124" s="13"/>
      <c r="E124" s="14"/>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84" t="s">
        <v>937</v>
      </c>
      <c r="C125" s="110" t="str">
        <f>CONCATENATE(this_instance,"-w01","-ec01","-t1","-gw01")</f>
        <v>lax-w01-ec01-t1-gw01</v>
      </c>
      <c r="D125" s="18"/>
      <c r="E125" s="18"/>
      <c r="F125" s="41"/>
      <c r="G125" s="41"/>
      <c r="H125" s="41"/>
      <c r="I125" s="41"/>
      <c r="J125" s="41"/>
      <c r="K125" s="41"/>
      <c r="L125" s="41"/>
      <c r="M125" s="41"/>
      <c r="N125" s="41"/>
      <c r="O125" s="41"/>
      <c r="P125" s="41"/>
      <c r="Q125" s="41"/>
      <c r="R125" s="41"/>
      <c r="S125" s="41"/>
      <c r="T125" s="41"/>
      <c r="U125" s="41"/>
      <c r="V125" s="41"/>
      <c r="W125" s="41"/>
      <c r="X125" s="41"/>
      <c r="Y125" s="41"/>
      <c r="Z125" s="41"/>
    </row>
    <row r="126" ht="19.5" customHeight="1">
      <c r="A126" s="41"/>
      <c r="B126" s="84" t="s">
        <v>938</v>
      </c>
      <c r="C126" s="110" t="str">
        <f>CONCATENATE(this_instance,"-w01","-ec01","-t0","-gw01")</f>
        <v>lax-w01-ec01-t0-gw01</v>
      </c>
      <c r="D126" s="18"/>
      <c r="E126" s="18"/>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84" t="s">
        <v>583</v>
      </c>
      <c r="C127" s="110" t="str">
        <f>sample_wld_rwr_recovery_site_nsx_ec_name</f>
        <v>lax-w01-ec01</v>
      </c>
      <c r="D127" s="18"/>
      <c r="E127" s="18"/>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17" t="s">
        <v>3647</v>
      </c>
      <c r="C128" s="13"/>
      <c r="D128" s="13"/>
      <c r="E128" s="14"/>
      <c r="F128" s="41"/>
      <c r="G128" s="41"/>
      <c r="H128" s="41"/>
      <c r="I128" s="41"/>
      <c r="J128" s="41"/>
      <c r="K128" s="41"/>
      <c r="L128" s="41"/>
      <c r="M128" s="41"/>
      <c r="N128" s="41"/>
      <c r="O128" s="41"/>
      <c r="P128" s="41"/>
      <c r="Q128" s="41"/>
      <c r="R128" s="41"/>
      <c r="S128" s="41"/>
      <c r="T128" s="41"/>
      <c r="U128" s="41"/>
      <c r="V128" s="41"/>
      <c r="W128" s="41"/>
      <c r="X128" s="41"/>
      <c r="Y128" s="41"/>
      <c r="Z128" s="41"/>
    </row>
    <row r="129" ht="19.5" customHeight="1">
      <c r="A129" s="41"/>
      <c r="B129" s="84" t="s">
        <v>3648</v>
      </c>
      <c r="C129" s="110" t="str">
        <f>CONCATENATE(this_instance,"-w01-seg01-","rwr-ire")</f>
        <v>lax-w01-seg01-rwr-ire</v>
      </c>
      <c r="D129" s="18"/>
      <c r="E129" s="18"/>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84" t="s">
        <v>3649</v>
      </c>
      <c r="C130" s="110" t="str">
        <f>sample_wld_rwr_recovery_site_nsx_ec_t1_name</f>
        <v>lax-w01-ec01-t1-gw01</v>
      </c>
      <c r="D130" s="18"/>
      <c r="E130" s="18"/>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84" t="s">
        <v>3650</v>
      </c>
      <c r="C131" s="110" t="str">
        <f>CONCATENATE("overlay-tz-",this_instance,"-w01-nsx01")</f>
        <v>overlay-tz-lax-w01-nsx01</v>
      </c>
      <c r="D131" s="18"/>
      <c r="E131" s="18"/>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84" t="s">
        <v>3651</v>
      </c>
      <c r="C132" s="110" t="s">
        <v>3652</v>
      </c>
      <c r="D132" s="18"/>
      <c r="E132" s="18"/>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17" t="s">
        <v>3653</v>
      </c>
      <c r="C133" s="13"/>
      <c r="D133" s="13"/>
      <c r="E133" s="14"/>
      <c r="F133" s="41"/>
      <c r="G133" s="41"/>
      <c r="H133" s="41"/>
      <c r="I133" s="41"/>
      <c r="J133" s="41"/>
      <c r="K133" s="41"/>
      <c r="L133" s="41"/>
      <c r="M133" s="41"/>
      <c r="N133" s="41"/>
      <c r="O133" s="41"/>
      <c r="P133" s="41"/>
      <c r="Q133" s="41"/>
      <c r="R133" s="41"/>
      <c r="S133" s="41"/>
      <c r="T133" s="41"/>
      <c r="U133" s="41"/>
      <c r="V133" s="41"/>
      <c r="W133" s="41"/>
      <c r="X133" s="41"/>
      <c r="Y133" s="41"/>
      <c r="Z133" s="41"/>
    </row>
    <row r="134" ht="19.5" customHeight="1">
      <c r="A134" s="41"/>
      <c r="B134" s="84" t="s">
        <v>3654</v>
      </c>
      <c r="C134" s="110" t="str">
        <f>C120</f>
        <v>tier1_dhcp_profile</v>
      </c>
      <c r="D134" s="18"/>
      <c r="E134" s="18"/>
      <c r="F134" s="41"/>
      <c r="G134" s="41"/>
      <c r="H134" s="41"/>
      <c r="I134" s="41"/>
      <c r="J134" s="41"/>
      <c r="K134" s="41"/>
      <c r="L134" s="41"/>
      <c r="M134" s="41"/>
      <c r="N134" s="41"/>
      <c r="O134" s="41"/>
      <c r="P134" s="41"/>
      <c r="Q134" s="41"/>
      <c r="R134" s="41"/>
      <c r="S134" s="41"/>
      <c r="T134" s="41"/>
      <c r="U134" s="41"/>
      <c r="V134" s="41"/>
      <c r="W134" s="41"/>
      <c r="X134" s="41"/>
      <c r="Y134" s="41"/>
      <c r="Z134" s="41"/>
    </row>
    <row r="135" ht="19.5" customHeight="1">
      <c r="A135" s="41"/>
      <c r="B135" s="84" t="s">
        <v>3655</v>
      </c>
      <c r="C135" s="110" t="s">
        <v>3656</v>
      </c>
      <c r="D135" s="18"/>
      <c r="E135" s="18"/>
      <c r="F135" s="41"/>
      <c r="G135" s="41"/>
      <c r="H135" s="41"/>
      <c r="I135" s="41"/>
      <c r="J135" s="41"/>
      <c r="K135" s="41"/>
      <c r="L135" s="41"/>
      <c r="M135" s="41"/>
      <c r="N135" s="41"/>
      <c r="O135" s="41"/>
      <c r="P135" s="41"/>
      <c r="Q135" s="41"/>
      <c r="R135" s="41"/>
      <c r="S135" s="41"/>
      <c r="T135" s="41"/>
      <c r="U135" s="41"/>
      <c r="V135" s="41"/>
      <c r="W135" s="41"/>
      <c r="X135" s="41"/>
      <c r="Y135" s="41"/>
      <c r="Z135" s="41"/>
    </row>
    <row r="136" ht="19.5" customHeight="1">
      <c r="A136" s="41"/>
      <c r="B136" s="84" t="s">
        <v>3657</v>
      </c>
      <c r="C136" s="110" t="s">
        <v>3658</v>
      </c>
      <c r="D136" s="18"/>
      <c r="E136" s="18"/>
      <c r="F136" s="41"/>
      <c r="G136" s="41"/>
      <c r="H136" s="41"/>
      <c r="I136" s="41"/>
      <c r="J136" s="41"/>
      <c r="K136" s="41"/>
      <c r="L136" s="41"/>
      <c r="M136" s="41"/>
      <c r="N136" s="41"/>
      <c r="O136" s="41"/>
      <c r="P136" s="41"/>
      <c r="Q136" s="41"/>
      <c r="R136" s="41"/>
      <c r="S136" s="41"/>
      <c r="T136" s="41"/>
      <c r="U136" s="41"/>
      <c r="V136" s="41"/>
      <c r="W136" s="41"/>
      <c r="X136" s="41"/>
      <c r="Y136" s="41"/>
      <c r="Z136" s="41"/>
    </row>
    <row r="137" ht="19.5" customHeight="1">
      <c r="A137" s="41"/>
      <c r="B137" s="84" t="s">
        <v>1056</v>
      </c>
      <c r="C137" s="110" t="str">
        <f>CONCATENATE(sample_region_dns1_ip,",",sample_region_dns2_ip)</f>
        <v>10.21.10.4,10.21.10.5</v>
      </c>
      <c r="D137" s="18"/>
      <c r="E137" s="18"/>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210"/>
      <c r="D138" s="1"/>
      <c r="E138" s="1"/>
      <c r="F138" s="41"/>
      <c r="G138" s="41"/>
      <c r="H138" s="41"/>
      <c r="I138" s="41"/>
      <c r="J138" s="41"/>
      <c r="K138" s="41"/>
      <c r="L138" s="41"/>
      <c r="M138" s="41"/>
      <c r="N138" s="41"/>
      <c r="O138" s="41"/>
      <c r="P138" s="41"/>
      <c r="Q138" s="41"/>
      <c r="R138" s="41"/>
      <c r="S138" s="41"/>
      <c r="T138" s="41"/>
      <c r="U138" s="41"/>
      <c r="V138" s="41"/>
      <c r="W138" s="41"/>
      <c r="X138" s="41"/>
      <c r="Y138" s="41"/>
      <c r="Z138" s="41"/>
    </row>
    <row r="139" ht="31.5" customHeight="1">
      <c r="A139" s="41"/>
      <c r="B139" s="184" t="s">
        <v>3659</v>
      </c>
      <c r="C139" s="13"/>
      <c r="D139" s="13"/>
      <c r="E139" s="14"/>
      <c r="F139" s="41"/>
      <c r="G139" s="41"/>
      <c r="H139" s="41"/>
      <c r="I139" s="41"/>
      <c r="J139" s="41"/>
      <c r="K139" s="41"/>
      <c r="L139" s="41"/>
      <c r="M139" s="41"/>
      <c r="N139" s="41"/>
      <c r="O139" s="41"/>
      <c r="P139" s="41"/>
      <c r="Q139" s="41"/>
      <c r="R139" s="41"/>
      <c r="S139" s="41"/>
      <c r="T139" s="41"/>
      <c r="U139" s="41"/>
      <c r="V139" s="41"/>
      <c r="W139" s="41"/>
      <c r="X139" s="41"/>
      <c r="Y139" s="41"/>
      <c r="Z139" s="41"/>
    </row>
    <row r="140" ht="19.5" customHeight="1">
      <c r="A140" s="41"/>
      <c r="B140" s="17"/>
      <c r="C140" s="13"/>
      <c r="D140" s="13"/>
      <c r="E140" s="14"/>
      <c r="F140" s="41"/>
      <c r="G140" s="41"/>
      <c r="H140" s="41"/>
      <c r="I140" s="41"/>
      <c r="J140" s="41"/>
      <c r="K140" s="41"/>
      <c r="L140" s="41"/>
      <c r="M140" s="41"/>
      <c r="N140" s="41"/>
      <c r="O140" s="41"/>
      <c r="P140" s="41"/>
      <c r="Q140" s="41"/>
      <c r="R140" s="41"/>
      <c r="S140" s="41"/>
      <c r="T140" s="41"/>
      <c r="U140" s="41"/>
      <c r="V140" s="41"/>
      <c r="W140" s="41"/>
      <c r="X140" s="41"/>
      <c r="Y140" s="41"/>
      <c r="Z140" s="41"/>
    </row>
    <row r="141" ht="19.5" customHeight="1">
      <c r="A141" s="41"/>
      <c r="B141" s="49" t="s">
        <v>37</v>
      </c>
      <c r="C141" s="49" t="s">
        <v>273</v>
      </c>
      <c r="D141" s="49" t="s">
        <v>274</v>
      </c>
      <c r="E141" s="49" t="s">
        <v>5</v>
      </c>
      <c r="F141" s="41"/>
      <c r="G141" s="41"/>
      <c r="H141" s="41"/>
      <c r="I141" s="41"/>
      <c r="J141" s="41"/>
      <c r="K141" s="41"/>
      <c r="L141" s="41"/>
      <c r="M141" s="41"/>
      <c r="N141" s="41"/>
      <c r="O141" s="41"/>
      <c r="P141" s="41"/>
      <c r="Q141" s="41"/>
      <c r="R141" s="41"/>
      <c r="S141" s="41"/>
      <c r="T141" s="41"/>
      <c r="U141" s="41"/>
      <c r="V141" s="41"/>
      <c r="W141" s="41"/>
      <c r="X141" s="41"/>
      <c r="Y141" s="41"/>
      <c r="Z141" s="41"/>
    </row>
    <row r="142" ht="19.5" customHeight="1">
      <c r="A142" s="41"/>
      <c r="B142" s="84" t="s">
        <v>3442</v>
      </c>
      <c r="C142" s="111" t="str">
        <f>sample_wld_rwr_vc_fqdn</f>
        <v>lax-w01-vc01.lax.rainpole.io</v>
      </c>
      <c r="D142" s="18" t="str">
        <f>wld_rwr_vc_fqdn</f>
        <v>Value Missing</v>
      </c>
      <c r="E142" s="18"/>
      <c r="F142" s="41"/>
      <c r="G142" s="41"/>
      <c r="H142" s="41"/>
      <c r="I142" s="41"/>
      <c r="J142" s="41"/>
      <c r="K142" s="41"/>
      <c r="L142" s="41"/>
      <c r="M142" s="41"/>
      <c r="N142" s="41"/>
      <c r="O142" s="41"/>
      <c r="P142" s="41"/>
      <c r="Q142" s="41"/>
      <c r="R142" s="41"/>
      <c r="S142" s="41"/>
      <c r="T142" s="41"/>
      <c r="U142" s="41"/>
      <c r="V142" s="41"/>
      <c r="W142" s="41"/>
      <c r="X142" s="41"/>
      <c r="Y142" s="41"/>
      <c r="Z142" s="41"/>
    </row>
    <row r="143" ht="19.5" customHeight="1">
      <c r="A143" s="41"/>
      <c r="B143" s="84" t="s">
        <v>3660</v>
      </c>
      <c r="C143" s="110" t="str">
        <f>sample_wld_datacenter</f>
        <v>lax-w01-dc</v>
      </c>
      <c r="D143" s="18"/>
      <c r="E143" s="18"/>
      <c r="F143" s="41"/>
      <c r="G143" s="41"/>
      <c r="H143" s="41"/>
      <c r="I143" s="41"/>
      <c r="J143" s="41"/>
      <c r="K143" s="41"/>
      <c r="L143" s="41"/>
      <c r="M143" s="41"/>
      <c r="N143" s="41"/>
      <c r="O143" s="41"/>
      <c r="P143" s="41"/>
      <c r="Q143" s="41"/>
      <c r="R143" s="41"/>
      <c r="S143" s="41"/>
      <c r="T143" s="41"/>
      <c r="U143" s="41"/>
      <c r="V143" s="41"/>
      <c r="W143" s="41"/>
      <c r="X143" s="41"/>
      <c r="Y143" s="41"/>
      <c r="Z143" s="41"/>
    </row>
    <row r="144" ht="19.5" customHeight="1">
      <c r="A144" s="41"/>
      <c r="B144" s="84" t="s">
        <v>3163</v>
      </c>
      <c r="C144" s="110" t="str">
        <f>(CONCATENATE(sample_wld_sddc_domain,"-fd-workload"))</f>
        <v>lax-w01-fd-workload</v>
      </c>
      <c r="D144" s="18"/>
      <c r="E144" s="18"/>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1"/>
      <c r="D145" s="1"/>
      <c r="E145" s="1"/>
      <c r="F145" s="41"/>
      <c r="G145" s="41"/>
      <c r="H145" s="41"/>
      <c r="I145" s="41"/>
      <c r="J145" s="41"/>
      <c r="K145" s="41"/>
      <c r="L145" s="41"/>
      <c r="M145" s="41"/>
      <c r="N145" s="41"/>
      <c r="O145" s="41"/>
      <c r="P145" s="41"/>
      <c r="Q145" s="41"/>
      <c r="R145" s="41"/>
      <c r="S145" s="41"/>
      <c r="T145" s="41"/>
      <c r="U145" s="41"/>
      <c r="V145" s="41"/>
      <c r="W145" s="41"/>
      <c r="X145" s="41"/>
      <c r="Y145" s="41"/>
      <c r="Z145" s="41"/>
    </row>
    <row r="146" ht="33.75" customHeight="1">
      <c r="A146" s="41"/>
      <c r="B146" s="184" t="s">
        <v>3661</v>
      </c>
      <c r="C146" s="13"/>
      <c r="D146" s="13"/>
      <c r="E146" s="14"/>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1"/>
      <c r="D147" s="1"/>
      <c r="E147" s="1"/>
      <c r="F147" s="41"/>
      <c r="G147" s="41"/>
      <c r="H147" s="41"/>
      <c r="I147" s="41"/>
      <c r="J147" s="41"/>
      <c r="K147" s="41"/>
      <c r="L147" s="41"/>
      <c r="M147" s="41"/>
      <c r="N147" s="41"/>
      <c r="O147" s="41"/>
      <c r="P147" s="41"/>
      <c r="Q147" s="41"/>
      <c r="R147" s="41"/>
      <c r="S147" s="41"/>
      <c r="T147" s="41"/>
      <c r="U147" s="41"/>
      <c r="V147" s="41"/>
      <c r="W147" s="41"/>
      <c r="X147" s="41"/>
      <c r="Y147" s="41"/>
      <c r="Z147" s="41"/>
    </row>
    <row r="148" ht="31.5" customHeight="1">
      <c r="A148" s="41"/>
      <c r="B148" s="184" t="s">
        <v>3662</v>
      </c>
      <c r="C148" s="13"/>
      <c r="D148" s="13"/>
      <c r="E148" s="14"/>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17"/>
      <c r="C149" s="13"/>
      <c r="D149" s="13"/>
      <c r="E149" s="14"/>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49" t="s">
        <v>37</v>
      </c>
      <c r="C150" s="49" t="s">
        <v>273</v>
      </c>
      <c r="D150" s="49" t="s">
        <v>274</v>
      </c>
      <c r="E150" s="49" t="s">
        <v>5</v>
      </c>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84" t="s">
        <v>3442</v>
      </c>
      <c r="C151" s="111" t="str">
        <f>sample_wld_rwr_vc_fqdn</f>
        <v>lax-w01-vc01.lax.rainpole.io</v>
      </c>
      <c r="D151" s="18" t="str">
        <f>wld_rwr_vc_fqdn</f>
        <v>Value Missing</v>
      </c>
      <c r="E151" s="18"/>
      <c r="F151" s="41"/>
      <c r="G151" s="41"/>
      <c r="H151" s="41"/>
      <c r="I151" s="41"/>
      <c r="J151" s="41"/>
      <c r="K151" s="41"/>
      <c r="L151" s="41"/>
      <c r="M151" s="41"/>
      <c r="N151" s="41"/>
      <c r="O151" s="41"/>
      <c r="P151" s="41"/>
      <c r="Q151" s="41"/>
      <c r="R151" s="41"/>
      <c r="S151" s="41"/>
      <c r="T151" s="41"/>
      <c r="U151" s="41"/>
      <c r="V151" s="41"/>
      <c r="W151" s="41"/>
      <c r="X151" s="41"/>
      <c r="Y151" s="41"/>
      <c r="Z151" s="41"/>
    </row>
    <row r="152" ht="19.5" customHeight="1">
      <c r="A152" s="41"/>
      <c r="B152" s="84" t="s">
        <v>3346</v>
      </c>
      <c r="C152" s="111" t="str">
        <f>sample_wld_rwr_vc_fqdn</f>
        <v>lax-w01-vc01.lax.rainpole.io</v>
      </c>
      <c r="D152" s="18" t="str">
        <f>wld_rwr_vc_fqdn</f>
        <v>Value Missing</v>
      </c>
      <c r="E152" s="18"/>
      <c r="F152" s="41"/>
      <c r="G152" s="41"/>
      <c r="H152" s="41"/>
      <c r="I152" s="41"/>
      <c r="J152" s="41"/>
      <c r="K152" s="41"/>
      <c r="L152" s="41"/>
      <c r="M152" s="41"/>
      <c r="N152" s="41"/>
      <c r="O152" s="41"/>
      <c r="P152" s="41"/>
      <c r="Q152" s="41"/>
      <c r="R152" s="41"/>
      <c r="S152" s="41"/>
      <c r="T152" s="41"/>
      <c r="U152" s="41"/>
      <c r="V152" s="41"/>
      <c r="W152" s="41"/>
      <c r="X152" s="41"/>
      <c r="Y152" s="41"/>
      <c r="Z152" s="41"/>
    </row>
    <row r="153" ht="19.5" customHeight="1">
      <c r="A153" s="41"/>
      <c r="B153" s="84" t="s">
        <v>3268</v>
      </c>
      <c r="C153" s="111" t="str">
        <f>CONCATENATE(other_instance,"-w01-vc01.",other_instance,".",sample_parent_dns_zone)</f>
        <v>sfo-w01-vc01.sfo.rainpole.io</v>
      </c>
      <c r="D153" s="18"/>
      <c r="E153" s="18"/>
      <c r="F153" s="41"/>
      <c r="G153" s="41"/>
      <c r="H153" s="41"/>
      <c r="I153" s="41"/>
      <c r="J153" s="41"/>
      <c r="K153" s="41"/>
      <c r="L153" s="41"/>
      <c r="M153" s="41"/>
      <c r="N153" s="41"/>
      <c r="O153" s="41"/>
      <c r="P153" s="41"/>
      <c r="Q153" s="41"/>
      <c r="R153" s="41"/>
      <c r="S153" s="41"/>
      <c r="T153" s="41"/>
      <c r="U153" s="41"/>
      <c r="V153" s="41"/>
      <c r="W153" s="41"/>
      <c r="X153" s="41"/>
      <c r="Y153" s="41"/>
      <c r="Z153" s="41"/>
    </row>
    <row r="154" ht="19.5" customHeight="1">
      <c r="A154" s="41"/>
      <c r="B154" s="84" t="s">
        <v>575</v>
      </c>
      <c r="C154" s="110" t="s">
        <v>3663</v>
      </c>
      <c r="D154" s="18" t="str">
        <f>CONCATENATE(wld_vlr_replication_user,"@",rwr_sso_domain_name)</f>
        <v>Value Missing@Value Missing</v>
      </c>
      <c r="E154" s="18"/>
      <c r="F154" s="41"/>
      <c r="G154" s="41"/>
      <c r="H154" s="41"/>
      <c r="I154" s="41"/>
      <c r="J154" s="41"/>
      <c r="K154" s="41"/>
      <c r="L154" s="41"/>
      <c r="M154" s="41"/>
      <c r="N154" s="41"/>
      <c r="O154" s="41"/>
      <c r="P154" s="41"/>
      <c r="Q154" s="41"/>
      <c r="R154" s="41"/>
      <c r="S154" s="41"/>
      <c r="T154" s="41"/>
      <c r="U154" s="41"/>
      <c r="V154" s="41"/>
      <c r="W154" s="41"/>
      <c r="X154" s="41"/>
      <c r="Y154" s="41"/>
      <c r="Z154" s="41"/>
    </row>
    <row r="155" ht="19.5" customHeight="1">
      <c r="A155" s="41"/>
      <c r="B155" s="84" t="s">
        <v>296</v>
      </c>
      <c r="C155" s="110" t="s">
        <v>297</v>
      </c>
      <c r="D155" s="18" t="str">
        <f>rwr_vlr_replication_password</f>
        <v>Value Missing</v>
      </c>
      <c r="E155" s="18"/>
      <c r="F155" s="41"/>
      <c r="G155" s="41"/>
      <c r="H155" s="41"/>
      <c r="I155" s="41"/>
      <c r="J155" s="41"/>
      <c r="K155" s="41"/>
      <c r="L155" s="41"/>
      <c r="M155" s="41"/>
      <c r="N155" s="41"/>
      <c r="O155" s="41"/>
      <c r="P155" s="41"/>
      <c r="Q155" s="41"/>
      <c r="R155" s="41"/>
      <c r="S155" s="41"/>
      <c r="T155" s="41"/>
      <c r="U155" s="41"/>
      <c r="V155" s="41"/>
      <c r="W155" s="41"/>
      <c r="X155" s="41"/>
      <c r="Y155" s="41"/>
      <c r="Z155" s="41"/>
    </row>
    <row r="156" ht="19.5" customHeight="1">
      <c r="A156" s="41"/>
      <c r="B156" s="84" t="s">
        <v>3349</v>
      </c>
      <c r="C156" s="111" t="str">
        <f>sample_wld_rwr_recovery_site_vc_fqdn</f>
        <v>sfo-w01-vc01.sfo.rainpole.io</v>
      </c>
      <c r="D156" s="18" t="str">
        <f t="array" ref="D156">wld_rwr_recovery_site_vc_fqdn</f>
        <v>Value Missing</v>
      </c>
      <c r="E156" s="18"/>
      <c r="F156" s="41"/>
      <c r="G156" s="41"/>
      <c r="H156" s="41"/>
      <c r="I156" s="41"/>
      <c r="J156" s="41"/>
      <c r="K156" s="41"/>
      <c r="L156" s="41"/>
      <c r="M156" s="41"/>
      <c r="N156" s="41"/>
      <c r="O156" s="41"/>
      <c r="P156" s="41"/>
      <c r="Q156" s="41"/>
      <c r="R156" s="41"/>
      <c r="S156" s="41"/>
      <c r="T156" s="41"/>
      <c r="U156" s="41"/>
      <c r="V156" s="41"/>
      <c r="W156" s="41"/>
      <c r="X156" s="41"/>
      <c r="Y156" s="41"/>
      <c r="Z156" s="41"/>
    </row>
    <row r="157" ht="19.5" customHeight="1">
      <c r="A157" s="41"/>
      <c r="B157" s="389"/>
      <c r="C157" s="210"/>
      <c r="D157" s="1"/>
      <c r="E157" s="1"/>
      <c r="F157" s="41"/>
      <c r="G157" s="41"/>
      <c r="H157" s="41"/>
      <c r="I157" s="41"/>
      <c r="J157" s="41"/>
      <c r="K157" s="41"/>
      <c r="L157" s="41"/>
      <c r="M157" s="41"/>
      <c r="N157" s="41"/>
      <c r="O157" s="41"/>
      <c r="P157" s="41"/>
      <c r="Q157" s="41"/>
      <c r="R157" s="41"/>
      <c r="S157" s="41"/>
      <c r="T157" s="41"/>
      <c r="U157" s="41"/>
      <c r="V157" s="41"/>
      <c r="W157" s="41"/>
      <c r="X157" s="41"/>
      <c r="Y157" s="41"/>
      <c r="Z157" s="41"/>
    </row>
    <row r="158" ht="33.75" customHeight="1">
      <c r="A158" s="41"/>
      <c r="B158" s="184" t="s">
        <v>3662</v>
      </c>
      <c r="C158" s="13"/>
      <c r="D158" s="13"/>
      <c r="E158" s="14"/>
      <c r="F158" s="41"/>
      <c r="G158" s="41"/>
      <c r="H158" s="41"/>
      <c r="I158" s="41"/>
      <c r="J158" s="41"/>
      <c r="K158" s="41"/>
      <c r="L158" s="41"/>
      <c r="M158" s="41"/>
      <c r="N158" s="41"/>
      <c r="O158" s="41"/>
      <c r="P158" s="41"/>
      <c r="Q158" s="41"/>
      <c r="R158" s="41"/>
      <c r="S158" s="41"/>
      <c r="T158" s="41"/>
      <c r="U158" s="41"/>
      <c r="V158" s="41"/>
      <c r="W158" s="41"/>
      <c r="X158" s="41"/>
      <c r="Y158" s="41"/>
      <c r="Z158" s="41"/>
    </row>
    <row r="159" ht="19.5" customHeight="1">
      <c r="A159" s="41"/>
      <c r="B159" s="17"/>
      <c r="C159" s="13"/>
      <c r="D159" s="13"/>
      <c r="E159" s="14"/>
      <c r="F159" s="41"/>
      <c r="G159" s="41"/>
      <c r="H159" s="41"/>
      <c r="I159" s="41"/>
      <c r="J159" s="41"/>
      <c r="K159" s="41"/>
      <c r="L159" s="41"/>
      <c r="M159" s="41"/>
      <c r="N159" s="41"/>
      <c r="O159" s="41"/>
      <c r="P159" s="41"/>
      <c r="Q159" s="41"/>
      <c r="R159" s="41"/>
      <c r="S159" s="41"/>
      <c r="T159" s="41"/>
      <c r="U159" s="41"/>
      <c r="V159" s="41"/>
      <c r="W159" s="41"/>
      <c r="X159" s="41"/>
      <c r="Y159" s="41"/>
      <c r="Z159" s="41"/>
    </row>
    <row r="160" ht="19.5" customHeight="1">
      <c r="A160" s="41"/>
      <c r="B160" s="49" t="s">
        <v>37</v>
      </c>
      <c r="C160" s="49" t="s">
        <v>273</v>
      </c>
      <c r="D160" s="49" t="s">
        <v>274</v>
      </c>
      <c r="E160" s="49" t="s">
        <v>5</v>
      </c>
      <c r="F160" s="41"/>
      <c r="G160" s="41"/>
      <c r="H160" s="41"/>
      <c r="I160" s="41"/>
      <c r="J160" s="41"/>
      <c r="K160" s="41"/>
      <c r="L160" s="41"/>
      <c r="M160" s="41"/>
      <c r="N160" s="41"/>
      <c r="O160" s="41"/>
      <c r="P160" s="41"/>
      <c r="Q160" s="41"/>
      <c r="R160" s="41"/>
      <c r="S160" s="41"/>
      <c r="T160" s="41"/>
      <c r="U160" s="41"/>
      <c r="V160" s="41"/>
      <c r="W160" s="41"/>
      <c r="X160" s="41"/>
      <c r="Y160" s="41"/>
      <c r="Z160" s="41"/>
    </row>
    <row r="161" ht="19.5" customHeight="1">
      <c r="A161" s="41"/>
      <c r="B161" s="390" t="s">
        <v>3442</v>
      </c>
      <c r="C161" s="111" t="str">
        <f>sample_wld_rwr_vc_fqdn</f>
        <v>lax-w01-vc01.lax.rainpole.io</v>
      </c>
      <c r="D161" s="18" t="str">
        <f>wld_rwr_vc_fqdn</f>
        <v>Value Missing</v>
      </c>
      <c r="E161" s="18"/>
      <c r="F161" s="41"/>
      <c r="G161" s="41"/>
      <c r="H161" s="41"/>
      <c r="I161" s="41"/>
      <c r="J161" s="41"/>
      <c r="K161" s="41"/>
      <c r="L161" s="41"/>
      <c r="M161" s="41"/>
      <c r="N161" s="41"/>
      <c r="O161" s="41"/>
      <c r="P161" s="41"/>
      <c r="Q161" s="41"/>
      <c r="R161" s="41"/>
      <c r="S161" s="41"/>
      <c r="T161" s="41"/>
      <c r="U161" s="41"/>
      <c r="V161" s="41"/>
      <c r="W161" s="41"/>
      <c r="X161" s="41"/>
      <c r="Y161" s="41"/>
      <c r="Z161" s="41"/>
    </row>
    <row r="162" ht="19.5" customHeight="1">
      <c r="A162" s="41"/>
      <c r="B162" s="390" t="s">
        <v>2081</v>
      </c>
      <c r="C162" s="111" t="str">
        <f>sample_wld_rwr_vc_fqdn</f>
        <v>lax-w01-vc01.lax.rainpole.io</v>
      </c>
      <c r="D162" s="18" t="str">
        <f>wld_rwr_vc_fqdn</f>
        <v>Value Missing</v>
      </c>
      <c r="E162" s="18"/>
      <c r="F162" s="41"/>
      <c r="G162" s="41"/>
      <c r="H162" s="41"/>
      <c r="I162" s="41"/>
      <c r="J162" s="41"/>
      <c r="K162" s="41"/>
      <c r="L162" s="41"/>
      <c r="M162" s="41"/>
      <c r="N162" s="41"/>
      <c r="O162" s="41"/>
      <c r="P162" s="41"/>
      <c r="Q162" s="41"/>
      <c r="R162" s="41"/>
      <c r="S162" s="41"/>
      <c r="T162" s="41"/>
      <c r="U162" s="41"/>
      <c r="V162" s="41"/>
      <c r="W162" s="41"/>
      <c r="X162" s="41"/>
      <c r="Y162" s="41"/>
      <c r="Z162" s="41"/>
    </row>
    <row r="163" ht="19.5" customHeight="1">
      <c r="A163" s="41"/>
      <c r="B163" s="390" t="s">
        <v>3472</v>
      </c>
      <c r="C163" s="110" t="s">
        <v>3473</v>
      </c>
      <c r="D163" s="18"/>
      <c r="E163" s="18"/>
      <c r="F163" s="41"/>
      <c r="G163" s="41"/>
      <c r="H163" s="41"/>
      <c r="I163" s="41"/>
      <c r="J163" s="41"/>
      <c r="K163" s="41"/>
      <c r="L163" s="41"/>
      <c r="M163" s="41"/>
      <c r="N163" s="41"/>
      <c r="O163" s="41"/>
      <c r="P163" s="41"/>
      <c r="Q163" s="41"/>
      <c r="R163" s="41"/>
      <c r="S163" s="41"/>
      <c r="T163" s="41"/>
      <c r="U163" s="41"/>
      <c r="V163" s="41"/>
      <c r="W163" s="41"/>
      <c r="X163" s="41"/>
      <c r="Y163" s="41"/>
      <c r="Z163" s="41"/>
    </row>
    <row r="164" ht="19.5" customHeight="1">
      <c r="A164" s="41"/>
      <c r="B164" s="390" t="s">
        <v>3664</v>
      </c>
      <c r="C164" s="110" t="s">
        <v>3473</v>
      </c>
      <c r="D164" s="18"/>
      <c r="E164" s="18"/>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1"/>
      <c r="D165" s="1"/>
      <c r="E165" s="1"/>
      <c r="F165" s="41"/>
      <c r="G165" s="41"/>
      <c r="H165" s="41"/>
      <c r="I165" s="41"/>
      <c r="J165" s="41"/>
      <c r="K165" s="41"/>
      <c r="L165" s="41"/>
      <c r="M165" s="41"/>
      <c r="N165" s="41"/>
      <c r="O165" s="41"/>
      <c r="P165" s="41"/>
      <c r="Q165" s="41"/>
      <c r="R165" s="41"/>
      <c r="S165" s="41"/>
      <c r="T165" s="41"/>
      <c r="U165" s="41"/>
      <c r="V165" s="41"/>
      <c r="W165" s="41"/>
      <c r="X165" s="41"/>
      <c r="Y165" s="41"/>
      <c r="Z165" s="41"/>
    </row>
    <row r="166" ht="31.5" customHeight="1">
      <c r="A166" s="41"/>
      <c r="B166" s="184" t="s">
        <v>3665</v>
      </c>
      <c r="C166" s="13"/>
      <c r="D166" s="13"/>
      <c r="E166" s="14"/>
      <c r="F166" s="41"/>
      <c r="G166" s="41"/>
      <c r="H166" s="41"/>
      <c r="I166" s="41"/>
      <c r="J166" s="41"/>
      <c r="K166" s="41"/>
      <c r="L166" s="41"/>
      <c r="M166" s="41"/>
      <c r="N166" s="41"/>
      <c r="O166" s="41"/>
      <c r="P166" s="41"/>
      <c r="Q166" s="41"/>
      <c r="R166" s="41"/>
      <c r="S166" s="41"/>
      <c r="T166" s="41"/>
      <c r="U166" s="41"/>
      <c r="V166" s="41"/>
      <c r="W166" s="41"/>
      <c r="X166" s="41"/>
      <c r="Y166" s="41"/>
      <c r="Z166" s="41"/>
    </row>
    <row r="167" ht="19.5" customHeight="1">
      <c r="A167" s="41"/>
      <c r="B167" s="17"/>
      <c r="C167" s="13"/>
      <c r="D167" s="13"/>
      <c r="E167" s="14"/>
      <c r="F167" s="41"/>
      <c r="G167" s="41"/>
      <c r="H167" s="41"/>
      <c r="I167" s="41"/>
      <c r="J167" s="41"/>
      <c r="K167" s="41"/>
      <c r="L167" s="41"/>
      <c r="M167" s="41"/>
      <c r="N167" s="41"/>
      <c r="O167" s="41"/>
      <c r="P167" s="41"/>
      <c r="Q167" s="41"/>
      <c r="R167" s="41"/>
      <c r="S167" s="41"/>
      <c r="T167" s="41"/>
      <c r="U167" s="41"/>
      <c r="V167" s="41"/>
      <c r="W167" s="41"/>
      <c r="X167" s="41"/>
      <c r="Y167" s="41"/>
      <c r="Z167" s="41"/>
    </row>
    <row r="168" ht="19.5" customHeight="1">
      <c r="A168" s="41"/>
      <c r="B168" s="49" t="s">
        <v>37</v>
      </c>
      <c r="C168" s="49" t="s">
        <v>273</v>
      </c>
      <c r="D168" s="49" t="s">
        <v>274</v>
      </c>
      <c r="E168" s="49" t="s">
        <v>5</v>
      </c>
      <c r="F168" s="41"/>
      <c r="G168" s="41"/>
      <c r="H168" s="41"/>
      <c r="I168" s="41"/>
      <c r="J168" s="41"/>
      <c r="K168" s="41"/>
      <c r="L168" s="41"/>
      <c r="M168" s="41"/>
      <c r="N168" s="41"/>
      <c r="O168" s="41"/>
      <c r="P168" s="41"/>
      <c r="Q168" s="41"/>
      <c r="R168" s="41"/>
      <c r="S168" s="41"/>
      <c r="T168" s="41"/>
      <c r="U168" s="41"/>
      <c r="V168" s="41"/>
      <c r="W168" s="41"/>
      <c r="X168" s="41"/>
      <c r="Y168" s="41"/>
      <c r="Z168" s="41"/>
    </row>
    <row r="169" ht="19.5" customHeight="1">
      <c r="A169" s="41"/>
      <c r="B169" s="84" t="s">
        <v>3442</v>
      </c>
      <c r="C169" s="111" t="str">
        <f>sample_wld_rwr_vc_fqdn</f>
        <v>lax-w01-vc01.lax.rainpole.io</v>
      </c>
      <c r="D169" s="18" t="str">
        <f>wld_rwr_vc_fqdn</f>
        <v>Value Missing</v>
      </c>
      <c r="E169" s="18"/>
      <c r="F169" s="41"/>
      <c r="G169" s="41"/>
      <c r="H169" s="41"/>
      <c r="I169" s="41"/>
      <c r="J169" s="41"/>
      <c r="K169" s="41"/>
      <c r="L169" s="41"/>
      <c r="M169" s="41"/>
      <c r="N169" s="41"/>
      <c r="O169" s="41"/>
      <c r="P169" s="41"/>
      <c r="Q169" s="41"/>
      <c r="R169" s="41"/>
      <c r="S169" s="41"/>
      <c r="T169" s="41"/>
      <c r="U169" s="41"/>
      <c r="V169" s="41"/>
      <c r="W169" s="41"/>
      <c r="X169" s="41"/>
      <c r="Y169" s="41"/>
      <c r="Z169" s="41"/>
    </row>
    <row r="170" ht="19.5" customHeight="1">
      <c r="A170" s="41"/>
      <c r="B170" s="84" t="s">
        <v>3476</v>
      </c>
      <c r="C170" s="110" t="str">
        <f>(CONCATENATE(sample_wld_vc_fqdn,"&lt;-&gt;",sample_wld_rwr_recovery_site_vc_fqdn))</f>
        <v>lax-w01-vc01.lax.rainpole.io&lt;-&gt;sfo-w01-vc01.sfo.rainpole.io</v>
      </c>
      <c r="D170" s="18"/>
      <c r="E170" s="18"/>
      <c r="F170" s="41"/>
      <c r="G170" s="41"/>
      <c r="H170" s="41"/>
      <c r="I170" s="41"/>
      <c r="J170" s="41"/>
      <c r="K170" s="41"/>
      <c r="L170" s="41"/>
      <c r="M170" s="41"/>
      <c r="N170" s="41"/>
      <c r="O170" s="41"/>
      <c r="P170" s="41"/>
      <c r="Q170" s="41"/>
      <c r="R170" s="41"/>
      <c r="S170" s="41"/>
      <c r="T170" s="41"/>
      <c r="U170" s="41"/>
      <c r="V170" s="41"/>
      <c r="W170" s="41"/>
      <c r="X170" s="41"/>
      <c r="Y170" s="41"/>
      <c r="Z170" s="41"/>
    </row>
    <row r="171" ht="19.5" customHeight="1">
      <c r="A171" s="41"/>
      <c r="B171" s="84" t="s">
        <v>3666</v>
      </c>
      <c r="C171" s="110" t="str">
        <f>(CONCATENATE(sample_wld_rwr_cl02_vds01,"&lt;-&gt;",sample_wld_cl01_az1_mgmt_vm_pg))</f>
        <v>#N/A</v>
      </c>
      <c r="D171" s="18"/>
      <c r="E171" s="18"/>
      <c r="F171" s="41"/>
      <c r="G171" s="41"/>
      <c r="H171" s="41"/>
      <c r="I171" s="41"/>
      <c r="J171" s="41"/>
      <c r="K171" s="41"/>
      <c r="L171" s="41"/>
      <c r="M171" s="41"/>
      <c r="N171" s="41"/>
      <c r="O171" s="41"/>
      <c r="P171" s="41"/>
      <c r="Q171" s="41"/>
      <c r="R171" s="41"/>
      <c r="S171" s="41"/>
      <c r="T171" s="41"/>
      <c r="U171" s="41"/>
      <c r="V171" s="41"/>
      <c r="W171" s="41"/>
      <c r="X171" s="41"/>
      <c r="Y171" s="41"/>
      <c r="Z171" s="41"/>
    </row>
    <row r="172" ht="19.5" customHeight="1">
      <c r="A172" s="41"/>
      <c r="B172" s="84" t="s">
        <v>3667</v>
      </c>
      <c r="C172" s="110" t="str">
        <f>CONCAT(other_instance,"-w01","-cl02-vds01","&lt;-&gt;",CONCATENATE(other_instance,"-w01-seg01-","rwr-ire"))</f>
        <v>#N/A</v>
      </c>
      <c r="D172" s="18"/>
      <c r="E172" s="18" t="s">
        <v>3668</v>
      </c>
      <c r="F172" s="41"/>
      <c r="G172" s="41"/>
      <c r="H172" s="41"/>
      <c r="I172" s="41"/>
      <c r="J172" s="41"/>
      <c r="K172" s="41"/>
      <c r="L172" s="41"/>
      <c r="M172" s="41"/>
      <c r="N172" s="41"/>
      <c r="O172" s="41"/>
      <c r="P172" s="41"/>
      <c r="Q172" s="41"/>
      <c r="R172" s="41"/>
      <c r="S172" s="41"/>
      <c r="T172" s="41"/>
      <c r="U172" s="41"/>
      <c r="V172" s="41"/>
      <c r="W172" s="41"/>
      <c r="X172" s="41"/>
      <c r="Y172" s="41"/>
      <c r="Z172" s="41"/>
    </row>
    <row r="173" ht="19.5" customHeight="1">
      <c r="A173" s="41"/>
      <c r="B173" s="84" t="s">
        <v>3669</v>
      </c>
      <c r="C173" s="110" t="str">
        <f>(CONCATENATE(sample_wld_datacenter,"&lt;-&gt;",sample_wld_rwr_recoverysite_fd))</f>
        <v>lax-w01-dc&lt;-&gt;lax-w01-fd-workload</v>
      </c>
      <c r="D173" s="18" t="str">
        <f>CONCATENATE(rwr_datacenter, "&lt;-&gt;",wld_rwr_recoverysite_fd)</f>
        <v>Value Missing&lt;-&gt;Value Missing</v>
      </c>
      <c r="E173" s="18"/>
      <c r="F173" s="41"/>
      <c r="G173" s="41"/>
      <c r="H173" s="41"/>
      <c r="I173" s="41"/>
      <c r="J173" s="41"/>
      <c r="K173" s="41"/>
      <c r="L173" s="41"/>
      <c r="M173" s="41"/>
      <c r="N173" s="41"/>
      <c r="O173" s="41"/>
      <c r="P173" s="41"/>
      <c r="Q173" s="41"/>
      <c r="R173" s="41"/>
      <c r="S173" s="41"/>
      <c r="T173" s="41"/>
      <c r="U173" s="41"/>
      <c r="V173" s="41"/>
      <c r="W173" s="41"/>
      <c r="X173" s="41"/>
      <c r="Y173" s="41"/>
      <c r="Z173" s="41"/>
    </row>
    <row r="174" ht="19.5" customHeight="1">
      <c r="A174" s="41"/>
      <c r="B174" s="84" t="s">
        <v>3670</v>
      </c>
      <c r="C174" s="110" t="str">
        <f>CONCAT(other_instance,"-w01","dc","&lt;-&gt;",other_instance,"-w01","-fd","-workload")</f>
        <v>#N/A</v>
      </c>
      <c r="D174" s="18"/>
      <c r="E174" s="18"/>
      <c r="F174" s="41"/>
      <c r="G174" s="41"/>
      <c r="H174" s="41"/>
      <c r="I174" s="41"/>
      <c r="J174" s="41"/>
      <c r="K174" s="41"/>
      <c r="L174" s="41"/>
      <c r="M174" s="41"/>
      <c r="N174" s="41"/>
      <c r="O174" s="41"/>
      <c r="P174" s="41"/>
      <c r="Q174" s="41"/>
      <c r="R174" s="41"/>
      <c r="S174" s="41"/>
      <c r="T174" s="41"/>
      <c r="U174" s="41"/>
      <c r="V174" s="41"/>
      <c r="W174" s="41"/>
      <c r="X174" s="41"/>
      <c r="Y174" s="41"/>
      <c r="Z174" s="41"/>
    </row>
    <row r="175" ht="19.5" customHeight="1">
      <c r="A175" s="41"/>
      <c r="B175" s="84" t="s">
        <v>3671</v>
      </c>
      <c r="C175" s="110" t="str">
        <f>(CONCATENATE(sample_rwr_datacenter,"&lt;-&gt;",sample_wld_rwr_cl02_cluster))</f>
        <v>#N/A</v>
      </c>
      <c r="D175" s="18" t="str">
        <f>CONCATENATE(rwr_datacenter, "&lt;-&gt;",wld_rwr_cl02_cluster)</f>
        <v>Value Missing&lt;-&gt;Value Missing</v>
      </c>
      <c r="E175" s="18"/>
      <c r="F175" s="41"/>
      <c r="G175" s="41"/>
      <c r="H175" s="41"/>
      <c r="I175" s="41"/>
      <c r="J175" s="41"/>
      <c r="K175" s="41"/>
      <c r="L175" s="41"/>
      <c r="M175" s="41"/>
      <c r="N175" s="41"/>
      <c r="O175" s="41"/>
      <c r="P175" s="41"/>
      <c r="Q175" s="41"/>
      <c r="R175" s="41"/>
      <c r="S175" s="41"/>
      <c r="T175" s="41"/>
      <c r="U175" s="41"/>
      <c r="V175" s="41"/>
      <c r="W175" s="41"/>
      <c r="X175" s="41"/>
      <c r="Y175" s="41"/>
      <c r="Z175" s="41"/>
    </row>
    <row r="176" ht="19.5" customHeight="1">
      <c r="A176" s="41"/>
      <c r="B176" s="84" t="s">
        <v>3672</v>
      </c>
      <c r="C176" s="110" t="str">
        <f>CONCAT(other_instance,"-w01","-dc","&lt;-&gt;",other_instance,"-w01","-cl02")</f>
        <v>#N/A</v>
      </c>
      <c r="D176" s="18"/>
      <c r="E176" s="18"/>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1"/>
      <c r="D177" s="1"/>
      <c r="E177" s="1"/>
      <c r="F177" s="41"/>
      <c r="G177" s="41"/>
      <c r="H177" s="41"/>
      <c r="I177" s="41"/>
      <c r="J177" s="41"/>
      <c r="K177" s="41"/>
      <c r="L177" s="41"/>
      <c r="M177" s="41"/>
      <c r="N177" s="41"/>
      <c r="O177" s="41"/>
      <c r="P177" s="41"/>
      <c r="Q177" s="41"/>
      <c r="R177" s="41"/>
      <c r="S177" s="41"/>
      <c r="T177" s="41"/>
      <c r="U177" s="41"/>
      <c r="V177" s="41"/>
      <c r="W177" s="41"/>
      <c r="X177" s="41"/>
      <c r="Y177" s="41"/>
      <c r="Z177" s="41"/>
    </row>
    <row r="178" ht="31.5" customHeight="1">
      <c r="A178" s="41"/>
      <c r="B178" s="184" t="s">
        <v>3673</v>
      </c>
      <c r="C178" s="13"/>
      <c r="D178" s="13"/>
      <c r="E178" s="14"/>
      <c r="F178" s="41"/>
      <c r="G178" s="41"/>
      <c r="H178" s="41"/>
      <c r="I178" s="41"/>
      <c r="J178" s="41"/>
      <c r="K178" s="41"/>
      <c r="L178" s="41"/>
      <c r="M178" s="41"/>
      <c r="N178" s="41"/>
      <c r="O178" s="41"/>
      <c r="P178" s="41"/>
      <c r="Q178" s="41"/>
      <c r="R178" s="41"/>
      <c r="S178" s="41"/>
      <c r="T178" s="41"/>
      <c r="U178" s="41"/>
      <c r="V178" s="41"/>
      <c r="W178" s="41"/>
      <c r="X178" s="41"/>
      <c r="Y178" s="41"/>
      <c r="Z178" s="41"/>
    </row>
    <row r="179" ht="19.5" customHeight="1">
      <c r="A179" s="41"/>
      <c r="B179" s="17"/>
      <c r="C179" s="13"/>
      <c r="D179" s="13"/>
      <c r="E179" s="14"/>
      <c r="F179" s="41"/>
      <c r="G179" s="41"/>
      <c r="H179" s="41"/>
      <c r="I179" s="41"/>
      <c r="J179" s="41"/>
      <c r="K179" s="41"/>
      <c r="L179" s="41"/>
      <c r="M179" s="41"/>
      <c r="N179" s="41"/>
      <c r="O179" s="41"/>
      <c r="P179" s="41"/>
      <c r="Q179" s="41"/>
      <c r="R179" s="41"/>
      <c r="S179" s="41"/>
      <c r="T179" s="41"/>
      <c r="U179" s="41"/>
      <c r="V179" s="41"/>
      <c r="W179" s="41"/>
      <c r="X179" s="41"/>
      <c r="Y179" s="41"/>
      <c r="Z179" s="41"/>
    </row>
    <row r="180" ht="19.5" customHeight="1">
      <c r="A180" s="41"/>
      <c r="B180" s="49" t="s">
        <v>37</v>
      </c>
      <c r="C180" s="49" t="s">
        <v>273</v>
      </c>
      <c r="D180" s="49" t="s">
        <v>274</v>
      </c>
      <c r="E180" s="49" t="s">
        <v>5</v>
      </c>
      <c r="F180" s="41"/>
      <c r="G180" s="41"/>
      <c r="H180" s="41"/>
      <c r="I180" s="41"/>
      <c r="J180" s="41"/>
      <c r="K180" s="41"/>
      <c r="L180" s="41"/>
      <c r="M180" s="41"/>
      <c r="N180" s="41"/>
      <c r="O180" s="41"/>
      <c r="P180" s="41"/>
      <c r="Q180" s="41"/>
      <c r="R180" s="41"/>
      <c r="S180" s="41"/>
      <c r="T180" s="41"/>
      <c r="U180" s="41"/>
      <c r="V180" s="41"/>
      <c r="W180" s="41"/>
      <c r="X180" s="41"/>
      <c r="Y180" s="41"/>
      <c r="Z180" s="41"/>
    </row>
    <row r="181" ht="19.5" customHeight="1">
      <c r="A181" s="41"/>
      <c r="B181" s="84" t="s">
        <v>3448</v>
      </c>
      <c r="C181" s="111" t="str">
        <f>sample_wld_vlr_fqdn</f>
        <v>lax-w01-vlr01.lax.rainpole.io</v>
      </c>
      <c r="D181" s="18" t="str">
        <f>CONCATENATE(wld_vlr_fqdn,"/dr")</f>
        <v>Value Missing.Value Missing/dr</v>
      </c>
      <c r="E181" s="18"/>
      <c r="F181" s="41"/>
      <c r="G181" s="41"/>
      <c r="H181" s="41"/>
      <c r="I181" s="41"/>
      <c r="J181" s="41"/>
      <c r="K181" s="41"/>
      <c r="L181" s="41"/>
      <c r="M181" s="41"/>
      <c r="N181" s="41"/>
      <c r="O181" s="41"/>
      <c r="P181" s="41"/>
      <c r="Q181" s="41"/>
      <c r="R181" s="41"/>
      <c r="S181" s="41"/>
      <c r="T181" s="41"/>
      <c r="U181" s="41"/>
      <c r="V181" s="41"/>
      <c r="W181" s="41"/>
      <c r="X181" s="41"/>
      <c r="Y181" s="41"/>
      <c r="Z181" s="41"/>
    </row>
    <row r="182" ht="19.5" customHeight="1">
      <c r="A182" s="41"/>
      <c r="B182" s="84" t="s">
        <v>3476</v>
      </c>
      <c r="C182" s="110" t="str">
        <f>(CONCATENATE(sample_wld_vc_fqdn,"&lt;-&gt;",sample_wld_rwr_recovery_site_vc_fqdn))</f>
        <v>lax-w01-vc01.lax.rainpole.io&lt;-&gt;sfo-w01-vc01.sfo.rainpole.io</v>
      </c>
      <c r="D182" s="18"/>
      <c r="E182" s="18"/>
      <c r="F182" s="41"/>
      <c r="G182" s="41"/>
      <c r="H182" s="41"/>
      <c r="I182" s="41"/>
      <c r="J182" s="41"/>
      <c r="K182" s="41"/>
      <c r="L182" s="41"/>
      <c r="M182" s="41"/>
      <c r="N182" s="41"/>
      <c r="O182" s="41"/>
      <c r="P182" s="41"/>
      <c r="Q182" s="41"/>
      <c r="R182" s="41"/>
      <c r="S182" s="41"/>
      <c r="T182" s="41"/>
      <c r="U182" s="41"/>
      <c r="V182" s="41"/>
      <c r="W182" s="41"/>
      <c r="X182" s="41"/>
      <c r="Y182" s="41"/>
      <c r="Z182" s="41"/>
    </row>
    <row r="183" ht="19.5" customHeight="1">
      <c r="A183" s="41"/>
      <c r="B183" s="84" t="s">
        <v>3484</v>
      </c>
      <c r="C183" s="110" t="s">
        <v>3674</v>
      </c>
      <c r="D183" s="18"/>
      <c r="E183" s="18"/>
      <c r="F183" s="41"/>
      <c r="G183" s="41"/>
      <c r="H183" s="41"/>
      <c r="I183" s="41"/>
      <c r="J183" s="41"/>
      <c r="K183" s="41"/>
      <c r="L183" s="41"/>
      <c r="M183" s="41"/>
      <c r="N183" s="41"/>
      <c r="O183" s="41"/>
      <c r="P183" s="41"/>
      <c r="Q183" s="41"/>
      <c r="R183" s="41"/>
      <c r="S183" s="41"/>
      <c r="T183" s="41"/>
      <c r="U183" s="41"/>
      <c r="V183" s="41"/>
      <c r="W183" s="41"/>
      <c r="X183" s="41"/>
      <c r="Y183" s="41"/>
      <c r="Z183" s="41"/>
    </row>
    <row r="184" ht="19.5" customHeight="1">
      <c r="A184" s="41"/>
      <c r="B184" s="84" t="s">
        <v>3485</v>
      </c>
      <c r="C184" s="110" t="str">
        <f>CONCATENATE(other_instance,"-w01","-cl01-vsan01")</f>
        <v>sfo-w01-cl01-vsan01</v>
      </c>
      <c r="D184" s="18"/>
      <c r="E184" s="18"/>
      <c r="F184" s="41"/>
      <c r="G184" s="41"/>
      <c r="H184" s="41"/>
      <c r="I184" s="41"/>
      <c r="J184" s="41"/>
      <c r="K184" s="41"/>
      <c r="L184" s="41"/>
      <c r="M184" s="41"/>
      <c r="N184" s="41"/>
      <c r="O184" s="41"/>
      <c r="P184" s="41"/>
      <c r="Q184" s="41"/>
      <c r="R184" s="41"/>
      <c r="S184" s="41"/>
      <c r="T184" s="41"/>
      <c r="U184" s="41"/>
      <c r="V184" s="41"/>
      <c r="W184" s="41"/>
      <c r="X184" s="41"/>
      <c r="Y184" s="41"/>
      <c r="Z184" s="41"/>
    </row>
    <row r="185" ht="19.5" customHeight="1">
      <c r="A185" s="41"/>
      <c r="B185" s="84" t="s">
        <v>3486</v>
      </c>
      <c r="C185" s="110" t="s">
        <v>3675</v>
      </c>
      <c r="D185" s="18"/>
      <c r="E185" s="18" t="s">
        <v>3676</v>
      </c>
      <c r="F185" s="41"/>
      <c r="G185" s="41"/>
      <c r="H185" s="41"/>
      <c r="I185" s="41"/>
      <c r="J185" s="41"/>
      <c r="K185" s="41"/>
      <c r="L185" s="41"/>
      <c r="M185" s="41"/>
      <c r="N185" s="41"/>
      <c r="O185" s="41"/>
      <c r="P185" s="41"/>
      <c r="Q185" s="41"/>
      <c r="R185" s="41"/>
      <c r="S185" s="41"/>
      <c r="T185" s="41"/>
      <c r="U185" s="41"/>
      <c r="V185" s="41"/>
      <c r="W185" s="41"/>
      <c r="X185" s="41"/>
      <c r="Y185" s="41"/>
      <c r="Z185" s="41"/>
    </row>
    <row r="186" ht="19.5" customHeight="1">
      <c r="A186" s="41"/>
      <c r="B186" s="84" t="s">
        <v>3677</v>
      </c>
      <c r="C186" s="110">
        <v>200.0</v>
      </c>
      <c r="D186" s="18"/>
      <c r="E186" s="18" t="s">
        <v>3676</v>
      </c>
      <c r="F186" s="41"/>
      <c r="G186" s="41"/>
      <c r="H186" s="41"/>
      <c r="I186" s="41"/>
      <c r="J186" s="41"/>
      <c r="K186" s="41"/>
      <c r="L186" s="41"/>
      <c r="M186" s="41"/>
      <c r="N186" s="41"/>
      <c r="O186" s="41"/>
      <c r="P186" s="41"/>
      <c r="Q186" s="41"/>
      <c r="R186" s="41"/>
      <c r="S186" s="41"/>
      <c r="T186" s="41"/>
      <c r="U186" s="41"/>
      <c r="V186" s="41"/>
      <c r="W186" s="41"/>
      <c r="X186" s="41"/>
      <c r="Y186" s="41"/>
      <c r="Z186" s="41"/>
    </row>
    <row r="187" ht="19.5" customHeight="1">
      <c r="A187" s="41"/>
      <c r="B187" s="84" t="s">
        <v>3487</v>
      </c>
      <c r="C187" s="110" t="s">
        <v>3678</v>
      </c>
      <c r="D187" s="18"/>
      <c r="E187" s="18"/>
      <c r="F187" s="41"/>
      <c r="G187" s="41"/>
      <c r="H187" s="41"/>
      <c r="I187" s="41"/>
      <c r="J187" s="41"/>
      <c r="K187" s="41"/>
      <c r="L187" s="41"/>
      <c r="M187" s="41"/>
      <c r="N187" s="41"/>
      <c r="O187" s="41"/>
      <c r="P187" s="41"/>
      <c r="Q187" s="41"/>
      <c r="R187" s="41"/>
      <c r="S187" s="41"/>
      <c r="T187" s="41"/>
      <c r="U187" s="41"/>
      <c r="V187" s="41"/>
      <c r="W187" s="41"/>
      <c r="X187" s="41"/>
      <c r="Y187" s="41"/>
      <c r="Z187" s="41"/>
    </row>
    <row r="188" ht="19.5" customHeight="1">
      <c r="A188" s="41"/>
      <c r="B188" s="84" t="s">
        <v>3489</v>
      </c>
      <c r="C188" s="110" t="s">
        <v>3679</v>
      </c>
      <c r="D188" s="18"/>
      <c r="E188" s="18"/>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1"/>
      <c r="D189" s="1"/>
      <c r="E189" s="1"/>
      <c r="F189" s="41"/>
      <c r="G189" s="41"/>
      <c r="H189" s="41"/>
      <c r="I189" s="41"/>
      <c r="J189" s="41"/>
      <c r="K189" s="41"/>
      <c r="L189" s="41"/>
      <c r="M189" s="41"/>
      <c r="N189" s="41"/>
      <c r="O189" s="41"/>
      <c r="P189" s="41"/>
      <c r="Q189" s="41"/>
      <c r="R189" s="41"/>
      <c r="S189" s="41"/>
      <c r="T189" s="41"/>
      <c r="U189" s="41"/>
      <c r="V189" s="41"/>
      <c r="W189" s="41"/>
      <c r="X189" s="41"/>
      <c r="Y189" s="41"/>
      <c r="Z189" s="41"/>
    </row>
    <row r="190" ht="31.5" customHeight="1">
      <c r="A190" s="41"/>
      <c r="B190" s="184" t="s">
        <v>3680</v>
      </c>
      <c r="C190" s="13"/>
      <c r="D190" s="13"/>
      <c r="E190" s="14"/>
      <c r="F190" s="41"/>
      <c r="G190" s="41"/>
      <c r="H190" s="41"/>
      <c r="I190" s="41"/>
      <c r="J190" s="41"/>
      <c r="K190" s="41"/>
      <c r="L190" s="41"/>
      <c r="M190" s="41"/>
      <c r="N190" s="41"/>
      <c r="O190" s="41"/>
      <c r="P190" s="41"/>
      <c r="Q190" s="41"/>
      <c r="R190" s="41"/>
      <c r="S190" s="41"/>
      <c r="T190" s="41"/>
      <c r="U190" s="41"/>
      <c r="V190" s="41"/>
      <c r="W190" s="41"/>
      <c r="X190" s="41"/>
      <c r="Y190" s="41"/>
      <c r="Z190" s="41"/>
    </row>
    <row r="191" ht="19.5" customHeight="1">
      <c r="A191" s="41"/>
      <c r="B191" s="17"/>
      <c r="C191" s="13"/>
      <c r="D191" s="13"/>
      <c r="E191" s="14"/>
      <c r="F191" s="41"/>
      <c r="G191" s="41"/>
      <c r="H191" s="41"/>
      <c r="I191" s="41"/>
      <c r="J191" s="41"/>
      <c r="K191" s="41"/>
      <c r="L191" s="41"/>
      <c r="M191" s="41"/>
      <c r="N191" s="41"/>
      <c r="O191" s="41"/>
      <c r="P191" s="41"/>
      <c r="Q191" s="41"/>
      <c r="R191" s="41"/>
      <c r="S191" s="41"/>
      <c r="T191" s="41"/>
      <c r="U191" s="41"/>
      <c r="V191" s="41"/>
      <c r="W191" s="41"/>
      <c r="X191" s="41"/>
      <c r="Y191" s="41"/>
      <c r="Z191" s="41"/>
    </row>
    <row r="192" ht="19.5" customHeight="1">
      <c r="A192" s="41"/>
      <c r="B192" s="49" t="s">
        <v>37</v>
      </c>
      <c r="C192" s="49" t="s">
        <v>273</v>
      </c>
      <c r="D192" s="49" t="s">
        <v>274</v>
      </c>
      <c r="E192" s="49" t="s">
        <v>5</v>
      </c>
      <c r="F192" s="41"/>
      <c r="G192" s="41"/>
      <c r="H192" s="41"/>
      <c r="I192" s="41"/>
      <c r="J192" s="41"/>
      <c r="K192" s="41"/>
      <c r="L192" s="41"/>
      <c r="M192" s="41"/>
      <c r="N192" s="41"/>
      <c r="O192" s="41"/>
      <c r="P192" s="41"/>
      <c r="Q192" s="41"/>
      <c r="R192" s="41"/>
      <c r="S192" s="41"/>
      <c r="T192" s="41"/>
      <c r="U192" s="41"/>
      <c r="V192" s="41"/>
      <c r="W192" s="41"/>
      <c r="X192" s="41"/>
      <c r="Y192" s="41"/>
      <c r="Z192" s="41"/>
    </row>
    <row r="193" ht="19.5" customHeight="1">
      <c r="A193" s="41"/>
      <c r="B193" s="84" t="s">
        <v>3681</v>
      </c>
      <c r="C193" s="111" t="str">
        <f>sample_wld_rwr_recovery_site_vc_fqdn</f>
        <v>sfo-w01-vc01.sfo.rainpole.io</v>
      </c>
      <c r="D193" s="18"/>
      <c r="E193" s="18"/>
      <c r="F193" s="41"/>
      <c r="G193" s="41"/>
      <c r="H193" s="41"/>
      <c r="I193" s="41"/>
      <c r="J193" s="41"/>
      <c r="K193" s="41"/>
      <c r="L193" s="41"/>
      <c r="M193" s="41"/>
      <c r="N193" s="41"/>
      <c r="O193" s="41"/>
      <c r="P193" s="41"/>
      <c r="Q193" s="41"/>
      <c r="R193" s="41"/>
      <c r="S193" s="41"/>
      <c r="T193" s="41"/>
      <c r="U193" s="41"/>
      <c r="V193" s="41"/>
      <c r="W193" s="41"/>
      <c r="X193" s="41"/>
      <c r="Y193" s="41"/>
      <c r="Z193" s="41"/>
    </row>
    <row r="194" ht="19.5" customHeight="1">
      <c r="A194" s="41"/>
      <c r="B194" s="84" t="s">
        <v>3682</v>
      </c>
      <c r="C194" s="110" t="str">
        <f>CONCATENATE(other_instance,"-w01-seg01-","rwr-ire")</f>
        <v>sfo-w01-seg01-rwr-ire</v>
      </c>
      <c r="D194" s="18"/>
      <c r="E194" s="18"/>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1"/>
      <c r="D195" s="1"/>
      <c r="E195" s="1"/>
      <c r="F195" s="41"/>
      <c r="G195" s="41"/>
      <c r="H195" s="41"/>
      <c r="I195" s="41"/>
      <c r="J195" s="41"/>
      <c r="K195" s="41"/>
      <c r="L195" s="41"/>
      <c r="M195" s="41"/>
      <c r="N195" s="41"/>
      <c r="O195" s="41"/>
      <c r="P195" s="41"/>
      <c r="Q195" s="41"/>
      <c r="R195" s="41"/>
      <c r="S195" s="41"/>
      <c r="T195" s="41"/>
      <c r="U195" s="41"/>
      <c r="V195" s="41"/>
      <c r="W195" s="41"/>
      <c r="X195" s="41"/>
      <c r="Y195" s="41"/>
      <c r="Z195" s="41"/>
    </row>
    <row r="196" ht="31.5" customHeight="1">
      <c r="A196" s="41"/>
      <c r="B196" s="184" t="s">
        <v>3405</v>
      </c>
      <c r="C196" s="13"/>
      <c r="D196" s="13"/>
      <c r="E196" s="14"/>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1"/>
      <c r="D197" s="1"/>
      <c r="E197" s="1"/>
      <c r="F197" s="41"/>
      <c r="G197" s="41"/>
      <c r="H197" s="41"/>
      <c r="I197" s="41"/>
      <c r="J197" s="41"/>
      <c r="K197" s="41"/>
      <c r="L197" s="41"/>
      <c r="M197" s="41"/>
      <c r="N197" s="41"/>
      <c r="O197" s="41"/>
      <c r="P197" s="41"/>
      <c r="Q197" s="41"/>
      <c r="R197" s="41"/>
      <c r="S197" s="41"/>
      <c r="T197" s="41"/>
      <c r="U197" s="41"/>
      <c r="V197" s="41"/>
      <c r="W197" s="41"/>
      <c r="X197" s="41"/>
      <c r="Y197" s="41"/>
      <c r="Z197" s="41"/>
    </row>
    <row r="198" ht="31.5" customHeight="1">
      <c r="A198" s="41"/>
      <c r="B198" s="184" t="s">
        <v>3683</v>
      </c>
      <c r="C198" s="13"/>
      <c r="D198" s="13"/>
      <c r="E198" s="14"/>
      <c r="F198" s="41"/>
      <c r="G198" s="41"/>
      <c r="H198" s="41"/>
      <c r="I198" s="41"/>
      <c r="J198" s="41"/>
      <c r="K198" s="41"/>
      <c r="L198" s="41"/>
      <c r="M198" s="41"/>
      <c r="N198" s="41"/>
      <c r="O198" s="41"/>
      <c r="P198" s="41"/>
      <c r="Q198" s="41"/>
      <c r="R198" s="41"/>
      <c r="S198" s="41"/>
      <c r="T198" s="41"/>
      <c r="U198" s="41"/>
      <c r="V198" s="41"/>
      <c r="W198" s="41"/>
      <c r="X198" s="41"/>
      <c r="Y198" s="41"/>
      <c r="Z198" s="41"/>
    </row>
    <row r="199" ht="19.5" customHeight="1">
      <c r="A199" s="41"/>
      <c r="B199" s="17"/>
      <c r="C199" s="13"/>
      <c r="D199" s="13"/>
      <c r="E199" s="14"/>
      <c r="F199" s="41"/>
      <c r="G199" s="41"/>
      <c r="H199" s="41"/>
      <c r="I199" s="41"/>
      <c r="J199" s="41"/>
      <c r="K199" s="41"/>
      <c r="L199" s="41"/>
      <c r="M199" s="41"/>
      <c r="N199" s="41"/>
      <c r="O199" s="41"/>
      <c r="P199" s="41"/>
      <c r="Q199" s="41"/>
      <c r="R199" s="41"/>
      <c r="S199" s="41"/>
      <c r="T199" s="41"/>
      <c r="U199" s="41"/>
      <c r="V199" s="41"/>
      <c r="W199" s="41"/>
      <c r="X199" s="41"/>
      <c r="Y199" s="41"/>
      <c r="Z199" s="41"/>
    </row>
    <row r="200" ht="19.5" customHeight="1">
      <c r="A200" s="41"/>
      <c r="B200" s="49" t="s">
        <v>37</v>
      </c>
      <c r="C200" s="49" t="s">
        <v>273</v>
      </c>
      <c r="D200" s="49" t="s">
        <v>274</v>
      </c>
      <c r="E200" s="49" t="s">
        <v>5</v>
      </c>
      <c r="F200" s="41"/>
      <c r="G200" s="41"/>
      <c r="H200" s="41"/>
      <c r="I200" s="41"/>
      <c r="J200" s="41"/>
      <c r="K200" s="41"/>
      <c r="L200" s="41"/>
      <c r="M200" s="41"/>
      <c r="N200" s="41"/>
      <c r="O200" s="41"/>
      <c r="P200" s="41"/>
      <c r="Q200" s="41"/>
      <c r="R200" s="41"/>
      <c r="S200" s="41"/>
      <c r="T200" s="41"/>
      <c r="U200" s="41"/>
      <c r="V200" s="41"/>
      <c r="W200" s="41"/>
      <c r="X200" s="41"/>
      <c r="Y200" s="41"/>
      <c r="Z200" s="41"/>
    </row>
    <row r="201" ht="19.5" customHeight="1">
      <c r="A201" s="41"/>
      <c r="B201" s="84" t="s">
        <v>3442</v>
      </c>
      <c r="C201" s="111" t="str">
        <f>sample_wld_rwr_vc_fqdn</f>
        <v>lax-w01-vc01.lax.rainpole.io</v>
      </c>
      <c r="D201" s="18" t="str">
        <f>wld_rwr_vc_fqdn</f>
        <v>Value Missing</v>
      </c>
      <c r="E201" s="18"/>
      <c r="F201" s="41"/>
      <c r="G201" s="41"/>
      <c r="H201" s="41"/>
      <c r="I201" s="41"/>
      <c r="J201" s="41"/>
      <c r="K201" s="41"/>
      <c r="L201" s="41"/>
      <c r="M201" s="41"/>
      <c r="N201" s="41"/>
      <c r="O201" s="41"/>
      <c r="P201" s="41"/>
      <c r="Q201" s="41"/>
      <c r="R201" s="41"/>
      <c r="S201" s="41"/>
      <c r="T201" s="41"/>
      <c r="U201" s="41"/>
      <c r="V201" s="41"/>
      <c r="W201" s="41"/>
      <c r="X201" s="41"/>
      <c r="Y201" s="41"/>
      <c r="Z201" s="41"/>
    </row>
    <row r="202" ht="19.5" customHeight="1">
      <c r="A202" s="41"/>
      <c r="B202" s="84" t="s">
        <v>200</v>
      </c>
      <c r="C202" s="110" t="str">
        <f>sample_rwr_sso_domain_name</f>
        <v>lax-w01.local</v>
      </c>
      <c r="D202" s="18" t="str">
        <f>rwr_sso_domain_name</f>
        <v>Value Missing</v>
      </c>
      <c r="E202" s="18"/>
      <c r="F202" s="41"/>
      <c r="G202" s="41"/>
      <c r="H202" s="41"/>
      <c r="I202" s="41"/>
      <c r="J202" s="41"/>
      <c r="K202" s="41"/>
      <c r="L202" s="41"/>
      <c r="M202" s="41"/>
      <c r="N202" s="41"/>
      <c r="O202" s="41"/>
      <c r="P202" s="41"/>
      <c r="Q202" s="41"/>
      <c r="R202" s="41"/>
      <c r="S202" s="41"/>
      <c r="T202" s="41"/>
      <c r="U202" s="41"/>
      <c r="V202" s="41"/>
      <c r="W202" s="41"/>
      <c r="X202" s="41"/>
      <c r="Y202" s="41"/>
      <c r="Z202" s="41"/>
    </row>
    <row r="203" ht="19.5" customHeight="1">
      <c r="A203" s="41"/>
      <c r="B203" s="84" t="s">
        <v>3684</v>
      </c>
      <c r="C203" s="110" t="str">
        <f>CONCATENATE(this_instance,"-svc-vcfops-vlsr")</f>
        <v>lax-svc-vcfops-vlsr</v>
      </c>
      <c r="D203" s="18"/>
      <c r="E203" s="18" t="s">
        <v>3561</v>
      </c>
      <c r="F203" s="41"/>
      <c r="G203" s="41"/>
      <c r="H203" s="41"/>
      <c r="I203" s="41"/>
      <c r="J203" s="41"/>
      <c r="K203" s="41"/>
      <c r="L203" s="41"/>
      <c r="M203" s="41"/>
      <c r="N203" s="41"/>
      <c r="O203" s="41"/>
      <c r="P203" s="41"/>
      <c r="Q203" s="41"/>
      <c r="R203" s="41"/>
      <c r="S203" s="41"/>
      <c r="T203" s="41"/>
      <c r="U203" s="41"/>
      <c r="V203" s="41"/>
      <c r="W203" s="41"/>
      <c r="X203" s="41"/>
      <c r="Y203" s="41"/>
      <c r="Z203" s="41"/>
    </row>
    <row r="204" ht="19.5" customHeight="1">
      <c r="A204" s="41"/>
      <c r="B204" s="84" t="s">
        <v>3685</v>
      </c>
      <c r="C204" s="110" t="s">
        <v>297</v>
      </c>
      <c r="D204" s="18"/>
      <c r="E204" s="18"/>
      <c r="F204" s="41"/>
      <c r="G204" s="41"/>
      <c r="H204" s="41"/>
      <c r="I204" s="41"/>
      <c r="J204" s="41"/>
      <c r="K204" s="41"/>
      <c r="L204" s="41"/>
      <c r="M204" s="41"/>
      <c r="N204" s="41"/>
      <c r="O204" s="41"/>
      <c r="P204" s="41"/>
      <c r="Q204" s="41"/>
      <c r="R204" s="41"/>
      <c r="S204" s="41"/>
      <c r="T204" s="41"/>
      <c r="U204" s="41"/>
      <c r="V204" s="41"/>
      <c r="W204" s="41"/>
      <c r="X204" s="41"/>
      <c r="Y204" s="41"/>
      <c r="Z204" s="41"/>
    </row>
    <row r="205" ht="19.5" customHeight="1">
      <c r="A205" s="41"/>
      <c r="B205" s="84" t="s">
        <v>3443</v>
      </c>
      <c r="C205" s="110" t="str">
        <f>CONCATENATE(this_instance,"-svc-vcfops-vr")</f>
        <v>lax-svc-vcfops-vr</v>
      </c>
      <c r="D205" s="18"/>
      <c r="E205" s="18"/>
      <c r="F205" s="41"/>
      <c r="G205" s="41"/>
      <c r="H205" s="41"/>
      <c r="I205" s="41"/>
      <c r="J205" s="41"/>
      <c r="K205" s="41"/>
      <c r="L205" s="41"/>
      <c r="M205" s="41"/>
      <c r="N205" s="41"/>
      <c r="O205" s="41"/>
      <c r="P205" s="41"/>
      <c r="Q205" s="41"/>
      <c r="R205" s="41"/>
      <c r="S205" s="41"/>
      <c r="T205" s="41"/>
      <c r="U205" s="41"/>
      <c r="V205" s="41"/>
      <c r="W205" s="41"/>
      <c r="X205" s="41"/>
      <c r="Y205" s="41"/>
      <c r="Z205" s="41"/>
    </row>
    <row r="206" ht="19.5" customHeight="1">
      <c r="A206" s="41"/>
      <c r="B206" s="84" t="s">
        <v>3444</v>
      </c>
      <c r="C206" s="110" t="s">
        <v>297</v>
      </c>
      <c r="D206" s="18"/>
      <c r="E206" s="18"/>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1"/>
      <c r="D207" s="1"/>
      <c r="E207" s="1"/>
      <c r="F207" s="41"/>
      <c r="G207" s="41"/>
      <c r="H207" s="41"/>
      <c r="I207" s="41"/>
      <c r="J207" s="41"/>
      <c r="K207" s="41"/>
      <c r="L207" s="41"/>
      <c r="M207" s="41"/>
      <c r="N207" s="41"/>
      <c r="O207" s="41"/>
      <c r="P207" s="41"/>
      <c r="Q207" s="41"/>
      <c r="R207" s="41"/>
      <c r="S207" s="41"/>
      <c r="T207" s="41"/>
      <c r="U207" s="41"/>
      <c r="V207" s="41"/>
      <c r="W207" s="41"/>
      <c r="X207" s="41"/>
      <c r="Y207" s="41"/>
      <c r="Z207" s="41"/>
    </row>
    <row r="208" ht="31.5" customHeight="1">
      <c r="A208" s="41"/>
      <c r="B208" s="184" t="s">
        <v>3686</v>
      </c>
      <c r="C208" s="13"/>
      <c r="D208" s="13"/>
      <c r="E208" s="14"/>
      <c r="F208" s="41"/>
      <c r="G208" s="41"/>
      <c r="H208" s="41"/>
      <c r="I208" s="41"/>
      <c r="J208" s="41"/>
      <c r="K208" s="41"/>
      <c r="L208" s="41"/>
      <c r="M208" s="41"/>
      <c r="N208" s="41"/>
      <c r="O208" s="41"/>
      <c r="P208" s="41"/>
      <c r="Q208" s="41"/>
      <c r="R208" s="41"/>
      <c r="S208" s="41"/>
      <c r="T208" s="41"/>
      <c r="U208" s="41"/>
      <c r="V208" s="41"/>
      <c r="W208" s="41"/>
      <c r="X208" s="41"/>
      <c r="Y208" s="41"/>
      <c r="Z208" s="41"/>
    </row>
    <row r="209" ht="19.5" customHeight="1">
      <c r="A209" s="41"/>
      <c r="B209" s="17"/>
      <c r="C209" s="13"/>
      <c r="D209" s="13"/>
      <c r="E209" s="14"/>
      <c r="F209" s="41"/>
      <c r="G209" s="41"/>
      <c r="H209" s="41"/>
      <c r="I209" s="41"/>
      <c r="J209" s="41"/>
      <c r="K209" s="41"/>
      <c r="L209" s="41"/>
      <c r="M209" s="41"/>
      <c r="N209" s="41"/>
      <c r="O209" s="41"/>
      <c r="P209" s="41"/>
      <c r="Q209" s="41"/>
      <c r="R209" s="41"/>
      <c r="S209" s="41"/>
      <c r="T209" s="41"/>
      <c r="U209" s="41"/>
      <c r="V209" s="41"/>
      <c r="W209" s="41"/>
      <c r="X209" s="41"/>
      <c r="Y209" s="41"/>
      <c r="Z209" s="41"/>
    </row>
    <row r="210" ht="19.5" customHeight="1">
      <c r="A210" s="41"/>
      <c r="B210" s="49" t="s">
        <v>37</v>
      </c>
      <c r="C210" s="49" t="s">
        <v>273</v>
      </c>
      <c r="D210" s="49" t="s">
        <v>274</v>
      </c>
      <c r="E210" s="49" t="s">
        <v>5</v>
      </c>
      <c r="F210" s="41"/>
      <c r="G210" s="41"/>
      <c r="H210" s="41"/>
      <c r="I210" s="41"/>
      <c r="J210" s="41"/>
      <c r="K210" s="41"/>
      <c r="L210" s="41"/>
      <c r="M210" s="41"/>
      <c r="N210" s="41"/>
      <c r="O210" s="41"/>
      <c r="P210" s="41"/>
      <c r="Q210" s="41"/>
      <c r="R210" s="41"/>
      <c r="S210" s="41"/>
      <c r="T210" s="41"/>
      <c r="U210" s="41"/>
      <c r="V210" s="41"/>
      <c r="W210" s="41"/>
      <c r="X210" s="41"/>
      <c r="Y210" s="41"/>
      <c r="Z210" s="41"/>
    </row>
    <row r="211" ht="19.5" customHeight="1">
      <c r="A211" s="41"/>
      <c r="B211" s="84" t="s">
        <v>3442</v>
      </c>
      <c r="C211" s="111" t="str">
        <f>sample_wld_rwr_vc_fqdn</f>
        <v>lax-w01-vc01.lax.rainpole.io</v>
      </c>
      <c r="D211" s="18" t="str">
        <f>wld_rwr_vc_fqdn</f>
        <v>Value Missing</v>
      </c>
      <c r="E211" s="18"/>
      <c r="F211" s="41"/>
      <c r="G211" s="41"/>
      <c r="H211" s="41"/>
      <c r="I211" s="41"/>
      <c r="J211" s="41"/>
      <c r="K211" s="41"/>
      <c r="L211" s="41"/>
      <c r="M211" s="41"/>
      <c r="N211" s="41"/>
      <c r="O211" s="41"/>
      <c r="P211" s="41"/>
      <c r="Q211" s="41"/>
      <c r="R211" s="41"/>
      <c r="S211" s="41"/>
      <c r="T211" s="41"/>
      <c r="U211" s="41"/>
      <c r="V211" s="41"/>
      <c r="W211" s="41"/>
      <c r="X211" s="41"/>
      <c r="Y211" s="41"/>
      <c r="Z211" s="41"/>
    </row>
    <row r="212" ht="19.5" customHeight="1">
      <c r="A212" s="41"/>
      <c r="B212" s="84" t="s">
        <v>200</v>
      </c>
      <c r="C212" s="110" t="str">
        <f>sample_rwr_sso_domain_name</f>
        <v>lax-w01.local</v>
      </c>
      <c r="D212" s="18" t="str">
        <f>rwr_sso_domain_name</f>
        <v>Value Missing</v>
      </c>
      <c r="E212" s="18"/>
      <c r="F212" s="41"/>
      <c r="G212" s="41"/>
      <c r="H212" s="41"/>
      <c r="I212" s="41"/>
      <c r="J212" s="41"/>
      <c r="K212" s="41"/>
      <c r="L212" s="41"/>
      <c r="M212" s="41"/>
      <c r="N212" s="41"/>
      <c r="O212" s="41"/>
      <c r="P212" s="41"/>
      <c r="Q212" s="41"/>
      <c r="R212" s="41"/>
      <c r="S212" s="41"/>
      <c r="T212" s="41"/>
      <c r="U212" s="41"/>
      <c r="V212" s="41"/>
      <c r="W212" s="41"/>
      <c r="X212" s="41"/>
      <c r="Y212" s="41"/>
      <c r="Z212" s="41"/>
    </row>
    <row r="213" ht="19.5" customHeight="1">
      <c r="A213" s="41"/>
      <c r="B213" s="84" t="s">
        <v>3687</v>
      </c>
      <c r="C213" s="110" t="s">
        <v>3561</v>
      </c>
      <c r="D213" s="18"/>
      <c r="E213" s="18"/>
      <c r="F213" s="41"/>
      <c r="G213" s="41"/>
      <c r="H213" s="41"/>
      <c r="I213" s="41"/>
      <c r="J213" s="41"/>
      <c r="K213" s="41"/>
      <c r="L213" s="41"/>
      <c r="M213" s="41"/>
      <c r="N213" s="41"/>
      <c r="O213" s="41"/>
      <c r="P213" s="41"/>
      <c r="Q213" s="41"/>
      <c r="R213" s="41"/>
      <c r="S213" s="41"/>
      <c r="T213" s="41"/>
      <c r="U213" s="41"/>
      <c r="V213" s="41"/>
      <c r="W213" s="41"/>
      <c r="X213" s="41"/>
      <c r="Y213" s="41"/>
      <c r="Z213" s="41"/>
    </row>
    <row r="214" ht="19.5" customHeight="1">
      <c r="A214" s="41"/>
      <c r="B214" s="84" t="s">
        <v>3688</v>
      </c>
      <c r="C214" s="110" t="s">
        <v>3569</v>
      </c>
      <c r="D214" s="18"/>
      <c r="E214" s="18"/>
      <c r="F214" s="41"/>
      <c r="G214" s="41"/>
      <c r="H214" s="41"/>
      <c r="I214" s="41"/>
      <c r="J214" s="41"/>
      <c r="K214" s="41"/>
      <c r="L214" s="41"/>
      <c r="M214" s="41"/>
      <c r="N214" s="41"/>
      <c r="O214" s="41"/>
      <c r="P214" s="41"/>
      <c r="Q214" s="41"/>
      <c r="R214" s="41"/>
      <c r="S214" s="41"/>
      <c r="T214" s="41"/>
      <c r="U214" s="41"/>
      <c r="V214" s="41"/>
      <c r="W214" s="41"/>
      <c r="X214" s="41"/>
      <c r="Y214" s="41"/>
      <c r="Z214" s="41"/>
    </row>
    <row r="215" ht="19.5" customHeight="1">
      <c r="A215" s="41"/>
      <c r="B215" s="84" t="s">
        <v>3689</v>
      </c>
      <c r="C215" s="110" t="s">
        <v>3564</v>
      </c>
      <c r="D215" s="18"/>
      <c r="E215" s="18"/>
      <c r="F215" s="41"/>
      <c r="G215" s="41"/>
      <c r="H215" s="41"/>
      <c r="I215" s="41"/>
      <c r="J215" s="41"/>
      <c r="K215" s="41"/>
      <c r="L215" s="41"/>
      <c r="M215" s="41"/>
      <c r="N215" s="41"/>
      <c r="O215" s="41"/>
      <c r="P215" s="41"/>
      <c r="Q215" s="41"/>
      <c r="R215" s="41"/>
      <c r="S215" s="41"/>
      <c r="T215" s="41"/>
      <c r="U215" s="41"/>
      <c r="V215" s="41"/>
      <c r="W215" s="41"/>
      <c r="X215" s="41"/>
      <c r="Y215" s="41"/>
      <c r="Z215" s="41"/>
    </row>
    <row r="216" ht="19.5" customHeight="1">
      <c r="A216" s="41"/>
      <c r="B216" s="84" t="s">
        <v>3690</v>
      </c>
      <c r="C216" s="110" t="s">
        <v>3572</v>
      </c>
      <c r="D216" s="18"/>
      <c r="E216" s="18"/>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1"/>
      <c r="D217" s="1"/>
      <c r="E217" s="1"/>
      <c r="F217" s="41"/>
      <c r="G217" s="41"/>
      <c r="H217" s="41"/>
      <c r="I217" s="41"/>
      <c r="J217" s="41"/>
      <c r="K217" s="41"/>
      <c r="L217" s="41"/>
      <c r="M217" s="41"/>
      <c r="N217" s="41"/>
      <c r="O217" s="41"/>
      <c r="P217" s="41"/>
      <c r="Q217" s="41"/>
      <c r="R217" s="41"/>
      <c r="S217" s="41"/>
      <c r="T217" s="41"/>
      <c r="U217" s="41"/>
      <c r="V217" s="41"/>
      <c r="W217" s="41"/>
      <c r="X217" s="41"/>
      <c r="Y217" s="41"/>
      <c r="Z217" s="41"/>
    </row>
    <row r="218" ht="31.5" customHeight="1">
      <c r="A218" s="41"/>
      <c r="B218" s="184" t="s">
        <v>3691</v>
      </c>
      <c r="C218" s="13"/>
      <c r="D218" s="13"/>
      <c r="E218" s="14"/>
      <c r="F218" s="41"/>
      <c r="G218" s="41"/>
      <c r="H218" s="41"/>
      <c r="I218" s="41"/>
      <c r="J218" s="41"/>
      <c r="K218" s="41"/>
      <c r="L218" s="41"/>
      <c r="M218" s="41"/>
      <c r="N218" s="41"/>
      <c r="O218" s="41"/>
      <c r="P218" s="41"/>
      <c r="Q218" s="41"/>
      <c r="R218" s="41"/>
      <c r="S218" s="41"/>
      <c r="T218" s="41"/>
      <c r="U218" s="41"/>
      <c r="V218" s="41"/>
      <c r="W218" s="41"/>
      <c r="X218" s="41"/>
      <c r="Y218" s="41"/>
      <c r="Z218" s="41"/>
    </row>
    <row r="219" ht="19.5" customHeight="1">
      <c r="A219" s="41"/>
      <c r="B219" s="17"/>
      <c r="C219" s="13"/>
      <c r="D219" s="13"/>
      <c r="E219" s="14"/>
      <c r="F219" s="41"/>
      <c r="G219" s="41"/>
      <c r="H219" s="41"/>
      <c r="I219" s="41"/>
      <c r="J219" s="41"/>
      <c r="K219" s="41"/>
      <c r="L219" s="41"/>
      <c r="M219" s="41"/>
      <c r="N219" s="41"/>
      <c r="O219" s="41"/>
      <c r="P219" s="41"/>
      <c r="Q219" s="41"/>
      <c r="R219" s="41"/>
      <c r="S219" s="41"/>
      <c r="T219" s="41"/>
      <c r="U219" s="41"/>
      <c r="V219" s="41"/>
      <c r="W219" s="41"/>
      <c r="X219" s="41"/>
      <c r="Y219" s="41"/>
      <c r="Z219" s="41"/>
    </row>
    <row r="220" ht="19.5" customHeight="1">
      <c r="A220" s="41"/>
      <c r="B220" s="49" t="s">
        <v>37</v>
      </c>
      <c r="C220" s="49" t="s">
        <v>273</v>
      </c>
      <c r="D220" s="49" t="s">
        <v>274</v>
      </c>
      <c r="E220" s="49" t="s">
        <v>5</v>
      </c>
      <c r="F220" s="41"/>
      <c r="G220" s="41"/>
      <c r="H220" s="41"/>
      <c r="I220" s="41"/>
      <c r="J220" s="41"/>
      <c r="K220" s="41"/>
      <c r="L220" s="41"/>
      <c r="M220" s="41"/>
      <c r="N220" s="41"/>
      <c r="O220" s="41"/>
      <c r="P220" s="41"/>
      <c r="Q220" s="41"/>
      <c r="R220" s="41"/>
      <c r="S220" s="41"/>
      <c r="T220" s="41"/>
      <c r="U220" s="41"/>
      <c r="V220" s="41"/>
      <c r="W220" s="41"/>
      <c r="X220" s="41"/>
      <c r="Y220" s="41"/>
      <c r="Z220" s="41"/>
    </row>
    <row r="221" ht="19.5" customHeight="1">
      <c r="A221" s="41"/>
      <c r="B221" s="84" t="s">
        <v>3421</v>
      </c>
      <c r="C221" s="111" t="str">
        <f>sample_xreg_vrops_virtual_fqdn</f>
        <v>flt-ops01.rainpole.io</v>
      </c>
      <c r="D221" s="18"/>
      <c r="E221" s="18"/>
      <c r="F221" s="41"/>
      <c r="G221" s="41"/>
      <c r="H221" s="41"/>
      <c r="I221" s="41"/>
      <c r="J221" s="41"/>
      <c r="K221" s="41"/>
      <c r="L221" s="41"/>
      <c r="M221" s="41"/>
      <c r="N221" s="41"/>
      <c r="O221" s="41"/>
      <c r="P221" s="41"/>
      <c r="Q221" s="41"/>
      <c r="R221" s="41"/>
      <c r="S221" s="41"/>
      <c r="T221" s="41"/>
      <c r="U221" s="41"/>
      <c r="V221" s="41"/>
      <c r="W221" s="41"/>
      <c r="X221" s="41"/>
      <c r="Y221" s="41"/>
      <c r="Z221" s="41"/>
    </row>
    <row r="222" ht="19.5" customHeight="1">
      <c r="A222" s="41"/>
      <c r="B222" s="84" t="s">
        <v>3692</v>
      </c>
      <c r="C222" s="110" t="s">
        <v>3576</v>
      </c>
      <c r="D222" s="18"/>
      <c r="E222" s="18"/>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1"/>
      <c r="D223" s="1"/>
      <c r="E223" s="1"/>
      <c r="F223" s="41"/>
      <c r="G223" s="41"/>
      <c r="H223" s="41"/>
      <c r="I223" s="41"/>
      <c r="J223" s="41"/>
      <c r="K223" s="41"/>
      <c r="L223" s="41"/>
      <c r="M223" s="41"/>
      <c r="N223" s="41"/>
      <c r="O223" s="41"/>
      <c r="P223" s="41"/>
      <c r="Q223" s="41"/>
      <c r="R223" s="41"/>
      <c r="S223" s="41"/>
      <c r="T223" s="41"/>
      <c r="U223" s="41"/>
      <c r="V223" s="41"/>
      <c r="W223" s="41"/>
      <c r="X223" s="41"/>
      <c r="Y223" s="41"/>
      <c r="Z223" s="41"/>
    </row>
    <row r="224" ht="31.5" customHeight="1">
      <c r="A224" s="41"/>
      <c r="B224" s="184" t="s">
        <v>3693</v>
      </c>
      <c r="C224" s="13"/>
      <c r="D224" s="13"/>
      <c r="E224" s="14"/>
      <c r="F224" s="41"/>
      <c r="G224" s="41"/>
      <c r="H224" s="41"/>
      <c r="I224" s="41"/>
      <c r="J224" s="41"/>
      <c r="K224" s="41"/>
      <c r="L224" s="41"/>
      <c r="M224" s="41"/>
      <c r="N224" s="41"/>
      <c r="O224" s="41"/>
      <c r="P224" s="41"/>
      <c r="Q224" s="41"/>
      <c r="R224" s="41"/>
      <c r="S224" s="41"/>
      <c r="T224" s="41"/>
      <c r="U224" s="41"/>
      <c r="V224" s="41"/>
      <c r="W224" s="41"/>
      <c r="X224" s="41"/>
      <c r="Y224" s="41"/>
      <c r="Z224" s="41"/>
    </row>
    <row r="225" ht="19.5" customHeight="1">
      <c r="A225" s="41"/>
      <c r="B225" s="17"/>
      <c r="C225" s="13"/>
      <c r="D225" s="13"/>
      <c r="E225" s="14"/>
      <c r="F225" s="41"/>
      <c r="G225" s="41"/>
      <c r="H225" s="41"/>
      <c r="I225" s="41"/>
      <c r="J225" s="41"/>
      <c r="K225" s="41"/>
      <c r="L225" s="41"/>
      <c r="M225" s="41"/>
      <c r="N225" s="41"/>
      <c r="O225" s="41"/>
      <c r="P225" s="41"/>
      <c r="Q225" s="41"/>
      <c r="R225" s="41"/>
      <c r="S225" s="41"/>
      <c r="T225" s="41"/>
      <c r="U225" s="41"/>
      <c r="V225" s="41"/>
      <c r="W225" s="41"/>
      <c r="X225" s="41"/>
      <c r="Y225" s="41"/>
      <c r="Z225" s="41"/>
    </row>
    <row r="226" ht="19.5" customHeight="1">
      <c r="A226" s="41"/>
      <c r="B226" s="49" t="s">
        <v>37</v>
      </c>
      <c r="C226" s="49" t="s">
        <v>273</v>
      </c>
      <c r="D226" s="49" t="s">
        <v>274</v>
      </c>
      <c r="E226" s="49" t="s">
        <v>5</v>
      </c>
      <c r="F226" s="41"/>
      <c r="G226" s="41"/>
      <c r="H226" s="41"/>
      <c r="I226" s="41"/>
      <c r="J226" s="41"/>
      <c r="K226" s="41"/>
      <c r="L226" s="41"/>
      <c r="M226" s="41"/>
      <c r="N226" s="41"/>
      <c r="O226" s="41"/>
      <c r="P226" s="41"/>
      <c r="Q226" s="41"/>
      <c r="R226" s="41"/>
      <c r="S226" s="41"/>
      <c r="T226" s="41"/>
      <c r="U226" s="41"/>
      <c r="V226" s="41"/>
      <c r="W226" s="41"/>
      <c r="X226" s="41"/>
      <c r="Y226" s="41"/>
      <c r="Z226" s="41"/>
    </row>
    <row r="227" ht="19.5" customHeight="1">
      <c r="A227" s="41"/>
      <c r="B227" s="84" t="s">
        <v>3421</v>
      </c>
      <c r="C227" s="111" t="str">
        <f>sample_xreg_vrops_virtual_fqdn</f>
        <v>flt-ops01.rainpole.io</v>
      </c>
      <c r="D227" s="18"/>
      <c r="E227" s="18"/>
      <c r="F227" s="41"/>
      <c r="G227" s="41"/>
      <c r="H227" s="41"/>
      <c r="I227" s="41"/>
      <c r="J227" s="41"/>
      <c r="K227" s="41"/>
      <c r="L227" s="41"/>
      <c r="M227" s="41"/>
      <c r="N227" s="41"/>
      <c r="O227" s="41"/>
      <c r="P227" s="41"/>
      <c r="Q227" s="41"/>
      <c r="R227" s="41"/>
      <c r="S227" s="41"/>
      <c r="T227" s="41"/>
      <c r="U227" s="41"/>
      <c r="V227" s="41"/>
      <c r="W227" s="41"/>
      <c r="X227" s="41"/>
      <c r="Y227" s="41"/>
      <c r="Z227" s="41"/>
    </row>
    <row r="228" ht="19.5" customHeight="1">
      <c r="A228" s="41"/>
      <c r="B228" s="84" t="s">
        <v>256</v>
      </c>
      <c r="C228" s="110" t="str">
        <f>CONCATENATE(sample_wld_sddc_domain,"-vlsr")</f>
        <v>lax-w01-vlsr</v>
      </c>
      <c r="D228" s="18"/>
      <c r="E228" s="18"/>
      <c r="F228" s="41"/>
      <c r="G228" s="41"/>
      <c r="H228" s="41"/>
      <c r="I228" s="41"/>
      <c r="J228" s="41"/>
      <c r="K228" s="41"/>
      <c r="L228" s="41"/>
      <c r="M228" s="41"/>
      <c r="N228" s="41"/>
      <c r="O228" s="41"/>
      <c r="P228" s="41"/>
      <c r="Q228" s="41"/>
      <c r="R228" s="41"/>
      <c r="S228" s="41"/>
      <c r="T228" s="41"/>
      <c r="U228" s="41"/>
      <c r="V228" s="41"/>
      <c r="W228" s="41"/>
      <c r="X228" s="41"/>
      <c r="Y228" s="41"/>
      <c r="Z228" s="41"/>
    </row>
    <row r="229" ht="19.5" customHeight="1">
      <c r="A229" s="41"/>
      <c r="B229" s="84" t="s">
        <v>3694</v>
      </c>
      <c r="C229" s="111" t="str">
        <f>sample_wld_vlr_fqdn</f>
        <v>lax-w01-vlr01.lax.rainpole.io</v>
      </c>
      <c r="D229" s="18"/>
      <c r="E229" s="18"/>
      <c r="F229" s="41"/>
      <c r="G229" s="41"/>
      <c r="H229" s="41"/>
      <c r="I229" s="41"/>
      <c r="J229" s="41"/>
      <c r="K229" s="41"/>
      <c r="L229" s="41"/>
      <c r="M229" s="41"/>
      <c r="N229" s="41"/>
      <c r="O229" s="41"/>
      <c r="P229" s="41"/>
      <c r="Q229" s="41"/>
      <c r="R229" s="41"/>
      <c r="S229" s="41"/>
      <c r="T229" s="41"/>
      <c r="U229" s="41"/>
      <c r="V229" s="41"/>
      <c r="W229" s="41"/>
      <c r="X229" s="41"/>
      <c r="Y229" s="41"/>
      <c r="Z229" s="41"/>
    </row>
    <row r="230" ht="19.5" customHeight="1">
      <c r="A230" s="41"/>
      <c r="B230" s="84" t="s">
        <v>3695</v>
      </c>
      <c r="C230" s="110">
        <v>443.0</v>
      </c>
      <c r="D230" s="18"/>
      <c r="E230" s="18"/>
      <c r="F230" s="41"/>
      <c r="G230" s="41"/>
      <c r="H230" s="41"/>
      <c r="I230" s="41"/>
      <c r="J230" s="41"/>
      <c r="K230" s="41"/>
      <c r="L230" s="41"/>
      <c r="M230" s="41"/>
      <c r="N230" s="41"/>
      <c r="O230" s="41"/>
      <c r="P230" s="41"/>
      <c r="Q230" s="41"/>
      <c r="R230" s="41"/>
      <c r="S230" s="41"/>
      <c r="T230" s="41"/>
      <c r="U230" s="41"/>
      <c r="V230" s="41"/>
      <c r="W230" s="41"/>
      <c r="X230" s="41"/>
      <c r="Y230" s="41"/>
      <c r="Z230" s="41"/>
    </row>
    <row r="231" ht="19.5" customHeight="1">
      <c r="A231" s="41"/>
      <c r="B231" s="84" t="s">
        <v>3696</v>
      </c>
      <c r="C231" s="110" t="str">
        <f>sample_wld_rwr_vcfops_vlsr_username</f>
        <v>lax-svc-vcfops-vlsr</v>
      </c>
      <c r="D231" s="18" t="str">
        <f>CONCATENATE(wld_rwr_vcfops_vlsr_username,"-cred")</f>
        <v>Value Missing-cred</v>
      </c>
      <c r="E231" s="18"/>
      <c r="F231" s="41"/>
      <c r="G231" s="41"/>
      <c r="H231" s="41"/>
      <c r="I231" s="41"/>
      <c r="J231" s="41"/>
      <c r="K231" s="41"/>
      <c r="L231" s="41"/>
      <c r="M231" s="41"/>
      <c r="N231" s="41"/>
      <c r="O231" s="41"/>
      <c r="P231" s="41"/>
      <c r="Q231" s="41"/>
      <c r="R231" s="41"/>
      <c r="S231" s="41"/>
      <c r="T231" s="41"/>
      <c r="U231" s="41"/>
      <c r="V231" s="41"/>
      <c r="W231" s="41"/>
      <c r="X231" s="41"/>
      <c r="Y231" s="41"/>
      <c r="Z231" s="41"/>
    </row>
    <row r="232" ht="19.5" customHeight="1">
      <c r="A232" s="41"/>
      <c r="B232" s="84" t="s">
        <v>575</v>
      </c>
      <c r="C232" s="110" t="str">
        <f>CONCATENATE(sample_wld_rwr_vcfops_vlsr_username,"@",this_instance,"-w01.local")</f>
        <v>lax-svc-vcfops-vlsr@lax-w01.local</v>
      </c>
      <c r="D232" s="18"/>
      <c r="E232" s="18"/>
      <c r="F232" s="41"/>
      <c r="G232" s="41"/>
      <c r="H232" s="41"/>
      <c r="I232" s="41"/>
      <c r="J232" s="41"/>
      <c r="K232" s="41"/>
      <c r="L232" s="41"/>
      <c r="M232" s="41"/>
      <c r="N232" s="41"/>
      <c r="O232" s="41"/>
      <c r="P232" s="41"/>
      <c r="Q232" s="41"/>
      <c r="R232" s="41"/>
      <c r="S232" s="41"/>
      <c r="T232" s="41"/>
      <c r="U232" s="41"/>
      <c r="V232" s="41"/>
      <c r="W232" s="41"/>
      <c r="X232" s="41"/>
      <c r="Y232" s="41"/>
      <c r="Z232" s="41"/>
    </row>
    <row r="233" ht="19.5" customHeight="1">
      <c r="A233" s="41"/>
      <c r="B233" s="84" t="s">
        <v>296</v>
      </c>
      <c r="C233" s="110" t="s">
        <v>297</v>
      </c>
      <c r="D233" s="18"/>
      <c r="E233" s="18"/>
      <c r="F233" s="41"/>
      <c r="G233" s="41"/>
      <c r="H233" s="41"/>
      <c r="I233" s="41"/>
      <c r="J233" s="41"/>
      <c r="K233" s="41"/>
      <c r="L233" s="41"/>
      <c r="M233" s="41"/>
      <c r="N233" s="41"/>
      <c r="O233" s="41"/>
      <c r="P233" s="41"/>
      <c r="Q233" s="41"/>
      <c r="R233" s="41"/>
      <c r="S233" s="41"/>
      <c r="T233" s="41"/>
      <c r="U233" s="41"/>
      <c r="V233" s="41"/>
      <c r="W233" s="41"/>
      <c r="X233" s="41"/>
      <c r="Y233" s="41"/>
      <c r="Z233" s="41"/>
    </row>
    <row r="234" ht="19.5" customHeight="1">
      <c r="A234" s="41"/>
      <c r="B234" s="84" t="s">
        <v>3697</v>
      </c>
      <c r="C234" s="110" t="str">
        <f>CONCATENATE(sample_xreg_vrops_collector_fqdn, " or ", this_instance,"-m01-collector-group")</f>
        <v>lax-cp01.lax.rainpole.io or lax-m01-collector-group</v>
      </c>
      <c r="D234" s="18"/>
      <c r="E234" s="18"/>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1"/>
      <c r="D235" s="1"/>
      <c r="E235" s="1"/>
      <c r="F235" s="41"/>
      <c r="G235" s="41"/>
      <c r="H235" s="41"/>
      <c r="I235" s="41"/>
      <c r="J235" s="41"/>
      <c r="K235" s="41"/>
      <c r="L235" s="41"/>
      <c r="M235" s="41"/>
      <c r="N235" s="41"/>
      <c r="O235" s="41"/>
      <c r="P235" s="41"/>
      <c r="Q235" s="41"/>
      <c r="R235" s="41"/>
      <c r="S235" s="41"/>
      <c r="T235" s="41"/>
      <c r="U235" s="41"/>
      <c r="V235" s="41"/>
      <c r="W235" s="41"/>
      <c r="X235" s="41"/>
      <c r="Y235" s="41"/>
      <c r="Z235" s="41"/>
    </row>
    <row r="236" ht="31.5" customHeight="1">
      <c r="A236" s="41"/>
      <c r="B236" s="184" t="s">
        <v>3698</v>
      </c>
      <c r="C236" s="13"/>
      <c r="D236" s="13"/>
      <c r="E236" s="14"/>
      <c r="F236" s="41"/>
      <c r="G236" s="41"/>
      <c r="H236" s="41"/>
      <c r="I236" s="41"/>
      <c r="J236" s="41"/>
      <c r="K236" s="41"/>
      <c r="L236" s="41"/>
      <c r="M236" s="41"/>
      <c r="N236" s="41"/>
      <c r="O236" s="41"/>
      <c r="P236" s="41"/>
      <c r="Q236" s="41"/>
      <c r="R236" s="41"/>
      <c r="S236" s="41"/>
      <c r="T236" s="41"/>
      <c r="U236" s="41"/>
      <c r="V236" s="41"/>
      <c r="W236" s="41"/>
      <c r="X236" s="41"/>
      <c r="Y236" s="41"/>
      <c r="Z236" s="41"/>
    </row>
    <row r="237" ht="19.5" customHeight="1">
      <c r="A237" s="41"/>
      <c r="B237" s="17"/>
      <c r="C237" s="13"/>
      <c r="D237" s="13"/>
      <c r="E237" s="14"/>
      <c r="F237" s="41"/>
      <c r="G237" s="41"/>
      <c r="H237" s="41"/>
      <c r="I237" s="41"/>
      <c r="J237" s="41"/>
      <c r="K237" s="41"/>
      <c r="L237" s="41"/>
      <c r="M237" s="41"/>
      <c r="N237" s="41"/>
      <c r="O237" s="41"/>
      <c r="P237" s="41"/>
      <c r="Q237" s="41"/>
      <c r="R237" s="41"/>
      <c r="S237" s="41"/>
      <c r="T237" s="41"/>
      <c r="U237" s="41"/>
      <c r="V237" s="41"/>
      <c r="W237" s="41"/>
      <c r="X237" s="41"/>
      <c r="Y237" s="41"/>
      <c r="Z237" s="41"/>
    </row>
    <row r="238" ht="19.5" customHeight="1">
      <c r="A238" s="41"/>
      <c r="B238" s="49" t="s">
        <v>37</v>
      </c>
      <c r="C238" s="49" t="s">
        <v>273</v>
      </c>
      <c r="D238" s="49" t="s">
        <v>274</v>
      </c>
      <c r="E238" s="49" t="s">
        <v>5</v>
      </c>
      <c r="F238" s="41"/>
      <c r="G238" s="41"/>
      <c r="H238" s="41"/>
      <c r="I238" s="41"/>
      <c r="J238" s="41"/>
      <c r="K238" s="41"/>
      <c r="L238" s="41"/>
      <c r="M238" s="41"/>
      <c r="N238" s="41"/>
      <c r="O238" s="41"/>
      <c r="P238" s="41"/>
      <c r="Q238" s="41"/>
      <c r="R238" s="41"/>
      <c r="S238" s="41"/>
      <c r="T238" s="41"/>
      <c r="U238" s="41"/>
      <c r="V238" s="41"/>
      <c r="W238" s="41"/>
      <c r="X238" s="41"/>
      <c r="Y238" s="41"/>
      <c r="Z238" s="41"/>
    </row>
    <row r="239" ht="19.5" customHeight="1">
      <c r="A239" s="41"/>
      <c r="B239" s="84" t="s">
        <v>3421</v>
      </c>
      <c r="C239" s="111" t="str">
        <f>sample_xreg_vrops_virtual_fqdn</f>
        <v>flt-ops01.rainpole.io</v>
      </c>
      <c r="D239" s="18"/>
      <c r="E239" s="18"/>
      <c r="F239" s="41"/>
      <c r="G239" s="41"/>
      <c r="H239" s="41"/>
      <c r="I239" s="41"/>
      <c r="J239" s="41"/>
      <c r="K239" s="41"/>
      <c r="L239" s="41"/>
      <c r="M239" s="41"/>
      <c r="N239" s="41"/>
      <c r="O239" s="41"/>
      <c r="P239" s="41"/>
      <c r="Q239" s="41"/>
      <c r="R239" s="41"/>
      <c r="S239" s="41"/>
      <c r="T239" s="41"/>
      <c r="U239" s="41"/>
      <c r="V239" s="41"/>
      <c r="W239" s="41"/>
      <c r="X239" s="41"/>
      <c r="Y239" s="41"/>
      <c r="Z239" s="41"/>
    </row>
    <row r="240" ht="19.5" customHeight="1">
      <c r="A240" s="41"/>
      <c r="B240" s="84" t="s">
        <v>256</v>
      </c>
      <c r="C240" s="110" t="str">
        <f>CONCATENATE(sample_wld_sddc_domain,"-vr")</f>
        <v>lax-w01-vr</v>
      </c>
      <c r="D240" s="18"/>
      <c r="E240" s="18"/>
      <c r="F240" s="41"/>
      <c r="G240" s="41"/>
      <c r="H240" s="41"/>
      <c r="I240" s="41"/>
      <c r="J240" s="41"/>
      <c r="K240" s="41"/>
      <c r="L240" s="41"/>
      <c r="M240" s="41"/>
      <c r="N240" s="41"/>
      <c r="O240" s="41"/>
      <c r="P240" s="41"/>
      <c r="Q240" s="41"/>
      <c r="R240" s="41"/>
      <c r="S240" s="41"/>
      <c r="T240" s="41"/>
      <c r="U240" s="41"/>
      <c r="V240" s="41"/>
      <c r="W240" s="41"/>
      <c r="X240" s="41"/>
      <c r="Y240" s="41"/>
      <c r="Z240" s="41"/>
    </row>
    <row r="241" ht="19.5" customHeight="1">
      <c r="A241" s="41"/>
      <c r="B241" s="84" t="s">
        <v>3699</v>
      </c>
      <c r="C241" s="111" t="str">
        <f>sample_wld_vc_fqdn</f>
        <v>lax-w01-vc01.lax.rainpole.io</v>
      </c>
      <c r="D241" s="18"/>
      <c r="E241" s="18"/>
      <c r="F241" s="41"/>
      <c r="G241" s="41"/>
      <c r="H241" s="41"/>
      <c r="I241" s="41"/>
      <c r="J241" s="41"/>
      <c r="K241" s="41"/>
      <c r="L241" s="41"/>
      <c r="M241" s="41"/>
      <c r="N241" s="41"/>
      <c r="O241" s="41"/>
      <c r="P241" s="41"/>
      <c r="Q241" s="41"/>
      <c r="R241" s="41"/>
      <c r="S241" s="41"/>
      <c r="T241" s="41"/>
      <c r="U241" s="41"/>
      <c r="V241" s="41"/>
      <c r="W241" s="41"/>
      <c r="X241" s="41"/>
      <c r="Y241" s="41"/>
      <c r="Z241" s="41"/>
    </row>
    <row r="242" ht="19.5" customHeight="1">
      <c r="A242" s="41"/>
      <c r="B242" s="84" t="s">
        <v>3696</v>
      </c>
      <c r="C242" s="110" t="str">
        <f>sample_wld_rwr_vcfops_vr_username</f>
        <v>lax-svc-vcfops-vr</v>
      </c>
      <c r="D242" s="18" t="str">
        <f>CONCATENATE(wld_rwr_vcfops_vr_username,"-cred")</f>
        <v>Value Missing-cred</v>
      </c>
      <c r="E242" s="18"/>
      <c r="F242" s="41"/>
      <c r="G242" s="41"/>
      <c r="H242" s="41"/>
      <c r="I242" s="41"/>
      <c r="J242" s="41"/>
      <c r="K242" s="41"/>
      <c r="L242" s="41"/>
      <c r="M242" s="41"/>
      <c r="N242" s="41"/>
      <c r="O242" s="41"/>
      <c r="P242" s="41"/>
      <c r="Q242" s="41"/>
      <c r="R242" s="41"/>
      <c r="S242" s="41"/>
      <c r="T242" s="41"/>
      <c r="U242" s="41"/>
      <c r="V242" s="41"/>
      <c r="W242" s="41"/>
      <c r="X242" s="41"/>
      <c r="Y242" s="41"/>
      <c r="Z242" s="41"/>
    </row>
    <row r="243" ht="19.5" customHeight="1">
      <c r="A243" s="41"/>
      <c r="B243" s="84" t="s">
        <v>575</v>
      </c>
      <c r="C243" s="110" t="str">
        <f>CONCATENATE(sample_wld_rwr_vcfops_vr_username,,"@",this_instance,"-w01.local")</f>
        <v>lax-svc-vcfops-vr@lax-w01.local</v>
      </c>
      <c r="D243" s="18"/>
      <c r="E243" s="18"/>
      <c r="F243" s="41"/>
      <c r="G243" s="41"/>
      <c r="H243" s="41"/>
      <c r="I243" s="41"/>
      <c r="J243" s="41"/>
      <c r="K243" s="41"/>
      <c r="L243" s="41"/>
      <c r="M243" s="41"/>
      <c r="N243" s="41"/>
      <c r="O243" s="41"/>
      <c r="P243" s="41"/>
      <c r="Q243" s="41"/>
      <c r="R243" s="41"/>
      <c r="S243" s="41"/>
      <c r="T243" s="41"/>
      <c r="U243" s="41"/>
      <c r="V243" s="41"/>
      <c r="W243" s="41"/>
      <c r="X243" s="41"/>
      <c r="Y243" s="41"/>
      <c r="Z243" s="41"/>
    </row>
    <row r="244" ht="19.5" customHeight="1">
      <c r="A244" s="41"/>
      <c r="B244" s="84" t="s">
        <v>296</v>
      </c>
      <c r="C244" s="110" t="s">
        <v>297</v>
      </c>
      <c r="D244" s="18"/>
      <c r="E244" s="18"/>
      <c r="F244" s="41"/>
      <c r="G244" s="41"/>
      <c r="H244" s="41"/>
      <c r="I244" s="41"/>
      <c r="J244" s="41"/>
      <c r="K244" s="41"/>
      <c r="L244" s="41"/>
      <c r="M244" s="41"/>
      <c r="N244" s="41"/>
      <c r="O244" s="41"/>
      <c r="P244" s="41"/>
      <c r="Q244" s="41"/>
      <c r="R244" s="41"/>
      <c r="S244" s="41"/>
      <c r="T244" s="41"/>
      <c r="U244" s="41"/>
      <c r="V244" s="41"/>
      <c r="W244" s="41"/>
      <c r="X244" s="41"/>
      <c r="Y244" s="41"/>
      <c r="Z244" s="41"/>
    </row>
    <row r="245" ht="19.5" customHeight="1">
      <c r="A245" s="41"/>
      <c r="B245" s="84" t="s">
        <v>3697</v>
      </c>
      <c r="C245" s="110" t="str">
        <f>CONCATENATE(sample_xreg_vrops_collector_fqdn, " or ", this_instance,"-m01-collector-group")</f>
        <v>lax-cp01.lax.rainpole.io or lax-m01-collector-group</v>
      </c>
      <c r="D245" s="18"/>
      <c r="E245" s="18"/>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1"/>
      <c r="D246" s="1"/>
      <c r="E246" s="1"/>
      <c r="F246" s="41"/>
      <c r="G246" s="41"/>
      <c r="H246" s="41"/>
      <c r="I246" s="41"/>
      <c r="J246" s="41"/>
      <c r="K246" s="41"/>
      <c r="L246" s="41"/>
      <c r="M246" s="41"/>
      <c r="N246" s="41"/>
      <c r="O246" s="41"/>
      <c r="P246" s="41"/>
      <c r="Q246" s="41"/>
      <c r="R246" s="41"/>
      <c r="S246" s="41"/>
      <c r="T246" s="41"/>
      <c r="U246" s="41"/>
      <c r="V246" s="41"/>
      <c r="W246" s="41"/>
      <c r="X246" s="41"/>
      <c r="Y246" s="41"/>
      <c r="Z246" s="41"/>
    </row>
    <row r="247" ht="31.5" customHeight="1">
      <c r="A247" s="41"/>
      <c r="B247" s="184" t="s">
        <v>3700</v>
      </c>
      <c r="C247" s="13"/>
      <c r="D247" s="13"/>
      <c r="E247" s="14"/>
      <c r="F247" s="41"/>
      <c r="G247" s="41"/>
      <c r="H247" s="41"/>
      <c r="I247" s="41"/>
      <c r="J247" s="41"/>
      <c r="K247" s="41"/>
      <c r="L247" s="41"/>
      <c r="M247" s="41"/>
      <c r="N247" s="41"/>
      <c r="O247" s="41"/>
      <c r="P247" s="41"/>
      <c r="Q247" s="41"/>
      <c r="R247" s="41"/>
      <c r="S247" s="41"/>
      <c r="T247" s="41"/>
      <c r="U247" s="41"/>
      <c r="V247" s="41"/>
      <c r="W247" s="41"/>
      <c r="X247" s="41"/>
      <c r="Y247" s="41"/>
      <c r="Z247" s="41"/>
    </row>
    <row r="248" ht="19.5" customHeight="1">
      <c r="A248" s="41"/>
      <c r="B248" s="17"/>
      <c r="C248" s="13"/>
      <c r="D248" s="13"/>
      <c r="E248" s="14"/>
      <c r="F248" s="41"/>
      <c r="G248" s="41"/>
      <c r="H248" s="41"/>
      <c r="I248" s="41"/>
      <c r="J248" s="41"/>
      <c r="K248" s="41"/>
      <c r="L248" s="41"/>
      <c r="M248" s="41"/>
      <c r="N248" s="41"/>
      <c r="O248" s="41"/>
      <c r="P248" s="41"/>
      <c r="Q248" s="41"/>
      <c r="R248" s="41"/>
      <c r="S248" s="41"/>
      <c r="T248" s="41"/>
      <c r="U248" s="41"/>
      <c r="V248" s="41"/>
      <c r="W248" s="41"/>
      <c r="X248" s="41"/>
      <c r="Y248" s="41"/>
      <c r="Z248" s="41"/>
    </row>
    <row r="249" ht="19.5" customHeight="1">
      <c r="A249" s="41"/>
      <c r="B249" s="49" t="s">
        <v>37</v>
      </c>
      <c r="C249" s="49" t="s">
        <v>273</v>
      </c>
      <c r="D249" s="49" t="s">
        <v>274</v>
      </c>
      <c r="E249" s="49" t="s">
        <v>5</v>
      </c>
      <c r="F249" s="41"/>
      <c r="G249" s="41"/>
      <c r="H249" s="41"/>
      <c r="I249" s="41"/>
      <c r="J249" s="41"/>
      <c r="K249" s="41"/>
      <c r="L249" s="41"/>
      <c r="M249" s="41"/>
      <c r="N249" s="41"/>
      <c r="O249" s="41"/>
      <c r="P249" s="41"/>
      <c r="Q249" s="41"/>
      <c r="R249" s="41"/>
      <c r="S249" s="41"/>
      <c r="T249" s="41"/>
      <c r="U249" s="41"/>
      <c r="V249" s="41"/>
      <c r="W249" s="41"/>
      <c r="X249" s="41"/>
      <c r="Y249" s="41"/>
      <c r="Z249" s="41"/>
    </row>
    <row r="250" ht="19.5" customHeight="1">
      <c r="A250" s="41"/>
      <c r="B250" s="84" t="s">
        <v>3421</v>
      </c>
      <c r="C250" s="111" t="str">
        <f>sample_xreg_vrops_virtual_fqdn</f>
        <v>flt-ops01.rainpole.io</v>
      </c>
      <c r="D250" s="18"/>
      <c r="E250" s="18"/>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1"/>
      <c r="D251" s="1"/>
      <c r="E251" s="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1"/>
      <c r="D252" s="1"/>
      <c r="E252" s="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1"/>
      <c r="D253" s="1"/>
      <c r="E253" s="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1"/>
      <c r="D254" s="1"/>
      <c r="E254" s="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1"/>
      <c r="D255" s="1"/>
      <c r="E255" s="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1"/>
      <c r="D256" s="1"/>
      <c r="E256" s="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1"/>
      <c r="D257" s="1"/>
      <c r="E257" s="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1"/>
      <c r="D258" s="1"/>
      <c r="E258" s="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1"/>
      <c r="D259" s="1"/>
      <c r="E259" s="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1"/>
      <c r="D260" s="1"/>
      <c r="E260" s="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1"/>
      <c r="D261" s="1"/>
      <c r="E261" s="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1"/>
      <c r="D262" s="1"/>
      <c r="E262" s="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1"/>
      <c r="D263" s="1"/>
      <c r="E263" s="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1"/>
      <c r="D264" s="1"/>
      <c r="E264" s="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1"/>
      <c r="D265" s="1"/>
      <c r="E265" s="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1"/>
      <c r="D266" s="1"/>
      <c r="E266" s="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1"/>
      <c r="D267" s="1"/>
      <c r="E267" s="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1"/>
      <c r="D268" s="1"/>
      <c r="E268" s="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1"/>
      <c r="D269" s="1"/>
      <c r="E269" s="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1"/>
      <c r="D270" s="1"/>
      <c r="E270" s="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1"/>
      <c r="D271" s="1"/>
      <c r="E271" s="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1"/>
      <c r="D272" s="1"/>
      <c r="E272" s="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1"/>
      <c r="D273" s="1"/>
      <c r="E273" s="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1"/>
      <c r="D274" s="1"/>
      <c r="E274" s="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1"/>
      <c r="D275" s="1"/>
      <c r="E275" s="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1"/>
      <c r="D276" s="1"/>
      <c r="E276" s="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1"/>
      <c r="D277" s="1"/>
      <c r="E277" s="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1"/>
      <c r="D278" s="1"/>
      <c r="E278" s="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1"/>
      <c r="D279" s="1"/>
      <c r="E279" s="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1"/>
      <c r="D280" s="1"/>
      <c r="E280" s="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1"/>
      <c r="D281" s="1"/>
      <c r="E281" s="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1"/>
      <c r="D282" s="1"/>
      <c r="E282" s="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1"/>
      <c r="D283" s="1"/>
      <c r="E283" s="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1"/>
      <c r="D284" s="1"/>
      <c r="E284" s="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1"/>
      <c r="D285" s="1"/>
      <c r="E285" s="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1"/>
      <c r="D286" s="1"/>
      <c r="E286" s="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1"/>
      <c r="D287" s="1"/>
      <c r="E287" s="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1"/>
      <c r="D288" s="1"/>
      <c r="E288" s="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1"/>
      <c r="D289" s="1"/>
      <c r="E289" s="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1"/>
      <c r="D290" s="1"/>
      <c r="E290" s="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1"/>
      <c r="D291" s="1"/>
      <c r="E291" s="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1"/>
      <c r="D292" s="1"/>
      <c r="E292" s="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1"/>
      <c r="D293" s="1"/>
      <c r="E293" s="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1"/>
      <c r="D294" s="1"/>
      <c r="E294" s="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1"/>
      <c r="D295" s="1"/>
      <c r="E295" s="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1"/>
      <c r="D296" s="1"/>
      <c r="E296" s="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1"/>
      <c r="D297" s="1"/>
      <c r="E297" s="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1"/>
      <c r="D298" s="1"/>
      <c r="E298" s="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1"/>
      <c r="D299" s="1"/>
      <c r="E299" s="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1"/>
      <c r="D300" s="1"/>
      <c r="E300" s="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1"/>
      <c r="D301" s="1"/>
      <c r="E301" s="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1"/>
      <c r="D302" s="1"/>
      <c r="E302" s="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1"/>
      <c r="D303" s="1"/>
      <c r="E303" s="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1"/>
      <c r="D304" s="1"/>
      <c r="E304" s="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1"/>
      <c r="D305" s="1"/>
      <c r="E305" s="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1"/>
      <c r="D306" s="1"/>
      <c r="E306" s="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1"/>
      <c r="D307" s="1"/>
      <c r="E307" s="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1"/>
      <c r="D308" s="1"/>
      <c r="E308" s="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1"/>
      <c r="D309" s="1"/>
      <c r="E309" s="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1"/>
      <c r="D310" s="1"/>
      <c r="E310" s="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1"/>
      <c r="D311" s="1"/>
      <c r="E311" s="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1"/>
      <c r="D312" s="1"/>
      <c r="E312" s="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1"/>
      <c r="D313" s="1"/>
      <c r="E313" s="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1"/>
      <c r="D314" s="1"/>
      <c r="E314" s="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1"/>
      <c r="D315" s="1"/>
      <c r="E315" s="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1"/>
      <c r="D316" s="1"/>
      <c r="E316" s="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1"/>
      <c r="D317" s="1"/>
      <c r="E317" s="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1"/>
      <c r="D318" s="1"/>
      <c r="E318" s="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1"/>
      <c r="D319" s="1"/>
      <c r="E319" s="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1"/>
      <c r="D320" s="1"/>
      <c r="E320" s="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1"/>
      <c r="D321" s="1"/>
      <c r="E321" s="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1"/>
      <c r="D322" s="1"/>
      <c r="E322" s="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1"/>
      <c r="D323" s="1"/>
      <c r="E323" s="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1"/>
      <c r="D324" s="1"/>
      <c r="E324" s="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1"/>
      <c r="D325" s="1"/>
      <c r="E325" s="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1"/>
      <c r="D326" s="1"/>
      <c r="E326" s="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1"/>
      <c r="D327" s="1"/>
      <c r="E327" s="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1"/>
      <c r="D328" s="1"/>
      <c r="E328" s="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1"/>
      <c r="D329" s="1"/>
      <c r="E329" s="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1"/>
      <c r="D330" s="1"/>
      <c r="E330" s="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1"/>
      <c r="D331" s="1"/>
      <c r="E331" s="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1"/>
      <c r="D332" s="1"/>
      <c r="E332" s="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1"/>
      <c r="D333" s="1"/>
      <c r="E333" s="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1"/>
      <c r="D334" s="1"/>
      <c r="E334" s="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1"/>
      <c r="D335" s="1"/>
      <c r="E335" s="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1"/>
      <c r="D336" s="1"/>
      <c r="E336" s="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1"/>
      <c r="D337" s="1"/>
      <c r="E337" s="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1"/>
      <c r="D338" s="1"/>
      <c r="E338" s="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1"/>
      <c r="D339" s="1"/>
      <c r="E339" s="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1"/>
      <c r="D340" s="1"/>
      <c r="E340" s="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1"/>
      <c r="D341" s="1"/>
      <c r="E341" s="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1"/>
      <c r="D342" s="1"/>
      <c r="E342" s="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1"/>
      <c r="D343" s="1"/>
      <c r="E343" s="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1"/>
      <c r="D344" s="1"/>
      <c r="E344" s="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1"/>
      <c r="D345" s="1"/>
      <c r="E345" s="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1"/>
      <c r="D346" s="1"/>
      <c r="E346" s="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1"/>
      <c r="D347" s="1"/>
      <c r="E347" s="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1"/>
      <c r="D348" s="1"/>
      <c r="E348" s="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1"/>
      <c r="D349" s="1"/>
      <c r="E349" s="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1"/>
      <c r="D350" s="1"/>
      <c r="E350" s="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1"/>
      <c r="D351" s="1"/>
      <c r="E351" s="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1"/>
      <c r="D352" s="1"/>
      <c r="E352" s="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1"/>
      <c r="D353" s="1"/>
      <c r="E353" s="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1"/>
      <c r="D354" s="1"/>
      <c r="E354" s="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1"/>
      <c r="D355" s="1"/>
      <c r="E355" s="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1"/>
      <c r="D356" s="1"/>
      <c r="E356" s="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1"/>
      <c r="D357" s="1"/>
      <c r="E357" s="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1"/>
      <c r="D358" s="1"/>
      <c r="E358" s="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1"/>
      <c r="D359" s="1"/>
      <c r="E359" s="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1"/>
      <c r="D360" s="1"/>
      <c r="E360" s="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1"/>
      <c r="D361" s="1"/>
      <c r="E361" s="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1"/>
      <c r="D362" s="1"/>
      <c r="E362" s="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1"/>
      <c r="D363" s="1"/>
      <c r="E363" s="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1"/>
      <c r="D364" s="1"/>
      <c r="E364" s="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1"/>
      <c r="D365" s="1"/>
      <c r="E365" s="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1"/>
      <c r="D366" s="1"/>
      <c r="E366" s="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1"/>
      <c r="D367" s="1"/>
      <c r="E367" s="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1"/>
      <c r="D368" s="1"/>
      <c r="E368" s="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1"/>
      <c r="D369" s="1"/>
      <c r="E369" s="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1"/>
      <c r="D370" s="1"/>
      <c r="E370" s="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1"/>
      <c r="D371" s="1"/>
      <c r="E371" s="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1"/>
      <c r="D372" s="1"/>
      <c r="E372" s="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1"/>
      <c r="D373" s="1"/>
      <c r="E373" s="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1"/>
      <c r="D374" s="1"/>
      <c r="E374" s="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1"/>
      <c r="D375" s="1"/>
      <c r="E375" s="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1"/>
      <c r="D376" s="1"/>
      <c r="E376" s="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1"/>
      <c r="D377" s="1"/>
      <c r="E377" s="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1"/>
      <c r="D378" s="1"/>
      <c r="E378" s="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1"/>
      <c r="D379" s="1"/>
      <c r="E379" s="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1"/>
      <c r="D380" s="1"/>
      <c r="E380" s="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1"/>
      <c r="D381" s="1"/>
      <c r="E381" s="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1"/>
      <c r="D382" s="1"/>
      <c r="E382" s="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1"/>
      <c r="D383" s="1"/>
      <c r="E383" s="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1"/>
      <c r="D384" s="1"/>
      <c r="E384" s="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1"/>
      <c r="D385" s="1"/>
      <c r="E385" s="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1"/>
      <c r="D386" s="1"/>
      <c r="E386" s="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1"/>
      <c r="D387" s="1"/>
      <c r="E387" s="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1"/>
      <c r="D388" s="1"/>
      <c r="E388" s="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1"/>
      <c r="D389" s="1"/>
      <c r="E389" s="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1"/>
      <c r="D390" s="1"/>
      <c r="E390" s="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1"/>
      <c r="D391" s="1"/>
      <c r="E391" s="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1"/>
      <c r="D392" s="1"/>
      <c r="E392" s="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1"/>
      <c r="D393" s="1"/>
      <c r="E393" s="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1"/>
      <c r="D394" s="1"/>
      <c r="E394" s="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1"/>
      <c r="D395" s="1"/>
      <c r="E395" s="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1"/>
      <c r="D396" s="1"/>
      <c r="E396" s="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1"/>
      <c r="D397" s="1"/>
      <c r="E397" s="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1"/>
      <c r="D398" s="1"/>
      <c r="E398" s="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1"/>
      <c r="D399" s="1"/>
      <c r="E399" s="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1"/>
      <c r="D400" s="1"/>
      <c r="E400" s="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1"/>
      <c r="D401" s="1"/>
      <c r="E401" s="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1"/>
      <c r="D402" s="1"/>
      <c r="E402" s="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1"/>
      <c r="D403" s="1"/>
      <c r="E403" s="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1"/>
      <c r="D404" s="1"/>
      <c r="E404" s="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1"/>
      <c r="D405" s="1"/>
      <c r="E405" s="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1"/>
      <c r="D406" s="1"/>
      <c r="E406" s="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1"/>
      <c r="D407" s="1"/>
      <c r="E407" s="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1"/>
      <c r="D408" s="1"/>
      <c r="E408" s="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1"/>
      <c r="D409" s="1"/>
      <c r="E409" s="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1"/>
      <c r="D410" s="1"/>
      <c r="E410" s="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1"/>
      <c r="D411" s="1"/>
      <c r="E411" s="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1"/>
      <c r="D412" s="1"/>
      <c r="E412" s="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1"/>
      <c r="D413" s="1"/>
      <c r="E413" s="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1"/>
      <c r="D414" s="1"/>
      <c r="E414" s="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1"/>
      <c r="D415" s="1"/>
      <c r="E415" s="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1"/>
      <c r="D416" s="1"/>
      <c r="E416" s="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1"/>
      <c r="D417" s="1"/>
      <c r="E417" s="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1"/>
      <c r="D418" s="1"/>
      <c r="E418" s="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1"/>
      <c r="D419" s="1"/>
      <c r="E419" s="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1"/>
      <c r="D420" s="1"/>
      <c r="E420" s="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1"/>
      <c r="D421" s="1"/>
      <c r="E421" s="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1"/>
      <c r="D422" s="1"/>
      <c r="E422" s="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1"/>
      <c r="D423" s="1"/>
      <c r="E423" s="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1"/>
      <c r="D424" s="1"/>
      <c r="E424" s="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1"/>
      <c r="D425" s="1"/>
      <c r="E425" s="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1"/>
      <c r="D426" s="1"/>
      <c r="E426" s="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1"/>
      <c r="D427" s="1"/>
      <c r="E427" s="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1"/>
      <c r="D428" s="1"/>
      <c r="E428" s="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1"/>
      <c r="D429" s="1"/>
      <c r="E429" s="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1"/>
      <c r="D430" s="1"/>
      <c r="E430" s="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1"/>
      <c r="D431" s="1"/>
      <c r="E431" s="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1"/>
      <c r="D432" s="1"/>
      <c r="E432" s="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1"/>
      <c r="D433" s="1"/>
      <c r="E433" s="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1"/>
      <c r="D434" s="1"/>
      <c r="E434" s="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1"/>
      <c r="D435" s="1"/>
      <c r="E435" s="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1"/>
      <c r="D436" s="1"/>
      <c r="E436" s="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1"/>
      <c r="D437" s="1"/>
      <c r="E437" s="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1"/>
      <c r="D438" s="1"/>
      <c r="E438" s="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1"/>
      <c r="D439" s="1"/>
      <c r="E439" s="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1"/>
      <c r="D440" s="1"/>
      <c r="E440" s="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1"/>
      <c r="D441" s="1"/>
      <c r="E441" s="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1"/>
      <c r="D442" s="1"/>
      <c r="E442" s="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1"/>
      <c r="D443" s="1"/>
      <c r="E443" s="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1"/>
      <c r="D444" s="1"/>
      <c r="E444" s="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1"/>
      <c r="D445" s="1"/>
      <c r="E445" s="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1"/>
      <c r="D446" s="1"/>
      <c r="E446" s="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1"/>
      <c r="D447" s="1"/>
      <c r="E447" s="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1"/>
      <c r="D448" s="1"/>
      <c r="E448" s="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1"/>
      <c r="D449" s="1"/>
      <c r="E449" s="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1"/>
      <c r="D450" s="1"/>
      <c r="E450" s="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1"/>
      <c r="D451" s="1"/>
      <c r="E451" s="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1"/>
      <c r="D452" s="1"/>
      <c r="E452" s="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1"/>
      <c r="D453" s="1"/>
      <c r="E453" s="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1"/>
      <c r="D454" s="1"/>
      <c r="E454" s="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1"/>
      <c r="D455" s="1"/>
      <c r="E455" s="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1"/>
      <c r="D456" s="1"/>
      <c r="E456" s="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1"/>
      <c r="D457" s="1"/>
      <c r="E457" s="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1"/>
      <c r="D458" s="1"/>
      <c r="E458" s="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1"/>
      <c r="D459" s="1"/>
      <c r="E459" s="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1"/>
      <c r="D460" s="1"/>
      <c r="E460" s="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1"/>
      <c r="D461" s="1"/>
      <c r="E461" s="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1"/>
      <c r="D462" s="1"/>
      <c r="E462" s="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1"/>
      <c r="D463" s="1"/>
      <c r="E463" s="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1"/>
      <c r="D464" s="1"/>
      <c r="E464" s="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1"/>
      <c r="D465" s="1"/>
      <c r="E465" s="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1"/>
      <c r="D466" s="1"/>
      <c r="E466" s="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1"/>
      <c r="D467" s="1"/>
      <c r="E467" s="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1"/>
      <c r="D468" s="1"/>
      <c r="E468" s="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1"/>
      <c r="D469" s="1"/>
      <c r="E469" s="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1"/>
      <c r="D470" s="1"/>
      <c r="E470" s="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1"/>
      <c r="D471" s="1"/>
      <c r="E471" s="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1"/>
      <c r="D472" s="1"/>
      <c r="E472" s="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1"/>
      <c r="D473" s="1"/>
      <c r="E473" s="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1"/>
      <c r="D474" s="1"/>
      <c r="E474" s="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1"/>
      <c r="D475" s="1"/>
      <c r="E475" s="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1"/>
      <c r="D476" s="1"/>
      <c r="E476" s="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1"/>
      <c r="D477" s="1"/>
      <c r="E477" s="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1"/>
      <c r="D478" s="1"/>
      <c r="E478" s="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1"/>
      <c r="D479" s="1"/>
      <c r="E479" s="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1"/>
      <c r="D480" s="1"/>
      <c r="E480" s="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1"/>
      <c r="D481" s="1"/>
      <c r="E481" s="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1"/>
      <c r="D482" s="1"/>
      <c r="E482" s="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1"/>
      <c r="D483" s="1"/>
      <c r="E483" s="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1"/>
      <c r="D484" s="1"/>
      <c r="E484" s="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1"/>
      <c r="D485" s="1"/>
      <c r="E485" s="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1"/>
      <c r="D486" s="1"/>
      <c r="E486" s="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1"/>
      <c r="D487" s="1"/>
      <c r="E487" s="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1"/>
      <c r="D488" s="1"/>
      <c r="E488" s="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1"/>
      <c r="D489" s="1"/>
      <c r="E489" s="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1"/>
      <c r="D490" s="1"/>
      <c r="E490" s="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1"/>
      <c r="D491" s="1"/>
      <c r="E491" s="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1"/>
      <c r="D492" s="1"/>
      <c r="E492" s="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1"/>
      <c r="D493" s="1"/>
      <c r="E493" s="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1"/>
      <c r="D494" s="1"/>
      <c r="E494" s="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1"/>
      <c r="D495" s="1"/>
      <c r="E495" s="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1"/>
      <c r="D496" s="1"/>
      <c r="E496" s="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1"/>
      <c r="D497" s="1"/>
      <c r="E497" s="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1"/>
      <c r="D498" s="1"/>
      <c r="E498" s="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1"/>
      <c r="D499" s="1"/>
      <c r="E499" s="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1"/>
      <c r="D500" s="1"/>
      <c r="E500" s="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1"/>
      <c r="D501" s="1"/>
      <c r="E501" s="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1"/>
      <c r="D502" s="1"/>
      <c r="E502" s="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1"/>
      <c r="D503" s="1"/>
      <c r="E503" s="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1"/>
      <c r="D504" s="1"/>
      <c r="E504" s="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1"/>
      <c r="D505" s="1"/>
      <c r="E505" s="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1"/>
      <c r="D506" s="1"/>
      <c r="E506" s="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1"/>
      <c r="D507" s="1"/>
      <c r="E507" s="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1"/>
      <c r="D508" s="1"/>
      <c r="E508" s="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1"/>
      <c r="D509" s="1"/>
      <c r="E509" s="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1"/>
      <c r="D510" s="1"/>
      <c r="E510" s="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1"/>
      <c r="D511" s="1"/>
      <c r="E511" s="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1"/>
      <c r="D512" s="1"/>
      <c r="E512" s="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1"/>
      <c r="D513" s="1"/>
      <c r="E513" s="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1"/>
      <c r="D514" s="1"/>
      <c r="E514" s="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1"/>
      <c r="D515" s="1"/>
      <c r="E515" s="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1"/>
      <c r="D516" s="1"/>
      <c r="E516" s="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1"/>
      <c r="D517" s="1"/>
      <c r="E517" s="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1"/>
      <c r="D518" s="1"/>
      <c r="E518" s="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1"/>
      <c r="D519" s="1"/>
      <c r="E519" s="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1"/>
      <c r="D520" s="1"/>
      <c r="E520" s="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1"/>
      <c r="D521" s="1"/>
      <c r="E521" s="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1"/>
      <c r="D522" s="1"/>
      <c r="E522" s="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1"/>
      <c r="D523" s="1"/>
      <c r="E523" s="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1"/>
      <c r="D524" s="1"/>
      <c r="E524" s="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1"/>
      <c r="D525" s="1"/>
      <c r="E525" s="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1"/>
      <c r="D526" s="1"/>
      <c r="E526" s="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1"/>
      <c r="D527" s="1"/>
      <c r="E527" s="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1"/>
      <c r="D528" s="1"/>
      <c r="E528" s="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1"/>
      <c r="D529" s="1"/>
      <c r="E529" s="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1"/>
      <c r="D530" s="1"/>
      <c r="E530" s="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1"/>
      <c r="D531" s="1"/>
      <c r="E531" s="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1"/>
      <c r="D532" s="1"/>
      <c r="E532" s="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1"/>
      <c r="D533" s="1"/>
      <c r="E533" s="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1"/>
      <c r="D534" s="1"/>
      <c r="E534" s="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1"/>
      <c r="D535" s="1"/>
      <c r="E535" s="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1"/>
      <c r="D536" s="1"/>
      <c r="E536" s="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1"/>
      <c r="D537" s="1"/>
      <c r="E537" s="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1"/>
      <c r="D538" s="1"/>
      <c r="E538" s="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1"/>
      <c r="D539" s="1"/>
      <c r="E539" s="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1"/>
      <c r="D540" s="1"/>
      <c r="E540" s="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1"/>
      <c r="D541" s="1"/>
      <c r="E541" s="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1"/>
      <c r="D542" s="1"/>
      <c r="E542" s="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1"/>
      <c r="D543" s="1"/>
      <c r="E543" s="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1"/>
      <c r="D544" s="1"/>
      <c r="E544" s="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1"/>
      <c r="D545" s="1"/>
      <c r="E545" s="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1"/>
      <c r="D546" s="1"/>
      <c r="E546" s="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1"/>
      <c r="D547" s="1"/>
      <c r="E547" s="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1"/>
      <c r="D548" s="1"/>
      <c r="E548" s="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1"/>
      <c r="D549" s="1"/>
      <c r="E549" s="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1"/>
      <c r="D550" s="1"/>
      <c r="E550" s="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1"/>
      <c r="D551" s="1"/>
      <c r="E551" s="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1"/>
      <c r="D552" s="1"/>
      <c r="E552" s="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1"/>
      <c r="D553" s="1"/>
      <c r="E553" s="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1"/>
      <c r="D554" s="1"/>
      <c r="E554" s="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1"/>
      <c r="D555" s="1"/>
      <c r="E555" s="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1"/>
      <c r="D556" s="1"/>
      <c r="E556" s="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1"/>
      <c r="D557" s="1"/>
      <c r="E557" s="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1"/>
      <c r="D558" s="1"/>
      <c r="E558" s="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1"/>
      <c r="D559" s="1"/>
      <c r="E559" s="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1"/>
      <c r="D560" s="1"/>
      <c r="E560" s="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1"/>
      <c r="D561" s="1"/>
      <c r="E561" s="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1"/>
      <c r="D562" s="1"/>
      <c r="E562" s="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1"/>
      <c r="D563" s="1"/>
      <c r="E563" s="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1"/>
      <c r="D564" s="1"/>
      <c r="E564" s="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1"/>
      <c r="D565" s="1"/>
      <c r="E565" s="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1"/>
      <c r="D566" s="1"/>
      <c r="E566" s="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1"/>
      <c r="D567" s="1"/>
      <c r="E567" s="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1"/>
      <c r="D568" s="1"/>
      <c r="E568" s="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1"/>
      <c r="D569" s="1"/>
      <c r="E569" s="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1"/>
      <c r="D570" s="1"/>
      <c r="E570" s="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1"/>
      <c r="D571" s="1"/>
      <c r="E571" s="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1"/>
      <c r="D572" s="1"/>
      <c r="E572" s="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1"/>
      <c r="D573" s="1"/>
      <c r="E573" s="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1"/>
      <c r="D574" s="1"/>
      <c r="E574" s="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1"/>
      <c r="D575" s="1"/>
      <c r="E575" s="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1"/>
      <c r="D576" s="1"/>
      <c r="E576" s="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1"/>
      <c r="D577" s="1"/>
      <c r="E577" s="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1"/>
      <c r="D578" s="1"/>
      <c r="E578" s="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1"/>
      <c r="D579" s="1"/>
      <c r="E579" s="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1"/>
      <c r="D580" s="1"/>
      <c r="E580" s="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1"/>
      <c r="D581" s="1"/>
      <c r="E581" s="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1"/>
      <c r="D582" s="1"/>
      <c r="E582" s="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1"/>
      <c r="D583" s="1"/>
      <c r="E583" s="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1"/>
      <c r="D584" s="1"/>
      <c r="E584" s="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1"/>
      <c r="D585" s="1"/>
      <c r="E585" s="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1"/>
      <c r="D586" s="1"/>
      <c r="E586" s="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1"/>
      <c r="D587" s="1"/>
      <c r="E587" s="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1"/>
      <c r="D588" s="1"/>
      <c r="E588" s="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1"/>
      <c r="D589" s="1"/>
      <c r="E589" s="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1"/>
      <c r="D590" s="1"/>
      <c r="E590" s="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1"/>
      <c r="D591" s="1"/>
      <c r="E591" s="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1"/>
      <c r="D592" s="1"/>
      <c r="E592" s="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1"/>
      <c r="D593" s="1"/>
      <c r="E593" s="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1"/>
      <c r="D594" s="1"/>
      <c r="E594" s="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1"/>
      <c r="D595" s="1"/>
      <c r="E595" s="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1"/>
      <c r="D596" s="1"/>
      <c r="E596" s="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1"/>
      <c r="D597" s="1"/>
      <c r="E597" s="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1"/>
      <c r="D598" s="1"/>
      <c r="E598" s="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1"/>
      <c r="D599" s="1"/>
      <c r="E599" s="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1"/>
      <c r="D600" s="1"/>
      <c r="E600" s="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1"/>
      <c r="D601" s="1"/>
      <c r="E601" s="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1"/>
      <c r="D602" s="1"/>
      <c r="E602" s="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1"/>
      <c r="D603" s="1"/>
      <c r="E603" s="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1"/>
      <c r="D604" s="1"/>
      <c r="E604" s="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1"/>
      <c r="D605" s="1"/>
      <c r="E605" s="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1"/>
      <c r="D606" s="1"/>
      <c r="E606" s="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1"/>
      <c r="D607" s="1"/>
      <c r="E607" s="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1"/>
      <c r="D608" s="1"/>
      <c r="E608" s="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1"/>
      <c r="D609" s="1"/>
      <c r="E609" s="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1"/>
      <c r="D610" s="1"/>
      <c r="E610" s="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1"/>
      <c r="D611" s="1"/>
      <c r="E611" s="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1"/>
      <c r="D612" s="1"/>
      <c r="E612" s="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1"/>
      <c r="D613" s="1"/>
      <c r="E613" s="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1"/>
      <c r="D614" s="1"/>
      <c r="E614" s="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1"/>
      <c r="D615" s="1"/>
      <c r="E615" s="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1"/>
      <c r="D616" s="1"/>
      <c r="E616" s="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1"/>
      <c r="D617" s="1"/>
      <c r="E617" s="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1"/>
      <c r="D618" s="1"/>
      <c r="E618" s="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1"/>
      <c r="D619" s="1"/>
      <c r="E619" s="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1"/>
      <c r="D620" s="1"/>
      <c r="E620" s="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1"/>
      <c r="D621" s="1"/>
      <c r="E621" s="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1"/>
      <c r="D622" s="1"/>
      <c r="E622" s="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1"/>
      <c r="D623" s="1"/>
      <c r="E623" s="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1"/>
      <c r="D624" s="1"/>
      <c r="E624" s="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1"/>
      <c r="D625" s="1"/>
      <c r="E625" s="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1"/>
      <c r="D626" s="1"/>
      <c r="E626" s="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1"/>
      <c r="D627" s="1"/>
      <c r="E627" s="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1"/>
      <c r="D628" s="1"/>
      <c r="E628" s="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1"/>
      <c r="D629" s="1"/>
      <c r="E629" s="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1"/>
      <c r="D630" s="1"/>
      <c r="E630" s="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1"/>
      <c r="D631" s="1"/>
      <c r="E631" s="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1"/>
      <c r="D632" s="1"/>
      <c r="E632" s="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1"/>
      <c r="D633" s="1"/>
      <c r="E633" s="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1"/>
      <c r="D634" s="1"/>
      <c r="E634" s="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1"/>
      <c r="D635" s="1"/>
      <c r="E635" s="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1"/>
      <c r="D636" s="1"/>
      <c r="E636" s="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1"/>
      <c r="D637" s="1"/>
      <c r="E637" s="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1"/>
      <c r="D638" s="1"/>
      <c r="E638" s="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1"/>
      <c r="D639" s="1"/>
      <c r="E639" s="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1"/>
      <c r="D640" s="1"/>
      <c r="E640" s="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1"/>
      <c r="D641" s="1"/>
      <c r="E641" s="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1"/>
      <c r="D642" s="1"/>
      <c r="E642" s="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1"/>
      <c r="D643" s="1"/>
      <c r="E643" s="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1"/>
      <c r="D644" s="1"/>
      <c r="E644" s="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1"/>
      <c r="D645" s="1"/>
      <c r="E645" s="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1"/>
      <c r="D646" s="1"/>
      <c r="E646" s="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1"/>
      <c r="D647" s="1"/>
      <c r="E647" s="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1"/>
      <c r="D648" s="1"/>
      <c r="E648" s="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1"/>
      <c r="D649" s="1"/>
      <c r="E649" s="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1"/>
      <c r="D650" s="1"/>
      <c r="E650" s="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1"/>
      <c r="D651" s="1"/>
      <c r="E651" s="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1"/>
      <c r="D652" s="1"/>
      <c r="E652" s="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1"/>
      <c r="D653" s="1"/>
      <c r="E653" s="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1"/>
      <c r="D654" s="1"/>
      <c r="E654" s="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1"/>
      <c r="D655" s="1"/>
      <c r="E655" s="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1"/>
      <c r="D656" s="1"/>
      <c r="E656" s="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1"/>
      <c r="D657" s="1"/>
      <c r="E657" s="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1"/>
      <c r="D658" s="1"/>
      <c r="E658" s="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1"/>
      <c r="D659" s="1"/>
      <c r="E659" s="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1"/>
      <c r="D660" s="1"/>
      <c r="E660" s="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1"/>
      <c r="D661" s="1"/>
      <c r="E661" s="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1"/>
      <c r="D662" s="1"/>
      <c r="E662" s="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1"/>
      <c r="D663" s="1"/>
      <c r="E663" s="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1"/>
      <c r="D664" s="1"/>
      <c r="E664" s="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1"/>
      <c r="D665" s="1"/>
      <c r="E665" s="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1"/>
      <c r="D666" s="1"/>
      <c r="E666" s="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1"/>
      <c r="D667" s="1"/>
      <c r="E667" s="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1"/>
      <c r="D668" s="1"/>
      <c r="E668" s="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1"/>
      <c r="D669" s="1"/>
      <c r="E669" s="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1"/>
      <c r="D670" s="1"/>
      <c r="E670" s="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1"/>
      <c r="D671" s="1"/>
      <c r="E671" s="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1"/>
      <c r="D672" s="1"/>
      <c r="E672" s="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1"/>
      <c r="D673" s="1"/>
      <c r="E673" s="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1"/>
      <c r="D674" s="1"/>
      <c r="E674" s="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1"/>
      <c r="D675" s="1"/>
      <c r="E675" s="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1"/>
      <c r="D676" s="1"/>
      <c r="E676" s="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1"/>
      <c r="D677" s="1"/>
      <c r="E677" s="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1"/>
      <c r="D678" s="1"/>
      <c r="E678" s="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1"/>
      <c r="D679" s="1"/>
      <c r="E679" s="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1"/>
      <c r="D680" s="1"/>
      <c r="E680" s="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1"/>
      <c r="D681" s="1"/>
      <c r="E681" s="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1"/>
      <c r="D682" s="1"/>
      <c r="E682" s="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1"/>
      <c r="D683" s="1"/>
      <c r="E683" s="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1"/>
      <c r="D684" s="1"/>
      <c r="E684" s="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1"/>
      <c r="D685" s="1"/>
      <c r="E685" s="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1"/>
      <c r="D686" s="1"/>
      <c r="E686" s="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1"/>
      <c r="D687" s="1"/>
      <c r="E687" s="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1"/>
      <c r="D688" s="1"/>
      <c r="E688" s="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1"/>
      <c r="D689" s="1"/>
      <c r="E689" s="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1"/>
      <c r="D690" s="1"/>
      <c r="E690" s="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1"/>
      <c r="D691" s="1"/>
      <c r="E691" s="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1"/>
      <c r="D692" s="1"/>
      <c r="E692" s="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1"/>
      <c r="D693" s="1"/>
      <c r="E693" s="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1"/>
      <c r="D694" s="1"/>
      <c r="E694" s="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1"/>
      <c r="D695" s="1"/>
      <c r="E695" s="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1"/>
      <c r="D696" s="1"/>
      <c r="E696" s="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1"/>
      <c r="D697" s="1"/>
      <c r="E697" s="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1"/>
      <c r="D698" s="1"/>
      <c r="E698" s="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1"/>
      <c r="D699" s="1"/>
      <c r="E699" s="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1"/>
      <c r="D700" s="1"/>
      <c r="E700" s="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1"/>
      <c r="D701" s="1"/>
      <c r="E701" s="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1"/>
      <c r="D702" s="1"/>
      <c r="E702" s="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1"/>
      <c r="D703" s="1"/>
      <c r="E703" s="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1"/>
      <c r="D704" s="1"/>
      <c r="E704" s="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1"/>
      <c r="D705" s="1"/>
      <c r="E705" s="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1"/>
      <c r="D706" s="1"/>
      <c r="E706" s="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1"/>
      <c r="D707" s="1"/>
      <c r="E707" s="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1"/>
      <c r="D708" s="1"/>
      <c r="E708" s="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1"/>
      <c r="D709" s="1"/>
      <c r="E709" s="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1"/>
      <c r="D710" s="1"/>
      <c r="E710" s="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1"/>
      <c r="D711" s="1"/>
      <c r="E711" s="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1"/>
      <c r="D712" s="1"/>
      <c r="E712" s="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1"/>
      <c r="D713" s="1"/>
      <c r="E713" s="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1"/>
      <c r="D714" s="1"/>
      <c r="E714" s="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1"/>
      <c r="D715" s="1"/>
      <c r="E715" s="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1"/>
      <c r="D716" s="1"/>
      <c r="E716" s="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1"/>
      <c r="D717" s="1"/>
      <c r="E717" s="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1"/>
      <c r="D718" s="1"/>
      <c r="E718" s="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1"/>
      <c r="D719" s="1"/>
      <c r="E719" s="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1"/>
      <c r="D720" s="1"/>
      <c r="E720" s="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1"/>
      <c r="D721" s="1"/>
      <c r="E721" s="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1"/>
      <c r="D722" s="1"/>
      <c r="E722" s="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1"/>
      <c r="D723" s="1"/>
      <c r="E723" s="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1"/>
      <c r="D724" s="1"/>
      <c r="E724" s="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1"/>
      <c r="D725" s="1"/>
      <c r="E725" s="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1"/>
      <c r="D726" s="1"/>
      <c r="E726" s="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1"/>
      <c r="D727" s="1"/>
      <c r="E727" s="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1"/>
      <c r="D728" s="1"/>
      <c r="E728" s="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1"/>
      <c r="D729" s="1"/>
      <c r="E729" s="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1"/>
      <c r="D730" s="1"/>
      <c r="E730" s="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1"/>
      <c r="D731" s="1"/>
      <c r="E731" s="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1"/>
      <c r="D732" s="1"/>
      <c r="E732" s="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1"/>
      <c r="D733" s="1"/>
      <c r="E733" s="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1"/>
      <c r="D734" s="1"/>
      <c r="E734" s="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1"/>
      <c r="D735" s="1"/>
      <c r="E735" s="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1"/>
      <c r="D736" s="1"/>
      <c r="E736" s="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1"/>
      <c r="D737" s="1"/>
      <c r="E737" s="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1"/>
      <c r="D738" s="1"/>
      <c r="E738" s="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1"/>
      <c r="D739" s="1"/>
      <c r="E739" s="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1"/>
      <c r="D740" s="1"/>
      <c r="E740" s="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1"/>
      <c r="D741" s="1"/>
      <c r="E741" s="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1"/>
      <c r="D742" s="1"/>
      <c r="E742" s="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1"/>
      <c r="D743" s="1"/>
      <c r="E743" s="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1"/>
      <c r="D744" s="1"/>
      <c r="E744" s="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1"/>
      <c r="D745" s="1"/>
      <c r="E745" s="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1"/>
      <c r="D746" s="1"/>
      <c r="E746" s="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1"/>
      <c r="D747" s="1"/>
      <c r="E747" s="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1"/>
      <c r="D748" s="1"/>
      <c r="E748" s="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1"/>
      <c r="D749" s="1"/>
      <c r="E749" s="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1"/>
      <c r="D750" s="1"/>
      <c r="E750" s="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1"/>
      <c r="D751" s="1"/>
      <c r="E751" s="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1"/>
      <c r="D752" s="1"/>
      <c r="E752" s="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1"/>
      <c r="D753" s="1"/>
      <c r="E753" s="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1"/>
      <c r="D754" s="1"/>
      <c r="E754" s="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1"/>
      <c r="D755" s="1"/>
      <c r="E755" s="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1"/>
      <c r="D756" s="1"/>
      <c r="E756" s="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1"/>
      <c r="D757" s="1"/>
      <c r="E757" s="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1"/>
      <c r="D758" s="1"/>
      <c r="E758" s="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1"/>
      <c r="D759" s="1"/>
      <c r="E759" s="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1"/>
      <c r="D760" s="1"/>
      <c r="E760" s="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1"/>
      <c r="D761" s="1"/>
      <c r="E761" s="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1"/>
      <c r="D762" s="1"/>
      <c r="E762" s="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1"/>
      <c r="D763" s="1"/>
      <c r="E763" s="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1"/>
      <c r="D764" s="1"/>
      <c r="E764" s="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1"/>
      <c r="D765" s="1"/>
      <c r="E765" s="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1"/>
      <c r="D766" s="1"/>
      <c r="E766" s="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1"/>
      <c r="D767" s="1"/>
      <c r="E767" s="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1"/>
      <c r="D768" s="1"/>
      <c r="E768" s="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1"/>
      <c r="D769" s="1"/>
      <c r="E769" s="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1"/>
      <c r="D770" s="1"/>
      <c r="E770" s="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1"/>
      <c r="D771" s="1"/>
      <c r="E771" s="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1"/>
      <c r="D772" s="1"/>
      <c r="E772" s="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1"/>
      <c r="D773" s="1"/>
      <c r="E773" s="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1"/>
      <c r="D774" s="1"/>
      <c r="E774" s="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1"/>
      <c r="D775" s="1"/>
      <c r="E775" s="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1"/>
      <c r="D776" s="1"/>
      <c r="E776" s="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1"/>
      <c r="D777" s="1"/>
      <c r="E777" s="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1"/>
      <c r="D778" s="1"/>
      <c r="E778" s="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1"/>
      <c r="D779" s="1"/>
      <c r="E779" s="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1"/>
      <c r="D780" s="1"/>
      <c r="E780" s="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1"/>
      <c r="D781" s="1"/>
      <c r="E781" s="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1"/>
      <c r="D782" s="1"/>
      <c r="E782" s="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1"/>
      <c r="D783" s="1"/>
      <c r="E783" s="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1"/>
      <c r="D784" s="1"/>
      <c r="E784" s="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1"/>
      <c r="D785" s="1"/>
      <c r="E785" s="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1"/>
      <c r="D786" s="1"/>
      <c r="E786" s="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1"/>
      <c r="D787" s="1"/>
      <c r="E787" s="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1"/>
      <c r="D788" s="1"/>
      <c r="E788" s="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1"/>
      <c r="D789" s="1"/>
      <c r="E789" s="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1"/>
      <c r="D790" s="1"/>
      <c r="E790" s="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1"/>
      <c r="D791" s="1"/>
      <c r="E791" s="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1"/>
      <c r="D792" s="1"/>
      <c r="E792" s="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1"/>
      <c r="D793" s="1"/>
      <c r="E793" s="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1"/>
      <c r="D794" s="1"/>
      <c r="E794" s="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1"/>
      <c r="D795" s="1"/>
      <c r="E795" s="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1"/>
      <c r="D796" s="1"/>
      <c r="E796" s="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1"/>
      <c r="D797" s="1"/>
      <c r="E797" s="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1"/>
      <c r="D798" s="1"/>
      <c r="E798" s="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1"/>
      <c r="D799" s="1"/>
      <c r="E799" s="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1"/>
      <c r="D800" s="1"/>
      <c r="E800" s="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1"/>
      <c r="D801" s="1"/>
      <c r="E801" s="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1"/>
      <c r="D802" s="1"/>
      <c r="E802" s="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1"/>
      <c r="D803" s="1"/>
      <c r="E803" s="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1"/>
      <c r="D804" s="1"/>
      <c r="E804" s="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1"/>
      <c r="D805" s="1"/>
      <c r="E805" s="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1"/>
      <c r="D806" s="1"/>
      <c r="E806" s="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1"/>
      <c r="D807" s="1"/>
      <c r="E807" s="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1"/>
      <c r="D808" s="1"/>
      <c r="E808" s="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1"/>
      <c r="D809" s="1"/>
      <c r="E809" s="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1"/>
      <c r="D810" s="1"/>
      <c r="E810" s="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1"/>
      <c r="D811" s="1"/>
      <c r="E811" s="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1"/>
      <c r="D812" s="1"/>
      <c r="E812" s="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1"/>
      <c r="D813" s="1"/>
      <c r="E813" s="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1"/>
      <c r="D814" s="1"/>
      <c r="E814" s="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1"/>
      <c r="D815" s="1"/>
      <c r="E815" s="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1"/>
      <c r="D816" s="1"/>
      <c r="E816" s="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1"/>
      <c r="D817" s="1"/>
      <c r="E817" s="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1"/>
      <c r="D818" s="1"/>
      <c r="E818" s="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1"/>
      <c r="D819" s="1"/>
      <c r="E819" s="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1"/>
      <c r="D820" s="1"/>
      <c r="E820" s="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1"/>
      <c r="D821" s="1"/>
      <c r="E821" s="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1"/>
      <c r="D822" s="1"/>
      <c r="E822" s="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1"/>
      <c r="D823" s="1"/>
      <c r="E823" s="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1"/>
      <c r="D824" s="1"/>
      <c r="E824" s="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1"/>
      <c r="D825" s="1"/>
      <c r="E825" s="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1"/>
      <c r="D826" s="1"/>
      <c r="E826" s="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1"/>
      <c r="D827" s="1"/>
      <c r="E827" s="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1"/>
      <c r="D828" s="1"/>
      <c r="E828" s="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1"/>
      <c r="D829" s="1"/>
      <c r="E829" s="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1"/>
      <c r="D830" s="1"/>
      <c r="E830" s="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1"/>
      <c r="D831" s="1"/>
      <c r="E831" s="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1"/>
      <c r="D832" s="1"/>
      <c r="E832" s="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1"/>
      <c r="D833" s="1"/>
      <c r="E833" s="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1"/>
      <c r="D834" s="1"/>
      <c r="E834" s="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1"/>
      <c r="D835" s="1"/>
      <c r="E835" s="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1"/>
      <c r="D836" s="1"/>
      <c r="E836" s="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1"/>
      <c r="D837" s="1"/>
      <c r="E837" s="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1"/>
      <c r="D838" s="1"/>
      <c r="E838" s="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1"/>
      <c r="D839" s="1"/>
      <c r="E839" s="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1"/>
      <c r="D840" s="1"/>
      <c r="E840" s="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1"/>
      <c r="D841" s="1"/>
      <c r="E841" s="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1"/>
      <c r="D842" s="1"/>
      <c r="E842" s="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1"/>
      <c r="D843" s="1"/>
      <c r="E843" s="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1"/>
      <c r="D844" s="1"/>
      <c r="E844" s="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1"/>
      <c r="D845" s="1"/>
      <c r="E845" s="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1"/>
      <c r="D846" s="1"/>
      <c r="E846" s="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1"/>
      <c r="D847" s="1"/>
      <c r="E847" s="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1"/>
      <c r="D848" s="1"/>
      <c r="E848" s="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1"/>
      <c r="D849" s="1"/>
      <c r="E849" s="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1"/>
      <c r="D850" s="1"/>
      <c r="E850" s="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1"/>
      <c r="D851" s="1"/>
      <c r="E851" s="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1"/>
      <c r="D852" s="1"/>
      <c r="E852" s="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1"/>
      <c r="D853" s="1"/>
      <c r="E853" s="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1"/>
      <c r="D854" s="1"/>
      <c r="E854" s="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1"/>
      <c r="D855" s="1"/>
      <c r="E855" s="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1"/>
      <c r="D856" s="1"/>
      <c r="E856" s="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1"/>
      <c r="D857" s="1"/>
      <c r="E857" s="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1"/>
      <c r="D858" s="1"/>
      <c r="E858" s="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1"/>
      <c r="D859" s="1"/>
      <c r="E859" s="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1"/>
      <c r="D860" s="1"/>
      <c r="E860" s="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1"/>
      <c r="D861" s="1"/>
      <c r="E861" s="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1"/>
      <c r="D862" s="1"/>
      <c r="E862" s="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1"/>
      <c r="D863" s="1"/>
      <c r="E863" s="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1"/>
      <c r="D864" s="1"/>
      <c r="E864" s="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1"/>
      <c r="D865" s="1"/>
      <c r="E865" s="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1"/>
      <c r="D866" s="1"/>
      <c r="E866" s="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1"/>
      <c r="D867" s="1"/>
      <c r="E867" s="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1"/>
      <c r="D868" s="1"/>
      <c r="E868" s="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1"/>
      <c r="D869" s="1"/>
      <c r="E869" s="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1"/>
      <c r="D870" s="1"/>
      <c r="E870" s="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1"/>
      <c r="D871" s="1"/>
      <c r="E871" s="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1"/>
      <c r="D872" s="1"/>
      <c r="E872" s="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1"/>
      <c r="D873" s="1"/>
      <c r="E873" s="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1"/>
      <c r="D874" s="1"/>
      <c r="E874" s="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1"/>
      <c r="D875" s="1"/>
      <c r="E875" s="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1"/>
      <c r="D876" s="1"/>
      <c r="E876" s="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1"/>
      <c r="D877" s="1"/>
      <c r="E877" s="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1"/>
      <c r="D878" s="1"/>
      <c r="E878" s="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1"/>
      <c r="D879" s="1"/>
      <c r="E879" s="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1"/>
      <c r="D880" s="1"/>
      <c r="E880" s="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1"/>
      <c r="D881" s="1"/>
      <c r="E881" s="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1"/>
      <c r="D882" s="1"/>
      <c r="E882" s="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1"/>
      <c r="D883" s="1"/>
      <c r="E883" s="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1"/>
      <c r="D884" s="1"/>
      <c r="E884" s="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1"/>
      <c r="D885" s="1"/>
      <c r="E885" s="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1"/>
      <c r="D886" s="1"/>
      <c r="E886" s="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1"/>
      <c r="D887" s="1"/>
      <c r="E887" s="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1"/>
      <c r="D888" s="1"/>
      <c r="E888" s="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1"/>
      <c r="D889" s="1"/>
      <c r="E889" s="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1"/>
      <c r="D890" s="1"/>
      <c r="E890" s="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1"/>
      <c r="D891" s="1"/>
      <c r="E891" s="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1"/>
      <c r="D892" s="1"/>
      <c r="E892" s="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1"/>
      <c r="D893" s="1"/>
      <c r="E893" s="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1"/>
      <c r="D894" s="1"/>
      <c r="E894" s="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1"/>
      <c r="D895" s="1"/>
      <c r="E895" s="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1"/>
      <c r="D896" s="1"/>
      <c r="E896" s="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1"/>
      <c r="D897" s="1"/>
      <c r="E897" s="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1"/>
      <c r="D898" s="1"/>
      <c r="E898" s="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1"/>
      <c r="D899" s="1"/>
      <c r="E899" s="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1"/>
      <c r="D900" s="1"/>
      <c r="E900" s="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1"/>
      <c r="D901" s="1"/>
      <c r="E901" s="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1"/>
      <c r="D902" s="1"/>
      <c r="E902" s="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1"/>
      <c r="D903" s="1"/>
      <c r="E903" s="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1"/>
      <c r="D904" s="1"/>
      <c r="E904" s="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1"/>
      <c r="D905" s="1"/>
      <c r="E905" s="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1"/>
      <c r="D906" s="1"/>
      <c r="E906" s="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1"/>
      <c r="D907" s="1"/>
      <c r="E907" s="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1"/>
      <c r="D908" s="1"/>
      <c r="E908" s="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1"/>
      <c r="D909" s="1"/>
      <c r="E909" s="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1"/>
      <c r="D910" s="1"/>
      <c r="E910" s="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1"/>
      <c r="D911" s="1"/>
      <c r="E911" s="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1"/>
      <c r="D912" s="1"/>
      <c r="E912" s="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1"/>
      <c r="D913" s="1"/>
      <c r="E913" s="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1"/>
      <c r="D914" s="1"/>
      <c r="E914" s="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1"/>
      <c r="D915" s="1"/>
      <c r="E915" s="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1"/>
      <c r="D916" s="1"/>
      <c r="E916" s="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1"/>
      <c r="D917" s="1"/>
      <c r="E917" s="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1"/>
      <c r="D918" s="1"/>
      <c r="E918" s="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1"/>
      <c r="D919" s="1"/>
      <c r="E919" s="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1"/>
      <c r="D920" s="1"/>
      <c r="E920" s="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1"/>
      <c r="D921" s="1"/>
      <c r="E921" s="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1"/>
      <c r="D922" s="1"/>
      <c r="E922" s="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1"/>
      <c r="D923" s="1"/>
      <c r="E923" s="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1"/>
      <c r="D924" s="1"/>
      <c r="E924" s="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1"/>
      <c r="D925" s="1"/>
      <c r="E925" s="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1"/>
      <c r="D926" s="1"/>
      <c r="E926" s="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1"/>
      <c r="D927" s="1"/>
      <c r="E927" s="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1"/>
      <c r="D928" s="1"/>
      <c r="E928" s="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1"/>
      <c r="D929" s="1"/>
      <c r="E929" s="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1"/>
      <c r="D930" s="1"/>
      <c r="E930" s="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1"/>
      <c r="D931" s="1"/>
      <c r="E931" s="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1"/>
      <c r="D932" s="1"/>
      <c r="E932" s="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1"/>
      <c r="D933" s="1"/>
      <c r="E933" s="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1"/>
      <c r="D934" s="1"/>
      <c r="E934" s="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1"/>
      <c r="D935" s="1"/>
      <c r="E935" s="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1"/>
      <c r="D936" s="1"/>
      <c r="E936" s="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1"/>
      <c r="D937" s="1"/>
      <c r="E937" s="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1"/>
      <c r="D938" s="1"/>
      <c r="E938" s="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1"/>
      <c r="D939" s="1"/>
      <c r="E939" s="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1"/>
      <c r="D940" s="1"/>
      <c r="E940" s="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1"/>
      <c r="D941" s="1"/>
      <c r="E941" s="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1"/>
      <c r="D942" s="1"/>
      <c r="E942" s="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1"/>
      <c r="D943" s="1"/>
      <c r="E943" s="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1"/>
      <c r="D944" s="1"/>
      <c r="E944" s="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1"/>
      <c r="D945" s="1"/>
      <c r="E945" s="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1"/>
      <c r="D946" s="1"/>
      <c r="E946" s="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1"/>
      <c r="D947" s="1"/>
      <c r="E947" s="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1"/>
      <c r="D948" s="1"/>
      <c r="E948" s="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1"/>
      <c r="D949" s="1"/>
      <c r="E949" s="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1"/>
      <c r="D950" s="1"/>
      <c r="E950" s="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1"/>
      <c r="D951" s="1"/>
      <c r="E951" s="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1"/>
      <c r="D952" s="1"/>
      <c r="E952" s="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1"/>
      <c r="D953" s="1"/>
      <c r="E953" s="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1"/>
      <c r="D954" s="1"/>
      <c r="E954" s="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1"/>
      <c r="D955" s="1"/>
      <c r="E955" s="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1"/>
      <c r="D956" s="1"/>
      <c r="E956" s="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1"/>
      <c r="D957" s="1"/>
      <c r="E957" s="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1"/>
      <c r="D958" s="1"/>
      <c r="E958" s="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1"/>
      <c r="D959" s="1"/>
      <c r="E959" s="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1"/>
      <c r="D960" s="1"/>
      <c r="E960" s="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1"/>
      <c r="D961" s="1"/>
      <c r="E961" s="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1"/>
      <c r="D962" s="1"/>
      <c r="E962" s="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1"/>
      <c r="D963" s="1"/>
      <c r="E963" s="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1"/>
      <c r="D964" s="1"/>
      <c r="E964" s="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1"/>
      <c r="D965" s="1"/>
      <c r="E965" s="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1"/>
      <c r="D966" s="1"/>
      <c r="E966" s="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1"/>
      <c r="D967" s="1"/>
      <c r="E967" s="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1"/>
      <c r="D968" s="1"/>
      <c r="E968" s="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1"/>
      <c r="D969" s="1"/>
      <c r="E969" s="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1"/>
      <c r="D970" s="1"/>
      <c r="E970" s="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1"/>
      <c r="D971" s="1"/>
      <c r="E971" s="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1"/>
      <c r="D972" s="1"/>
      <c r="E972" s="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1"/>
      <c r="D973" s="1"/>
      <c r="E973" s="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1"/>
      <c r="D974" s="1"/>
      <c r="E974" s="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1"/>
      <c r="D975" s="1"/>
      <c r="E975" s="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1"/>
      <c r="D976" s="1"/>
      <c r="E976" s="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1"/>
      <c r="D977" s="1"/>
      <c r="E977" s="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1"/>
      <c r="D978" s="1"/>
      <c r="E978" s="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1"/>
      <c r="D979" s="1"/>
      <c r="E979" s="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1"/>
      <c r="D980" s="1"/>
      <c r="E980" s="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1"/>
      <c r="D981" s="1"/>
      <c r="E981" s="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1"/>
      <c r="D982" s="1"/>
      <c r="E982" s="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1"/>
      <c r="D983" s="1"/>
      <c r="E983" s="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1"/>
      <c r="D984" s="1"/>
      <c r="E984" s="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1"/>
      <c r="D985" s="1"/>
      <c r="E985" s="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1"/>
      <c r="D986" s="1"/>
      <c r="E986" s="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1"/>
      <c r="D987" s="1"/>
      <c r="E987" s="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1"/>
      <c r="D988" s="1"/>
      <c r="E988" s="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1"/>
      <c r="D989" s="1"/>
      <c r="E989" s="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1"/>
      <c r="D990" s="1"/>
      <c r="E990" s="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1"/>
      <c r="D991" s="1"/>
      <c r="E991" s="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1"/>
      <c r="D992" s="1"/>
      <c r="E992" s="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1"/>
      <c r="D993" s="1"/>
      <c r="E993" s="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1"/>
      <c r="D994" s="1"/>
      <c r="E994" s="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1"/>
      <c r="D995" s="1"/>
      <c r="E995" s="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1"/>
      <c r="D996" s="1"/>
      <c r="E996" s="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1"/>
      <c r="D997" s="1"/>
      <c r="E997" s="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1"/>
      <c r="D998" s="1"/>
      <c r="E998" s="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1"/>
      <c r="D999" s="1"/>
      <c r="E999" s="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1"/>
      <c r="D1000" s="1"/>
      <c r="E1000" s="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50">
    <mergeCell ref="B2:E2"/>
    <mergeCell ref="B3:E3"/>
    <mergeCell ref="B6:E6"/>
    <mergeCell ref="B7:E7"/>
    <mergeCell ref="B26:E26"/>
    <mergeCell ref="B27:E27"/>
    <mergeCell ref="B39:E39"/>
    <mergeCell ref="B40:E40"/>
    <mergeCell ref="B47:E47"/>
    <mergeCell ref="B48:E48"/>
    <mergeCell ref="B54:E54"/>
    <mergeCell ref="B55:E55"/>
    <mergeCell ref="B66:E66"/>
    <mergeCell ref="B67:E67"/>
    <mergeCell ref="B74:E74"/>
    <mergeCell ref="B75:E75"/>
    <mergeCell ref="B93:E93"/>
    <mergeCell ref="B94:E94"/>
    <mergeCell ref="B115:E115"/>
    <mergeCell ref="B116:E116"/>
    <mergeCell ref="B119:E119"/>
    <mergeCell ref="B124:E124"/>
    <mergeCell ref="B128:E128"/>
    <mergeCell ref="B133:E133"/>
    <mergeCell ref="B139:E139"/>
    <mergeCell ref="B140:E140"/>
    <mergeCell ref="B146:E146"/>
    <mergeCell ref="B148:E148"/>
    <mergeCell ref="B149:E149"/>
    <mergeCell ref="B158:E158"/>
    <mergeCell ref="B159:E159"/>
    <mergeCell ref="B166:E166"/>
    <mergeCell ref="B167:E167"/>
    <mergeCell ref="B178:E178"/>
    <mergeCell ref="B179:E179"/>
    <mergeCell ref="B218:E218"/>
    <mergeCell ref="B219:E219"/>
    <mergeCell ref="B224:E224"/>
    <mergeCell ref="B225:E225"/>
    <mergeCell ref="B236:E236"/>
    <mergeCell ref="B237:E237"/>
    <mergeCell ref="B247:E247"/>
    <mergeCell ref="B248:E248"/>
    <mergeCell ref="B190:E190"/>
    <mergeCell ref="B191:E191"/>
    <mergeCell ref="B196:E196"/>
    <mergeCell ref="B198:E198"/>
    <mergeCell ref="B199:E199"/>
    <mergeCell ref="B208:E208"/>
    <mergeCell ref="B209:E209"/>
  </mergeCells>
  <conditionalFormatting sqref="D9:D24">
    <cfRule type="notContainsBlanks" dxfId="0" priority="1">
      <formula>LEN(TRIM(D9))&gt;0</formula>
    </cfRule>
  </conditionalFormatting>
  <conditionalFormatting sqref="D9:D24">
    <cfRule type="containsBlanks" dxfId="7" priority="2">
      <formula>LEN(TRIM(D9))=0</formula>
    </cfRule>
  </conditionalFormatting>
  <conditionalFormatting sqref="D29:D37">
    <cfRule type="notContainsBlanks" dxfId="0" priority="3">
      <formula>LEN(TRIM(D29))&gt;0</formula>
    </cfRule>
  </conditionalFormatting>
  <conditionalFormatting sqref="D29:D37">
    <cfRule type="containsBlanks" dxfId="7" priority="4">
      <formula>LEN(TRIM(D29))=0</formula>
    </cfRule>
  </conditionalFormatting>
  <conditionalFormatting sqref="D42:D45">
    <cfRule type="notContainsBlanks" dxfId="0" priority="5">
      <formula>LEN(TRIM(D42))&gt;0</formula>
    </cfRule>
  </conditionalFormatting>
  <conditionalFormatting sqref="D42:D45">
    <cfRule type="containsBlanks" dxfId="7" priority="6">
      <formula>LEN(TRIM(D42))=0</formula>
    </cfRule>
  </conditionalFormatting>
  <conditionalFormatting sqref="D50:D52">
    <cfRule type="notContainsBlanks" dxfId="0" priority="7">
      <formula>LEN(TRIM(D50))&gt;0</formula>
    </cfRule>
  </conditionalFormatting>
  <conditionalFormatting sqref="D50:D52">
    <cfRule type="containsBlanks" dxfId="7" priority="8">
      <formula>LEN(TRIM(D50))=0</formula>
    </cfRule>
  </conditionalFormatting>
  <conditionalFormatting sqref="D57:D64">
    <cfRule type="notContainsBlanks" dxfId="0" priority="9">
      <formula>LEN(TRIM(D57))&gt;0</formula>
    </cfRule>
  </conditionalFormatting>
  <conditionalFormatting sqref="D57:D64">
    <cfRule type="containsBlanks" dxfId="7" priority="10">
      <formula>LEN(TRIM(D57))=0</formula>
    </cfRule>
  </conditionalFormatting>
  <conditionalFormatting sqref="D69:D72">
    <cfRule type="notContainsBlanks" dxfId="0" priority="11">
      <formula>LEN(TRIM(D69))&gt;0</formula>
    </cfRule>
  </conditionalFormatting>
  <conditionalFormatting sqref="D69:D72">
    <cfRule type="containsBlanks" dxfId="7" priority="12">
      <formula>LEN(TRIM(D69))=0</formula>
    </cfRule>
  </conditionalFormatting>
  <conditionalFormatting sqref="D77:D91">
    <cfRule type="notContainsBlanks" dxfId="0" priority="13">
      <formula>LEN(TRIM(D77))&gt;0</formula>
    </cfRule>
  </conditionalFormatting>
  <conditionalFormatting sqref="D77:D91">
    <cfRule type="containsBlanks" dxfId="7" priority="14">
      <formula>LEN(TRIM(D77))=0</formula>
    </cfRule>
  </conditionalFormatting>
  <conditionalFormatting sqref="D96:D113">
    <cfRule type="notContainsBlanks" dxfId="0" priority="15">
      <formula>LEN(TRIM(D96))&gt;0</formula>
    </cfRule>
  </conditionalFormatting>
  <conditionalFormatting sqref="D96:D113">
    <cfRule type="containsBlanks" dxfId="7" priority="16">
      <formula>LEN(TRIM(D96))=0</formula>
    </cfRule>
  </conditionalFormatting>
  <conditionalFormatting sqref="D118 D120:D123 D125:D132 D134:D137">
    <cfRule type="notContainsBlanks" dxfId="0" priority="17">
      <formula>LEN(TRIM(D118))&gt;0</formula>
    </cfRule>
  </conditionalFormatting>
  <conditionalFormatting sqref="D118 D120:D123 D125:D132 D134:D137">
    <cfRule type="containsBlanks" dxfId="7" priority="18">
      <formula>LEN(TRIM(D118))=0</formula>
    </cfRule>
  </conditionalFormatting>
  <conditionalFormatting sqref="D142:D144">
    <cfRule type="notContainsBlanks" dxfId="0" priority="19">
      <formula>LEN(TRIM(D142))&gt;0</formula>
    </cfRule>
  </conditionalFormatting>
  <conditionalFormatting sqref="D142:D144">
    <cfRule type="containsBlanks" dxfId="7" priority="20">
      <formula>LEN(TRIM(D142))=0</formula>
    </cfRule>
  </conditionalFormatting>
  <conditionalFormatting sqref="D151:D157 D161:D164 D169:D176 D181:D188 D193:D194 D221:D222 D250">
    <cfRule type="notContainsBlanks" dxfId="2" priority="21" stopIfTrue="1">
      <formula>LEN(TRIM(D151))&gt;0</formula>
    </cfRule>
  </conditionalFormatting>
  <conditionalFormatting sqref="D151:D157 D161:D164 D169:D176 D181:D188 D193:D194 D221:D222 D250">
    <cfRule type="containsBlanks" dxfId="10" priority="22">
      <formula>LEN(TRIM(D151))=0</formula>
    </cfRule>
  </conditionalFormatting>
  <conditionalFormatting sqref="D201:D206">
    <cfRule type="notContainsBlanks" dxfId="0" priority="23">
      <formula>LEN(TRIM(D201))&gt;0</formula>
    </cfRule>
  </conditionalFormatting>
  <conditionalFormatting sqref="D201:D206">
    <cfRule type="containsBlanks" dxfId="7" priority="24">
      <formula>LEN(TRIM(D201))=0</formula>
    </cfRule>
  </conditionalFormatting>
  <conditionalFormatting sqref="D211:D216">
    <cfRule type="notContainsBlanks" dxfId="0" priority="25">
      <formula>LEN(TRIM(D211))&gt;0</formula>
    </cfRule>
  </conditionalFormatting>
  <conditionalFormatting sqref="D211:D216">
    <cfRule type="containsBlanks" dxfId="7" priority="26">
      <formula>LEN(TRIM(D211))=0</formula>
    </cfRule>
  </conditionalFormatting>
  <conditionalFormatting sqref="D227:D234">
    <cfRule type="notContainsBlanks" dxfId="0" priority="27">
      <formula>LEN(TRIM(D227))&gt;0</formula>
    </cfRule>
  </conditionalFormatting>
  <conditionalFormatting sqref="D227:D234">
    <cfRule type="containsBlanks" dxfId="7" priority="28">
      <formula>LEN(TRIM(D227))=0</formula>
    </cfRule>
  </conditionalFormatting>
  <conditionalFormatting sqref="D239:D245">
    <cfRule type="notContainsBlanks" dxfId="0" priority="29">
      <formula>LEN(TRIM(D239))&gt;0</formula>
    </cfRule>
  </conditionalFormatting>
  <conditionalFormatting sqref="D239:D245">
    <cfRule type="containsBlanks" dxfId="7" priority="30">
      <formula>LEN(TRIM(D239))=0</formula>
    </cfRule>
  </conditionalFormatting>
  <dataValidations>
    <dataValidation type="list" allowBlank="1" showErrorMessage="1" sqref="D82">
      <formula1>table_masks</formula1>
    </dataValidation>
  </dataValidation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4" width="75.78"/>
    <col customWidth="1" min="5" max="5" width="100.78"/>
    <col customWidth="1" min="6" max="26" width="10.78"/>
  </cols>
  <sheetData>
    <row r="1" ht="15.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ht="54.0" customHeight="1">
      <c r="A2" s="178"/>
      <c r="B2" s="179" t="s">
        <v>3701</v>
      </c>
      <c r="C2" s="13"/>
      <c r="D2" s="13"/>
      <c r="E2" s="14"/>
      <c r="F2" s="41"/>
      <c r="G2" s="41"/>
      <c r="H2" s="41"/>
      <c r="I2" s="41"/>
      <c r="J2" s="41"/>
      <c r="K2" s="41"/>
      <c r="L2" s="41"/>
      <c r="M2" s="41"/>
      <c r="N2" s="41"/>
      <c r="O2" s="41"/>
      <c r="P2" s="41"/>
      <c r="Q2" s="41"/>
      <c r="R2" s="41"/>
      <c r="S2" s="41"/>
      <c r="T2" s="41"/>
      <c r="U2" s="41"/>
      <c r="V2" s="41"/>
      <c r="W2" s="41"/>
      <c r="X2" s="41"/>
      <c r="Y2" s="41"/>
      <c r="Z2" s="41"/>
    </row>
    <row r="3" ht="15.75" customHeight="1">
      <c r="A3" s="107"/>
      <c r="B3" s="102" t="s">
        <v>508</v>
      </c>
      <c r="C3" s="13"/>
      <c r="D3" s="13"/>
      <c r="E3" s="14"/>
      <c r="F3" s="114"/>
      <c r="G3" s="41"/>
      <c r="H3" s="41"/>
      <c r="I3" s="41"/>
      <c r="J3" s="41"/>
      <c r="K3" s="41"/>
      <c r="L3" s="41"/>
      <c r="M3" s="41"/>
      <c r="N3" s="41"/>
      <c r="O3" s="41"/>
      <c r="P3" s="41"/>
      <c r="Q3" s="41"/>
      <c r="R3" s="41"/>
      <c r="S3" s="41"/>
      <c r="T3" s="41"/>
      <c r="U3" s="41"/>
      <c r="V3" s="41"/>
      <c r="W3" s="41"/>
      <c r="X3" s="41"/>
      <c r="Y3" s="41"/>
      <c r="Z3" s="41"/>
    </row>
    <row r="4" ht="15.75" customHeight="1">
      <c r="A4" s="41"/>
      <c r="B4" s="41"/>
      <c r="C4" s="41"/>
      <c r="D4" s="41"/>
      <c r="E4" s="41"/>
      <c r="F4" s="41"/>
      <c r="G4" s="41"/>
      <c r="H4" s="41"/>
      <c r="I4" s="41"/>
      <c r="J4" s="41"/>
      <c r="K4" s="41"/>
      <c r="L4" s="41"/>
      <c r="M4" s="41"/>
      <c r="N4" s="41"/>
      <c r="O4" s="41"/>
      <c r="P4" s="41"/>
      <c r="Q4" s="41"/>
      <c r="R4" s="41"/>
      <c r="S4" s="41"/>
      <c r="T4" s="41"/>
      <c r="U4" s="41"/>
      <c r="V4" s="41"/>
      <c r="W4" s="41"/>
      <c r="X4" s="41"/>
      <c r="Y4" s="41"/>
      <c r="Z4" s="41"/>
    </row>
    <row r="5" ht="15.75"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ht="33.75" customHeight="1">
      <c r="A6" s="41"/>
      <c r="B6" s="12" t="s">
        <v>3702</v>
      </c>
      <c r="C6" s="13"/>
      <c r="D6" s="13"/>
      <c r="E6" s="14"/>
      <c r="F6" s="41"/>
      <c r="G6" s="41"/>
      <c r="H6" s="41"/>
      <c r="I6" s="41"/>
      <c r="J6" s="41"/>
      <c r="K6" s="41"/>
      <c r="L6" s="41"/>
      <c r="M6" s="41"/>
      <c r="N6" s="41"/>
      <c r="O6" s="41"/>
      <c r="P6" s="41"/>
      <c r="Q6" s="41"/>
      <c r="R6" s="41"/>
      <c r="S6" s="41"/>
      <c r="T6" s="41"/>
      <c r="U6" s="41"/>
      <c r="V6" s="41"/>
      <c r="W6" s="41"/>
      <c r="X6" s="41"/>
      <c r="Y6" s="41"/>
      <c r="Z6" s="41"/>
    </row>
    <row r="7" ht="19.5" customHeight="1">
      <c r="A7" s="41"/>
      <c r="B7" s="102" t="s">
        <v>3703</v>
      </c>
      <c r="C7" s="13"/>
      <c r="D7" s="13"/>
      <c r="E7" s="14"/>
      <c r="F7" s="41"/>
      <c r="G7" s="41"/>
      <c r="H7" s="41"/>
      <c r="I7" s="41"/>
      <c r="J7" s="41"/>
      <c r="K7" s="41"/>
      <c r="L7" s="41"/>
      <c r="M7" s="41"/>
      <c r="N7" s="41"/>
      <c r="O7" s="41"/>
      <c r="P7" s="41"/>
      <c r="Q7" s="41"/>
      <c r="R7" s="41"/>
      <c r="S7" s="41"/>
      <c r="T7" s="41"/>
      <c r="U7" s="41"/>
      <c r="V7" s="41"/>
      <c r="W7" s="41"/>
      <c r="X7" s="41"/>
      <c r="Y7" s="41"/>
      <c r="Z7" s="41"/>
    </row>
    <row r="8" ht="19.5" customHeight="1">
      <c r="A8" s="41"/>
      <c r="B8" s="49" t="s">
        <v>37</v>
      </c>
      <c r="C8" s="49" t="s">
        <v>273</v>
      </c>
      <c r="D8" s="49" t="s">
        <v>274</v>
      </c>
      <c r="E8" s="49" t="s">
        <v>5</v>
      </c>
      <c r="F8" s="41"/>
      <c r="G8" s="41"/>
      <c r="H8" s="41"/>
      <c r="I8" s="41"/>
      <c r="J8" s="41"/>
      <c r="K8" s="41"/>
      <c r="L8" s="41"/>
      <c r="M8" s="41"/>
      <c r="N8" s="41"/>
      <c r="O8" s="41"/>
      <c r="P8" s="41"/>
      <c r="Q8" s="41"/>
      <c r="R8" s="41"/>
      <c r="S8" s="41"/>
      <c r="T8" s="41"/>
      <c r="U8" s="41"/>
      <c r="V8" s="41"/>
      <c r="W8" s="41"/>
      <c r="X8" s="41"/>
      <c r="Y8" s="41"/>
      <c r="Z8" s="41"/>
    </row>
    <row r="9" ht="19.5" customHeight="1">
      <c r="A9" s="41"/>
      <c r="B9" s="102" t="s">
        <v>405</v>
      </c>
      <c r="C9" s="13"/>
      <c r="D9" s="13"/>
      <c r="E9" s="14"/>
      <c r="F9" s="41"/>
      <c r="G9" s="41"/>
      <c r="H9" s="41"/>
      <c r="I9" s="41"/>
      <c r="J9" s="41"/>
      <c r="K9" s="41"/>
      <c r="L9" s="41"/>
      <c r="M9" s="41"/>
      <c r="N9" s="41"/>
      <c r="O9" s="41"/>
      <c r="P9" s="41"/>
      <c r="Q9" s="41"/>
      <c r="R9" s="41"/>
      <c r="S9" s="41"/>
      <c r="T9" s="41"/>
      <c r="U9" s="41"/>
      <c r="V9" s="41"/>
      <c r="W9" s="41"/>
      <c r="X9" s="41"/>
      <c r="Y9" s="41"/>
      <c r="Z9" s="41"/>
    </row>
    <row r="10" ht="19.5" customHeight="1">
      <c r="A10" s="41"/>
      <c r="B10" s="170" t="s">
        <v>401</v>
      </c>
      <c r="C10" s="163" t="str">
        <f>sample_mgmt_az1_mgmt_vm_vlan</f>
        <v>2110</v>
      </c>
      <c r="D10" s="18" t="str">
        <f>mgmt_az1_mgmt_vm_vlan</f>
        <v>Value Missing</v>
      </c>
      <c r="E10" s="190"/>
      <c r="F10" s="41"/>
      <c r="G10" s="41"/>
      <c r="H10" s="41"/>
      <c r="I10" s="41"/>
      <c r="J10" s="41"/>
      <c r="K10" s="41"/>
      <c r="L10" s="41"/>
      <c r="M10" s="41"/>
      <c r="N10" s="41"/>
      <c r="O10" s="41"/>
      <c r="P10" s="41"/>
      <c r="Q10" s="41"/>
      <c r="R10" s="41"/>
      <c r="S10" s="41"/>
      <c r="T10" s="41"/>
      <c r="U10" s="41"/>
      <c r="V10" s="41"/>
      <c r="W10" s="41"/>
      <c r="X10" s="41"/>
      <c r="Y10" s="41"/>
      <c r="Z10" s="41"/>
    </row>
    <row r="11" ht="19.5" customHeight="1">
      <c r="A11" s="41"/>
      <c r="B11" s="170" t="s">
        <v>402</v>
      </c>
      <c r="C11" s="156" t="str">
        <f>sample_mgmt_az1_mgmt_vm_gateway_ip</f>
        <v>10.21.10.1</v>
      </c>
      <c r="D11" s="18" t="str">
        <f>mgmt_az1_mgmt_vm_gateway_ip</f>
        <v>Value Missing</v>
      </c>
      <c r="E11" s="190"/>
      <c r="F11" s="41"/>
      <c r="G11" s="41"/>
      <c r="H11" s="41"/>
      <c r="I11" s="41"/>
      <c r="J11" s="41"/>
      <c r="K11" s="41"/>
      <c r="L11" s="41"/>
      <c r="M11" s="41"/>
      <c r="N11" s="41"/>
      <c r="O11" s="41"/>
      <c r="P11" s="41"/>
      <c r="Q11" s="41"/>
      <c r="R11" s="41"/>
      <c r="S11" s="41"/>
      <c r="T11" s="41"/>
      <c r="U11" s="41"/>
      <c r="V11" s="41"/>
      <c r="W11" s="41"/>
      <c r="X11" s="41"/>
      <c r="Y11" s="41"/>
      <c r="Z11" s="41"/>
    </row>
    <row r="12" ht="19.5" customHeight="1">
      <c r="A12" s="41"/>
      <c r="B12" s="170" t="s">
        <v>403</v>
      </c>
      <c r="C12" s="156" t="str">
        <f>sample_mgmt_az1_mgmt_vm_cidr</f>
        <v>10.21.10.0/24</v>
      </c>
      <c r="D12" s="18" t="str">
        <f>mgmt_az1_mgmt_cidr</f>
        <v>Value Missing</v>
      </c>
      <c r="E12" s="190"/>
      <c r="F12" s="41"/>
      <c r="G12" s="41"/>
      <c r="H12" s="41"/>
      <c r="I12" s="41"/>
      <c r="J12" s="41"/>
      <c r="K12" s="41"/>
      <c r="L12" s="41"/>
      <c r="M12" s="41"/>
      <c r="N12" s="41"/>
      <c r="O12" s="41"/>
      <c r="P12" s="41"/>
      <c r="Q12" s="41"/>
      <c r="R12" s="41"/>
      <c r="S12" s="41"/>
      <c r="T12" s="41"/>
      <c r="U12" s="41"/>
      <c r="V12" s="41"/>
      <c r="W12" s="41"/>
      <c r="X12" s="41"/>
      <c r="Y12" s="41"/>
      <c r="Z12" s="41"/>
    </row>
    <row r="13" ht="19.5" customHeight="1">
      <c r="A13" s="41"/>
      <c r="B13" s="84" t="s">
        <v>404</v>
      </c>
      <c r="C13" s="156">
        <f>sample_mgmt_az1_mgmt_vm_mtu</f>
        <v>1500</v>
      </c>
      <c r="D13" s="18" t="str">
        <f>mgmt_az1_mgmt_vm_mtu</f>
        <v>Value Missing</v>
      </c>
      <c r="E13" s="190"/>
      <c r="F13" s="41"/>
      <c r="G13" s="41"/>
      <c r="H13" s="41"/>
      <c r="I13" s="41"/>
      <c r="J13" s="41"/>
      <c r="K13" s="41"/>
      <c r="L13" s="41"/>
      <c r="M13" s="41"/>
      <c r="N13" s="41"/>
      <c r="O13" s="41"/>
      <c r="P13" s="41"/>
      <c r="Q13" s="41"/>
      <c r="R13" s="41"/>
      <c r="S13" s="41"/>
      <c r="T13" s="41"/>
      <c r="U13" s="41"/>
      <c r="V13" s="41"/>
      <c r="W13" s="41"/>
      <c r="X13" s="41"/>
      <c r="Y13" s="41"/>
      <c r="Z13" s="41"/>
    </row>
    <row r="14" ht="19.5" customHeight="1">
      <c r="A14" s="41"/>
      <c r="B14" s="102" t="s">
        <v>674</v>
      </c>
      <c r="C14" s="13"/>
      <c r="D14" s="13"/>
      <c r="E14" s="14"/>
      <c r="F14" s="41"/>
      <c r="G14" s="41"/>
      <c r="H14" s="41"/>
      <c r="I14" s="41"/>
      <c r="J14" s="41"/>
      <c r="K14" s="41"/>
      <c r="L14" s="41"/>
      <c r="M14" s="41"/>
      <c r="N14" s="41"/>
      <c r="O14" s="41"/>
      <c r="P14" s="41"/>
      <c r="Q14" s="41"/>
      <c r="R14" s="41"/>
      <c r="S14" s="41"/>
      <c r="T14" s="41"/>
      <c r="U14" s="41"/>
      <c r="V14" s="41"/>
      <c r="W14" s="41"/>
      <c r="X14" s="41"/>
      <c r="Y14" s="41"/>
      <c r="Z14" s="41"/>
    </row>
    <row r="15" ht="19.5" customHeight="1">
      <c r="A15" s="41"/>
      <c r="B15" s="84" t="s">
        <v>401</v>
      </c>
      <c r="C15" s="156" t="str">
        <f>sample_mgmt_az1_uplink01_vlan</f>
        <v>2117</v>
      </c>
      <c r="D15" s="18" t="str">
        <f>mgmt_az1_uplink01_vlan</f>
        <v>Value Missing</v>
      </c>
      <c r="E15" s="191"/>
      <c r="F15" s="41"/>
      <c r="G15" s="41"/>
      <c r="H15" s="41"/>
      <c r="I15" s="41"/>
      <c r="J15" s="41"/>
      <c r="K15" s="41"/>
      <c r="L15" s="41"/>
      <c r="M15" s="41"/>
      <c r="N15" s="41"/>
      <c r="O15" s="41"/>
      <c r="P15" s="41"/>
      <c r="Q15" s="41"/>
      <c r="R15" s="41"/>
      <c r="S15" s="41"/>
      <c r="T15" s="41"/>
      <c r="U15" s="41"/>
      <c r="V15" s="41"/>
      <c r="W15" s="41"/>
      <c r="X15" s="41"/>
      <c r="Y15" s="41"/>
      <c r="Z15" s="41"/>
    </row>
    <row r="16" ht="19.5" customHeight="1">
      <c r="A16" s="41"/>
      <c r="B16" s="84" t="s">
        <v>402</v>
      </c>
      <c r="C16" s="156" t="str">
        <f>sample_mgmt_az1_uplink01_gateway_ip</f>
        <v>10.21.17.1</v>
      </c>
      <c r="D16" s="18" t="str">
        <f>mgmt_az1_uplink01_gateway_ip</f>
        <v>Value Missing</v>
      </c>
      <c r="E16" s="191"/>
      <c r="F16" s="41"/>
      <c r="G16" s="41"/>
      <c r="H16" s="41"/>
      <c r="I16" s="41"/>
      <c r="J16" s="41"/>
      <c r="K16" s="41"/>
      <c r="L16" s="41"/>
      <c r="M16" s="41"/>
      <c r="N16" s="41"/>
      <c r="O16" s="41"/>
      <c r="P16" s="41"/>
      <c r="Q16" s="41"/>
      <c r="R16" s="41"/>
      <c r="S16" s="41"/>
      <c r="T16" s="41"/>
      <c r="U16" s="41"/>
      <c r="V16" s="41"/>
      <c r="W16" s="41"/>
      <c r="X16" s="41"/>
      <c r="Y16" s="41"/>
      <c r="Z16" s="41"/>
    </row>
    <row r="17" ht="19.5" customHeight="1">
      <c r="A17" s="41"/>
      <c r="B17" s="84" t="s">
        <v>403</v>
      </c>
      <c r="C17" s="156" t="str">
        <f>sample_mgmt_az1_uplink01_cidr</f>
        <v>10.21.17.0/24</v>
      </c>
      <c r="D17" s="18" t="str">
        <f>mgmt_az1_uplink01_cidr</f>
        <v>Value Missing</v>
      </c>
      <c r="E17" s="191"/>
      <c r="F17" s="41"/>
      <c r="G17" s="41"/>
      <c r="H17" s="41"/>
      <c r="I17" s="41"/>
      <c r="J17" s="41"/>
      <c r="K17" s="41"/>
      <c r="L17" s="41"/>
      <c r="M17" s="41"/>
      <c r="N17" s="41"/>
      <c r="O17" s="41"/>
      <c r="P17" s="41"/>
      <c r="Q17" s="41"/>
      <c r="R17" s="41"/>
      <c r="S17" s="41"/>
      <c r="T17" s="41"/>
      <c r="U17" s="41"/>
      <c r="V17" s="41"/>
      <c r="W17" s="41"/>
      <c r="X17" s="41"/>
      <c r="Y17" s="41"/>
      <c r="Z17" s="41"/>
    </row>
    <row r="18" ht="19.5" customHeight="1">
      <c r="A18" s="41"/>
      <c r="B18" s="84" t="s">
        <v>404</v>
      </c>
      <c r="C18" s="156">
        <f>sample_mgmt_az1_uplink01_mtu</f>
        <v>9000</v>
      </c>
      <c r="D18" s="18" t="str">
        <f>mgmt_az1_uplink01_mtu</f>
        <v>Value Missing</v>
      </c>
      <c r="E18" s="191"/>
      <c r="F18" s="41"/>
      <c r="G18" s="41"/>
      <c r="H18" s="41"/>
      <c r="I18" s="41"/>
      <c r="J18" s="41"/>
      <c r="K18" s="41"/>
      <c r="L18" s="41"/>
      <c r="M18" s="41"/>
      <c r="N18" s="41"/>
      <c r="O18" s="41"/>
      <c r="P18" s="41"/>
      <c r="Q18" s="41"/>
      <c r="R18" s="41"/>
      <c r="S18" s="41"/>
      <c r="T18" s="41"/>
      <c r="U18" s="41"/>
      <c r="V18" s="41"/>
      <c r="W18" s="41"/>
      <c r="X18" s="41"/>
      <c r="Y18" s="41"/>
      <c r="Z18" s="41"/>
    </row>
    <row r="19" ht="19.5" customHeight="1">
      <c r="A19" s="41"/>
      <c r="B19" s="102" t="s">
        <v>676</v>
      </c>
      <c r="C19" s="13"/>
      <c r="D19" s="13"/>
      <c r="E19" s="14"/>
      <c r="F19" s="41"/>
      <c r="G19" s="41"/>
      <c r="H19" s="41"/>
      <c r="I19" s="41"/>
      <c r="J19" s="41"/>
      <c r="K19" s="41"/>
      <c r="L19" s="41"/>
      <c r="M19" s="41"/>
      <c r="N19" s="41"/>
      <c r="O19" s="41"/>
      <c r="P19" s="41"/>
      <c r="Q19" s="41"/>
      <c r="R19" s="41"/>
      <c r="S19" s="41"/>
      <c r="T19" s="41"/>
      <c r="U19" s="41"/>
      <c r="V19" s="41"/>
      <c r="W19" s="41"/>
      <c r="X19" s="41"/>
      <c r="Y19" s="41"/>
      <c r="Z19" s="41"/>
    </row>
    <row r="20" ht="19.5" customHeight="1">
      <c r="A20" s="41"/>
      <c r="B20" s="84" t="s">
        <v>401</v>
      </c>
      <c r="C20" s="156" t="str">
        <f>sample_mgmt_az1_uplink02_vlan</f>
        <v>2118</v>
      </c>
      <c r="D20" s="18" t="str">
        <f>mgmt_az1_uplink02_vlan</f>
        <v>Value Missing</v>
      </c>
      <c r="E20" s="84"/>
      <c r="F20" s="41"/>
      <c r="G20" s="41"/>
      <c r="H20" s="41"/>
      <c r="I20" s="41"/>
      <c r="J20" s="41"/>
      <c r="K20" s="41"/>
      <c r="L20" s="41"/>
      <c r="M20" s="41"/>
      <c r="N20" s="41"/>
      <c r="O20" s="41"/>
      <c r="P20" s="41"/>
      <c r="Q20" s="41"/>
      <c r="R20" s="41"/>
      <c r="S20" s="41"/>
      <c r="T20" s="41"/>
      <c r="U20" s="41"/>
      <c r="V20" s="41"/>
      <c r="W20" s="41"/>
      <c r="X20" s="41"/>
      <c r="Y20" s="41"/>
      <c r="Z20" s="41"/>
    </row>
    <row r="21" ht="19.5" customHeight="1">
      <c r="A21" s="41"/>
      <c r="B21" s="84" t="s">
        <v>402</v>
      </c>
      <c r="C21" s="156" t="str">
        <f>sample_mgmt_az1_uplink02_gateway_ip</f>
        <v>10.21.18.1</v>
      </c>
      <c r="D21" s="18" t="str">
        <f>mgmt_az1_uplink02_gateway_ip</f>
        <v>Value Missing</v>
      </c>
      <c r="E21" s="191"/>
      <c r="F21" s="41"/>
      <c r="G21" s="41"/>
      <c r="H21" s="41"/>
      <c r="I21" s="41"/>
      <c r="J21" s="41"/>
      <c r="K21" s="41"/>
      <c r="L21" s="41"/>
      <c r="M21" s="41"/>
      <c r="N21" s="41"/>
      <c r="O21" s="41"/>
      <c r="P21" s="41"/>
      <c r="Q21" s="41"/>
      <c r="R21" s="41"/>
      <c r="S21" s="41"/>
      <c r="T21" s="41"/>
      <c r="U21" s="41"/>
      <c r="V21" s="41"/>
      <c r="W21" s="41"/>
      <c r="X21" s="41"/>
      <c r="Y21" s="41"/>
      <c r="Z21" s="41"/>
    </row>
    <row r="22" ht="19.5" customHeight="1">
      <c r="A22" s="41"/>
      <c r="B22" s="84" t="s">
        <v>403</v>
      </c>
      <c r="C22" s="156" t="str">
        <f>sample_mgmt_az1_uplink02_cidr</f>
        <v>10.21.18.0/24</v>
      </c>
      <c r="D22" s="18" t="str">
        <f>mgmt_az1_uplink02_cidr</f>
        <v>Value Missing</v>
      </c>
      <c r="E22" s="191"/>
      <c r="F22" s="41"/>
      <c r="G22" s="41"/>
      <c r="H22" s="41"/>
      <c r="I22" s="41"/>
      <c r="J22" s="41"/>
      <c r="K22" s="41"/>
      <c r="L22" s="41"/>
      <c r="M22" s="41"/>
      <c r="N22" s="41"/>
      <c r="O22" s="41"/>
      <c r="P22" s="41"/>
      <c r="Q22" s="41"/>
      <c r="R22" s="41"/>
      <c r="S22" s="41"/>
      <c r="T22" s="41"/>
      <c r="U22" s="41"/>
      <c r="V22" s="41"/>
      <c r="W22" s="41"/>
      <c r="X22" s="41"/>
      <c r="Y22" s="41"/>
      <c r="Z22" s="41"/>
    </row>
    <row r="23" ht="19.5" customHeight="1">
      <c r="A23" s="41"/>
      <c r="B23" s="84" t="s">
        <v>404</v>
      </c>
      <c r="C23" s="156">
        <f>sample_mgmt_az1_uplink02_mtu</f>
        <v>9000</v>
      </c>
      <c r="D23" s="18" t="str">
        <f>mgmt_az1_uplink02_mtu</f>
        <v>Value Missing</v>
      </c>
      <c r="E23" s="191"/>
      <c r="F23" s="41"/>
      <c r="G23" s="41"/>
      <c r="H23" s="41"/>
      <c r="I23" s="41"/>
      <c r="J23" s="41"/>
      <c r="K23" s="41"/>
      <c r="L23" s="41"/>
      <c r="M23" s="41"/>
      <c r="N23" s="41"/>
      <c r="O23" s="41"/>
      <c r="P23" s="41"/>
      <c r="Q23" s="41"/>
      <c r="R23" s="41"/>
      <c r="S23" s="41"/>
      <c r="T23" s="41"/>
      <c r="U23" s="41"/>
      <c r="V23" s="41"/>
      <c r="W23" s="41"/>
      <c r="X23" s="41"/>
      <c r="Y23" s="41"/>
      <c r="Z23" s="41"/>
    </row>
    <row r="24" ht="19.5" customHeight="1">
      <c r="A24" s="41"/>
      <c r="B24" s="102" t="s">
        <v>678</v>
      </c>
      <c r="C24" s="13"/>
      <c r="D24" s="13"/>
      <c r="E24" s="14"/>
      <c r="F24" s="41"/>
      <c r="G24" s="41"/>
      <c r="H24" s="41"/>
      <c r="I24" s="41"/>
      <c r="J24" s="41"/>
      <c r="K24" s="41"/>
      <c r="L24" s="41"/>
      <c r="M24" s="41"/>
      <c r="N24" s="41"/>
      <c r="O24" s="41"/>
      <c r="P24" s="41"/>
      <c r="Q24" s="41"/>
      <c r="R24" s="41"/>
      <c r="S24" s="41"/>
      <c r="T24" s="41"/>
      <c r="U24" s="41"/>
      <c r="V24" s="41"/>
      <c r="W24" s="41"/>
      <c r="X24" s="41"/>
      <c r="Y24" s="41"/>
      <c r="Z24" s="41"/>
    </row>
    <row r="25" ht="19.5" customHeight="1">
      <c r="A25" s="41"/>
      <c r="B25" s="84" t="s">
        <v>401</v>
      </c>
      <c r="C25" s="156" t="str">
        <f>sample_mgmt_az1_edge_overlay_vlan</f>
        <v>2119</v>
      </c>
      <c r="D25" s="18" t="str">
        <f>mgmt_az1_edge_overlay_vlan</f>
        <v>Value Missing</v>
      </c>
      <c r="E25" s="191" t="str">
        <f>IF(AND(mgmt_stretched_cluster_result="Included",mgmt_dpg_reuse_result="Included"),"Stretched L2","")</f>
        <v/>
      </c>
      <c r="F25" s="41"/>
      <c r="G25" s="41"/>
      <c r="H25" s="41"/>
      <c r="I25" s="41"/>
      <c r="J25" s="41"/>
      <c r="K25" s="41"/>
      <c r="L25" s="41"/>
      <c r="M25" s="41"/>
      <c r="N25" s="41"/>
      <c r="O25" s="41"/>
      <c r="P25" s="41"/>
      <c r="Q25" s="41"/>
      <c r="R25" s="41"/>
      <c r="S25" s="41"/>
      <c r="T25" s="41"/>
      <c r="U25" s="41"/>
      <c r="V25" s="41"/>
      <c r="W25" s="41"/>
      <c r="X25" s="41"/>
      <c r="Y25" s="41"/>
      <c r="Z25" s="41"/>
    </row>
    <row r="26" ht="19.5" customHeight="1">
      <c r="A26" s="41"/>
      <c r="B26" s="84" t="s">
        <v>402</v>
      </c>
      <c r="C26" s="156" t="str">
        <f>sample_mgmt_az1_edge_overlay_gateway_ip</f>
        <v>10.21.19.1</v>
      </c>
      <c r="D26" s="18" t="str">
        <f>mgmt_az1_edge_overlay_gateway_ip</f>
        <v>Value Missing</v>
      </c>
      <c r="E26" s="191" t="str">
        <f>IF(AND(mgmt_stretched_cluster_result="Included",mgmt_dpg_reuse_result="Excluded"),"Stretched L2","")</f>
        <v/>
      </c>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84" t="s">
        <v>403</v>
      </c>
      <c r="C27" s="156" t="str">
        <f>sample_mgmt_az1_edge_overlay_cidr</f>
        <v>10.21.19.0/24</v>
      </c>
      <c r="D27" s="18" t="str">
        <f>mgmt_az1_edge_overlay_cidr</f>
        <v>Value Missing</v>
      </c>
      <c r="E27" s="191"/>
      <c r="F27" s="41"/>
      <c r="G27" s="41"/>
      <c r="H27" s="41"/>
      <c r="I27" s="41"/>
      <c r="J27" s="41"/>
      <c r="K27" s="41"/>
      <c r="L27" s="41"/>
      <c r="M27" s="41"/>
      <c r="N27" s="41"/>
      <c r="O27" s="41"/>
      <c r="P27" s="41"/>
      <c r="Q27" s="41"/>
      <c r="R27" s="41"/>
      <c r="S27" s="41"/>
      <c r="T27" s="41"/>
      <c r="U27" s="41"/>
      <c r="V27" s="41"/>
      <c r="W27" s="41"/>
      <c r="X27" s="41"/>
      <c r="Y27" s="41"/>
      <c r="Z27" s="41"/>
    </row>
    <row r="28" ht="19.5" customHeight="1">
      <c r="A28" s="41"/>
      <c r="B28" s="84" t="s">
        <v>404</v>
      </c>
      <c r="C28" s="156">
        <f>sample_mgmt_az1_edge_overlay_mtu</f>
        <v>9000</v>
      </c>
      <c r="D28" s="18" t="str">
        <f>mgmt_az1_edge_overlay_mtu</f>
        <v>Value Missing</v>
      </c>
      <c r="E28" s="191"/>
      <c r="F28" s="41"/>
      <c r="G28" s="41"/>
      <c r="H28" s="41"/>
      <c r="I28" s="41"/>
      <c r="J28" s="41"/>
      <c r="K28" s="41"/>
      <c r="L28" s="41"/>
      <c r="M28" s="41"/>
      <c r="N28" s="41"/>
      <c r="O28" s="41"/>
      <c r="P28" s="41"/>
      <c r="Q28" s="41"/>
      <c r="R28" s="41"/>
      <c r="S28" s="41"/>
      <c r="T28" s="41"/>
      <c r="U28" s="41"/>
      <c r="V28" s="41"/>
      <c r="W28" s="41"/>
      <c r="X28" s="41"/>
      <c r="Y28" s="41"/>
      <c r="Z28" s="41"/>
    </row>
    <row r="29" ht="19.5" customHeight="1">
      <c r="A29" s="41"/>
      <c r="B29" s="102" t="s">
        <v>3704</v>
      </c>
      <c r="C29" s="13"/>
      <c r="D29" s="13"/>
      <c r="E29" s="14"/>
      <c r="F29" s="41"/>
      <c r="G29" s="41"/>
      <c r="H29" s="41"/>
      <c r="I29" s="41"/>
      <c r="J29" s="41"/>
      <c r="K29" s="41"/>
      <c r="L29" s="41"/>
      <c r="M29" s="41"/>
      <c r="N29" s="41"/>
      <c r="O29" s="41"/>
      <c r="P29" s="41"/>
      <c r="Q29" s="41"/>
      <c r="R29" s="41"/>
      <c r="S29" s="41"/>
      <c r="T29" s="41"/>
      <c r="U29" s="41"/>
      <c r="V29" s="41"/>
      <c r="W29" s="41"/>
      <c r="X29" s="41"/>
      <c r="Y29" s="41"/>
      <c r="Z29" s="41"/>
    </row>
    <row r="30" ht="19.5" customHeight="1">
      <c r="A30" s="41"/>
      <c r="B30" s="84" t="s">
        <v>1439</v>
      </c>
      <c r="C30" s="156" t="str">
        <f>sample_mgmt_en_asn</f>
        <v>65201</v>
      </c>
      <c r="D30" s="18" t="str">
        <f>mgmt_en_asn</f>
        <v>Value Missing</v>
      </c>
      <c r="E30" s="191"/>
      <c r="F30" s="41"/>
      <c r="G30" s="41"/>
      <c r="H30" s="41"/>
      <c r="I30" s="41"/>
      <c r="J30" s="41"/>
      <c r="K30" s="41"/>
      <c r="L30" s="41"/>
      <c r="M30" s="41"/>
      <c r="N30" s="41"/>
      <c r="O30" s="41"/>
      <c r="P30" s="41"/>
      <c r="Q30" s="41"/>
      <c r="R30" s="41"/>
      <c r="S30" s="41"/>
      <c r="T30" s="41"/>
      <c r="U30" s="41"/>
      <c r="V30" s="41"/>
      <c r="W30" s="41"/>
      <c r="X30" s="41"/>
      <c r="Y30" s="41"/>
      <c r="Z30" s="41"/>
    </row>
    <row r="31" ht="19.5" customHeight="1">
      <c r="A31" s="41"/>
      <c r="B31" s="84" t="s">
        <v>658</v>
      </c>
      <c r="C31" s="156" t="str">
        <f>sample_mgmt_az1_tor1_peer_ip</f>
        <v>10.21.17.10</v>
      </c>
      <c r="D31" s="18" t="str">
        <f>mgmt_az1_tor1_peer_ip</f>
        <v>Value Missing</v>
      </c>
      <c r="E31" s="191"/>
      <c r="F31" s="41"/>
      <c r="G31" s="41"/>
      <c r="H31" s="41"/>
      <c r="I31" s="41"/>
      <c r="J31" s="41"/>
      <c r="K31" s="41"/>
      <c r="L31" s="41"/>
      <c r="M31" s="41"/>
      <c r="N31" s="41"/>
      <c r="O31" s="41"/>
      <c r="P31" s="41"/>
      <c r="Q31" s="41"/>
      <c r="R31" s="41"/>
      <c r="S31" s="41"/>
      <c r="T31" s="41"/>
      <c r="U31" s="41"/>
      <c r="V31" s="41"/>
      <c r="W31" s="41"/>
      <c r="X31" s="41"/>
      <c r="Y31" s="41"/>
      <c r="Z31" s="41"/>
    </row>
    <row r="32" ht="19.5" customHeight="1">
      <c r="A32" s="41"/>
      <c r="B32" s="84" t="s">
        <v>659</v>
      </c>
      <c r="C32" s="156" t="str">
        <f>sample_mgmt_az1_tor1_peer_asn</f>
        <v>211</v>
      </c>
      <c r="D32" s="18" t="str">
        <f>mgmt_az1_tor1_peer_asn</f>
        <v>Value Missing</v>
      </c>
      <c r="E32" s="191"/>
      <c r="F32" s="41"/>
      <c r="G32" s="41"/>
      <c r="H32" s="41"/>
      <c r="I32" s="41"/>
      <c r="J32" s="41"/>
      <c r="K32" s="41"/>
      <c r="L32" s="41"/>
      <c r="M32" s="41"/>
      <c r="N32" s="41"/>
      <c r="O32" s="41"/>
      <c r="P32" s="41"/>
      <c r="Q32" s="41"/>
      <c r="R32" s="41"/>
      <c r="S32" s="41"/>
      <c r="T32" s="41"/>
      <c r="U32" s="41"/>
      <c r="V32" s="41"/>
      <c r="W32" s="41"/>
      <c r="X32" s="41"/>
      <c r="Y32" s="41"/>
      <c r="Z32" s="41"/>
    </row>
    <row r="33" ht="19.5" customHeight="1">
      <c r="A33" s="41"/>
      <c r="B33" s="84" t="s">
        <v>660</v>
      </c>
      <c r="C33" s="156" t="str">
        <f>sample_mgmt_az1_tor1_peer_bgp_password</f>
        <v>VMw@re1!</v>
      </c>
      <c r="D33" s="18" t="str">
        <f>mgmt_az1_tor1_peer_bgp_password</f>
        <v>Value Missing</v>
      </c>
      <c r="E33" s="191"/>
      <c r="F33" s="41"/>
      <c r="G33" s="41"/>
      <c r="H33" s="41"/>
      <c r="I33" s="41"/>
      <c r="J33" s="41"/>
      <c r="K33" s="41"/>
      <c r="L33" s="41"/>
      <c r="M33" s="41"/>
      <c r="N33" s="41"/>
      <c r="O33" s="41"/>
      <c r="P33" s="41"/>
      <c r="Q33" s="41"/>
      <c r="R33" s="41"/>
      <c r="S33" s="41"/>
      <c r="T33" s="41"/>
      <c r="U33" s="41"/>
      <c r="V33" s="41"/>
      <c r="W33" s="41"/>
      <c r="X33" s="41"/>
      <c r="Y33" s="41"/>
      <c r="Z33" s="41"/>
    </row>
    <row r="34" ht="19.5" customHeight="1">
      <c r="A34" s="41"/>
      <c r="B34" s="84" t="s">
        <v>661</v>
      </c>
      <c r="C34" s="156" t="str">
        <f>sample_mgmt_az1_tor2_peer_ip</f>
        <v>10.21.18.10</v>
      </c>
      <c r="D34" s="18" t="str">
        <f>mgmt_az1_tor2_peer_ip</f>
        <v>Value Missing</v>
      </c>
      <c r="E34" s="191"/>
      <c r="F34" s="41"/>
      <c r="G34" s="41"/>
      <c r="H34" s="41"/>
      <c r="I34" s="41"/>
      <c r="J34" s="41"/>
      <c r="K34" s="41"/>
      <c r="L34" s="41"/>
      <c r="M34" s="41"/>
      <c r="N34" s="41"/>
      <c r="O34" s="41"/>
      <c r="P34" s="41"/>
      <c r="Q34" s="41"/>
      <c r="R34" s="41"/>
      <c r="S34" s="41"/>
      <c r="T34" s="41"/>
      <c r="U34" s="41"/>
      <c r="V34" s="41"/>
      <c r="W34" s="41"/>
      <c r="X34" s="41"/>
      <c r="Y34" s="41"/>
      <c r="Z34" s="41"/>
    </row>
    <row r="35" ht="19.5" customHeight="1">
      <c r="A35" s="41"/>
      <c r="B35" s="84" t="s">
        <v>662</v>
      </c>
      <c r="C35" s="156" t="str">
        <f>sample_mgmt_az1_tor2_peer_asn</f>
        <v>211</v>
      </c>
      <c r="D35" s="18" t="str">
        <f>mgmt_az1_tor2_peer_asn</f>
        <v>Value Missing</v>
      </c>
      <c r="E35" s="191"/>
      <c r="F35" s="41"/>
      <c r="G35" s="41"/>
      <c r="H35" s="41"/>
      <c r="I35" s="41"/>
      <c r="J35" s="41"/>
      <c r="K35" s="41"/>
      <c r="L35" s="41"/>
      <c r="M35" s="41"/>
      <c r="N35" s="41"/>
      <c r="O35" s="41"/>
      <c r="P35" s="41"/>
      <c r="Q35" s="41"/>
      <c r="R35" s="41"/>
      <c r="S35" s="41"/>
      <c r="T35" s="41"/>
      <c r="U35" s="41"/>
      <c r="V35" s="41"/>
      <c r="W35" s="41"/>
      <c r="X35" s="41"/>
      <c r="Y35" s="41"/>
      <c r="Z35" s="41"/>
    </row>
    <row r="36" ht="19.5" customHeight="1">
      <c r="A36" s="41"/>
      <c r="B36" s="84" t="s">
        <v>663</v>
      </c>
      <c r="C36" s="156" t="str">
        <f>sample_mgmt_az1_tor2_peer_bgp_password</f>
        <v>VMw@re1!</v>
      </c>
      <c r="D36" s="18" t="str">
        <f>mgmt_az1_tor2_peer_bgp_password</f>
        <v>Value Missing</v>
      </c>
      <c r="E36" s="191"/>
      <c r="F36" s="41"/>
      <c r="G36" s="41"/>
      <c r="H36" s="41"/>
      <c r="I36" s="41"/>
      <c r="J36" s="41"/>
      <c r="K36" s="41"/>
      <c r="L36" s="41"/>
      <c r="M36" s="41"/>
      <c r="N36" s="41"/>
      <c r="O36" s="41"/>
      <c r="P36" s="41"/>
      <c r="Q36" s="41"/>
      <c r="R36" s="41"/>
      <c r="S36" s="41"/>
      <c r="T36" s="41"/>
      <c r="U36" s="41"/>
      <c r="V36" s="41"/>
      <c r="W36" s="41"/>
      <c r="X36" s="41"/>
      <c r="Y36" s="41"/>
      <c r="Z36" s="41"/>
    </row>
    <row r="37" ht="19.5" customHeight="1">
      <c r="A37" s="41"/>
      <c r="B37" s="102" t="s">
        <v>3705</v>
      </c>
      <c r="C37" s="13"/>
      <c r="D37" s="13"/>
      <c r="E37" s="14"/>
      <c r="F37" s="41"/>
      <c r="G37" s="41"/>
      <c r="H37" s="41"/>
      <c r="I37" s="41"/>
      <c r="J37" s="41"/>
      <c r="K37" s="41"/>
      <c r="L37" s="41"/>
      <c r="M37" s="41"/>
      <c r="N37" s="41"/>
      <c r="O37" s="41"/>
      <c r="P37" s="41"/>
      <c r="Q37" s="41"/>
      <c r="R37" s="41"/>
      <c r="S37" s="41"/>
      <c r="T37" s="41"/>
      <c r="U37" s="41"/>
      <c r="V37" s="41"/>
      <c r="W37" s="41"/>
      <c r="X37" s="41"/>
      <c r="Y37" s="41"/>
      <c r="Z37" s="41"/>
    </row>
    <row r="38" ht="19.5" customHeight="1">
      <c r="A38" s="41"/>
      <c r="B38" s="365" t="str">
        <f>mgmt_az1_en1_fqdn</f>
        <v>Value Missing</v>
      </c>
      <c r="C38" s="156" t="str">
        <f>sample_mgmt_az1_en1_mgmt_cidr</f>
        <v>10.21.10.75/24</v>
      </c>
      <c r="D38" s="18" t="str">
        <f>mgmt_az1_en1_mgmt_cidr</f>
        <v>Value Missing</v>
      </c>
      <c r="E38" s="18"/>
      <c r="F38" s="41"/>
      <c r="G38" s="41"/>
      <c r="H38" s="41"/>
      <c r="I38" s="41"/>
      <c r="J38" s="41"/>
      <c r="K38" s="41"/>
      <c r="L38" s="41"/>
      <c r="M38" s="41"/>
      <c r="N38" s="41"/>
      <c r="O38" s="41"/>
      <c r="P38" s="41"/>
      <c r="Q38" s="41"/>
      <c r="R38" s="41"/>
      <c r="S38" s="41"/>
      <c r="T38" s="41"/>
      <c r="U38" s="41"/>
      <c r="V38" s="41"/>
      <c r="W38" s="41"/>
      <c r="X38" s="41"/>
      <c r="Y38" s="41"/>
      <c r="Z38" s="41"/>
    </row>
    <row r="39" ht="19.5" customHeight="1">
      <c r="A39" s="41"/>
      <c r="B39" s="51" t="s">
        <v>478</v>
      </c>
      <c r="C39" s="156" t="str">
        <f>sample_mgmt_az1_en1_uplink01_interface_cidr</f>
        <v>10.21.17.2/24</v>
      </c>
      <c r="D39" s="18" t="str">
        <f>mgmt_az1_en1_uplink01_interface_cidr</f>
        <v>Value Missing</v>
      </c>
      <c r="E39" s="18" t="s">
        <v>648</v>
      </c>
      <c r="F39" s="41"/>
      <c r="G39" s="41"/>
      <c r="H39" s="41"/>
      <c r="I39" s="41"/>
      <c r="J39" s="41"/>
      <c r="K39" s="41"/>
      <c r="L39" s="41"/>
      <c r="M39" s="41"/>
      <c r="N39" s="41"/>
      <c r="O39" s="41"/>
      <c r="P39" s="41"/>
      <c r="Q39" s="41"/>
      <c r="R39" s="41"/>
      <c r="S39" s="41"/>
      <c r="T39" s="41"/>
      <c r="U39" s="41"/>
      <c r="V39" s="41"/>
      <c r="W39" s="41"/>
      <c r="X39" s="41"/>
      <c r="Y39" s="41"/>
      <c r="Z39" s="41"/>
    </row>
    <row r="40" ht="19.5" customHeight="1">
      <c r="A40" s="41"/>
      <c r="B40" s="51" t="s">
        <v>478</v>
      </c>
      <c r="C40" s="156" t="str">
        <f>sample_mgmt_az1_en1_uplink02_interface_cidr</f>
        <v>10.21.18.2/24</v>
      </c>
      <c r="D40" s="18" t="str">
        <f>mgmt_az1_en1_uplink02_interface_cidr</f>
        <v>Value Missing</v>
      </c>
      <c r="E40" s="18" t="s">
        <v>1471</v>
      </c>
      <c r="F40" s="41"/>
      <c r="G40" s="41"/>
      <c r="H40" s="41"/>
      <c r="I40" s="41"/>
      <c r="J40" s="41"/>
      <c r="K40" s="41"/>
      <c r="L40" s="41"/>
      <c r="M40" s="41"/>
      <c r="N40" s="41"/>
      <c r="O40" s="41"/>
      <c r="P40" s="41"/>
      <c r="Q40" s="41"/>
      <c r="R40" s="41"/>
      <c r="S40" s="41"/>
      <c r="T40" s="41"/>
      <c r="U40" s="41"/>
      <c r="V40" s="41"/>
      <c r="W40" s="41"/>
      <c r="X40" s="41"/>
      <c r="Y40" s="41"/>
      <c r="Z40" s="41"/>
    </row>
    <row r="41" ht="19.5" customHeight="1">
      <c r="A41" s="41"/>
      <c r="B41" s="391" t="s">
        <v>478</v>
      </c>
      <c r="C41" s="156" t="str">
        <f>sample_mgmt_az1_en1_edge_overlay_interface_ip_1_ip</f>
        <v>10.21.19.2</v>
      </c>
      <c r="D41" s="18" t="str">
        <f>mgmt_az1_en1_edge_overlay_interface_ip_1_ip</f>
        <v>Value Missing</v>
      </c>
      <c r="E41" s="18" t="s">
        <v>1459</v>
      </c>
      <c r="F41" s="41"/>
      <c r="G41" s="41"/>
      <c r="H41" s="41"/>
      <c r="I41" s="41"/>
      <c r="J41" s="41"/>
      <c r="K41" s="41"/>
      <c r="L41" s="41"/>
      <c r="M41" s="41"/>
      <c r="N41" s="41"/>
      <c r="O41" s="41"/>
      <c r="P41" s="41"/>
      <c r="Q41" s="41"/>
      <c r="R41" s="41"/>
      <c r="S41" s="41"/>
      <c r="T41" s="41"/>
      <c r="U41" s="41"/>
      <c r="V41" s="41"/>
      <c r="W41" s="41"/>
      <c r="X41" s="41"/>
      <c r="Y41" s="41"/>
      <c r="Z41" s="41"/>
    </row>
    <row r="42" ht="19.5" customHeight="1">
      <c r="A42" s="41"/>
      <c r="B42" s="392" t="s">
        <v>478</v>
      </c>
      <c r="C42" s="156" t="str">
        <f>sample_mgmt_az1_en1_edge_overlay_interface_ip_2_ip</f>
        <v>10.21.19.3</v>
      </c>
      <c r="D42" s="18" t="str">
        <f>mgmt_az1_en1_edge_overlay_interface_ip_2_ip</f>
        <v>Value Missing</v>
      </c>
      <c r="E42" s="18" t="s">
        <v>3706</v>
      </c>
      <c r="F42" s="41"/>
      <c r="G42" s="41"/>
      <c r="H42" s="41"/>
      <c r="I42" s="41"/>
      <c r="J42" s="41"/>
      <c r="K42" s="41"/>
      <c r="L42" s="41"/>
      <c r="M42" s="41"/>
      <c r="N42" s="41"/>
      <c r="O42" s="41"/>
      <c r="P42" s="41"/>
      <c r="Q42" s="41"/>
      <c r="R42" s="41"/>
      <c r="S42" s="41"/>
      <c r="T42" s="41"/>
      <c r="U42" s="41"/>
      <c r="V42" s="41"/>
      <c r="W42" s="41"/>
      <c r="X42" s="41"/>
      <c r="Y42" s="41"/>
      <c r="Z42" s="41"/>
    </row>
    <row r="43" ht="19.5" customHeight="1">
      <c r="A43" s="41"/>
      <c r="B43" s="365" t="str">
        <f>mgmt_az1_en2_fqdn</f>
        <v>Value Missing</v>
      </c>
      <c r="C43" s="156" t="str">
        <f>sample_mgmt_az1_en2_mgmt_cidr</f>
        <v>10.21.10.76/24</v>
      </c>
      <c r="D43" s="18" t="str">
        <f>mgmt_az1_en2_mgmt_cidr</f>
        <v>Value Missing</v>
      </c>
      <c r="E43" s="18"/>
      <c r="F43" s="41"/>
      <c r="G43" s="41"/>
      <c r="H43" s="41"/>
      <c r="I43" s="41"/>
      <c r="J43" s="41"/>
      <c r="K43" s="41"/>
      <c r="L43" s="41"/>
      <c r="M43" s="41"/>
      <c r="N43" s="41"/>
      <c r="O43" s="41"/>
      <c r="P43" s="41"/>
      <c r="Q43" s="41"/>
      <c r="R43" s="41"/>
      <c r="S43" s="41"/>
      <c r="T43" s="41"/>
      <c r="U43" s="41"/>
      <c r="V43" s="41"/>
      <c r="W43" s="41"/>
      <c r="X43" s="41"/>
      <c r="Y43" s="41"/>
      <c r="Z43" s="41"/>
    </row>
    <row r="44" ht="19.5" customHeight="1">
      <c r="A44" s="41"/>
      <c r="B44" s="51" t="s">
        <v>478</v>
      </c>
      <c r="C44" s="156" t="str">
        <f>sample_mgmt_az1_en2_uplink01_interface_cidr</f>
        <v>10.21.17.3/24</v>
      </c>
      <c r="D44" s="18" t="str">
        <f>mgmt_az1_en2_uplink01_interface_cidr</f>
        <v>Value Missing</v>
      </c>
      <c r="E44" s="18" t="s">
        <v>657</v>
      </c>
      <c r="F44" s="41"/>
      <c r="G44" s="41"/>
      <c r="H44" s="41"/>
      <c r="I44" s="41"/>
      <c r="J44" s="41"/>
      <c r="K44" s="41"/>
      <c r="L44" s="41"/>
      <c r="M44" s="41"/>
      <c r="N44" s="41"/>
      <c r="O44" s="41"/>
      <c r="P44" s="41"/>
      <c r="Q44" s="41"/>
      <c r="R44" s="41"/>
      <c r="S44" s="41"/>
      <c r="T44" s="41"/>
      <c r="U44" s="41"/>
      <c r="V44" s="41"/>
      <c r="W44" s="41"/>
      <c r="X44" s="41"/>
      <c r="Y44" s="41"/>
      <c r="Z44" s="41"/>
    </row>
    <row r="45" ht="19.5" customHeight="1">
      <c r="A45" s="41"/>
      <c r="B45" s="51" t="s">
        <v>478</v>
      </c>
      <c r="C45" s="156" t="str">
        <f>sample_mgmt_az1_en2_uplink02_interface_cidr</f>
        <v>10.21.18.3/24</v>
      </c>
      <c r="D45" s="18" t="str">
        <f>mgmt_az1_en2_uplink02_interface_cidr</f>
        <v>Value Missing</v>
      </c>
      <c r="E45" s="18" t="s">
        <v>655</v>
      </c>
      <c r="F45" s="41"/>
      <c r="G45" s="41"/>
      <c r="H45" s="41"/>
      <c r="I45" s="41"/>
      <c r="J45" s="41"/>
      <c r="K45" s="41"/>
      <c r="L45" s="41"/>
      <c r="M45" s="41"/>
      <c r="N45" s="41"/>
      <c r="O45" s="41"/>
      <c r="P45" s="41"/>
      <c r="Q45" s="41"/>
      <c r="R45" s="41"/>
      <c r="S45" s="41"/>
      <c r="T45" s="41"/>
      <c r="U45" s="41"/>
      <c r="V45" s="41"/>
      <c r="W45" s="41"/>
      <c r="X45" s="41"/>
      <c r="Y45" s="41"/>
      <c r="Z45" s="41"/>
    </row>
    <row r="46" ht="19.5" customHeight="1">
      <c r="A46" s="41"/>
      <c r="B46" s="391" t="s">
        <v>478</v>
      </c>
      <c r="C46" s="156" t="str">
        <f>sample_mgmt_az1_en2_edge_overlay_interface_ip_1_ip</f>
        <v>10.21.19.4</v>
      </c>
      <c r="D46" s="18" t="str">
        <f>mgmt_az1_en2_edge_overlay_interface_ip_1_ip</f>
        <v>Value Missing</v>
      </c>
      <c r="E46" s="18" t="s">
        <v>1466</v>
      </c>
      <c r="F46" s="41"/>
      <c r="G46" s="41"/>
      <c r="H46" s="41"/>
      <c r="I46" s="41"/>
      <c r="J46" s="41"/>
      <c r="K46" s="41"/>
      <c r="L46" s="41"/>
      <c r="M46" s="41"/>
      <c r="N46" s="41"/>
      <c r="O46" s="41"/>
      <c r="P46" s="41"/>
      <c r="Q46" s="41"/>
      <c r="R46" s="41"/>
      <c r="S46" s="41"/>
      <c r="T46" s="41"/>
      <c r="U46" s="41"/>
      <c r="V46" s="41"/>
      <c r="W46" s="41"/>
      <c r="X46" s="41"/>
      <c r="Y46" s="41"/>
      <c r="Z46" s="41"/>
    </row>
    <row r="47" ht="19.5" customHeight="1">
      <c r="A47" s="41"/>
      <c r="B47" s="392" t="s">
        <v>478</v>
      </c>
      <c r="C47" s="156" t="str">
        <f>sample_mgmt_az1_en2_edge_overlay_interface_ip_2_ip</f>
        <v>10.21.19.5</v>
      </c>
      <c r="D47" s="18" t="str">
        <f>mgmt_az1_en2_edge_overlay_interface_ip_2_ip</f>
        <v>Value Missing</v>
      </c>
      <c r="E47" s="18" t="s">
        <v>1468</v>
      </c>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33.75" customHeight="1">
      <c r="A49" s="41"/>
      <c r="B49" s="12" t="s">
        <v>3707</v>
      </c>
      <c r="C49" s="13"/>
      <c r="D49" s="13"/>
      <c r="E49" s="14"/>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49" t="s">
        <v>37</v>
      </c>
      <c r="C50" s="49" t="s">
        <v>273</v>
      </c>
      <c r="D50" s="49" t="s">
        <v>274</v>
      </c>
      <c r="E50" s="49" t="s">
        <v>5</v>
      </c>
      <c r="F50" s="41"/>
      <c r="G50" s="41"/>
      <c r="H50" s="41"/>
      <c r="I50" s="41"/>
      <c r="J50" s="41"/>
      <c r="K50" s="41"/>
      <c r="L50" s="41"/>
      <c r="M50" s="41"/>
      <c r="N50" s="41"/>
      <c r="O50" s="41"/>
      <c r="P50" s="41"/>
      <c r="Q50" s="41"/>
      <c r="R50" s="41"/>
      <c r="S50" s="41"/>
      <c r="T50" s="41"/>
      <c r="U50" s="41"/>
      <c r="V50" s="41"/>
      <c r="W50" s="41"/>
      <c r="X50" s="41"/>
      <c r="Y50" s="41"/>
      <c r="Z50" s="41"/>
    </row>
    <row r="51" ht="19.5" customHeight="1">
      <c r="A51" s="41"/>
      <c r="B51" s="102" t="s">
        <v>405</v>
      </c>
      <c r="C51" s="13"/>
      <c r="D51" s="13"/>
      <c r="E51" s="14"/>
      <c r="F51" s="41"/>
      <c r="G51" s="41"/>
      <c r="H51" s="41"/>
      <c r="I51" s="41"/>
      <c r="J51" s="41"/>
      <c r="K51" s="41"/>
      <c r="L51" s="41"/>
      <c r="M51" s="41"/>
      <c r="N51" s="41"/>
      <c r="O51" s="41"/>
      <c r="P51" s="41"/>
      <c r="Q51" s="41"/>
      <c r="R51" s="41"/>
      <c r="S51" s="41"/>
      <c r="T51" s="41"/>
      <c r="U51" s="41"/>
      <c r="V51" s="41"/>
      <c r="W51" s="41"/>
      <c r="X51" s="41"/>
      <c r="Y51" s="41"/>
      <c r="Z51" s="41"/>
    </row>
    <row r="52" ht="19.5" customHeight="1">
      <c r="A52" s="41"/>
      <c r="B52" s="84" t="s">
        <v>401</v>
      </c>
      <c r="C52" s="163" t="str">
        <f>sample_mgmt_az1_mgmt_vm_vlan</f>
        <v>2110</v>
      </c>
      <c r="D52" s="18" t="str">
        <f>mgmt_az1_mgmt_vm_vlan</f>
        <v>Value Missing</v>
      </c>
      <c r="E52" s="190"/>
      <c r="F52" s="41"/>
      <c r="G52" s="41"/>
      <c r="H52" s="41"/>
      <c r="I52" s="41"/>
      <c r="J52" s="41"/>
      <c r="K52" s="41"/>
      <c r="L52" s="41"/>
      <c r="M52" s="41"/>
      <c r="N52" s="41"/>
      <c r="O52" s="41"/>
      <c r="P52" s="41"/>
      <c r="Q52" s="41"/>
      <c r="R52" s="41"/>
      <c r="S52" s="41"/>
      <c r="T52" s="41"/>
      <c r="U52" s="41"/>
      <c r="V52" s="41"/>
      <c r="W52" s="41"/>
      <c r="X52" s="41"/>
      <c r="Y52" s="41"/>
      <c r="Z52" s="41"/>
    </row>
    <row r="53" ht="19.5" customHeight="1">
      <c r="A53" s="41"/>
      <c r="B53" s="84" t="s">
        <v>402</v>
      </c>
      <c r="C53" s="156" t="str">
        <f>sample_mgmt_az1_mgmt_vm_gateway_ip</f>
        <v>10.21.10.1</v>
      </c>
      <c r="D53" s="18" t="str">
        <f>mgmt_az1_mgmt_vm_gateway_ip</f>
        <v>Value Missing</v>
      </c>
      <c r="E53" s="190"/>
      <c r="F53" s="41"/>
      <c r="G53" s="41"/>
      <c r="H53" s="41"/>
      <c r="I53" s="41"/>
      <c r="J53" s="41"/>
      <c r="K53" s="41"/>
      <c r="L53" s="41"/>
      <c r="M53" s="41"/>
      <c r="N53" s="41"/>
      <c r="O53" s="41"/>
      <c r="P53" s="41"/>
      <c r="Q53" s="41"/>
      <c r="R53" s="41"/>
      <c r="S53" s="41"/>
      <c r="T53" s="41"/>
      <c r="U53" s="41"/>
      <c r="V53" s="41"/>
      <c r="W53" s="41"/>
      <c r="X53" s="41"/>
      <c r="Y53" s="41"/>
      <c r="Z53" s="41"/>
    </row>
    <row r="54" ht="19.5" customHeight="1">
      <c r="A54" s="41"/>
      <c r="B54" s="84" t="s">
        <v>403</v>
      </c>
      <c r="C54" s="156" t="str">
        <f>sample_mgmt_az1_mgmt_vm_cidr</f>
        <v>10.21.10.0/24</v>
      </c>
      <c r="D54" s="18" t="str">
        <f>mgmt_az1_mgmt_cidr</f>
        <v>Value Missing</v>
      </c>
      <c r="E54" s="190"/>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84" t="s">
        <v>404</v>
      </c>
      <c r="C55" s="156">
        <f>sample_mgmt_az1_mgmt_vm_mtu</f>
        <v>1500</v>
      </c>
      <c r="D55" s="18" t="str">
        <f>mgmt_az1_mgmt_vm_mtu</f>
        <v>Value Missing</v>
      </c>
      <c r="E55" s="190"/>
      <c r="F55" s="41"/>
      <c r="G55" s="41"/>
      <c r="H55" s="41"/>
      <c r="I55" s="41"/>
      <c r="J55" s="41"/>
      <c r="K55" s="41"/>
      <c r="L55" s="41"/>
      <c r="M55" s="41"/>
      <c r="N55" s="41"/>
      <c r="O55" s="41"/>
      <c r="P55" s="41"/>
      <c r="Q55" s="41"/>
      <c r="R55" s="41"/>
      <c r="S55" s="41"/>
      <c r="T55" s="41"/>
      <c r="U55" s="41"/>
      <c r="V55" s="41"/>
      <c r="W55" s="41"/>
      <c r="X55" s="41"/>
      <c r="Y55" s="41"/>
      <c r="Z55" s="41"/>
    </row>
    <row r="56" ht="19.5" customHeight="1">
      <c r="A56" s="41"/>
      <c r="B56" s="102" t="s">
        <v>3708</v>
      </c>
      <c r="C56" s="13"/>
      <c r="D56" s="13"/>
      <c r="E56" s="14"/>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393" t="str">
        <f t="array" ref="B57">sample_mgmt_avilb_fqdn</f>
        <v>lax-m01-avlb01.lax.rainpole.io</v>
      </c>
      <c r="C57" s="156" t="str">
        <f>sample_mgmt_avilb_ip</f>
        <v>10.21.10.91</v>
      </c>
      <c r="D57" s="18" t="str">
        <f>mgmt_avilb_ip</f>
        <v>Value Missing</v>
      </c>
      <c r="E57" s="51" t="s">
        <v>694</v>
      </c>
      <c r="F57" s="41"/>
      <c r="G57" s="41"/>
      <c r="H57" s="41"/>
      <c r="I57" s="41"/>
      <c r="J57" s="41"/>
      <c r="K57" s="41"/>
      <c r="L57" s="41"/>
      <c r="M57" s="41"/>
      <c r="N57" s="41"/>
      <c r="O57" s="41"/>
      <c r="P57" s="41"/>
      <c r="Q57" s="41"/>
      <c r="R57" s="41"/>
      <c r="S57" s="41"/>
      <c r="T57" s="41"/>
      <c r="U57" s="41"/>
      <c r="V57" s="41"/>
      <c r="W57" s="41"/>
      <c r="X57" s="41"/>
      <c r="Y57" s="41"/>
      <c r="Z57" s="41"/>
    </row>
    <row r="58" ht="19.5" customHeight="1">
      <c r="A58" s="41"/>
      <c r="B58" s="51" t="s">
        <v>478</v>
      </c>
      <c r="C58" s="156" t="str">
        <f>sample_mgmt_avilb_mgra_ip</f>
        <v>10.21.10.92</v>
      </c>
      <c r="D58" s="18" t="str">
        <f>mgmt_avilb_mgra_ip</f>
        <v>Value Missing</v>
      </c>
      <c r="E58" s="51" t="s">
        <v>688</v>
      </c>
      <c r="F58" s="41"/>
      <c r="G58" s="41"/>
      <c r="H58" s="41"/>
      <c r="I58" s="41"/>
      <c r="J58" s="41"/>
      <c r="K58" s="41"/>
      <c r="L58" s="41"/>
      <c r="M58" s="41"/>
      <c r="N58" s="41"/>
      <c r="O58" s="41"/>
      <c r="P58" s="41"/>
      <c r="Q58" s="41"/>
      <c r="R58" s="41"/>
      <c r="S58" s="41"/>
      <c r="T58" s="41"/>
      <c r="U58" s="41"/>
      <c r="V58" s="41"/>
      <c r="W58" s="41"/>
      <c r="X58" s="41"/>
      <c r="Y58" s="41"/>
      <c r="Z58" s="41"/>
    </row>
    <row r="59" ht="19.5" customHeight="1">
      <c r="A59" s="41"/>
      <c r="B59" s="51" t="s">
        <v>478</v>
      </c>
      <c r="C59" s="156" t="str">
        <f>sample_mgmt_avilb_mgrb_ip</f>
        <v>10.21.10.93</v>
      </c>
      <c r="D59" s="18" t="str">
        <f>mgmt_avilb_mgrc_ip</f>
        <v>Value Missing</v>
      </c>
      <c r="E59" s="51" t="s">
        <v>690</v>
      </c>
      <c r="F59" s="41"/>
      <c r="G59" s="41"/>
      <c r="H59" s="41"/>
      <c r="I59" s="41"/>
      <c r="J59" s="41"/>
      <c r="K59" s="41"/>
      <c r="L59" s="41"/>
      <c r="M59" s="41"/>
      <c r="N59" s="41"/>
      <c r="O59" s="41"/>
      <c r="P59" s="41"/>
      <c r="Q59" s="41"/>
      <c r="R59" s="41"/>
      <c r="S59" s="41"/>
      <c r="T59" s="41"/>
      <c r="U59" s="41"/>
      <c r="V59" s="41"/>
      <c r="W59" s="41"/>
      <c r="X59" s="41"/>
      <c r="Y59" s="41"/>
      <c r="Z59" s="41"/>
    </row>
    <row r="60" ht="19.5" customHeight="1">
      <c r="A60" s="41"/>
      <c r="B60" s="51" t="s">
        <v>478</v>
      </c>
      <c r="C60" s="156" t="str">
        <f>sample_mgmt_avilb_mgrc_ip</f>
        <v>10.21.10.94</v>
      </c>
      <c r="D60" s="18" t="str">
        <f>mgmt_avilb_mgrc_ip</f>
        <v>Value Missing</v>
      </c>
      <c r="E60" s="51" t="s">
        <v>692</v>
      </c>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33.75" customHeight="1">
      <c r="A62" s="41"/>
      <c r="B62" s="12" t="s">
        <v>3709</v>
      </c>
      <c r="C62" s="13"/>
      <c r="D62" s="13"/>
      <c r="E62" s="14"/>
      <c r="F62" s="41"/>
      <c r="G62" s="41"/>
      <c r="H62" s="41"/>
      <c r="I62" s="41"/>
      <c r="J62" s="41"/>
      <c r="K62" s="41"/>
      <c r="L62" s="41"/>
      <c r="M62" s="41"/>
      <c r="N62" s="41"/>
      <c r="O62" s="41"/>
      <c r="P62" s="41"/>
      <c r="Q62" s="41"/>
      <c r="R62" s="41"/>
      <c r="S62" s="41"/>
      <c r="T62" s="41"/>
      <c r="U62" s="41"/>
      <c r="V62" s="41"/>
      <c r="W62" s="41"/>
      <c r="X62" s="41"/>
      <c r="Y62" s="41"/>
      <c r="Z62" s="41"/>
    </row>
    <row r="63" ht="19.5" customHeight="1">
      <c r="A63" s="41"/>
      <c r="B63" s="49" t="s">
        <v>37</v>
      </c>
      <c r="C63" s="49" t="s">
        <v>273</v>
      </c>
      <c r="D63" s="49" t="s">
        <v>274</v>
      </c>
      <c r="E63" s="49" t="s">
        <v>5</v>
      </c>
      <c r="F63" s="41"/>
      <c r="G63" s="41"/>
      <c r="H63" s="41"/>
      <c r="I63" s="41"/>
      <c r="J63" s="41"/>
      <c r="K63" s="41"/>
      <c r="L63" s="41"/>
      <c r="M63" s="41"/>
      <c r="N63" s="41"/>
      <c r="O63" s="41"/>
      <c r="P63" s="41"/>
      <c r="Q63" s="41"/>
      <c r="R63" s="41"/>
      <c r="S63" s="41"/>
      <c r="T63" s="41"/>
      <c r="U63" s="41"/>
      <c r="V63" s="41"/>
      <c r="W63" s="41"/>
      <c r="X63" s="41"/>
      <c r="Y63" s="41"/>
      <c r="Z63" s="41"/>
    </row>
    <row r="64" ht="19.5" customHeight="1">
      <c r="A64" s="41"/>
      <c r="B64" s="102" t="s">
        <v>3710</v>
      </c>
      <c r="C64" s="13"/>
      <c r="D64" s="13"/>
      <c r="E64" s="14"/>
      <c r="F64" s="41"/>
      <c r="G64" s="41"/>
      <c r="H64" s="41"/>
      <c r="I64" s="41"/>
      <c r="J64" s="41"/>
      <c r="K64" s="41"/>
      <c r="L64" s="41"/>
      <c r="M64" s="41"/>
      <c r="N64" s="41"/>
      <c r="O64" s="41"/>
      <c r="P64" s="41"/>
      <c r="Q64" s="41"/>
      <c r="R64" s="41"/>
      <c r="S64" s="41"/>
      <c r="T64" s="41"/>
      <c r="U64" s="41"/>
      <c r="V64" s="41"/>
      <c r="W64" s="41"/>
      <c r="X64" s="41"/>
      <c r="Y64" s="41"/>
      <c r="Z64" s="41"/>
    </row>
    <row r="65" ht="19.5" customHeight="1">
      <c r="A65" s="41"/>
      <c r="B65" s="84" t="s">
        <v>401</v>
      </c>
      <c r="C65" s="110" t="str">
        <f>sample_mgmt_witnessaz_mgmt_vlan</f>
        <v>1110</v>
      </c>
      <c r="D65" s="196" t="str">
        <f>mgmt_witnessaz_mgmt_vlan</f>
        <v>Value Missing</v>
      </c>
      <c r="E65" s="191"/>
      <c r="F65" s="41"/>
      <c r="G65" s="41"/>
      <c r="H65" s="41"/>
      <c r="I65" s="41"/>
      <c r="J65" s="41"/>
      <c r="K65" s="41"/>
      <c r="L65" s="41"/>
      <c r="M65" s="41"/>
      <c r="N65" s="41"/>
      <c r="O65" s="41"/>
      <c r="P65" s="41"/>
      <c r="Q65" s="41"/>
      <c r="R65" s="41"/>
      <c r="S65" s="41"/>
      <c r="T65" s="41"/>
      <c r="U65" s="41"/>
      <c r="V65" s="41"/>
      <c r="W65" s="41"/>
      <c r="X65" s="41"/>
      <c r="Y65" s="41"/>
      <c r="Z65" s="41"/>
    </row>
    <row r="66" ht="19.5" customHeight="1">
      <c r="A66" s="41"/>
      <c r="B66" s="84" t="s">
        <v>402</v>
      </c>
      <c r="C66" s="110" t="str">
        <f>sample_mgmt_witnessaz_mgmt_gateway_ip</f>
        <v>10.11.10.1</v>
      </c>
      <c r="D66" s="196" t="str">
        <f>mgmt_witnessaz_mgmt_gateway_ip</f>
        <v>Value Missing</v>
      </c>
      <c r="E66" s="191"/>
      <c r="F66" s="41"/>
      <c r="G66" s="41"/>
      <c r="H66" s="41"/>
      <c r="I66" s="41"/>
      <c r="J66" s="41"/>
      <c r="K66" s="41"/>
      <c r="L66" s="41"/>
      <c r="M66" s="41"/>
      <c r="N66" s="41"/>
      <c r="O66" s="41"/>
      <c r="P66" s="41"/>
      <c r="Q66" s="41"/>
      <c r="R66" s="41"/>
      <c r="S66" s="41"/>
      <c r="T66" s="41"/>
      <c r="U66" s="41"/>
      <c r="V66" s="41"/>
      <c r="W66" s="41"/>
      <c r="X66" s="41"/>
      <c r="Y66" s="41"/>
      <c r="Z66" s="41"/>
    </row>
    <row r="67" ht="19.5" customHeight="1">
      <c r="A67" s="41"/>
      <c r="B67" s="84" t="s">
        <v>403</v>
      </c>
      <c r="C67" s="110" t="str">
        <f>sample_mgmt_witnessaz_mgmt_cidr</f>
        <v>10.11.10.0/24</v>
      </c>
      <c r="D67" s="196" t="str">
        <f>mgmt_witnessaz_mgmt_cidr</f>
        <v>Value Missing</v>
      </c>
      <c r="E67" s="191"/>
      <c r="F67" s="41"/>
      <c r="G67" s="41"/>
      <c r="H67" s="41"/>
      <c r="I67" s="41"/>
      <c r="J67" s="41"/>
      <c r="K67" s="41"/>
      <c r="L67" s="41"/>
      <c r="M67" s="41"/>
      <c r="N67" s="41"/>
      <c r="O67" s="41"/>
      <c r="P67" s="41"/>
      <c r="Q67" s="41"/>
      <c r="R67" s="41"/>
      <c r="S67" s="41"/>
      <c r="T67" s="41"/>
      <c r="U67" s="41"/>
      <c r="V67" s="41"/>
      <c r="W67" s="41"/>
      <c r="X67" s="41"/>
      <c r="Y67" s="41"/>
      <c r="Z67" s="41"/>
    </row>
    <row r="68" ht="19.5" customHeight="1">
      <c r="A68" s="41"/>
      <c r="B68" s="84" t="s">
        <v>404</v>
      </c>
      <c r="C68" s="110">
        <f>sample_mgmt_witnessaz_mgmt_mtu</f>
        <v>1500</v>
      </c>
      <c r="D68" s="196" t="str">
        <f>mgmt_witnessaz_mgmt_mtu</f>
        <v>Value Missing</v>
      </c>
      <c r="E68" s="191"/>
      <c r="F68" s="41"/>
      <c r="G68" s="41"/>
      <c r="H68" s="41"/>
      <c r="I68" s="41"/>
      <c r="J68" s="41"/>
      <c r="K68" s="41"/>
      <c r="L68" s="41"/>
      <c r="M68" s="41"/>
      <c r="N68" s="41"/>
      <c r="O68" s="41"/>
      <c r="P68" s="41"/>
      <c r="Q68" s="41"/>
      <c r="R68" s="41"/>
      <c r="S68" s="41"/>
      <c r="T68" s="41"/>
      <c r="U68" s="41"/>
      <c r="V68" s="41"/>
      <c r="W68" s="41"/>
      <c r="X68" s="41"/>
      <c r="Y68" s="41"/>
      <c r="Z68" s="41"/>
    </row>
    <row r="69" ht="19.5" customHeight="1">
      <c r="A69" s="41"/>
      <c r="B69" s="172" t="s">
        <v>407</v>
      </c>
      <c r="C69" s="13"/>
      <c r="D69" s="13"/>
      <c r="E69" s="14"/>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187" t="s">
        <v>401</v>
      </c>
      <c r="C70" s="156" t="str">
        <f>sample_mgmt_az2_vmotion_vlan</f>
        <v>2212</v>
      </c>
      <c r="D70" s="196" t="str">
        <f>mgmt_az2_vmotion_vlan</f>
        <v>Value Missing</v>
      </c>
      <c r="E70" s="292"/>
      <c r="F70" s="41"/>
      <c r="G70" s="41"/>
      <c r="H70" s="41"/>
      <c r="I70" s="41"/>
      <c r="J70" s="41"/>
      <c r="K70" s="41"/>
      <c r="L70" s="41"/>
      <c r="M70" s="41"/>
      <c r="N70" s="41"/>
      <c r="O70" s="41"/>
      <c r="P70" s="41"/>
      <c r="Q70" s="41"/>
      <c r="R70" s="41"/>
      <c r="S70" s="41"/>
      <c r="T70" s="41"/>
      <c r="U70" s="41"/>
      <c r="V70" s="41"/>
      <c r="W70" s="41"/>
      <c r="X70" s="41"/>
      <c r="Y70" s="41"/>
      <c r="Z70" s="41"/>
    </row>
    <row r="71" ht="19.5" customHeight="1">
      <c r="A71" s="41"/>
      <c r="B71" s="187" t="s">
        <v>402</v>
      </c>
      <c r="C71" s="156" t="str">
        <f>sample_mgmt_az2_vmotion_gateway_ip</f>
        <v>10.22.12.1</v>
      </c>
      <c r="D71" s="196" t="str">
        <f>mgmt_az2_vmotion_gateway_ip</f>
        <v>Value Missing</v>
      </c>
      <c r="E71" s="256"/>
      <c r="F71" s="41"/>
      <c r="G71" s="41"/>
      <c r="H71" s="41"/>
      <c r="I71" s="41"/>
      <c r="J71" s="41"/>
      <c r="K71" s="41"/>
      <c r="L71" s="41"/>
      <c r="M71" s="41"/>
      <c r="N71" s="41"/>
      <c r="O71" s="41"/>
      <c r="P71" s="41"/>
      <c r="Q71" s="41"/>
      <c r="R71" s="41"/>
      <c r="S71" s="41"/>
      <c r="T71" s="41"/>
      <c r="U71" s="41"/>
      <c r="V71" s="41"/>
      <c r="W71" s="41"/>
      <c r="X71" s="41"/>
      <c r="Y71" s="41"/>
      <c r="Z71" s="41"/>
    </row>
    <row r="72" ht="19.5" customHeight="1">
      <c r="A72" s="41"/>
      <c r="B72" s="187" t="s">
        <v>403</v>
      </c>
      <c r="C72" s="156" t="str">
        <f>CONCATENATE(prefix_mgmt_az2_cidr,"12.0/24")</f>
        <v>10.22.12.0/24</v>
      </c>
      <c r="D72" s="196" t="str">
        <f>mgmt_az2_vmotion_cidr</f>
        <v>Value Missing</v>
      </c>
      <c r="E72" s="256"/>
      <c r="F72" s="41"/>
      <c r="G72" s="41"/>
      <c r="H72" s="41"/>
      <c r="I72" s="41"/>
      <c r="J72" s="41"/>
      <c r="K72" s="41"/>
      <c r="L72" s="41"/>
      <c r="M72" s="41"/>
      <c r="N72" s="41"/>
      <c r="O72" s="41"/>
      <c r="P72" s="41"/>
      <c r="Q72" s="41"/>
      <c r="R72" s="41"/>
      <c r="S72" s="41"/>
      <c r="T72" s="41"/>
      <c r="U72" s="41"/>
      <c r="V72" s="41"/>
      <c r="W72" s="41"/>
      <c r="X72" s="41"/>
      <c r="Y72" s="41"/>
      <c r="Z72" s="41"/>
    </row>
    <row r="73" ht="19.5" customHeight="1">
      <c r="A73" s="41"/>
      <c r="B73" s="187" t="s">
        <v>404</v>
      </c>
      <c r="C73" s="156">
        <f>sample_mgmt_az2_vmotion_mtu</f>
        <v>9000</v>
      </c>
      <c r="D73" s="196" t="str">
        <f>mgmt_az2_vmotion_mtu</f>
        <v>Value Missing</v>
      </c>
      <c r="E73" s="256"/>
      <c r="F73" s="41"/>
      <c r="G73" s="41"/>
      <c r="H73" s="41"/>
      <c r="I73" s="41"/>
      <c r="J73" s="41"/>
      <c r="K73" s="41"/>
      <c r="L73" s="41"/>
      <c r="M73" s="41"/>
      <c r="N73" s="41"/>
      <c r="O73" s="41"/>
      <c r="P73" s="41"/>
      <c r="Q73" s="41"/>
      <c r="R73" s="41"/>
      <c r="S73" s="41"/>
      <c r="T73" s="41"/>
      <c r="U73" s="41"/>
      <c r="V73" s="41"/>
      <c r="W73" s="41"/>
      <c r="X73" s="41"/>
      <c r="Y73" s="41"/>
      <c r="Z73" s="41"/>
    </row>
    <row r="74" ht="19.5" customHeight="1">
      <c r="A74" s="41"/>
      <c r="B74" s="187" t="s">
        <v>465</v>
      </c>
      <c r="C74" s="156" t="str">
        <f>sample_mgmt_az2_vmotion_pool_end_ip</f>
        <v>10.22.12.116</v>
      </c>
      <c r="D74" s="196" t="str">
        <f>mgmt_az2_vmotion_pool_end_ip</f>
        <v>Value Missing</v>
      </c>
      <c r="E74" s="256"/>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187" t="s">
        <v>466</v>
      </c>
      <c r="C75" s="156" t="str">
        <f>sample_mgmt_az2_vmotion_pool_start_ip</f>
        <v>10.22.12.101</v>
      </c>
      <c r="D75" s="196" t="str">
        <f>mgmt_az2_vmotion_pool_start_ip</f>
        <v>Value Missing</v>
      </c>
      <c r="E75" s="256"/>
      <c r="F75" s="41"/>
      <c r="G75" s="41"/>
      <c r="H75" s="41"/>
      <c r="I75" s="41"/>
      <c r="J75" s="41"/>
      <c r="K75" s="41"/>
      <c r="L75" s="41"/>
      <c r="M75" s="41"/>
      <c r="N75" s="41"/>
      <c r="O75" s="41"/>
      <c r="P75" s="41"/>
      <c r="Q75" s="41"/>
      <c r="R75" s="41"/>
      <c r="S75" s="41"/>
      <c r="T75" s="41"/>
      <c r="U75" s="41"/>
      <c r="V75" s="41"/>
      <c r="W75" s="41"/>
      <c r="X75" s="41"/>
      <c r="Y75" s="41"/>
      <c r="Z75" s="41"/>
    </row>
    <row r="76" ht="19.5" customHeight="1">
      <c r="A76" s="41"/>
      <c r="B76" s="172" t="s">
        <v>410</v>
      </c>
      <c r="C76" s="13"/>
      <c r="D76" s="13"/>
      <c r="E76" s="14"/>
      <c r="F76" s="41"/>
      <c r="G76" s="41"/>
      <c r="H76" s="41"/>
      <c r="I76" s="41"/>
      <c r="J76" s="41"/>
      <c r="K76" s="41"/>
      <c r="L76" s="41"/>
      <c r="M76" s="41"/>
      <c r="N76" s="41"/>
      <c r="O76" s="41"/>
      <c r="P76" s="41"/>
      <c r="Q76" s="41"/>
      <c r="R76" s="41"/>
      <c r="S76" s="41"/>
      <c r="T76" s="41"/>
      <c r="U76" s="41"/>
      <c r="V76" s="41"/>
      <c r="W76" s="41"/>
      <c r="X76" s="41"/>
      <c r="Y76" s="41"/>
      <c r="Z76" s="41"/>
    </row>
    <row r="77" ht="19.5" customHeight="1">
      <c r="A77" s="41"/>
      <c r="B77" s="187" t="s">
        <v>401</v>
      </c>
      <c r="C77" s="156" t="str">
        <f>sample_mgmt_az2_vsan_vlan</f>
        <v>2213</v>
      </c>
      <c r="D77" s="196" t="str">
        <f>mgmt_az2_vsan_vlan</f>
        <v>Value Missing</v>
      </c>
      <c r="E77" s="256"/>
      <c r="F77" s="41"/>
      <c r="G77" s="41"/>
      <c r="H77" s="41"/>
      <c r="I77" s="41"/>
      <c r="J77" s="41"/>
      <c r="K77" s="41"/>
      <c r="L77" s="41"/>
      <c r="M77" s="41"/>
      <c r="N77" s="41"/>
      <c r="O77" s="41"/>
      <c r="P77" s="41"/>
      <c r="Q77" s="41"/>
      <c r="R77" s="41"/>
      <c r="S77" s="41"/>
      <c r="T77" s="41"/>
      <c r="U77" s="41"/>
      <c r="V77" s="41"/>
      <c r="W77" s="41"/>
      <c r="X77" s="41"/>
      <c r="Y77" s="41"/>
      <c r="Z77" s="41"/>
    </row>
    <row r="78" ht="19.5" customHeight="1">
      <c r="A78" s="41"/>
      <c r="B78" s="187" t="s">
        <v>402</v>
      </c>
      <c r="C78" s="156" t="str">
        <f>sample_mgmt_az2_vsan_gateway_ip</f>
        <v>10.22.13.1</v>
      </c>
      <c r="D78" s="196" t="str">
        <f>mgmt_az2_vsan_gateway_ip</f>
        <v>Value Missing</v>
      </c>
      <c r="E78" s="256" t="s">
        <v>3711</v>
      </c>
      <c r="F78" s="41"/>
      <c r="G78" s="41"/>
      <c r="H78" s="41"/>
      <c r="I78" s="41"/>
      <c r="J78" s="41"/>
      <c r="K78" s="41"/>
      <c r="L78" s="41"/>
      <c r="M78" s="41"/>
      <c r="N78" s="41"/>
      <c r="O78" s="41"/>
      <c r="P78" s="41"/>
      <c r="Q78" s="41"/>
      <c r="R78" s="41"/>
      <c r="S78" s="41"/>
      <c r="T78" s="41"/>
      <c r="U78" s="41"/>
      <c r="V78" s="41"/>
      <c r="W78" s="41"/>
      <c r="X78" s="41"/>
      <c r="Y78" s="41"/>
      <c r="Z78" s="41"/>
    </row>
    <row r="79" ht="19.5" customHeight="1">
      <c r="A79" s="41"/>
      <c r="B79" s="187" t="s">
        <v>404</v>
      </c>
      <c r="C79" s="156">
        <f>sample_mgmt_az2_vsan_mtu</f>
        <v>9000</v>
      </c>
      <c r="D79" s="196" t="str">
        <f>mgmt_az2_vsan_mtu</f>
        <v>Value Missing</v>
      </c>
      <c r="E79" s="256"/>
      <c r="F79" s="41"/>
      <c r="G79" s="41"/>
      <c r="H79" s="41"/>
      <c r="I79" s="41"/>
      <c r="J79" s="41"/>
      <c r="K79" s="41"/>
      <c r="L79" s="41"/>
      <c r="M79" s="41"/>
      <c r="N79" s="41"/>
      <c r="O79" s="41"/>
      <c r="P79" s="41"/>
      <c r="Q79" s="41"/>
      <c r="R79" s="41"/>
      <c r="S79" s="41"/>
      <c r="T79" s="41"/>
      <c r="U79" s="41"/>
      <c r="V79" s="41"/>
      <c r="W79" s="41"/>
      <c r="X79" s="41"/>
      <c r="Y79" s="41"/>
      <c r="Z79" s="41"/>
    </row>
    <row r="80" ht="19.5" customHeight="1">
      <c r="A80" s="41"/>
      <c r="B80" s="187" t="s">
        <v>403</v>
      </c>
      <c r="C80" s="156" t="str">
        <f>CONCATENATE(prefix_mgmt_az2_cidr,"13.0/24")</f>
        <v>10.22.13.0/24</v>
      </c>
      <c r="D80" s="196" t="str">
        <f>mgmt_az2_vsan_cidr</f>
        <v>Value Missing</v>
      </c>
      <c r="E80" s="256"/>
      <c r="F80" s="41"/>
      <c r="G80" s="41"/>
      <c r="H80" s="41"/>
      <c r="I80" s="41"/>
      <c r="J80" s="41"/>
      <c r="K80" s="41"/>
      <c r="L80" s="41"/>
      <c r="M80" s="41"/>
      <c r="N80" s="41"/>
      <c r="O80" s="41"/>
      <c r="P80" s="41"/>
      <c r="Q80" s="41"/>
      <c r="R80" s="41"/>
      <c r="S80" s="41"/>
      <c r="T80" s="41"/>
      <c r="U80" s="41"/>
      <c r="V80" s="41"/>
      <c r="W80" s="41"/>
      <c r="X80" s="41"/>
      <c r="Y80" s="41"/>
      <c r="Z80" s="41"/>
    </row>
    <row r="81" ht="19.5" customHeight="1">
      <c r="A81" s="41"/>
      <c r="B81" s="187" t="s">
        <v>465</v>
      </c>
      <c r="C81" s="156" t="str">
        <f>sample_mgmt_az2_vsan_pool_start_ip</f>
        <v>10.22.13.101</v>
      </c>
      <c r="D81" s="196" t="str">
        <f>mgmt_az2_vsan_pool_start_ip</f>
        <v>Value Missing</v>
      </c>
      <c r="E81" s="256"/>
      <c r="F81" s="41"/>
      <c r="G81" s="41"/>
      <c r="H81" s="41"/>
      <c r="I81" s="41"/>
      <c r="J81" s="41"/>
      <c r="K81" s="41"/>
      <c r="L81" s="41"/>
      <c r="M81" s="41"/>
      <c r="N81" s="41"/>
      <c r="O81" s="41"/>
      <c r="P81" s="41"/>
      <c r="Q81" s="41"/>
      <c r="R81" s="41"/>
      <c r="S81" s="41"/>
      <c r="T81" s="41"/>
      <c r="U81" s="41"/>
      <c r="V81" s="41"/>
      <c r="W81" s="41"/>
      <c r="X81" s="41"/>
      <c r="Y81" s="41"/>
      <c r="Z81" s="41"/>
    </row>
    <row r="82" ht="19.5" customHeight="1">
      <c r="A82" s="41"/>
      <c r="B82" s="187" t="s">
        <v>466</v>
      </c>
      <c r="C82" s="156" t="str">
        <f>sample_mgmt_az2_vsan_pool_end_ip</f>
        <v>10.22.13.116</v>
      </c>
      <c r="D82" s="196" t="str">
        <f>mgmt_az2_vsan_pool_end_ip</f>
        <v>Value Missing</v>
      </c>
      <c r="E82" s="256"/>
      <c r="F82" s="41"/>
      <c r="G82" s="41"/>
      <c r="H82" s="41"/>
      <c r="I82" s="41"/>
      <c r="J82" s="41"/>
      <c r="K82" s="41"/>
      <c r="L82" s="41"/>
      <c r="M82" s="41"/>
      <c r="N82" s="41"/>
      <c r="O82" s="41"/>
      <c r="P82" s="41"/>
      <c r="Q82" s="41"/>
      <c r="R82" s="41"/>
      <c r="S82" s="41"/>
      <c r="T82" s="41"/>
      <c r="U82" s="41"/>
      <c r="V82" s="41"/>
      <c r="W82" s="41"/>
      <c r="X82" s="41"/>
      <c r="Y82" s="41"/>
      <c r="Z82" s="41"/>
    </row>
    <row r="83" ht="19.5" customHeight="1">
      <c r="A83" s="41"/>
      <c r="B83" s="172" t="s">
        <v>413</v>
      </c>
      <c r="C83" s="13"/>
      <c r="D83" s="13"/>
      <c r="E83" s="14"/>
      <c r="F83" s="41"/>
      <c r="G83" s="41"/>
      <c r="H83" s="41"/>
      <c r="I83" s="41"/>
      <c r="J83" s="41"/>
      <c r="K83" s="41"/>
      <c r="L83" s="41"/>
      <c r="M83" s="41"/>
      <c r="N83" s="41"/>
      <c r="O83" s="41"/>
      <c r="P83" s="41"/>
      <c r="Q83" s="41"/>
      <c r="R83" s="41"/>
      <c r="S83" s="41"/>
      <c r="T83" s="41"/>
      <c r="U83" s="41"/>
      <c r="V83" s="41"/>
      <c r="W83" s="41"/>
      <c r="X83" s="41"/>
      <c r="Y83" s="41"/>
      <c r="Z83" s="41"/>
    </row>
    <row r="84" ht="19.5" customHeight="1">
      <c r="A84" s="41"/>
      <c r="B84" s="187" t="s">
        <v>401</v>
      </c>
      <c r="C84" s="157" t="str">
        <f>sample_mgmt_az2_secondary_storage_vlan</f>
        <v>2215</v>
      </c>
      <c r="D84" s="394" t="str">
        <f>mgmt_az2_secondary_storage_vlan</f>
        <v>Value Missing</v>
      </c>
      <c r="E84" s="256"/>
      <c r="F84" s="41"/>
      <c r="G84" s="41"/>
      <c r="H84" s="41"/>
      <c r="I84" s="41"/>
      <c r="J84" s="41"/>
      <c r="K84" s="41"/>
      <c r="L84" s="41"/>
      <c r="M84" s="41"/>
      <c r="N84" s="41"/>
      <c r="O84" s="41"/>
      <c r="P84" s="41"/>
      <c r="Q84" s="41"/>
      <c r="R84" s="41"/>
      <c r="S84" s="41"/>
      <c r="T84" s="41"/>
      <c r="U84" s="41"/>
      <c r="V84" s="41"/>
      <c r="W84" s="41"/>
      <c r="X84" s="41"/>
      <c r="Y84" s="41"/>
      <c r="Z84" s="41"/>
    </row>
    <row r="85" ht="19.5" customHeight="1">
      <c r="A85" s="41"/>
      <c r="B85" s="187" t="s">
        <v>402</v>
      </c>
      <c r="C85" s="157" t="str">
        <f>sample_mgmt_az2_secondary_storage_gateway_ip</f>
        <v>10.22.15.1</v>
      </c>
      <c r="D85" s="394" t="str">
        <f>mgmt_az2_secondary_storage_gateway_ip</f>
        <v>Value Missing</v>
      </c>
      <c r="E85" s="256"/>
      <c r="F85" s="41"/>
      <c r="G85" s="41"/>
      <c r="H85" s="41"/>
      <c r="I85" s="41"/>
      <c r="J85" s="41"/>
      <c r="K85" s="41"/>
      <c r="L85" s="41"/>
      <c r="M85" s="41"/>
      <c r="N85" s="41"/>
      <c r="O85" s="41"/>
      <c r="P85" s="41"/>
      <c r="Q85" s="41"/>
      <c r="R85" s="41"/>
      <c r="S85" s="41"/>
      <c r="T85" s="41"/>
      <c r="U85" s="41"/>
      <c r="V85" s="41"/>
      <c r="W85" s="41"/>
      <c r="X85" s="41"/>
      <c r="Y85" s="41"/>
      <c r="Z85" s="41"/>
    </row>
    <row r="86" ht="19.5" customHeight="1">
      <c r="A86" s="41"/>
      <c r="B86" s="187" t="s">
        <v>404</v>
      </c>
      <c r="C86" s="157">
        <f>sample_mgmt_az2_secondary_storage_mtu</f>
        <v>9000</v>
      </c>
      <c r="D86" s="394" t="str">
        <f>mgmt_az2_secondary_storage_mtu</f>
        <v>Value Missing</v>
      </c>
      <c r="E86" s="256"/>
      <c r="F86" s="41"/>
      <c r="G86" s="41"/>
      <c r="H86" s="41"/>
      <c r="I86" s="41"/>
      <c r="J86" s="41"/>
      <c r="K86" s="41"/>
      <c r="L86" s="41"/>
      <c r="M86" s="41"/>
      <c r="N86" s="41"/>
      <c r="O86" s="41"/>
      <c r="P86" s="41"/>
      <c r="Q86" s="41"/>
      <c r="R86" s="41"/>
      <c r="S86" s="41"/>
      <c r="T86" s="41"/>
      <c r="U86" s="41"/>
      <c r="V86" s="41"/>
      <c r="W86" s="41"/>
      <c r="X86" s="41"/>
      <c r="Y86" s="41"/>
      <c r="Z86" s="41"/>
    </row>
    <row r="87" ht="19.5" customHeight="1">
      <c r="A87" s="41"/>
      <c r="B87" s="187" t="s">
        <v>403</v>
      </c>
      <c r="C87" s="157" t="str">
        <f>CONCATENATE(prefix_mgmt_az2_cidr,"15.0/24")</f>
        <v>10.22.15.0/24</v>
      </c>
      <c r="D87" s="394" t="str">
        <f>sample_mgmt_az2_secondary_storage_cidr</f>
        <v>10.22.15.0/24</v>
      </c>
      <c r="E87" s="256"/>
      <c r="F87" s="41"/>
      <c r="G87" s="41"/>
      <c r="H87" s="41"/>
      <c r="I87" s="41"/>
      <c r="J87" s="41"/>
      <c r="K87" s="41"/>
      <c r="L87" s="41"/>
      <c r="M87" s="41"/>
      <c r="N87" s="41"/>
      <c r="O87" s="41"/>
      <c r="P87" s="41"/>
      <c r="Q87" s="41"/>
      <c r="R87" s="41"/>
      <c r="S87" s="41"/>
      <c r="T87" s="41"/>
      <c r="U87" s="41"/>
      <c r="V87" s="41"/>
      <c r="W87" s="41"/>
      <c r="X87" s="41"/>
      <c r="Y87" s="41"/>
      <c r="Z87" s="41"/>
    </row>
    <row r="88" ht="19.5" customHeight="1">
      <c r="A88" s="41"/>
      <c r="B88" s="187" t="s">
        <v>465</v>
      </c>
      <c r="C88" s="157" t="str">
        <f>sample_mgmt_az2_secondary_storage_pool_start_ip</f>
        <v>10.22.15.101</v>
      </c>
      <c r="D88" s="395" t="str">
        <f>mgmt_az2_secondary_storage_pool_start_ip</f>
        <v>Value Missing</v>
      </c>
      <c r="E88" s="256"/>
      <c r="F88" s="41"/>
      <c r="G88" s="41"/>
      <c r="H88" s="41"/>
      <c r="I88" s="41"/>
      <c r="J88" s="41"/>
      <c r="K88" s="41"/>
      <c r="L88" s="41"/>
      <c r="M88" s="41"/>
      <c r="N88" s="41"/>
      <c r="O88" s="41"/>
      <c r="P88" s="41"/>
      <c r="Q88" s="41"/>
      <c r="R88" s="41"/>
      <c r="S88" s="41"/>
      <c r="T88" s="41"/>
      <c r="U88" s="41"/>
      <c r="V88" s="41"/>
      <c r="W88" s="41"/>
      <c r="X88" s="41"/>
      <c r="Y88" s="41"/>
      <c r="Z88" s="41"/>
    </row>
    <row r="89" ht="19.5" customHeight="1">
      <c r="A89" s="41"/>
      <c r="B89" s="187" t="s">
        <v>466</v>
      </c>
      <c r="C89" s="157" t="str">
        <f>sample_mgmt_az2_secondary_storage_pool_end_ip</f>
        <v>10.22.15.116</v>
      </c>
      <c r="D89" s="395" t="str">
        <f>mgmt_az2_secondary_storage_pool_end_ip</f>
        <v>Value Missing</v>
      </c>
      <c r="E89" s="256"/>
      <c r="F89" s="41"/>
      <c r="G89" s="41"/>
      <c r="H89" s="41"/>
      <c r="I89" s="41"/>
      <c r="J89" s="41"/>
      <c r="K89" s="41"/>
      <c r="L89" s="41"/>
      <c r="M89" s="41"/>
      <c r="N89" s="41"/>
      <c r="O89" s="41"/>
      <c r="P89" s="41"/>
      <c r="Q89" s="41"/>
      <c r="R89" s="41"/>
      <c r="S89" s="41"/>
      <c r="T89" s="41"/>
      <c r="U89" s="41"/>
      <c r="V89" s="41"/>
      <c r="W89" s="41"/>
      <c r="X89" s="41"/>
      <c r="Y89" s="41"/>
      <c r="Z89" s="41"/>
    </row>
    <row r="90" ht="19.5" customHeight="1">
      <c r="A90" s="41"/>
      <c r="B90" s="172" t="s">
        <v>472</v>
      </c>
      <c r="C90" s="13"/>
      <c r="D90" s="13"/>
      <c r="E90" s="14"/>
      <c r="F90" s="41"/>
      <c r="G90" s="41"/>
      <c r="H90" s="41"/>
      <c r="I90" s="41"/>
      <c r="J90" s="41"/>
      <c r="K90" s="41"/>
      <c r="L90" s="41"/>
      <c r="M90" s="41"/>
      <c r="N90" s="41"/>
      <c r="O90" s="41"/>
      <c r="P90" s="41"/>
      <c r="Q90" s="41"/>
      <c r="R90" s="41"/>
      <c r="S90" s="41"/>
      <c r="T90" s="41"/>
      <c r="U90" s="41"/>
      <c r="V90" s="41"/>
      <c r="W90" s="41"/>
      <c r="X90" s="41"/>
      <c r="Y90" s="41"/>
      <c r="Z90" s="41"/>
    </row>
    <row r="91" ht="19.5" customHeight="1">
      <c r="A91" s="41"/>
      <c r="B91" s="187" t="s">
        <v>401</v>
      </c>
      <c r="C91" s="156" t="str">
        <f>sample_mgmt_az2_host_overlay_vlan</f>
        <v>2214</v>
      </c>
      <c r="D91" s="196" t="str">
        <f>mgmt_az2_host_overlay_vlan</f>
        <v>Value Missing</v>
      </c>
      <c r="E91" s="256"/>
      <c r="F91" s="41"/>
      <c r="G91" s="41"/>
      <c r="H91" s="41"/>
      <c r="I91" s="41"/>
      <c r="J91" s="41"/>
      <c r="K91" s="41"/>
      <c r="L91" s="41"/>
      <c r="M91" s="41"/>
      <c r="N91" s="41"/>
      <c r="O91" s="41"/>
      <c r="P91" s="41"/>
      <c r="Q91" s="41"/>
      <c r="R91" s="41"/>
      <c r="S91" s="41"/>
      <c r="T91" s="41"/>
      <c r="U91" s="41"/>
      <c r="V91" s="41"/>
      <c r="W91" s="41"/>
      <c r="X91" s="41"/>
      <c r="Y91" s="41"/>
      <c r="Z91" s="41"/>
    </row>
    <row r="92" ht="19.5" customHeight="1">
      <c r="A92" s="41"/>
      <c r="B92" s="187" t="s">
        <v>402</v>
      </c>
      <c r="C92" s="156" t="str">
        <f>sample_mgmt_az2_host_overlay_gateway_ip</f>
        <v>10.22.14.1</v>
      </c>
      <c r="D92" s="196" t="str">
        <f>mgmt_az2_host_overlay_gateway_ip</f>
        <v>Value Missing</v>
      </c>
      <c r="E92" s="256"/>
      <c r="F92" s="41"/>
      <c r="G92" s="41"/>
      <c r="H92" s="41"/>
      <c r="I92" s="41"/>
      <c r="J92" s="41"/>
      <c r="K92" s="41"/>
      <c r="L92" s="41"/>
      <c r="M92" s="41"/>
      <c r="N92" s="41"/>
      <c r="O92" s="41"/>
      <c r="P92" s="41"/>
      <c r="Q92" s="41"/>
      <c r="R92" s="41"/>
      <c r="S92" s="41"/>
      <c r="T92" s="41"/>
      <c r="U92" s="41"/>
      <c r="V92" s="41"/>
      <c r="W92" s="41"/>
      <c r="X92" s="41"/>
      <c r="Y92" s="41"/>
      <c r="Z92" s="41"/>
    </row>
    <row r="93" ht="19.5" customHeight="1">
      <c r="A93" s="41"/>
      <c r="B93" s="187" t="s">
        <v>404</v>
      </c>
      <c r="C93" s="156">
        <f>sample_mgmt_az2_host_overlay_mtu</f>
        <v>9000</v>
      </c>
      <c r="D93" s="196" t="str">
        <f>mgmt_az2_host_overlay_mtu</f>
        <v>Value Missing</v>
      </c>
      <c r="E93" s="256"/>
      <c r="F93" s="41"/>
      <c r="G93" s="41"/>
      <c r="H93" s="41"/>
      <c r="I93" s="41"/>
      <c r="J93" s="41"/>
      <c r="K93" s="41"/>
      <c r="L93" s="41"/>
      <c r="M93" s="41"/>
      <c r="N93" s="41"/>
      <c r="O93" s="41"/>
      <c r="P93" s="41"/>
      <c r="Q93" s="41"/>
      <c r="R93" s="41"/>
      <c r="S93" s="41"/>
      <c r="T93" s="41"/>
      <c r="U93" s="41"/>
      <c r="V93" s="41"/>
      <c r="W93" s="41"/>
      <c r="X93" s="41"/>
      <c r="Y93" s="41"/>
      <c r="Z93" s="41"/>
    </row>
    <row r="94" ht="19.5" customHeight="1">
      <c r="A94" s="41"/>
      <c r="B94" s="187" t="s">
        <v>403</v>
      </c>
      <c r="C94" s="156" t="str">
        <f>sample_mgmt_az2_host_overlay_cidr</f>
        <v>10.22.14.0/24</v>
      </c>
      <c r="D94" s="196" t="str">
        <f>mgmt_az2_host_overlay_cidr</f>
        <v>Value Missing</v>
      </c>
      <c r="E94" s="256"/>
      <c r="F94" s="41"/>
      <c r="G94" s="41"/>
      <c r="H94" s="41"/>
      <c r="I94" s="41"/>
      <c r="J94" s="41"/>
      <c r="K94" s="41"/>
      <c r="L94" s="41"/>
      <c r="M94" s="41"/>
      <c r="N94" s="41"/>
      <c r="O94" s="41"/>
      <c r="P94" s="41"/>
      <c r="Q94" s="41"/>
      <c r="R94" s="41"/>
      <c r="S94" s="41"/>
      <c r="T94" s="41"/>
      <c r="U94" s="41"/>
      <c r="V94" s="41"/>
      <c r="W94" s="41"/>
      <c r="X94" s="41"/>
      <c r="Y94" s="41"/>
      <c r="Z94" s="41"/>
    </row>
    <row r="95" ht="19.5" customHeight="1">
      <c r="A95" s="41"/>
      <c r="B95" s="187" t="s">
        <v>465</v>
      </c>
      <c r="C95" s="156" t="str">
        <f>sample_mgmt_az2_host_overlay_pool_start_ip</f>
        <v>10.22.14.101</v>
      </c>
      <c r="D95" s="196" t="str">
        <f>mgmt_az2_host_overlay_pool_start_ip</f>
        <v>Value Missing</v>
      </c>
      <c r="E95" s="256"/>
      <c r="F95" s="41"/>
      <c r="G95" s="41"/>
      <c r="H95" s="41"/>
      <c r="I95" s="41"/>
      <c r="J95" s="41"/>
      <c r="K95" s="41"/>
      <c r="L95" s="41"/>
      <c r="M95" s="41"/>
      <c r="N95" s="41"/>
      <c r="O95" s="41"/>
      <c r="P95" s="41"/>
      <c r="Q95" s="41"/>
      <c r="R95" s="41"/>
      <c r="S95" s="41"/>
      <c r="T95" s="41"/>
      <c r="U95" s="41"/>
      <c r="V95" s="41"/>
      <c r="W95" s="41"/>
      <c r="X95" s="41"/>
      <c r="Y95" s="41"/>
      <c r="Z95" s="41"/>
    </row>
    <row r="96" ht="19.5" customHeight="1">
      <c r="A96" s="41"/>
      <c r="B96" s="187" t="s">
        <v>466</v>
      </c>
      <c r="C96" s="156" t="str">
        <f>sample_mgmt_az2_host_overlay_pool_end_ip</f>
        <v>10.22.14.132</v>
      </c>
      <c r="D96" s="196" t="str">
        <f>mgmt_az2_host_overlay_pool_end_ip</f>
        <v>Value Missing</v>
      </c>
      <c r="E96" s="256"/>
      <c r="F96" s="41"/>
      <c r="G96" s="41"/>
      <c r="H96" s="41"/>
      <c r="I96" s="41"/>
      <c r="J96" s="41"/>
      <c r="K96" s="41"/>
      <c r="L96" s="41"/>
      <c r="M96" s="41"/>
      <c r="N96" s="41"/>
      <c r="O96" s="41"/>
      <c r="P96" s="41"/>
      <c r="Q96" s="41"/>
      <c r="R96" s="41"/>
      <c r="S96" s="41"/>
      <c r="T96" s="41"/>
      <c r="U96" s="41"/>
      <c r="V96" s="41"/>
      <c r="W96" s="41"/>
      <c r="X96" s="41"/>
      <c r="Y96" s="41"/>
      <c r="Z96" s="41"/>
    </row>
    <row r="97" ht="19.5" customHeight="1">
      <c r="A97" s="41"/>
      <c r="B97" s="102" t="s">
        <v>3708</v>
      </c>
      <c r="C97" s="13"/>
      <c r="D97" s="13"/>
      <c r="E97" s="14"/>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95" t="str">
        <f>mgmt_witness_fqdn</f>
        <v>Value Missing</v>
      </c>
      <c r="C98" s="203" t="str">
        <f>sample_mgmt_witness_ip</f>
        <v>10.11.10.218</v>
      </c>
      <c r="D98" s="95" t="str">
        <f>mgmt_witness_mgmt_ip</f>
        <v>#NAME?</v>
      </c>
      <c r="E98" s="243" t="s">
        <v>737</v>
      </c>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95" t="str">
        <f t="array" ref="B99">mgmt_witness_vcenter_fqdn</f>
        <v>Value Missing</v>
      </c>
      <c r="C99" s="203" t="str">
        <f>sample_mgmt_witness_zone_vc_ip</f>
        <v>10.11.10.70</v>
      </c>
      <c r="D99" s="95" t="str">
        <f>mgmt_witness_zone_vc_ip</f>
        <v>Value Missing</v>
      </c>
      <c r="E99" s="243" t="s">
        <v>733</v>
      </c>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17" t="s">
        <v>3712</v>
      </c>
      <c r="C100" s="13"/>
      <c r="D100" s="13"/>
      <c r="E100" s="14"/>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95" t="str">
        <f t="array" ref="B101:B116">mgmt_az2_host_fqdns</f>
        <v>Value Missing</v>
      </c>
      <c r="C101" s="198" t="str">
        <f>CONCATENATE(prefix_mgmt_az2_cidr,"11.101")</f>
        <v>10.22.11.101</v>
      </c>
      <c r="D101" s="95" t="str">
        <f>mgmt_az2_host1_mgmt_ip</f>
        <v>Value Missing</v>
      </c>
      <c r="E101" s="243"/>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95" t="s">
        <v>483</v>
      </c>
      <c r="C102" s="198" t="str">
        <f>CONCATENATE(prefix_mgmt_az2_cidr,"11.102")</f>
        <v>10.22.11.102</v>
      </c>
      <c r="D102" s="95" t="str">
        <f>mgmt_az2_host2_mgmt_ip</f>
        <v>Value Missing</v>
      </c>
      <c r="E102" s="243"/>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95" t="s">
        <v>483</v>
      </c>
      <c r="C103" s="198" t="str">
        <f>CONCATENATE(prefix_mgmt_az2_cidr,"11.103")</f>
        <v>10.22.11.103</v>
      </c>
      <c r="D103" s="95" t="str">
        <f>mgmt_az2_host3_mgmt_ip</f>
        <v>Value Missing</v>
      </c>
      <c r="E103" s="243"/>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95" t="s">
        <v>483</v>
      </c>
      <c r="C104" s="198" t="str">
        <f>CONCATENATE(prefix_mgmt_az2_cidr,"11.104")</f>
        <v>10.22.11.104</v>
      </c>
      <c r="D104" s="95" t="str">
        <f>mgmt_az2_host4_mgmt_ip</f>
        <v>Value Missing</v>
      </c>
      <c r="E104" s="243"/>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95" t="s">
        <v>483</v>
      </c>
      <c r="C105" s="198" t="str">
        <f>CONCATENATE(prefix_mgmt_az2_cidr,"11.105")</f>
        <v>10.22.11.105</v>
      </c>
      <c r="D105" s="95" t="str">
        <f>mgmt_az2_host5_mgmt_ip</f>
        <v>Value Missing</v>
      </c>
      <c r="E105" s="243"/>
      <c r="F105" s="41"/>
      <c r="G105" s="41"/>
      <c r="H105" s="41"/>
      <c r="I105" s="41"/>
      <c r="J105" s="41"/>
      <c r="K105" s="41"/>
      <c r="L105" s="41"/>
      <c r="M105" s="41"/>
      <c r="N105" s="41"/>
      <c r="O105" s="41"/>
      <c r="P105" s="41"/>
      <c r="Q105" s="41"/>
      <c r="R105" s="41"/>
      <c r="S105" s="41"/>
      <c r="T105" s="41"/>
      <c r="U105" s="41"/>
      <c r="V105" s="41"/>
      <c r="W105" s="41"/>
      <c r="X105" s="41"/>
      <c r="Y105" s="41"/>
      <c r="Z105" s="41"/>
    </row>
    <row r="106" ht="19.5" customHeight="1">
      <c r="A106" s="41"/>
      <c r="B106" s="95" t="s">
        <v>483</v>
      </c>
      <c r="C106" s="198" t="str">
        <f>CONCATENATE(prefix_mgmt_az2_cidr,"11.106")</f>
        <v>10.22.11.106</v>
      </c>
      <c r="D106" s="95" t="str">
        <f>mgmt_az2_host6_mgmt_ip</f>
        <v>Value Missing</v>
      </c>
      <c r="E106" s="243"/>
      <c r="F106" s="41"/>
      <c r="G106" s="41"/>
      <c r="H106" s="41"/>
      <c r="I106" s="41"/>
      <c r="J106" s="41"/>
      <c r="K106" s="41"/>
      <c r="L106" s="41"/>
      <c r="M106" s="41"/>
      <c r="N106" s="41"/>
      <c r="O106" s="41"/>
      <c r="P106" s="41"/>
      <c r="Q106" s="41"/>
      <c r="R106" s="41"/>
      <c r="S106" s="41"/>
      <c r="T106" s="41"/>
      <c r="U106" s="41"/>
      <c r="V106" s="41"/>
      <c r="W106" s="41"/>
      <c r="X106" s="41"/>
      <c r="Y106" s="41"/>
      <c r="Z106" s="41"/>
    </row>
    <row r="107" ht="19.5" customHeight="1">
      <c r="A107" s="41"/>
      <c r="B107" s="95" t="s">
        <v>483</v>
      </c>
      <c r="C107" s="198" t="str">
        <f>CONCATENATE(prefix_mgmt_az2_cidr,"11.107")</f>
        <v>10.22.11.107</v>
      </c>
      <c r="D107" s="95" t="str">
        <f>mgmt_az2_host7_mgmt_ip</f>
        <v>Value Missing</v>
      </c>
      <c r="E107" s="243"/>
      <c r="F107" s="41"/>
      <c r="G107" s="41"/>
      <c r="H107" s="41"/>
      <c r="I107" s="41"/>
      <c r="J107" s="41"/>
      <c r="K107" s="41"/>
      <c r="L107" s="41"/>
      <c r="M107" s="41"/>
      <c r="N107" s="41"/>
      <c r="O107" s="41"/>
      <c r="P107" s="41"/>
      <c r="Q107" s="41"/>
      <c r="R107" s="41"/>
      <c r="S107" s="41"/>
      <c r="T107" s="41"/>
      <c r="U107" s="41"/>
      <c r="V107" s="41"/>
      <c r="W107" s="41"/>
      <c r="X107" s="41"/>
      <c r="Y107" s="41"/>
      <c r="Z107" s="41"/>
    </row>
    <row r="108" ht="19.5" customHeight="1">
      <c r="A108" s="41"/>
      <c r="B108" s="95" t="s">
        <v>483</v>
      </c>
      <c r="C108" s="198" t="str">
        <f>CONCATENATE(prefix_mgmt_az2_cidr,"11.108")</f>
        <v>10.22.11.108</v>
      </c>
      <c r="D108" s="95" t="str">
        <f>mgmt_az2_host8_mgmt_ip</f>
        <v>Value Missing</v>
      </c>
      <c r="E108" s="243"/>
      <c r="F108" s="41"/>
      <c r="G108" s="41"/>
      <c r="H108" s="41"/>
      <c r="I108" s="41"/>
      <c r="J108" s="41"/>
      <c r="K108" s="41"/>
      <c r="L108" s="41"/>
      <c r="M108" s="41"/>
      <c r="N108" s="41"/>
      <c r="O108" s="41"/>
      <c r="P108" s="41"/>
      <c r="Q108" s="41"/>
      <c r="R108" s="41"/>
      <c r="S108" s="41"/>
      <c r="T108" s="41"/>
      <c r="U108" s="41"/>
      <c r="V108" s="41"/>
      <c r="W108" s="41"/>
      <c r="X108" s="41"/>
      <c r="Y108" s="41"/>
      <c r="Z108" s="41"/>
    </row>
    <row r="109" ht="19.5" customHeight="1">
      <c r="A109" s="41"/>
      <c r="B109" s="95" t="s">
        <v>483</v>
      </c>
      <c r="C109" s="198" t="str">
        <f>CONCATENATE(prefix_mgmt_az2_cidr,"11.109")</f>
        <v>10.22.11.109</v>
      </c>
      <c r="D109" s="95" t="str">
        <f>mgmt_az2_host9_mgmt_ip</f>
        <v>Value Missing</v>
      </c>
      <c r="E109" s="243"/>
      <c r="F109" s="41"/>
      <c r="G109" s="41"/>
      <c r="H109" s="41"/>
      <c r="I109" s="41"/>
      <c r="J109" s="41"/>
      <c r="K109" s="41"/>
      <c r="L109" s="41"/>
      <c r="M109" s="41"/>
      <c r="N109" s="41"/>
      <c r="O109" s="41"/>
      <c r="P109" s="41"/>
      <c r="Q109" s="41"/>
      <c r="R109" s="41"/>
      <c r="S109" s="41"/>
      <c r="T109" s="41"/>
      <c r="U109" s="41"/>
      <c r="V109" s="41"/>
      <c r="W109" s="41"/>
      <c r="X109" s="41"/>
      <c r="Y109" s="41"/>
      <c r="Z109" s="41"/>
    </row>
    <row r="110" ht="19.5" customHeight="1">
      <c r="A110" s="41"/>
      <c r="B110" s="95" t="s">
        <v>483</v>
      </c>
      <c r="C110" s="198" t="str">
        <f>CONCATENATE(prefix_mgmt_az2_cidr,"11.110")</f>
        <v>10.22.11.110</v>
      </c>
      <c r="D110" s="95" t="str">
        <f>mgmt_az2_host10_mgmt_ip</f>
        <v>Value Missing</v>
      </c>
      <c r="E110" s="243"/>
      <c r="F110" s="41"/>
      <c r="G110" s="41"/>
      <c r="H110" s="41"/>
      <c r="I110" s="41"/>
      <c r="J110" s="41"/>
      <c r="K110" s="41"/>
      <c r="L110" s="41"/>
      <c r="M110" s="41"/>
      <c r="N110" s="41"/>
      <c r="O110" s="41"/>
      <c r="P110" s="41"/>
      <c r="Q110" s="41"/>
      <c r="R110" s="41"/>
      <c r="S110" s="41"/>
      <c r="T110" s="41"/>
      <c r="U110" s="41"/>
      <c r="V110" s="41"/>
      <c r="W110" s="41"/>
      <c r="X110" s="41"/>
      <c r="Y110" s="41"/>
      <c r="Z110" s="41"/>
    </row>
    <row r="111" ht="19.5" customHeight="1">
      <c r="A111" s="41"/>
      <c r="B111" s="95" t="s">
        <v>483</v>
      </c>
      <c r="C111" s="198" t="str">
        <f>CONCATENATE(prefix_mgmt_az2_cidr,"11.111")</f>
        <v>10.22.11.111</v>
      </c>
      <c r="D111" s="95" t="str">
        <f>mgmt_az2_host11_mgmt_ip</f>
        <v>Value Missing</v>
      </c>
      <c r="E111" s="243"/>
      <c r="F111" s="41"/>
      <c r="G111" s="41"/>
      <c r="H111" s="41"/>
      <c r="I111" s="41"/>
      <c r="J111" s="41"/>
      <c r="K111" s="41"/>
      <c r="L111" s="41"/>
      <c r="M111" s="41"/>
      <c r="N111" s="41"/>
      <c r="O111" s="41"/>
      <c r="P111" s="41"/>
      <c r="Q111" s="41"/>
      <c r="R111" s="41"/>
      <c r="S111" s="41"/>
      <c r="T111" s="41"/>
      <c r="U111" s="41"/>
      <c r="V111" s="41"/>
      <c r="W111" s="41"/>
      <c r="X111" s="41"/>
      <c r="Y111" s="41"/>
      <c r="Z111" s="41"/>
    </row>
    <row r="112" ht="19.5" customHeight="1">
      <c r="A112" s="41"/>
      <c r="B112" s="95" t="s">
        <v>483</v>
      </c>
      <c r="C112" s="198" t="str">
        <f>CONCATENATE(prefix_mgmt_az2_cidr,"11.112")</f>
        <v>10.22.11.112</v>
      </c>
      <c r="D112" s="95" t="str">
        <f>mgmt_az2_host12_mgmt_ip</f>
        <v>Value Missing</v>
      </c>
      <c r="E112" s="243"/>
      <c r="F112" s="41"/>
      <c r="G112" s="41"/>
      <c r="H112" s="41"/>
      <c r="I112" s="41"/>
      <c r="J112" s="41"/>
      <c r="K112" s="41"/>
      <c r="L112" s="41"/>
      <c r="M112" s="41"/>
      <c r="N112" s="41"/>
      <c r="O112" s="41"/>
      <c r="P112" s="41"/>
      <c r="Q112" s="41"/>
      <c r="R112" s="41"/>
      <c r="S112" s="41"/>
      <c r="T112" s="41"/>
      <c r="U112" s="41"/>
      <c r="V112" s="41"/>
      <c r="W112" s="41"/>
      <c r="X112" s="41"/>
      <c r="Y112" s="41"/>
      <c r="Z112" s="41"/>
    </row>
    <row r="113" ht="19.5" customHeight="1">
      <c r="A113" s="41"/>
      <c r="B113" s="95" t="s">
        <v>483</v>
      </c>
      <c r="C113" s="198" t="str">
        <f>CONCATENATE(prefix_mgmt_az2_cidr,"11.113")</f>
        <v>10.22.11.113</v>
      </c>
      <c r="D113" s="95" t="str">
        <f>mgmt_az2_host13_mgmt_ip</f>
        <v>Value Missing</v>
      </c>
      <c r="E113" s="243"/>
      <c r="F113" s="41"/>
      <c r="G113" s="41"/>
      <c r="H113" s="41"/>
      <c r="I113" s="41"/>
      <c r="J113" s="41"/>
      <c r="K113" s="41"/>
      <c r="L113" s="41"/>
      <c r="M113" s="41"/>
      <c r="N113" s="41"/>
      <c r="O113" s="41"/>
      <c r="P113" s="41"/>
      <c r="Q113" s="41"/>
      <c r="R113" s="41"/>
      <c r="S113" s="41"/>
      <c r="T113" s="41"/>
      <c r="U113" s="41"/>
      <c r="V113" s="41"/>
      <c r="W113" s="41"/>
      <c r="X113" s="41"/>
      <c r="Y113" s="41"/>
      <c r="Z113" s="41"/>
    </row>
    <row r="114" ht="19.5" customHeight="1">
      <c r="A114" s="41"/>
      <c r="B114" s="95" t="s">
        <v>483</v>
      </c>
      <c r="C114" s="198" t="str">
        <f>CONCATENATE(prefix_mgmt_az2_cidr,"11.114")</f>
        <v>10.22.11.114</v>
      </c>
      <c r="D114" s="95" t="str">
        <f>mgmt_az2_host14_mgmt_ip</f>
        <v>Value Missing</v>
      </c>
      <c r="E114" s="243"/>
      <c r="F114" s="41"/>
      <c r="G114" s="41"/>
      <c r="H114" s="41"/>
      <c r="I114" s="41"/>
      <c r="J114" s="41"/>
      <c r="K114" s="41"/>
      <c r="L114" s="41"/>
      <c r="M114" s="41"/>
      <c r="N114" s="41"/>
      <c r="O114" s="41"/>
      <c r="P114" s="41"/>
      <c r="Q114" s="41"/>
      <c r="R114" s="41"/>
      <c r="S114" s="41"/>
      <c r="T114" s="41"/>
      <c r="U114" s="41"/>
      <c r="V114" s="41"/>
      <c r="W114" s="41"/>
      <c r="X114" s="41"/>
      <c r="Y114" s="41"/>
      <c r="Z114" s="41"/>
    </row>
    <row r="115" ht="19.5" customHeight="1">
      <c r="A115" s="41"/>
      <c r="B115" s="95" t="s">
        <v>483</v>
      </c>
      <c r="C115" s="198" t="str">
        <f>CONCATENATE(prefix_mgmt_az2_cidr,"11.115")</f>
        <v>10.22.11.115</v>
      </c>
      <c r="D115" s="95" t="str">
        <f>mgmt_az2_host15_mgmt_ip</f>
        <v>Value Missing</v>
      </c>
      <c r="E115" s="243"/>
      <c r="F115" s="41"/>
      <c r="G115" s="41"/>
      <c r="H115" s="41"/>
      <c r="I115" s="41"/>
      <c r="J115" s="41"/>
      <c r="K115" s="41"/>
      <c r="L115" s="41"/>
      <c r="M115" s="41"/>
      <c r="N115" s="41"/>
      <c r="O115" s="41"/>
      <c r="P115" s="41"/>
      <c r="Q115" s="41"/>
      <c r="R115" s="41"/>
      <c r="S115" s="41"/>
      <c r="T115" s="41"/>
      <c r="U115" s="41"/>
      <c r="V115" s="41"/>
      <c r="W115" s="41"/>
      <c r="X115" s="41"/>
      <c r="Y115" s="41"/>
      <c r="Z115" s="41"/>
    </row>
    <row r="116" ht="19.5" customHeight="1">
      <c r="A116" s="41"/>
      <c r="B116" s="95" t="s">
        <v>483</v>
      </c>
      <c r="C116" s="198" t="str">
        <f>CONCATENATE(prefix_mgmt_az2_cidr,"11.116")</f>
        <v>10.22.11.116</v>
      </c>
      <c r="D116" s="95" t="str">
        <f>mgmt_az2_host16_mgmt_ip</f>
        <v>Value Missing</v>
      </c>
      <c r="E116" s="243"/>
      <c r="F116" s="41"/>
      <c r="G116" s="41"/>
      <c r="H116" s="41"/>
      <c r="I116" s="41"/>
      <c r="J116" s="41"/>
      <c r="K116" s="41"/>
      <c r="L116" s="41"/>
      <c r="M116" s="41"/>
      <c r="N116" s="41"/>
      <c r="O116" s="41"/>
      <c r="P116" s="41"/>
      <c r="Q116" s="41"/>
      <c r="R116" s="41"/>
      <c r="S116" s="41"/>
      <c r="T116" s="41"/>
      <c r="U116" s="41"/>
      <c r="V116" s="41"/>
      <c r="W116" s="41"/>
      <c r="X116" s="41"/>
      <c r="Y116" s="41"/>
      <c r="Z116" s="41"/>
    </row>
    <row r="117" ht="19.5" customHeight="1">
      <c r="A117" s="41"/>
      <c r="B117" s="102" t="s">
        <v>3704</v>
      </c>
      <c r="C117" s="13"/>
      <c r="D117" s="13"/>
      <c r="E117" s="14"/>
      <c r="F117" s="41"/>
      <c r="G117" s="41"/>
      <c r="H117" s="41"/>
      <c r="I117" s="41"/>
      <c r="J117" s="41"/>
      <c r="K117" s="41"/>
      <c r="L117" s="41"/>
      <c r="M117" s="41"/>
      <c r="N117" s="41"/>
      <c r="O117" s="41"/>
      <c r="P117" s="41"/>
      <c r="Q117" s="41"/>
      <c r="R117" s="41"/>
      <c r="S117" s="41"/>
      <c r="T117" s="41"/>
      <c r="U117" s="41"/>
      <c r="V117" s="41"/>
      <c r="W117" s="41"/>
      <c r="X117" s="41"/>
      <c r="Y117" s="41"/>
      <c r="Z117" s="41"/>
    </row>
    <row r="118" ht="19.5" customHeight="1">
      <c r="A118" s="41"/>
      <c r="B118" s="84" t="s">
        <v>1439</v>
      </c>
      <c r="C118" s="156" t="str">
        <f>sample_mgmt_en_asn</f>
        <v>65201</v>
      </c>
      <c r="D118" s="18" t="str">
        <f>mgmt_en_asn</f>
        <v>Value Missing</v>
      </c>
      <c r="E118" s="191"/>
      <c r="F118" s="41"/>
      <c r="G118" s="41"/>
      <c r="H118" s="41"/>
      <c r="I118" s="41"/>
      <c r="J118" s="41"/>
      <c r="K118" s="41"/>
      <c r="L118" s="41"/>
      <c r="M118" s="41"/>
      <c r="N118" s="41"/>
      <c r="O118" s="41"/>
      <c r="P118" s="41"/>
      <c r="Q118" s="41"/>
      <c r="R118" s="41"/>
      <c r="S118" s="41"/>
      <c r="T118" s="41"/>
      <c r="U118" s="41"/>
      <c r="V118" s="41"/>
      <c r="W118" s="41"/>
      <c r="X118" s="41"/>
      <c r="Y118" s="41"/>
      <c r="Z118" s="41"/>
    </row>
    <row r="119" ht="19.5" customHeight="1">
      <c r="A119" s="41"/>
      <c r="B119" s="84" t="s">
        <v>658</v>
      </c>
      <c r="C119" s="156" t="str">
        <f>sample_mgmt_az2_tor1_peer_ip</f>
        <v>10.21.17.11</v>
      </c>
      <c r="D119" s="18" t="str">
        <f>mgmt_az1_tor1_peer_ip</f>
        <v>Value Missing</v>
      </c>
      <c r="E119" s="191"/>
      <c r="F119" s="41"/>
      <c r="G119" s="41"/>
      <c r="H119" s="41"/>
      <c r="I119" s="41"/>
      <c r="J119" s="41"/>
      <c r="K119" s="41"/>
      <c r="L119" s="41"/>
      <c r="M119" s="41"/>
      <c r="N119" s="41"/>
      <c r="O119" s="41"/>
      <c r="P119" s="41"/>
      <c r="Q119" s="41"/>
      <c r="R119" s="41"/>
      <c r="S119" s="41"/>
      <c r="T119" s="41"/>
      <c r="U119" s="41"/>
      <c r="V119" s="41"/>
      <c r="W119" s="41"/>
      <c r="X119" s="41"/>
      <c r="Y119" s="41"/>
      <c r="Z119" s="41"/>
    </row>
    <row r="120" ht="19.5" customHeight="1">
      <c r="A120" s="41"/>
      <c r="B120" s="84" t="s">
        <v>659</v>
      </c>
      <c r="C120" s="156" t="str">
        <f>sample_mgmt_az2_tor1_peer_asn</f>
        <v>221</v>
      </c>
      <c r="D120" s="18" t="str">
        <f>mgmt_az1_tor1_peer_asn</f>
        <v>Value Missing</v>
      </c>
      <c r="E120" s="191"/>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84" t="s">
        <v>660</v>
      </c>
      <c r="C121" s="156" t="str">
        <f>sample_mgmt_az2_tor1_peer_bgp_password</f>
        <v>VMw@re1!</v>
      </c>
      <c r="D121" s="18" t="str">
        <f>mgmt_az1_tor1_peer_bgp_password</f>
        <v>Value Missing</v>
      </c>
      <c r="E121" s="191"/>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84" t="s">
        <v>661</v>
      </c>
      <c r="C122" s="156" t="str">
        <f>sample_mgmt_az2_tor2_peer_ip</f>
        <v>10.21.18.11</v>
      </c>
      <c r="D122" s="18" t="str">
        <f>mgmt_az1_tor2_peer_ip</f>
        <v>Value Missing</v>
      </c>
      <c r="E122" s="191"/>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84" t="s">
        <v>662</v>
      </c>
      <c r="C123" s="156" t="str">
        <f>sample_mgmt_az2_tor2_peer_asn</f>
        <v>221</v>
      </c>
      <c r="D123" s="18" t="str">
        <f>mgmt_az1_tor2_peer_asn</f>
        <v>Value Missing</v>
      </c>
      <c r="E123" s="191"/>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84" t="s">
        <v>663</v>
      </c>
      <c r="C124" s="156" t="str">
        <f>sample_mgmt_az2_tor2_peer_bgp_password</f>
        <v>VMw@re1!</v>
      </c>
      <c r="D124" s="18" t="str">
        <f>mgmt_az1_tor2_peer_bgp_password</f>
        <v>Value Missing</v>
      </c>
      <c r="E124" s="19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33.75" customHeight="1">
      <c r="A126" s="41"/>
      <c r="B126" s="12" t="s">
        <v>514</v>
      </c>
      <c r="C126" s="13"/>
      <c r="D126" s="13"/>
      <c r="E126" s="14"/>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49" t="s">
        <v>37</v>
      </c>
      <c r="C127" s="49" t="s">
        <v>273</v>
      </c>
      <c r="D127" s="49" t="s">
        <v>274</v>
      </c>
      <c r="E127" s="49" t="s">
        <v>5</v>
      </c>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102" t="s">
        <v>405</v>
      </c>
      <c r="C128" s="13"/>
      <c r="D128" s="13"/>
      <c r="E128" s="14"/>
      <c r="F128" s="41"/>
      <c r="G128" s="41"/>
      <c r="H128" s="41"/>
      <c r="I128" s="41"/>
      <c r="J128" s="41"/>
      <c r="K128" s="41"/>
      <c r="L128" s="41"/>
      <c r="M128" s="41"/>
      <c r="N128" s="41"/>
      <c r="O128" s="41"/>
      <c r="P128" s="41"/>
      <c r="Q128" s="41"/>
      <c r="R128" s="41"/>
      <c r="S128" s="41"/>
      <c r="T128" s="41"/>
      <c r="U128" s="41"/>
      <c r="V128" s="41"/>
      <c r="W128" s="41"/>
      <c r="X128" s="41"/>
      <c r="Y128" s="41"/>
      <c r="Z128" s="41"/>
    </row>
    <row r="129" ht="19.5" customHeight="1">
      <c r="A129" s="41"/>
      <c r="B129" s="84" t="s">
        <v>401</v>
      </c>
      <c r="C129" s="163" t="str">
        <f>sample_mgmt_az1_mgmt_vm_vlan</f>
        <v>2110</v>
      </c>
      <c r="D129" s="18" t="str">
        <f>mgmt_az1_mgmt_vm_vlan</f>
        <v>Value Missing</v>
      </c>
      <c r="E129" s="190" t="s">
        <v>3713</v>
      </c>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84" t="s">
        <v>402</v>
      </c>
      <c r="C130" s="156" t="str">
        <f>sample_mgmt_az1_mgmt_vm_gateway_ip</f>
        <v>10.21.10.1</v>
      </c>
      <c r="D130" s="18" t="str">
        <f>mgmt_az1_mgmt_vm_gateway_ip</f>
        <v>Value Missing</v>
      </c>
      <c r="E130" s="190"/>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84" t="s">
        <v>403</v>
      </c>
      <c r="C131" s="156" t="str">
        <f>sample_mgmt_az1_mgmt_cidr</f>
        <v>10.21.11.0/24</v>
      </c>
      <c r="D131" s="18" t="str">
        <f>mgmt_az1_mgmt_cidr</f>
        <v>Value Missing</v>
      </c>
      <c r="E131" s="190"/>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84" t="s">
        <v>404</v>
      </c>
      <c r="C132" s="156">
        <f>sample_mgmt_az1_mgmt_vm_mtu</f>
        <v>1500</v>
      </c>
      <c r="D132" s="18" t="str">
        <f>mgmt_az1_mgmt_vm_mtu</f>
        <v>Value Missing</v>
      </c>
      <c r="E132" s="190"/>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102" t="s">
        <v>3714</v>
      </c>
      <c r="C133" s="13"/>
      <c r="D133" s="13"/>
      <c r="E133" s="14"/>
      <c r="F133" s="41"/>
      <c r="G133" s="41"/>
      <c r="H133" s="41"/>
      <c r="I133" s="41"/>
      <c r="J133" s="41"/>
      <c r="K133" s="41"/>
      <c r="L133" s="41"/>
      <c r="M133" s="41"/>
      <c r="N133" s="41"/>
      <c r="O133" s="41"/>
      <c r="P133" s="41"/>
      <c r="Q133" s="41"/>
      <c r="R133" s="41"/>
      <c r="S133" s="41"/>
      <c r="T133" s="41"/>
      <c r="U133" s="41"/>
      <c r="V133" s="41"/>
      <c r="W133" s="41"/>
      <c r="X133" s="41"/>
      <c r="Y133" s="41"/>
      <c r="Z133" s="41"/>
    </row>
    <row r="134" ht="19.5" customHeight="1">
      <c r="A134" s="41"/>
      <c r="B134" s="84" t="s">
        <v>401</v>
      </c>
      <c r="C134" s="110" t="str">
        <f>sample_mgmt_az1_rtep_overlay_vlan</f>
        <v>2120</v>
      </c>
      <c r="D134" s="18" t="str">
        <f>mgmt_az1_rtep_overlay_vlan</f>
        <v>Value Missing</v>
      </c>
      <c r="E134" s="18"/>
      <c r="F134" s="41"/>
      <c r="G134" s="41"/>
      <c r="H134" s="41"/>
      <c r="I134" s="41"/>
      <c r="J134" s="41"/>
      <c r="K134" s="41"/>
      <c r="L134" s="41"/>
      <c r="M134" s="41"/>
      <c r="N134" s="41"/>
      <c r="O134" s="41"/>
      <c r="P134" s="41"/>
      <c r="Q134" s="41"/>
      <c r="R134" s="41"/>
      <c r="S134" s="41"/>
      <c r="T134" s="41"/>
      <c r="U134" s="41"/>
      <c r="V134" s="41"/>
      <c r="W134" s="41"/>
      <c r="X134" s="41"/>
      <c r="Y134" s="41"/>
      <c r="Z134" s="41"/>
    </row>
    <row r="135" ht="19.5" customHeight="1">
      <c r="A135" s="41"/>
      <c r="B135" s="84" t="s">
        <v>402</v>
      </c>
      <c r="C135" s="110" t="str">
        <f>sample_mgmt_az1_rtep_overlay_gateway_ip</f>
        <v>10.21.20.1</v>
      </c>
      <c r="D135" s="18" t="str">
        <f>mgmt_az1_rtep_overlay_gateway_ip</f>
        <v>Value Missing</v>
      </c>
      <c r="E135" s="18"/>
      <c r="F135" s="41"/>
      <c r="G135" s="41"/>
      <c r="H135" s="41"/>
      <c r="I135" s="41"/>
      <c r="J135" s="41"/>
      <c r="K135" s="41"/>
      <c r="L135" s="41"/>
      <c r="M135" s="41"/>
      <c r="N135" s="41"/>
      <c r="O135" s="41"/>
      <c r="P135" s="41"/>
      <c r="Q135" s="41"/>
      <c r="R135" s="41"/>
      <c r="S135" s="41"/>
      <c r="T135" s="41"/>
      <c r="U135" s="41"/>
      <c r="V135" s="41"/>
      <c r="W135" s="41"/>
      <c r="X135" s="41"/>
      <c r="Y135" s="41"/>
      <c r="Z135" s="41"/>
    </row>
    <row r="136" ht="19.5" customHeight="1">
      <c r="A136" s="41"/>
      <c r="B136" s="84" t="s">
        <v>403</v>
      </c>
      <c r="C136" s="110" t="str">
        <f>sample_mgmt_az1_rtep_overlay_cidr</f>
        <v>10.21.20.0/24</v>
      </c>
      <c r="D136" s="18" t="str">
        <f>mgmt_az1_rtep_overlay_cidr</f>
        <v>Value Missing</v>
      </c>
      <c r="E136" s="18"/>
      <c r="F136" s="41"/>
      <c r="G136" s="41"/>
      <c r="H136" s="41"/>
      <c r="I136" s="41"/>
      <c r="J136" s="41"/>
      <c r="K136" s="41"/>
      <c r="L136" s="41"/>
      <c r="M136" s="41"/>
      <c r="N136" s="41"/>
      <c r="O136" s="41"/>
      <c r="P136" s="41"/>
      <c r="Q136" s="41"/>
      <c r="R136" s="41"/>
      <c r="S136" s="41"/>
      <c r="T136" s="41"/>
      <c r="U136" s="41"/>
      <c r="V136" s="41"/>
      <c r="W136" s="41"/>
      <c r="X136" s="41"/>
      <c r="Y136" s="41"/>
      <c r="Z136" s="41"/>
    </row>
    <row r="137" ht="19.5" customHeight="1">
      <c r="A137" s="41"/>
      <c r="B137" s="102" t="s">
        <v>3705</v>
      </c>
      <c r="C137" s="13"/>
      <c r="D137" s="13"/>
      <c r="E137" s="14"/>
      <c r="F137" s="41"/>
      <c r="G137" s="41"/>
      <c r="H137" s="41"/>
      <c r="I137" s="41"/>
      <c r="J137" s="41"/>
      <c r="K137" s="41"/>
      <c r="L137" s="41"/>
      <c r="M137" s="41"/>
      <c r="N137" s="41"/>
      <c r="O137" s="41"/>
      <c r="P137" s="41"/>
      <c r="Q137" s="41"/>
      <c r="R137" s="41"/>
      <c r="S137" s="41"/>
      <c r="T137" s="41"/>
      <c r="U137" s="41"/>
      <c r="V137" s="41"/>
      <c r="W137" s="41"/>
      <c r="X137" s="41"/>
      <c r="Y137" s="41"/>
      <c r="Z137" s="41"/>
    </row>
    <row r="138" ht="19.5" customHeight="1">
      <c r="A138" s="41"/>
      <c r="B138" s="84" t="str">
        <f>mgmt_nsxt_global_mgra_fqdn</f>
        <v>Value Missing</v>
      </c>
      <c r="C138" s="110" t="str">
        <f>sample_mgmt_nsxt_gm_vip_ip</f>
        <v>10.21.10.81</v>
      </c>
      <c r="D138" s="18" t="str">
        <f>mgmt_nsxt_gm_vip_ip</f>
        <v>Value Missing</v>
      </c>
      <c r="E138" s="18"/>
      <c r="F138" s="41"/>
      <c r="G138" s="41"/>
      <c r="H138" s="41"/>
      <c r="I138" s="41"/>
      <c r="J138" s="41"/>
      <c r="K138" s="41"/>
      <c r="L138" s="41"/>
      <c r="M138" s="41"/>
      <c r="N138" s="41"/>
      <c r="O138" s="41"/>
      <c r="P138" s="41"/>
      <c r="Q138" s="41"/>
      <c r="R138" s="41"/>
      <c r="S138" s="41"/>
      <c r="T138" s="41"/>
      <c r="U138" s="41"/>
      <c r="V138" s="41"/>
      <c r="W138" s="41"/>
      <c r="X138" s="41"/>
      <c r="Y138" s="41"/>
      <c r="Z138" s="41"/>
    </row>
    <row r="139" ht="19.5" customHeight="1">
      <c r="A139" s="41"/>
      <c r="B139" s="84" t="str">
        <f>mgmt_nsxt_global_mgra_fqdn</f>
        <v>Value Missing</v>
      </c>
      <c r="C139" s="110" t="str">
        <f>sample_mgmt_nsxt_global_mgra_ip</f>
        <v>10.21.10.82</v>
      </c>
      <c r="D139" s="18" t="str">
        <f>mgmt_nsxt_global_mgra_ip</f>
        <v>Value Missing</v>
      </c>
      <c r="E139" s="18"/>
      <c r="F139" s="41"/>
      <c r="G139" s="41"/>
      <c r="H139" s="41"/>
      <c r="I139" s="41"/>
      <c r="J139" s="41"/>
      <c r="K139" s="41"/>
      <c r="L139" s="41"/>
      <c r="M139" s="41"/>
      <c r="N139" s="41"/>
      <c r="O139" s="41"/>
      <c r="P139" s="41"/>
      <c r="Q139" s="41"/>
      <c r="R139" s="41"/>
      <c r="S139" s="41"/>
      <c r="T139" s="41"/>
      <c r="U139" s="41"/>
      <c r="V139" s="41"/>
      <c r="W139" s="41"/>
      <c r="X139" s="41"/>
      <c r="Y139" s="41"/>
      <c r="Z139" s="41"/>
    </row>
    <row r="140" ht="19.5" customHeight="1">
      <c r="A140" s="41"/>
      <c r="B140" s="84" t="str">
        <f>mgmt_nsxt_global_mgrb_fqdn</f>
        <v>Value Missing</v>
      </c>
      <c r="C140" s="110" t="str">
        <f>sample_mgmt_nsxt_global_mgrb_ip</f>
        <v>10.21.10.83</v>
      </c>
      <c r="D140" s="18" t="str">
        <f>mgmt_nsxt_global_mgrb_ip</f>
        <v>Value Missing</v>
      </c>
      <c r="E140" s="18"/>
      <c r="F140" s="41"/>
      <c r="G140" s="41"/>
      <c r="H140" s="41"/>
      <c r="I140" s="41"/>
      <c r="J140" s="41"/>
      <c r="K140" s="41"/>
      <c r="L140" s="41"/>
      <c r="M140" s="41"/>
      <c r="N140" s="41"/>
      <c r="O140" s="41"/>
      <c r="P140" s="41"/>
      <c r="Q140" s="41"/>
      <c r="R140" s="41"/>
      <c r="S140" s="41"/>
      <c r="T140" s="41"/>
      <c r="U140" s="41"/>
      <c r="V140" s="41"/>
      <c r="W140" s="41"/>
      <c r="X140" s="41"/>
      <c r="Y140" s="41"/>
      <c r="Z140" s="41"/>
    </row>
    <row r="141" ht="19.5" customHeight="1">
      <c r="A141" s="41"/>
      <c r="B141" s="84" t="str">
        <f>mgmt_nsxt_global_mgrc_fqdn</f>
        <v>Value Missing</v>
      </c>
      <c r="C141" s="110" t="str">
        <f>sample_mgmt_nsxt_global_mgrc_ip</f>
        <v>10.21.10.84</v>
      </c>
      <c r="D141" s="18" t="str">
        <f>mgmt_nsxt_global_mgrc_ip</f>
        <v>Value Missing</v>
      </c>
      <c r="E141" s="18"/>
      <c r="F141" s="41"/>
      <c r="G141" s="41"/>
      <c r="H141" s="41"/>
      <c r="I141" s="41"/>
      <c r="J141" s="41"/>
      <c r="K141" s="41"/>
      <c r="L141" s="41"/>
      <c r="M141" s="41"/>
      <c r="N141" s="41"/>
      <c r="O141" s="41"/>
      <c r="P141" s="41"/>
      <c r="Q141" s="41"/>
      <c r="R141" s="41"/>
      <c r="S141" s="41"/>
      <c r="T141" s="41"/>
      <c r="U141" s="41"/>
      <c r="V141" s="41"/>
      <c r="W141" s="41"/>
      <c r="X141" s="41"/>
      <c r="Y141" s="41"/>
      <c r="Z141" s="41"/>
    </row>
    <row r="142" ht="19.5" customHeight="1">
      <c r="A142" s="41"/>
      <c r="B142" s="365" t="str">
        <f>sample_mgmt_az1_en1_hostname</f>
        <v>sfo-m01-en1</v>
      </c>
      <c r="C142" s="156" t="str">
        <f>sample_mgmt_az1_en1_mgmt_cidr</f>
        <v>10.21.10.75/24</v>
      </c>
      <c r="D142" s="18" t="str">
        <f>mgmt_az1_en1_mgmt_cidr</f>
        <v>Value Missing</v>
      </c>
      <c r="E142" s="18"/>
      <c r="F142" s="41"/>
      <c r="G142" s="41"/>
      <c r="H142" s="41"/>
      <c r="I142" s="41"/>
      <c r="J142" s="41"/>
      <c r="K142" s="41"/>
      <c r="L142" s="41"/>
      <c r="M142" s="41"/>
      <c r="N142" s="41"/>
      <c r="O142" s="41"/>
      <c r="P142" s="41"/>
      <c r="Q142" s="41"/>
      <c r="R142" s="41"/>
      <c r="S142" s="41"/>
      <c r="T142" s="41"/>
      <c r="U142" s="41"/>
      <c r="V142" s="41"/>
      <c r="W142" s="41"/>
      <c r="X142" s="41"/>
      <c r="Y142" s="41"/>
      <c r="Z142" s="41"/>
    </row>
    <row r="143" ht="19.5" customHeight="1">
      <c r="A143" s="41"/>
      <c r="B143" s="51" t="s">
        <v>478</v>
      </c>
      <c r="C143" s="156" t="str">
        <f>sample_mgmt_az1_en1_uplink01_interface_cidr</f>
        <v>10.21.17.2/24</v>
      </c>
      <c r="D143" s="18" t="str">
        <f>mgmt_az1_en1_uplink01_interface_cidr</f>
        <v>Value Missing</v>
      </c>
      <c r="E143" s="18" t="s">
        <v>648</v>
      </c>
      <c r="F143" s="41"/>
      <c r="G143" s="41"/>
      <c r="H143" s="41"/>
      <c r="I143" s="41"/>
      <c r="J143" s="41"/>
      <c r="K143" s="41"/>
      <c r="L143" s="41"/>
      <c r="M143" s="41"/>
      <c r="N143" s="41"/>
      <c r="O143" s="41"/>
      <c r="P143" s="41"/>
      <c r="Q143" s="41"/>
      <c r="R143" s="41"/>
      <c r="S143" s="41"/>
      <c r="T143" s="41"/>
      <c r="U143" s="41"/>
      <c r="V143" s="41"/>
      <c r="W143" s="41"/>
      <c r="X143" s="41"/>
      <c r="Y143" s="41"/>
      <c r="Z143" s="41"/>
    </row>
    <row r="144" ht="19.5" customHeight="1">
      <c r="A144" s="41"/>
      <c r="B144" s="51" t="s">
        <v>478</v>
      </c>
      <c r="C144" s="156" t="str">
        <f>sample_mgmt_az1_en1_uplink02_interface_cidr</f>
        <v>10.21.18.2/24</v>
      </c>
      <c r="D144" s="18" t="str">
        <f>mgmt_az1_en1_uplink02_interface_cidr</f>
        <v>Value Missing</v>
      </c>
      <c r="E144" s="18" t="s">
        <v>1471</v>
      </c>
      <c r="F144" s="41"/>
      <c r="G144" s="41"/>
      <c r="H144" s="41"/>
      <c r="I144" s="41"/>
      <c r="J144" s="41"/>
      <c r="K144" s="41"/>
      <c r="L144" s="41"/>
      <c r="M144" s="41"/>
      <c r="N144" s="41"/>
      <c r="O144" s="41"/>
      <c r="P144" s="41"/>
      <c r="Q144" s="41"/>
      <c r="R144" s="41"/>
      <c r="S144" s="41"/>
      <c r="T144" s="41"/>
      <c r="U144" s="41"/>
      <c r="V144" s="41"/>
      <c r="W144" s="41"/>
      <c r="X144" s="41"/>
      <c r="Y144" s="41"/>
      <c r="Z144" s="41"/>
    </row>
    <row r="145" ht="19.5" customHeight="1">
      <c r="A145" s="41"/>
      <c r="B145" s="391" t="s">
        <v>478</v>
      </c>
      <c r="C145" s="156" t="str">
        <f>sample_mgmt_az1_en1_edge_overlay_interface_ip_1_ip</f>
        <v>10.21.19.2</v>
      </c>
      <c r="D145" s="18" t="str">
        <f>mgmt_az1_en1_edge_overlay_interface_ip_1_ip</f>
        <v>Value Missing</v>
      </c>
      <c r="E145" s="18" t="s">
        <v>1459</v>
      </c>
      <c r="F145" s="41"/>
      <c r="G145" s="41"/>
      <c r="H145" s="41"/>
      <c r="I145" s="41"/>
      <c r="J145" s="41"/>
      <c r="K145" s="41"/>
      <c r="L145" s="41"/>
      <c r="M145" s="41"/>
      <c r="N145" s="41"/>
      <c r="O145" s="41"/>
      <c r="P145" s="41"/>
      <c r="Q145" s="41"/>
      <c r="R145" s="41"/>
      <c r="S145" s="41"/>
      <c r="T145" s="41"/>
      <c r="U145" s="41"/>
      <c r="V145" s="41"/>
      <c r="W145" s="41"/>
      <c r="X145" s="41"/>
      <c r="Y145" s="41"/>
      <c r="Z145" s="41"/>
    </row>
    <row r="146" ht="19.5" customHeight="1">
      <c r="A146" s="41"/>
      <c r="B146" s="392" t="s">
        <v>478</v>
      </c>
      <c r="C146" s="156" t="str">
        <f>sample_mgmt_az1_en1_edge_overlay_interface_ip_2_ip</f>
        <v>10.21.19.3</v>
      </c>
      <c r="D146" s="18" t="str">
        <f>mgmt_az1_en1_edge_overlay_interface_ip_2_ip</f>
        <v>Value Missing</v>
      </c>
      <c r="E146" s="18" t="s">
        <v>3706</v>
      </c>
      <c r="F146" s="41"/>
      <c r="G146" s="41"/>
      <c r="H146" s="41"/>
      <c r="I146" s="41"/>
      <c r="J146" s="41"/>
      <c r="K146" s="41"/>
      <c r="L146" s="41"/>
      <c r="M146" s="41"/>
      <c r="N146" s="41"/>
      <c r="O146" s="41"/>
      <c r="P146" s="41"/>
      <c r="Q146" s="41"/>
      <c r="R146" s="41"/>
      <c r="S146" s="41"/>
      <c r="T146" s="41"/>
      <c r="U146" s="41"/>
      <c r="V146" s="41"/>
      <c r="W146" s="41"/>
      <c r="X146" s="41"/>
      <c r="Y146" s="41"/>
      <c r="Z146" s="41"/>
    </row>
    <row r="147" ht="19.5" customHeight="1">
      <c r="A147" s="41"/>
      <c r="B147" s="365" t="str">
        <f>sample_mgmt_az1_en2_hostname</f>
        <v>sfo-m01-en2</v>
      </c>
      <c r="C147" s="156" t="str">
        <f>sample_mgmt_az1_en2_mgmt_cidr</f>
        <v>10.21.10.76/24</v>
      </c>
      <c r="D147" s="18" t="str">
        <f>mgmt_az1_en2_mgmt_cidr</f>
        <v>Value Missing</v>
      </c>
      <c r="E147" s="18"/>
      <c r="F147" s="41"/>
      <c r="G147" s="41"/>
      <c r="H147" s="41"/>
      <c r="I147" s="41"/>
      <c r="J147" s="41"/>
      <c r="K147" s="41"/>
      <c r="L147" s="41"/>
      <c r="M147" s="41"/>
      <c r="N147" s="41"/>
      <c r="O147" s="41"/>
      <c r="P147" s="41"/>
      <c r="Q147" s="41"/>
      <c r="R147" s="41"/>
      <c r="S147" s="41"/>
      <c r="T147" s="41"/>
      <c r="U147" s="41"/>
      <c r="V147" s="41"/>
      <c r="W147" s="41"/>
      <c r="X147" s="41"/>
      <c r="Y147" s="41"/>
      <c r="Z147" s="41"/>
    </row>
    <row r="148" ht="19.5" customHeight="1">
      <c r="A148" s="41"/>
      <c r="B148" s="51" t="s">
        <v>478</v>
      </c>
      <c r="C148" s="156" t="str">
        <f>sample_mgmt_az1_en2_uplink01_interface_cidr</f>
        <v>10.21.17.3/24</v>
      </c>
      <c r="D148" s="18" t="str">
        <f>mgmt_az1_en2_uplink01_interface_cidr</f>
        <v>Value Missing</v>
      </c>
      <c r="E148" s="18" t="s">
        <v>657</v>
      </c>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51" t="s">
        <v>478</v>
      </c>
      <c r="C149" s="156" t="str">
        <f>sample_mgmt_az1_en2_uplink02_interface_cidr</f>
        <v>10.21.18.3/24</v>
      </c>
      <c r="D149" s="18" t="str">
        <f>mgmt_az1_en2_uplink02_interface_cidr</f>
        <v>Value Missing</v>
      </c>
      <c r="E149" s="18" t="s">
        <v>655</v>
      </c>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391" t="s">
        <v>478</v>
      </c>
      <c r="C150" s="156" t="str">
        <f>sample_mgmt_az1_en2_edge_overlay_interface_ip_1_ip</f>
        <v>10.21.19.4</v>
      </c>
      <c r="D150" s="18" t="str">
        <f>mgmt_az1_en2_edge_overlay_interface_ip_1_ip</f>
        <v>Value Missing</v>
      </c>
      <c r="E150" s="18" t="s">
        <v>1466</v>
      </c>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392" t="s">
        <v>478</v>
      </c>
      <c r="C151" s="156" t="str">
        <f>sample_mgmt_az1_en2_edge_overlay_interface_ip_2_ip</f>
        <v>10.21.19.5</v>
      </c>
      <c r="D151" s="18" t="str">
        <f>mgmt_az1_en2_edge_overlay_interface_ip_2_ip</f>
        <v>Value Missing</v>
      </c>
      <c r="E151" s="18" t="s">
        <v>1468</v>
      </c>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26">
    <mergeCell ref="B2:E2"/>
    <mergeCell ref="B3:E3"/>
    <mergeCell ref="B6:E6"/>
    <mergeCell ref="B7:E7"/>
    <mergeCell ref="B9:E9"/>
    <mergeCell ref="B14:E14"/>
    <mergeCell ref="B19:E19"/>
    <mergeCell ref="B24:E24"/>
    <mergeCell ref="B29:E29"/>
    <mergeCell ref="B37:E37"/>
    <mergeCell ref="B49:E49"/>
    <mergeCell ref="B51:E51"/>
    <mergeCell ref="B56:E56"/>
    <mergeCell ref="B62:E62"/>
    <mergeCell ref="B117:E117"/>
    <mergeCell ref="B126:E126"/>
    <mergeCell ref="B128:E128"/>
    <mergeCell ref="B133:E133"/>
    <mergeCell ref="B137:E137"/>
    <mergeCell ref="B64:E64"/>
    <mergeCell ref="B69:E69"/>
    <mergeCell ref="B76:E76"/>
    <mergeCell ref="B83:E83"/>
    <mergeCell ref="B90:E90"/>
    <mergeCell ref="B97:E97"/>
    <mergeCell ref="B100:E100"/>
  </mergeCells>
  <conditionalFormatting sqref="B98:B99">
    <cfRule type="containsBlanks" dxfId="1" priority="1">
      <formula>LEN(TRIM(B98))=0</formula>
    </cfRule>
  </conditionalFormatting>
  <conditionalFormatting sqref="B98:B99">
    <cfRule type="notContainsBlanks" dxfId="0" priority="2" stopIfTrue="1">
      <formula>LEN(TRIM(B98))&gt;0</formula>
    </cfRule>
  </conditionalFormatting>
  <conditionalFormatting sqref="B101:B116">
    <cfRule type="containsBlanks" dxfId="1" priority="3">
      <formula>LEN(TRIM(B101))=0</formula>
    </cfRule>
  </conditionalFormatting>
  <conditionalFormatting sqref="B101:B116">
    <cfRule type="notContainsBlanks" dxfId="0" priority="4" stopIfTrue="1">
      <formula>LEN(TRIM(B101))&gt;0</formula>
    </cfRule>
  </conditionalFormatting>
  <conditionalFormatting sqref="D10:D13">
    <cfRule type="containsBlanks" dxfId="7" priority="5">
      <formula>LEN(TRIM(D10))=0</formula>
    </cfRule>
  </conditionalFormatting>
  <conditionalFormatting sqref="D10:D13">
    <cfRule type="notContainsBlanks" dxfId="0" priority="6">
      <formula>LEN(TRIM(D10))&gt;0</formula>
    </cfRule>
  </conditionalFormatting>
  <conditionalFormatting sqref="D15:D18">
    <cfRule type="containsBlanks" dxfId="7" priority="7">
      <formula>LEN(TRIM(D15))=0</formula>
    </cfRule>
  </conditionalFormatting>
  <conditionalFormatting sqref="D15:D18">
    <cfRule type="notContainsBlanks" dxfId="0" priority="8">
      <formula>LEN(TRIM(D15))&gt;0</formula>
    </cfRule>
  </conditionalFormatting>
  <conditionalFormatting sqref="D20:D23">
    <cfRule type="containsBlanks" dxfId="7" priority="9">
      <formula>LEN(TRIM(D20))=0</formula>
    </cfRule>
  </conditionalFormatting>
  <conditionalFormatting sqref="D20:D24">
    <cfRule type="notContainsBlanks" dxfId="0" priority="10">
      <formula>LEN(TRIM(D20))&gt;0</formula>
    </cfRule>
  </conditionalFormatting>
  <conditionalFormatting sqref="D24">
    <cfRule type="expression" dxfId="3" priority="11">
      <formula>input_mgmt_principal_storage_chosen="VMFS on Fibre Channel (FC)"</formula>
    </cfRule>
  </conditionalFormatting>
  <conditionalFormatting sqref="D24">
    <cfRule type="containsBlanks" dxfId="7" priority="12">
      <formula>LEN(TRIM(D24))=0</formula>
    </cfRule>
  </conditionalFormatting>
  <conditionalFormatting sqref="D25:D28">
    <cfRule type="containsBlanks" dxfId="7" priority="13">
      <formula>LEN(TRIM(D25))=0</formula>
    </cfRule>
  </conditionalFormatting>
  <conditionalFormatting sqref="D25:D28">
    <cfRule type="notContainsBlanks" dxfId="0" priority="14">
      <formula>LEN(TRIM(D25))&gt;0</formula>
    </cfRule>
  </conditionalFormatting>
  <conditionalFormatting sqref="D30:D36">
    <cfRule type="containsBlanks" dxfId="7" priority="15">
      <formula>LEN(TRIM(D30))=0</formula>
    </cfRule>
  </conditionalFormatting>
  <conditionalFormatting sqref="D30:D36">
    <cfRule type="notContainsBlanks" dxfId="0" priority="16">
      <formula>LEN(TRIM(D30))&gt;0</formula>
    </cfRule>
  </conditionalFormatting>
  <conditionalFormatting sqref="D38:D47">
    <cfRule type="containsBlanks" dxfId="7" priority="17">
      <formula>LEN(TRIM(D38))=0</formula>
    </cfRule>
  </conditionalFormatting>
  <conditionalFormatting sqref="D38:D47">
    <cfRule type="notContainsBlanks" dxfId="0" priority="18">
      <formula>LEN(TRIM(D38))&gt;0</formula>
    </cfRule>
  </conditionalFormatting>
  <conditionalFormatting sqref="D52:D55">
    <cfRule type="containsBlanks" dxfId="7" priority="19">
      <formula>LEN(TRIM(D52))=0</formula>
    </cfRule>
  </conditionalFormatting>
  <conditionalFormatting sqref="D52:D55">
    <cfRule type="notContainsBlanks" dxfId="0" priority="20">
      <formula>LEN(TRIM(D52))&gt;0</formula>
    </cfRule>
  </conditionalFormatting>
  <conditionalFormatting sqref="D57:D60">
    <cfRule type="containsBlanks" dxfId="7" priority="21">
      <formula>LEN(TRIM(D57))=0</formula>
    </cfRule>
  </conditionalFormatting>
  <conditionalFormatting sqref="D57:D60">
    <cfRule type="notContainsBlanks" dxfId="0" priority="22">
      <formula>LEN(TRIM(D57))&gt;0</formula>
    </cfRule>
  </conditionalFormatting>
  <conditionalFormatting sqref="D65:D68 D98:D99 D101:D116">
    <cfRule type="containsBlanks" dxfId="1" priority="23">
      <formula>LEN(TRIM(D65))=0</formula>
    </cfRule>
  </conditionalFormatting>
  <conditionalFormatting sqref="D65:D68 D98:D99 D101:D116">
    <cfRule type="notContainsBlanks" dxfId="0" priority="24" stopIfTrue="1">
      <formula>LEN(TRIM(D65))&gt;0</formula>
    </cfRule>
  </conditionalFormatting>
  <conditionalFormatting sqref="D70:D75">
    <cfRule type="containsBlanks" dxfId="1" priority="25">
      <formula>LEN(TRIM(D70))=0</formula>
    </cfRule>
  </conditionalFormatting>
  <conditionalFormatting sqref="D70:D75">
    <cfRule type="notContainsBlanks" dxfId="0" priority="26" stopIfTrue="1">
      <formula>LEN(TRIM(D70))&gt;0</formula>
    </cfRule>
  </conditionalFormatting>
  <conditionalFormatting sqref="D77:D82">
    <cfRule type="containsBlanks" dxfId="1" priority="27">
      <formula>LEN(TRIM(D77))=0</formula>
    </cfRule>
  </conditionalFormatting>
  <conditionalFormatting sqref="D77:D82">
    <cfRule type="notContainsBlanks" dxfId="0" priority="28" stopIfTrue="1">
      <formula>LEN(TRIM(D77))&gt;0</formula>
    </cfRule>
  </conditionalFormatting>
  <conditionalFormatting sqref="D91:D96">
    <cfRule type="containsBlanks" dxfId="1" priority="29">
      <formula>LEN(TRIM(D91))=0</formula>
    </cfRule>
  </conditionalFormatting>
  <conditionalFormatting sqref="D91:D96">
    <cfRule type="notContainsBlanks" dxfId="0" priority="30" stopIfTrue="1">
      <formula>LEN(TRIM(D91))&gt;0</formula>
    </cfRule>
  </conditionalFormatting>
  <conditionalFormatting sqref="D118:D124">
    <cfRule type="containsBlanks" dxfId="7" priority="31">
      <formula>LEN(TRIM(D118))=0</formula>
    </cfRule>
  </conditionalFormatting>
  <conditionalFormatting sqref="D118:D124">
    <cfRule type="notContainsBlanks" dxfId="0" priority="32">
      <formula>LEN(TRIM(D118))&gt;0</formula>
    </cfRule>
  </conditionalFormatting>
  <conditionalFormatting sqref="D129:D132">
    <cfRule type="containsBlanks" dxfId="7" priority="33">
      <formula>LEN(TRIM(D129))=0</formula>
    </cfRule>
  </conditionalFormatting>
  <conditionalFormatting sqref="D129:D132">
    <cfRule type="notContainsBlanks" dxfId="0" priority="34">
      <formula>LEN(TRIM(D129))&gt;0</formula>
    </cfRule>
  </conditionalFormatting>
  <conditionalFormatting sqref="D134:D136">
    <cfRule type="containsBlanks" dxfId="7" priority="35">
      <formula>LEN(TRIM(D134))=0</formula>
    </cfRule>
  </conditionalFormatting>
  <conditionalFormatting sqref="D134:D136">
    <cfRule type="notContainsBlanks" dxfId="0" priority="36">
      <formula>LEN(TRIM(D134))&gt;0</formula>
    </cfRule>
  </conditionalFormatting>
  <conditionalFormatting sqref="D138:D151">
    <cfRule type="containsBlanks" dxfId="7" priority="37">
      <formula>LEN(TRIM(D138))=0</formula>
    </cfRule>
  </conditionalFormatting>
  <conditionalFormatting sqref="D138:D151">
    <cfRule type="notContainsBlanks" dxfId="0" priority="38">
      <formula>LEN(TRIM(D138))&gt;0</formula>
    </cfRule>
  </conditionalFormatting>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4" width="75.78"/>
    <col customWidth="1" min="5" max="5" width="100.78"/>
    <col customWidth="1" min="6" max="26" width="11.0"/>
  </cols>
  <sheetData>
    <row r="1" ht="15.75" customHeight="1">
      <c r="A1" s="55"/>
      <c r="B1" s="55"/>
      <c r="C1" s="55"/>
      <c r="D1" s="55"/>
      <c r="E1" s="55"/>
      <c r="F1" s="55"/>
    </row>
    <row r="2" ht="54.0" customHeight="1">
      <c r="A2" s="396"/>
      <c r="B2" s="397" t="s">
        <v>3715</v>
      </c>
      <c r="C2" s="13"/>
      <c r="D2" s="13"/>
      <c r="E2" s="14"/>
      <c r="F2" s="55"/>
    </row>
    <row r="3" ht="15.75" customHeight="1">
      <c r="A3" s="398"/>
      <c r="B3" s="172" t="s">
        <v>508</v>
      </c>
      <c r="C3" s="13"/>
      <c r="D3" s="13"/>
      <c r="E3" s="14"/>
      <c r="F3" s="399"/>
    </row>
    <row r="4" ht="15.75" customHeight="1">
      <c r="A4" s="55"/>
      <c r="B4" s="55"/>
      <c r="C4" s="55"/>
      <c r="D4" s="55"/>
      <c r="E4" s="55"/>
      <c r="F4" s="55"/>
    </row>
    <row r="5" ht="15.75" customHeight="1">
      <c r="A5" s="55"/>
      <c r="B5" s="55"/>
      <c r="C5" s="55"/>
      <c r="D5" s="55"/>
      <c r="E5" s="55"/>
      <c r="F5" s="55"/>
    </row>
    <row r="6" ht="33.75" customHeight="1">
      <c r="A6" s="41"/>
      <c r="B6" s="12" t="s">
        <v>3716</v>
      </c>
      <c r="C6" s="13"/>
      <c r="D6" s="13"/>
      <c r="E6" s="14"/>
      <c r="F6" s="41"/>
      <c r="G6" s="41"/>
      <c r="H6" s="41"/>
      <c r="I6" s="41"/>
      <c r="J6" s="41"/>
      <c r="K6" s="41"/>
      <c r="L6" s="41"/>
      <c r="M6" s="41"/>
      <c r="N6" s="41"/>
      <c r="O6" s="41"/>
      <c r="P6" s="41"/>
      <c r="Q6" s="41"/>
      <c r="R6" s="41"/>
      <c r="S6" s="41"/>
      <c r="T6" s="41"/>
      <c r="U6" s="41"/>
      <c r="V6" s="41"/>
      <c r="W6" s="41"/>
      <c r="X6" s="41"/>
      <c r="Y6" s="41"/>
      <c r="Z6" s="41"/>
    </row>
    <row r="7" ht="19.5" customHeight="1">
      <c r="A7" s="41"/>
      <c r="B7" s="102" t="s">
        <v>3717</v>
      </c>
      <c r="C7" s="13"/>
      <c r="D7" s="13"/>
      <c r="E7" s="14"/>
      <c r="F7" s="41"/>
      <c r="G7" s="41"/>
      <c r="H7" s="41"/>
      <c r="I7" s="41"/>
      <c r="J7" s="41"/>
      <c r="K7" s="41"/>
      <c r="L7" s="41"/>
      <c r="M7" s="41"/>
      <c r="N7" s="41"/>
      <c r="O7" s="41"/>
      <c r="P7" s="41"/>
      <c r="Q7" s="41"/>
      <c r="R7" s="41"/>
      <c r="S7" s="41"/>
      <c r="T7" s="41"/>
      <c r="U7" s="41"/>
      <c r="V7" s="41"/>
      <c r="W7" s="41"/>
      <c r="X7" s="41"/>
      <c r="Y7" s="41"/>
      <c r="Z7" s="41"/>
    </row>
    <row r="8" ht="19.5" customHeight="1">
      <c r="A8" s="41"/>
      <c r="B8" s="49" t="s">
        <v>37</v>
      </c>
      <c r="C8" s="49" t="s">
        <v>273</v>
      </c>
      <c r="D8" s="49" t="s">
        <v>274</v>
      </c>
      <c r="E8" s="49" t="s">
        <v>5</v>
      </c>
      <c r="F8" s="41"/>
      <c r="G8" s="41"/>
      <c r="H8" s="41"/>
      <c r="I8" s="41"/>
      <c r="J8" s="41"/>
      <c r="K8" s="41"/>
      <c r="L8" s="41"/>
      <c r="M8" s="41"/>
      <c r="N8" s="41"/>
      <c r="O8" s="41"/>
      <c r="P8" s="41"/>
      <c r="Q8" s="41"/>
      <c r="R8" s="41"/>
      <c r="S8" s="41"/>
      <c r="T8" s="41"/>
      <c r="U8" s="41"/>
      <c r="V8" s="41"/>
      <c r="W8" s="41"/>
      <c r="X8" s="41"/>
      <c r="Y8" s="41"/>
      <c r="Z8" s="41"/>
    </row>
    <row r="9" ht="19.5" customHeight="1">
      <c r="A9" s="41"/>
      <c r="B9" s="102" t="s">
        <v>405</v>
      </c>
      <c r="C9" s="13"/>
      <c r="D9" s="13"/>
      <c r="E9" s="14"/>
      <c r="F9" s="41"/>
      <c r="G9" s="41"/>
      <c r="H9" s="41"/>
      <c r="I9" s="41"/>
      <c r="J9" s="41"/>
      <c r="K9" s="41"/>
      <c r="L9" s="41"/>
      <c r="M9" s="41"/>
      <c r="N9" s="41"/>
      <c r="O9" s="41"/>
      <c r="P9" s="41"/>
      <c r="Q9" s="41"/>
      <c r="R9" s="41"/>
      <c r="S9" s="41"/>
      <c r="T9" s="41"/>
      <c r="U9" s="41"/>
      <c r="V9" s="41"/>
      <c r="W9" s="41"/>
      <c r="X9" s="41"/>
      <c r="Y9" s="41"/>
      <c r="Z9" s="41"/>
    </row>
    <row r="10" ht="19.5" customHeight="1">
      <c r="A10" s="41"/>
      <c r="B10" s="170" t="s">
        <v>401</v>
      </c>
      <c r="C10" s="156" t="str">
        <f>IF(wld_dpg_separation_result="Included",CONCATENATE(prefix_wld_az1_vlan,"10"),CONCATENATE(prefix_wld_az1_vlan,"11"))</f>
        <v>2310</v>
      </c>
      <c r="D10" s="18" t="str">
        <f>wld_az1_mgmt_vm_vlan</f>
        <v>Value Missing</v>
      </c>
      <c r="E10" s="190"/>
      <c r="F10" s="41"/>
      <c r="G10" s="41"/>
      <c r="H10" s="41"/>
      <c r="I10" s="41"/>
      <c r="J10" s="41"/>
      <c r="K10" s="41"/>
      <c r="L10" s="41"/>
      <c r="M10" s="41"/>
      <c r="N10" s="41"/>
      <c r="O10" s="41"/>
      <c r="P10" s="41"/>
      <c r="Q10" s="41"/>
      <c r="R10" s="41"/>
      <c r="S10" s="41"/>
      <c r="T10" s="41"/>
      <c r="U10" s="41"/>
      <c r="V10" s="41"/>
      <c r="W10" s="41"/>
      <c r="X10" s="41"/>
      <c r="Y10" s="41"/>
      <c r="Z10" s="41"/>
    </row>
    <row r="11" ht="19.5" customHeight="1">
      <c r="A11" s="41"/>
      <c r="B11" s="170" t="s">
        <v>402</v>
      </c>
      <c r="C11" s="156" t="str">
        <f>IF(wld_dpg_separation_result="Included",CONCATENATE(prefix_wld_az1_cidr,"10.1"),CONCATENATE(prefix_wld_az1_cidr,"11.1"))</f>
        <v>10.23.10.1</v>
      </c>
      <c r="D11" s="18" t="str">
        <f>wld_az1_mgmt_vm_gateway_ip</f>
        <v>Value Missing</v>
      </c>
      <c r="E11" s="190"/>
      <c r="F11" s="41"/>
      <c r="G11" s="41"/>
      <c r="H11" s="41"/>
      <c r="I11" s="41"/>
      <c r="J11" s="41"/>
      <c r="K11" s="41"/>
      <c r="L11" s="41"/>
      <c r="M11" s="41"/>
      <c r="N11" s="41"/>
      <c r="O11" s="41"/>
      <c r="P11" s="41"/>
      <c r="Q11" s="41"/>
      <c r="R11" s="41"/>
      <c r="S11" s="41"/>
      <c r="T11" s="41"/>
      <c r="U11" s="41"/>
      <c r="V11" s="41"/>
      <c r="W11" s="41"/>
      <c r="X11" s="41"/>
      <c r="Y11" s="41"/>
      <c r="Z11" s="41"/>
    </row>
    <row r="12" ht="19.5" customHeight="1">
      <c r="A12" s="41"/>
      <c r="B12" s="170" t="s">
        <v>403</v>
      </c>
      <c r="C12" s="156" t="str">
        <f>IF(wld_dpg_separation_result="Included",CONCATENATE(prefix_wld_az1_cidr,"10.0/24"),CONCATENATE(prefix_wld_az1_cidr,"11.0/24"))</f>
        <v>10.23.10.0/24</v>
      </c>
      <c r="D12" s="18" t="str">
        <f>wld_az1_mgmt_vm_cidr</f>
        <v>Value Missing</v>
      </c>
      <c r="E12" s="190"/>
      <c r="F12" s="41"/>
      <c r="G12" s="41"/>
      <c r="H12" s="41"/>
      <c r="I12" s="41"/>
      <c r="J12" s="41"/>
      <c r="K12" s="41"/>
      <c r="L12" s="41"/>
      <c r="M12" s="41"/>
      <c r="N12" s="41"/>
      <c r="O12" s="41"/>
      <c r="P12" s="41"/>
      <c r="Q12" s="41"/>
      <c r="R12" s="41"/>
      <c r="S12" s="41"/>
      <c r="T12" s="41"/>
      <c r="U12" s="41"/>
      <c r="V12" s="41"/>
      <c r="W12" s="41"/>
      <c r="X12" s="41"/>
      <c r="Y12" s="41"/>
      <c r="Z12" s="41"/>
    </row>
    <row r="13" ht="19.5" customHeight="1">
      <c r="A13" s="41"/>
      <c r="B13" s="84" t="s">
        <v>404</v>
      </c>
      <c r="C13" s="156">
        <v>1500.0</v>
      </c>
      <c r="D13" s="18" t="str">
        <f>wld_az1_mgmt_vm_mtu</f>
        <v>Value Missing</v>
      </c>
      <c r="E13" s="190"/>
      <c r="F13" s="41"/>
      <c r="G13" s="41"/>
      <c r="H13" s="41"/>
      <c r="I13" s="41"/>
      <c r="J13" s="41"/>
      <c r="K13" s="41"/>
      <c r="L13" s="41"/>
      <c r="M13" s="41"/>
      <c r="N13" s="41"/>
      <c r="O13" s="41"/>
      <c r="P13" s="41"/>
      <c r="Q13" s="41"/>
      <c r="R13" s="41"/>
      <c r="S13" s="41"/>
      <c r="T13" s="41"/>
      <c r="U13" s="41"/>
      <c r="V13" s="41"/>
      <c r="W13" s="41"/>
      <c r="X13" s="41"/>
      <c r="Y13" s="41"/>
      <c r="Z13" s="41"/>
    </row>
    <row r="14" ht="19.5" customHeight="1">
      <c r="A14" s="41"/>
      <c r="B14" s="102" t="s">
        <v>674</v>
      </c>
      <c r="C14" s="13"/>
      <c r="D14" s="13"/>
      <c r="E14" s="14"/>
      <c r="F14" s="41"/>
      <c r="G14" s="41"/>
      <c r="H14" s="41"/>
      <c r="I14" s="41"/>
      <c r="J14" s="41"/>
      <c r="K14" s="41"/>
      <c r="L14" s="41"/>
      <c r="M14" s="41"/>
      <c r="N14" s="41"/>
      <c r="O14" s="41"/>
      <c r="P14" s="41"/>
      <c r="Q14" s="41"/>
      <c r="R14" s="41"/>
      <c r="S14" s="41"/>
      <c r="T14" s="41"/>
      <c r="U14" s="41"/>
      <c r="V14" s="41"/>
      <c r="W14" s="41"/>
      <c r="X14" s="41"/>
      <c r="Y14" s="41"/>
      <c r="Z14" s="41"/>
    </row>
    <row r="15" ht="19.5" customHeight="1">
      <c r="A15" s="41"/>
      <c r="B15" s="84" t="s">
        <v>401</v>
      </c>
      <c r="C15" s="156" t="str">
        <f>sample_wld_az1_uplink01_vlan</f>
        <v>2317</v>
      </c>
      <c r="D15" s="18" t="str">
        <f>wld_az1_uplink01_vlan</f>
        <v>Value Missing</v>
      </c>
      <c r="E15" s="191"/>
      <c r="F15" s="41"/>
      <c r="G15" s="41"/>
      <c r="H15" s="41"/>
      <c r="I15" s="41"/>
      <c r="J15" s="41"/>
      <c r="K15" s="41"/>
      <c r="L15" s="41"/>
      <c r="M15" s="41"/>
      <c r="N15" s="41"/>
      <c r="O15" s="41"/>
      <c r="P15" s="41"/>
      <c r="Q15" s="41"/>
      <c r="R15" s="41"/>
      <c r="S15" s="41"/>
      <c r="T15" s="41"/>
      <c r="U15" s="41"/>
      <c r="V15" s="41"/>
      <c r="W15" s="41"/>
      <c r="X15" s="41"/>
      <c r="Y15" s="41"/>
      <c r="Z15" s="41"/>
    </row>
    <row r="16" ht="19.5" customHeight="1">
      <c r="A16" s="41"/>
      <c r="B16" s="84" t="s">
        <v>402</v>
      </c>
      <c r="C16" s="156" t="str">
        <f>sample_wld_az1_uplink01_gateway_ip</f>
        <v>10.23.17.1</v>
      </c>
      <c r="D16" s="18" t="str">
        <f>wld_az1_uplink01_gateway_ip</f>
        <v>Value Missing</v>
      </c>
      <c r="E16" s="191"/>
      <c r="F16" s="41"/>
      <c r="G16" s="41"/>
      <c r="H16" s="41"/>
      <c r="I16" s="41"/>
      <c r="J16" s="41"/>
      <c r="K16" s="41"/>
      <c r="L16" s="41"/>
      <c r="M16" s="41"/>
      <c r="N16" s="41"/>
      <c r="O16" s="41"/>
      <c r="P16" s="41"/>
      <c r="Q16" s="41"/>
      <c r="R16" s="41"/>
      <c r="S16" s="41"/>
      <c r="T16" s="41"/>
      <c r="U16" s="41"/>
      <c r="V16" s="41"/>
      <c r="W16" s="41"/>
      <c r="X16" s="41"/>
      <c r="Y16" s="41"/>
      <c r="Z16" s="41"/>
    </row>
    <row r="17" ht="19.5" customHeight="1">
      <c r="A17" s="41"/>
      <c r="B17" s="84" t="s">
        <v>403</v>
      </c>
      <c r="C17" s="156" t="str">
        <f>sample_wld_az1_uplink01_cidr</f>
        <v>10.23.17.0/24</v>
      </c>
      <c r="D17" s="18" t="str">
        <f>wld_az1_uplink01_cidr</f>
        <v>Value Missing</v>
      </c>
      <c r="E17" s="191"/>
      <c r="F17" s="41"/>
      <c r="G17" s="41"/>
      <c r="H17" s="41"/>
      <c r="I17" s="41"/>
      <c r="J17" s="41"/>
      <c r="K17" s="41"/>
      <c r="L17" s="41"/>
      <c r="M17" s="41"/>
      <c r="N17" s="41"/>
      <c r="O17" s="41"/>
      <c r="P17" s="41"/>
      <c r="Q17" s="41"/>
      <c r="R17" s="41"/>
      <c r="S17" s="41"/>
      <c r="T17" s="41"/>
      <c r="U17" s="41"/>
      <c r="V17" s="41"/>
      <c r="W17" s="41"/>
      <c r="X17" s="41"/>
      <c r="Y17" s="41"/>
      <c r="Z17" s="41"/>
    </row>
    <row r="18" ht="19.5" customHeight="1">
      <c r="A18" s="41"/>
      <c r="B18" s="84" t="s">
        <v>404</v>
      </c>
      <c r="C18" s="156">
        <f>sample_wld_az1_uplink01_mtu</f>
        <v>9000</v>
      </c>
      <c r="D18" s="18" t="str">
        <f>wld_az1_uplink01_mtu</f>
        <v>Value Missing</v>
      </c>
      <c r="E18" s="191"/>
      <c r="F18" s="41"/>
      <c r="G18" s="41"/>
      <c r="H18" s="41"/>
      <c r="I18" s="41"/>
      <c r="J18" s="41"/>
      <c r="K18" s="41"/>
      <c r="L18" s="41"/>
      <c r="M18" s="41"/>
      <c r="N18" s="41"/>
      <c r="O18" s="41"/>
      <c r="P18" s="41"/>
      <c r="Q18" s="41"/>
      <c r="R18" s="41"/>
      <c r="S18" s="41"/>
      <c r="T18" s="41"/>
      <c r="U18" s="41"/>
      <c r="V18" s="41"/>
      <c r="W18" s="41"/>
      <c r="X18" s="41"/>
      <c r="Y18" s="41"/>
      <c r="Z18" s="41"/>
    </row>
    <row r="19" ht="19.5" customHeight="1">
      <c r="A19" s="41"/>
      <c r="B19" s="102" t="s">
        <v>676</v>
      </c>
      <c r="C19" s="13"/>
      <c r="D19" s="13"/>
      <c r="E19" s="14"/>
      <c r="F19" s="41"/>
      <c r="G19" s="41"/>
      <c r="H19" s="41"/>
      <c r="I19" s="41"/>
      <c r="J19" s="41"/>
      <c r="K19" s="41"/>
      <c r="L19" s="41"/>
      <c r="M19" s="41"/>
      <c r="N19" s="41"/>
      <c r="O19" s="41"/>
      <c r="P19" s="41"/>
      <c r="Q19" s="41"/>
      <c r="R19" s="41"/>
      <c r="S19" s="41"/>
      <c r="T19" s="41"/>
      <c r="U19" s="41"/>
      <c r="V19" s="41"/>
      <c r="W19" s="41"/>
      <c r="X19" s="41"/>
      <c r="Y19" s="41"/>
      <c r="Z19" s="41"/>
    </row>
    <row r="20" ht="19.5" customHeight="1">
      <c r="A20" s="41"/>
      <c r="B20" s="84" t="s">
        <v>401</v>
      </c>
      <c r="C20" s="156" t="str">
        <f>sample_wld_az1_uplink02_vlan</f>
        <v>2318</v>
      </c>
      <c r="D20" s="18" t="str">
        <f>wld_az1_uplink02_vlan</f>
        <v>Value Missing</v>
      </c>
      <c r="E20" s="84"/>
      <c r="F20" s="41"/>
      <c r="G20" s="41"/>
      <c r="H20" s="41"/>
      <c r="I20" s="41"/>
      <c r="J20" s="41"/>
      <c r="K20" s="41"/>
      <c r="L20" s="41"/>
      <c r="M20" s="41"/>
      <c r="N20" s="41"/>
      <c r="O20" s="41"/>
      <c r="P20" s="41"/>
      <c r="Q20" s="41"/>
      <c r="R20" s="41"/>
      <c r="S20" s="41"/>
      <c r="T20" s="41"/>
      <c r="U20" s="41"/>
      <c r="V20" s="41"/>
      <c r="W20" s="41"/>
      <c r="X20" s="41"/>
      <c r="Y20" s="41"/>
      <c r="Z20" s="41"/>
    </row>
    <row r="21" ht="19.5" customHeight="1">
      <c r="A21" s="41"/>
      <c r="B21" s="84" t="s">
        <v>402</v>
      </c>
      <c r="C21" s="156" t="str">
        <f>sample_wld_az1_uplink02_gateway_ip</f>
        <v>10.23.18.1</v>
      </c>
      <c r="D21" s="18" t="str">
        <f>wld_az1_uplink02_gateway_ip</f>
        <v>Value Missing</v>
      </c>
      <c r="E21" s="191"/>
      <c r="F21" s="41"/>
      <c r="G21" s="41"/>
      <c r="H21" s="41"/>
      <c r="I21" s="41"/>
      <c r="J21" s="41"/>
      <c r="K21" s="41"/>
      <c r="L21" s="41"/>
      <c r="M21" s="41"/>
      <c r="N21" s="41"/>
      <c r="O21" s="41"/>
      <c r="P21" s="41"/>
      <c r="Q21" s="41"/>
      <c r="R21" s="41"/>
      <c r="S21" s="41"/>
      <c r="T21" s="41"/>
      <c r="U21" s="41"/>
      <c r="V21" s="41"/>
      <c r="W21" s="41"/>
      <c r="X21" s="41"/>
      <c r="Y21" s="41"/>
      <c r="Z21" s="41"/>
    </row>
    <row r="22" ht="19.5" customHeight="1">
      <c r="A22" s="41"/>
      <c r="B22" s="84" t="s">
        <v>403</v>
      </c>
      <c r="C22" s="156" t="str">
        <f>sample_wld_az1_uplink02_cidr</f>
        <v>10.23.18.0/24</v>
      </c>
      <c r="D22" s="18" t="str">
        <f>wld_az1_uplink01_cidr</f>
        <v>Value Missing</v>
      </c>
      <c r="E22" s="191"/>
      <c r="F22" s="41"/>
      <c r="G22" s="41"/>
      <c r="H22" s="41"/>
      <c r="I22" s="41"/>
      <c r="J22" s="41"/>
      <c r="K22" s="41"/>
      <c r="L22" s="41"/>
      <c r="M22" s="41"/>
      <c r="N22" s="41"/>
      <c r="O22" s="41"/>
      <c r="P22" s="41"/>
      <c r="Q22" s="41"/>
      <c r="R22" s="41"/>
      <c r="S22" s="41"/>
      <c r="T22" s="41"/>
      <c r="U22" s="41"/>
      <c r="V22" s="41"/>
      <c r="W22" s="41"/>
      <c r="X22" s="41"/>
      <c r="Y22" s="41"/>
      <c r="Z22" s="41"/>
    </row>
    <row r="23" ht="19.5" customHeight="1">
      <c r="A23" s="41"/>
      <c r="B23" s="84" t="s">
        <v>404</v>
      </c>
      <c r="C23" s="156">
        <f>sample_wld_az1_uplink02_mtu</f>
        <v>9000</v>
      </c>
      <c r="D23" s="18" t="str">
        <f>wld_az1_uplink02_mtu</f>
        <v>Value Missing</v>
      </c>
      <c r="E23" s="191"/>
      <c r="F23" s="41"/>
      <c r="G23" s="41"/>
      <c r="H23" s="41"/>
      <c r="I23" s="41"/>
      <c r="J23" s="41"/>
      <c r="K23" s="41"/>
      <c r="L23" s="41"/>
      <c r="M23" s="41"/>
      <c r="N23" s="41"/>
      <c r="O23" s="41"/>
      <c r="P23" s="41"/>
      <c r="Q23" s="41"/>
      <c r="R23" s="41"/>
      <c r="S23" s="41"/>
      <c r="T23" s="41"/>
      <c r="U23" s="41"/>
      <c r="V23" s="41"/>
      <c r="W23" s="41"/>
      <c r="X23" s="41"/>
      <c r="Y23" s="41"/>
      <c r="Z23" s="41"/>
    </row>
    <row r="24" ht="19.5" customHeight="1">
      <c r="A24" s="41"/>
      <c r="B24" s="102" t="s">
        <v>678</v>
      </c>
      <c r="C24" s="13"/>
      <c r="D24" s="13"/>
      <c r="E24" s="14"/>
      <c r="F24" s="41"/>
      <c r="G24" s="41"/>
      <c r="H24" s="41"/>
      <c r="I24" s="41"/>
      <c r="J24" s="41"/>
      <c r="K24" s="41"/>
      <c r="L24" s="41"/>
      <c r="M24" s="41"/>
      <c r="N24" s="41"/>
      <c r="O24" s="41"/>
      <c r="P24" s="41"/>
      <c r="Q24" s="41"/>
      <c r="R24" s="41"/>
      <c r="S24" s="41"/>
      <c r="T24" s="41"/>
      <c r="U24" s="41"/>
      <c r="V24" s="41"/>
      <c r="W24" s="41"/>
      <c r="X24" s="41"/>
      <c r="Y24" s="41"/>
      <c r="Z24" s="41"/>
    </row>
    <row r="25" ht="19.5" customHeight="1">
      <c r="A25" s="41"/>
      <c r="B25" s="84" t="s">
        <v>401</v>
      </c>
      <c r="C25" s="156" t="str">
        <f>CONCATENATE(prefix_wld_az1_vlan,"19")</f>
        <v>2319</v>
      </c>
      <c r="D25" s="18" t="str">
        <f>wld_az1_edge_overlay_vlan</f>
        <v>Value Missing</v>
      </c>
      <c r="E25" s="191" t="str">
        <f>IF(AND(mgmt_stretched_cluster_result="Included",mgmt_dpg_reuse_result="Included"),"Stretched L2","")</f>
        <v/>
      </c>
      <c r="F25" s="41"/>
      <c r="G25" s="41"/>
      <c r="H25" s="41"/>
      <c r="I25" s="41"/>
      <c r="J25" s="41"/>
      <c r="K25" s="41"/>
      <c r="L25" s="41"/>
      <c r="M25" s="41"/>
      <c r="N25" s="41"/>
      <c r="O25" s="41"/>
      <c r="P25" s="41"/>
      <c r="Q25" s="41"/>
      <c r="R25" s="41"/>
      <c r="S25" s="41"/>
      <c r="T25" s="41"/>
      <c r="U25" s="41"/>
      <c r="V25" s="41"/>
      <c r="W25" s="41"/>
      <c r="X25" s="41"/>
      <c r="Y25" s="41"/>
      <c r="Z25" s="41"/>
    </row>
    <row r="26" ht="19.5" customHeight="1">
      <c r="A26" s="41"/>
      <c r="B26" s="84" t="s">
        <v>402</v>
      </c>
      <c r="C26" s="156" t="str">
        <f>sample_wld_az1_edge_overlay_gateway_ip</f>
        <v>10.23.19.1</v>
      </c>
      <c r="D26" s="18" t="str">
        <f>wld_az1_edge_overlay_gateway_ip</f>
        <v>Value Missing</v>
      </c>
      <c r="E26" s="191" t="str">
        <f>IF(AND(mgmt_stretched_cluster_result="Included",mgmt_dpg_reuse_result="Excluded"),"Stretched L2","")</f>
        <v/>
      </c>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84" t="s">
        <v>403</v>
      </c>
      <c r="C27" s="156" t="str">
        <f>sample_wld_az1_edge_overlay_cidr</f>
        <v>10.23.19.0/24</v>
      </c>
      <c r="D27" s="18" t="str">
        <f>wld_az1_edge_overlay_cidr</f>
        <v>Value Missing</v>
      </c>
      <c r="E27" s="191"/>
      <c r="F27" s="41"/>
      <c r="G27" s="41"/>
      <c r="H27" s="41"/>
      <c r="I27" s="41"/>
      <c r="J27" s="41"/>
      <c r="K27" s="41"/>
      <c r="L27" s="41"/>
      <c r="M27" s="41"/>
      <c r="N27" s="41"/>
      <c r="O27" s="41"/>
      <c r="P27" s="41"/>
      <c r="Q27" s="41"/>
      <c r="R27" s="41"/>
      <c r="S27" s="41"/>
      <c r="T27" s="41"/>
      <c r="U27" s="41"/>
      <c r="V27" s="41"/>
      <c r="W27" s="41"/>
      <c r="X27" s="41"/>
      <c r="Y27" s="41"/>
      <c r="Z27" s="41"/>
    </row>
    <row r="28" ht="19.5" customHeight="1">
      <c r="A28" s="41"/>
      <c r="B28" s="102" t="s">
        <v>3718</v>
      </c>
      <c r="C28" s="13"/>
      <c r="D28" s="13"/>
      <c r="E28" s="14"/>
      <c r="F28" s="41"/>
      <c r="G28" s="41"/>
      <c r="H28" s="41"/>
      <c r="I28" s="41"/>
      <c r="J28" s="41"/>
      <c r="K28" s="41"/>
      <c r="L28" s="41"/>
      <c r="M28" s="41"/>
      <c r="N28" s="41"/>
      <c r="O28" s="41"/>
      <c r="P28" s="41"/>
      <c r="Q28" s="41"/>
      <c r="R28" s="41"/>
      <c r="S28" s="41"/>
      <c r="T28" s="41"/>
      <c r="U28" s="41"/>
      <c r="V28" s="41"/>
      <c r="W28" s="41"/>
      <c r="X28" s="41"/>
      <c r="Y28" s="41"/>
      <c r="Z28" s="41"/>
    </row>
    <row r="29" ht="19.5" customHeight="1">
      <c r="A29" s="41"/>
      <c r="B29" s="84" t="s">
        <v>1439</v>
      </c>
      <c r="C29" s="156" t="str">
        <f>sample_wld_en_asn</f>
        <v>65202</v>
      </c>
      <c r="D29" s="18" t="str">
        <f>wld_en_asn</f>
        <v>Value Missing</v>
      </c>
      <c r="E29" s="191"/>
      <c r="F29" s="41"/>
      <c r="G29" s="41"/>
      <c r="H29" s="41"/>
      <c r="I29" s="41"/>
      <c r="J29" s="41"/>
      <c r="K29" s="41"/>
      <c r="L29" s="41"/>
      <c r="M29" s="41"/>
      <c r="N29" s="41"/>
      <c r="O29" s="41"/>
      <c r="P29" s="41"/>
      <c r="Q29" s="41"/>
      <c r="R29" s="41"/>
      <c r="S29" s="41"/>
      <c r="T29" s="41"/>
      <c r="U29" s="41"/>
      <c r="V29" s="41"/>
      <c r="W29" s="41"/>
      <c r="X29" s="41"/>
      <c r="Y29" s="41"/>
      <c r="Z29" s="41"/>
    </row>
    <row r="30" ht="19.5" customHeight="1">
      <c r="A30" s="41"/>
      <c r="B30" s="84" t="s">
        <v>658</v>
      </c>
      <c r="C30" s="156" t="str">
        <f>sample_wld_az1_tor1_peer_ip</f>
        <v>10.23.17.10</v>
      </c>
      <c r="D30" s="18" t="str">
        <f>wld_az1_tor1_peer_ip</f>
        <v>Value Missing</v>
      </c>
      <c r="E30" s="191"/>
      <c r="F30" s="41"/>
      <c r="G30" s="41"/>
      <c r="H30" s="41"/>
      <c r="I30" s="41"/>
      <c r="J30" s="41"/>
      <c r="K30" s="41"/>
      <c r="L30" s="41"/>
      <c r="M30" s="41"/>
      <c r="N30" s="41"/>
      <c r="O30" s="41"/>
      <c r="P30" s="41"/>
      <c r="Q30" s="41"/>
      <c r="R30" s="41"/>
      <c r="S30" s="41"/>
      <c r="T30" s="41"/>
      <c r="U30" s="41"/>
      <c r="V30" s="41"/>
      <c r="W30" s="41"/>
      <c r="X30" s="41"/>
      <c r="Y30" s="41"/>
      <c r="Z30" s="41"/>
    </row>
    <row r="31" ht="19.5" customHeight="1">
      <c r="A31" s="41"/>
      <c r="B31" s="84" t="s">
        <v>659</v>
      </c>
      <c r="C31" s="156" t="str">
        <f>sample_wld_az1_tor1_peer_asn</f>
        <v>231</v>
      </c>
      <c r="D31" s="18" t="str">
        <f>wld_az1_tor1_peer_asn</f>
        <v>Value Missing</v>
      </c>
      <c r="E31" s="191"/>
      <c r="F31" s="41"/>
      <c r="G31" s="41"/>
      <c r="H31" s="41"/>
      <c r="I31" s="41"/>
      <c r="J31" s="41"/>
      <c r="K31" s="41"/>
      <c r="L31" s="41"/>
      <c r="M31" s="41"/>
      <c r="N31" s="41"/>
      <c r="O31" s="41"/>
      <c r="P31" s="41"/>
      <c r="Q31" s="41"/>
      <c r="R31" s="41"/>
      <c r="S31" s="41"/>
      <c r="T31" s="41"/>
      <c r="U31" s="41"/>
      <c r="V31" s="41"/>
      <c r="W31" s="41"/>
      <c r="X31" s="41"/>
      <c r="Y31" s="41"/>
      <c r="Z31" s="41"/>
    </row>
    <row r="32" ht="19.5" customHeight="1">
      <c r="A32" s="41"/>
      <c r="B32" s="84" t="s">
        <v>660</v>
      </c>
      <c r="C32" s="156" t="str">
        <f>sample_wld_az1_tor1_peer_bgp_password</f>
        <v>VMw@re1!</v>
      </c>
      <c r="D32" s="18" t="str">
        <f>wld_az1_tor1_peer_bgp_password</f>
        <v>Value Missing</v>
      </c>
      <c r="E32" s="191"/>
      <c r="F32" s="41"/>
      <c r="G32" s="41"/>
      <c r="H32" s="41"/>
      <c r="I32" s="41"/>
      <c r="J32" s="41"/>
      <c r="K32" s="41"/>
      <c r="L32" s="41"/>
      <c r="M32" s="41"/>
      <c r="N32" s="41"/>
      <c r="O32" s="41"/>
      <c r="P32" s="41"/>
      <c r="Q32" s="41"/>
      <c r="R32" s="41"/>
      <c r="S32" s="41"/>
      <c r="T32" s="41"/>
      <c r="U32" s="41"/>
      <c r="V32" s="41"/>
      <c r="W32" s="41"/>
      <c r="X32" s="41"/>
      <c r="Y32" s="41"/>
      <c r="Z32" s="41"/>
    </row>
    <row r="33" ht="19.5" customHeight="1">
      <c r="A33" s="41"/>
      <c r="B33" s="84" t="s">
        <v>661</v>
      </c>
      <c r="C33" s="156" t="str">
        <f>sample_wld_az1_tor2_peer_ip</f>
        <v>10.23.18.10</v>
      </c>
      <c r="D33" s="18" t="str">
        <f>wld_az1_tor2_peer_ip</f>
        <v>Value Missing</v>
      </c>
      <c r="E33" s="191"/>
      <c r="F33" s="41"/>
      <c r="G33" s="41"/>
      <c r="H33" s="41"/>
      <c r="I33" s="41"/>
      <c r="J33" s="41"/>
      <c r="K33" s="41"/>
      <c r="L33" s="41"/>
      <c r="M33" s="41"/>
      <c r="N33" s="41"/>
      <c r="O33" s="41"/>
      <c r="P33" s="41"/>
      <c r="Q33" s="41"/>
      <c r="R33" s="41"/>
      <c r="S33" s="41"/>
      <c r="T33" s="41"/>
      <c r="U33" s="41"/>
      <c r="V33" s="41"/>
      <c r="W33" s="41"/>
      <c r="X33" s="41"/>
      <c r="Y33" s="41"/>
      <c r="Z33" s="41"/>
    </row>
    <row r="34" ht="19.5" customHeight="1">
      <c r="A34" s="41"/>
      <c r="B34" s="84" t="s">
        <v>662</v>
      </c>
      <c r="C34" s="156" t="str">
        <f>sample_wld_az1_tor2_peer_asn</f>
        <v>231</v>
      </c>
      <c r="D34" s="18" t="str">
        <f>wld_az1_tor2_peer_asn</f>
        <v>Value Missing</v>
      </c>
      <c r="E34" s="191"/>
      <c r="F34" s="41"/>
      <c r="G34" s="41"/>
      <c r="H34" s="41"/>
      <c r="I34" s="41"/>
      <c r="J34" s="41"/>
      <c r="K34" s="41"/>
      <c r="L34" s="41"/>
      <c r="M34" s="41"/>
      <c r="N34" s="41"/>
      <c r="O34" s="41"/>
      <c r="P34" s="41"/>
      <c r="Q34" s="41"/>
      <c r="R34" s="41"/>
      <c r="S34" s="41"/>
      <c r="T34" s="41"/>
      <c r="U34" s="41"/>
      <c r="V34" s="41"/>
      <c r="W34" s="41"/>
      <c r="X34" s="41"/>
      <c r="Y34" s="41"/>
      <c r="Z34" s="41"/>
    </row>
    <row r="35" ht="19.5" customHeight="1">
      <c r="A35" s="41"/>
      <c r="B35" s="84" t="s">
        <v>663</v>
      </c>
      <c r="C35" s="156" t="str">
        <f>sample_wld_az1_tor2_peer_bgp_password</f>
        <v>VMw@re1!</v>
      </c>
      <c r="D35" s="18" t="str">
        <f>wld_az1_tor2_peer_bgp_password</f>
        <v>Value Missing</v>
      </c>
      <c r="E35" s="191"/>
      <c r="F35" s="41"/>
      <c r="G35" s="41"/>
      <c r="H35" s="41"/>
      <c r="I35" s="41"/>
      <c r="J35" s="41"/>
      <c r="K35" s="41"/>
      <c r="L35" s="41"/>
      <c r="M35" s="41"/>
      <c r="N35" s="41"/>
      <c r="O35" s="41"/>
      <c r="P35" s="41"/>
      <c r="Q35" s="41"/>
      <c r="R35" s="41"/>
      <c r="S35" s="41"/>
      <c r="T35" s="41"/>
      <c r="U35" s="41"/>
      <c r="V35" s="41"/>
      <c r="W35" s="41"/>
      <c r="X35" s="41"/>
      <c r="Y35" s="41"/>
      <c r="Z35" s="41"/>
    </row>
    <row r="36" ht="19.5" customHeight="1">
      <c r="A36" s="41"/>
      <c r="B36" s="102" t="s">
        <v>3705</v>
      </c>
      <c r="C36" s="13"/>
      <c r="D36" s="13"/>
      <c r="E36" s="14"/>
      <c r="F36" s="41"/>
      <c r="G36" s="41"/>
      <c r="H36" s="41"/>
      <c r="I36" s="41"/>
      <c r="J36" s="41"/>
      <c r="K36" s="41"/>
      <c r="L36" s="41"/>
      <c r="M36" s="41"/>
      <c r="N36" s="41"/>
      <c r="O36" s="41"/>
      <c r="P36" s="41"/>
      <c r="Q36" s="41"/>
      <c r="R36" s="41"/>
      <c r="S36" s="41"/>
      <c r="T36" s="41"/>
      <c r="U36" s="41"/>
      <c r="V36" s="41"/>
      <c r="W36" s="41"/>
      <c r="X36" s="41"/>
      <c r="Y36" s="41"/>
      <c r="Z36" s="41"/>
    </row>
    <row r="37" ht="19.5" customHeight="1">
      <c r="A37" s="41"/>
      <c r="B37" s="365" t="str">
        <f>wld_az1_en1_fqdn</f>
        <v>Value Missing</v>
      </c>
      <c r="C37" s="156" t="str">
        <f>sample_wld_az1_en1_mgmt_cidr</f>
        <v>10.23.10.135/24</v>
      </c>
      <c r="D37" s="18" t="str">
        <f>wld_az1_en1_mgmt_cidr</f>
        <v>Value Missing</v>
      </c>
      <c r="E37" s="18"/>
      <c r="F37" s="41"/>
      <c r="G37" s="41"/>
      <c r="H37" s="41"/>
      <c r="I37" s="41"/>
      <c r="J37" s="41"/>
      <c r="K37" s="41"/>
      <c r="L37" s="41"/>
      <c r="M37" s="41"/>
      <c r="N37" s="41"/>
      <c r="O37" s="41"/>
      <c r="P37" s="41"/>
      <c r="Q37" s="41"/>
      <c r="R37" s="41"/>
      <c r="S37" s="41"/>
      <c r="T37" s="41"/>
      <c r="U37" s="41"/>
      <c r="V37" s="41"/>
      <c r="W37" s="41"/>
      <c r="X37" s="41"/>
      <c r="Y37" s="41"/>
      <c r="Z37" s="41"/>
    </row>
    <row r="38" ht="19.5" customHeight="1">
      <c r="A38" s="41"/>
      <c r="B38" s="51" t="s">
        <v>478</v>
      </c>
      <c r="C38" s="156" t="str">
        <f>sample_wld_az1_en1_uplink01_interface_cidr</f>
        <v>10.23.17.2/24</v>
      </c>
      <c r="D38" s="18" t="str">
        <f>wld_az1_en1_uplink01_interface_cidr</f>
        <v>Value Missing</v>
      </c>
      <c r="E38" s="18" t="s">
        <v>648</v>
      </c>
      <c r="F38" s="41"/>
      <c r="G38" s="41"/>
      <c r="H38" s="41"/>
      <c r="I38" s="41"/>
      <c r="J38" s="41"/>
      <c r="K38" s="41"/>
      <c r="L38" s="41"/>
      <c r="M38" s="41"/>
      <c r="N38" s="41"/>
      <c r="O38" s="41"/>
      <c r="P38" s="41"/>
      <c r="Q38" s="41"/>
      <c r="R38" s="41"/>
      <c r="S38" s="41"/>
      <c r="T38" s="41"/>
      <c r="U38" s="41"/>
      <c r="V38" s="41"/>
      <c r="W38" s="41"/>
      <c r="X38" s="41"/>
      <c r="Y38" s="41"/>
      <c r="Z38" s="41"/>
    </row>
    <row r="39" ht="19.5" customHeight="1">
      <c r="A39" s="41"/>
      <c r="B39" s="51" t="s">
        <v>478</v>
      </c>
      <c r="C39" s="156" t="str">
        <f>sample_wld_az1_en1_uplink02_interface_cidr</f>
        <v>10.23.18.2/24</v>
      </c>
      <c r="D39" s="18" t="str">
        <f>wld_az1_en1_uplink02_interface_cidr</f>
        <v>Value Missing</v>
      </c>
      <c r="E39" s="18" t="s">
        <v>1471</v>
      </c>
      <c r="F39" s="41"/>
      <c r="G39" s="41"/>
      <c r="H39" s="41"/>
      <c r="I39" s="41"/>
      <c r="J39" s="41"/>
      <c r="K39" s="41"/>
      <c r="L39" s="41"/>
      <c r="M39" s="41"/>
      <c r="N39" s="41"/>
      <c r="O39" s="41"/>
      <c r="P39" s="41"/>
      <c r="Q39" s="41"/>
      <c r="R39" s="41"/>
      <c r="S39" s="41"/>
      <c r="T39" s="41"/>
      <c r="U39" s="41"/>
      <c r="V39" s="41"/>
      <c r="W39" s="41"/>
      <c r="X39" s="41"/>
      <c r="Y39" s="41"/>
      <c r="Z39" s="41"/>
    </row>
    <row r="40" ht="19.5" customHeight="1">
      <c r="A40" s="41"/>
      <c r="B40" s="391" t="s">
        <v>478</v>
      </c>
      <c r="C40" s="156" t="str">
        <f>sample_wld_az1_en1_edge_overlay_interface_ip_1_ip</f>
        <v>10.23.19.2</v>
      </c>
      <c r="D40" s="18" t="str">
        <f>wld_az1_en1_edge_overlay_interface_ip_1_ip</f>
        <v>Value Missing</v>
      </c>
      <c r="E40" s="18" t="s">
        <v>1459</v>
      </c>
      <c r="F40" s="41"/>
      <c r="G40" s="41"/>
      <c r="H40" s="41"/>
      <c r="I40" s="41"/>
      <c r="J40" s="41"/>
      <c r="K40" s="41"/>
      <c r="L40" s="41"/>
      <c r="M40" s="41"/>
      <c r="N40" s="41"/>
      <c r="O40" s="41"/>
      <c r="P40" s="41"/>
      <c r="Q40" s="41"/>
      <c r="R40" s="41"/>
      <c r="S40" s="41"/>
      <c r="T40" s="41"/>
      <c r="U40" s="41"/>
      <c r="V40" s="41"/>
      <c r="W40" s="41"/>
      <c r="X40" s="41"/>
      <c r="Y40" s="41"/>
      <c r="Z40" s="41"/>
    </row>
    <row r="41" ht="19.5" customHeight="1">
      <c r="A41" s="41"/>
      <c r="B41" s="392" t="s">
        <v>478</v>
      </c>
      <c r="C41" s="156" t="str">
        <f>sample_wld_az1_en1_edge_overlay_interface_ip_2_ip</f>
        <v>10.23.19.3</v>
      </c>
      <c r="D41" s="18" t="str">
        <f>wld_az1_en1_edge_overlay_interface_ip_2_ip</f>
        <v>Value Missing</v>
      </c>
      <c r="E41" s="18" t="s">
        <v>3706</v>
      </c>
      <c r="F41" s="41"/>
      <c r="G41" s="41"/>
      <c r="H41" s="41"/>
      <c r="I41" s="41"/>
      <c r="J41" s="41"/>
      <c r="K41" s="41"/>
      <c r="L41" s="41"/>
      <c r="M41" s="41"/>
      <c r="N41" s="41"/>
      <c r="O41" s="41"/>
      <c r="P41" s="41"/>
      <c r="Q41" s="41"/>
      <c r="R41" s="41"/>
      <c r="S41" s="41"/>
      <c r="T41" s="41"/>
      <c r="U41" s="41"/>
      <c r="V41" s="41"/>
      <c r="W41" s="41"/>
      <c r="X41" s="41"/>
      <c r="Y41" s="41"/>
      <c r="Z41" s="41"/>
    </row>
    <row r="42" ht="19.5" customHeight="1">
      <c r="A42" s="41"/>
      <c r="B42" s="365" t="str">
        <f>wld_az1_en2_fqdn</f>
        <v>Value Missing</v>
      </c>
      <c r="C42" s="156" t="str">
        <f>sample_wld_az1_en2_mgmt_cidr</f>
        <v>10.23.10.136/24</v>
      </c>
      <c r="D42" s="18" t="str">
        <f>wld_az1_en2_mgmt_cidr</f>
        <v>Value Missing</v>
      </c>
      <c r="E42" s="18"/>
      <c r="F42" s="41"/>
      <c r="G42" s="41"/>
      <c r="H42" s="41"/>
      <c r="I42" s="41"/>
      <c r="J42" s="41"/>
      <c r="K42" s="41"/>
      <c r="L42" s="41"/>
      <c r="M42" s="41"/>
      <c r="N42" s="41"/>
      <c r="O42" s="41"/>
      <c r="P42" s="41"/>
      <c r="Q42" s="41"/>
      <c r="R42" s="41"/>
      <c r="S42" s="41"/>
      <c r="T42" s="41"/>
      <c r="U42" s="41"/>
      <c r="V42" s="41"/>
      <c r="W42" s="41"/>
      <c r="X42" s="41"/>
      <c r="Y42" s="41"/>
      <c r="Z42" s="41"/>
    </row>
    <row r="43" ht="19.5" customHeight="1">
      <c r="A43" s="41"/>
      <c r="B43" s="51" t="s">
        <v>478</v>
      </c>
      <c r="C43" s="156" t="str">
        <f>sample_wld_az1_en2_uplink01_interface_cidr</f>
        <v>10.23.17.3/24</v>
      </c>
      <c r="D43" s="18" t="str">
        <f>wld_az1_en2_uplink01_interface_cidr</f>
        <v>Value Missing</v>
      </c>
      <c r="E43" s="18" t="s">
        <v>657</v>
      </c>
      <c r="F43" s="41"/>
      <c r="G43" s="41"/>
      <c r="H43" s="41"/>
      <c r="I43" s="41"/>
      <c r="J43" s="41"/>
      <c r="K43" s="41"/>
      <c r="L43" s="41"/>
      <c r="M43" s="41"/>
      <c r="N43" s="41"/>
      <c r="O43" s="41"/>
      <c r="P43" s="41"/>
      <c r="Q43" s="41"/>
      <c r="R43" s="41"/>
      <c r="S43" s="41"/>
      <c r="T43" s="41"/>
      <c r="U43" s="41"/>
      <c r="V43" s="41"/>
      <c r="W43" s="41"/>
      <c r="X43" s="41"/>
      <c r="Y43" s="41"/>
      <c r="Z43" s="41"/>
    </row>
    <row r="44" ht="19.5" customHeight="1">
      <c r="A44" s="41"/>
      <c r="B44" s="51" t="s">
        <v>478</v>
      </c>
      <c r="C44" s="156" t="str">
        <f>sample_wld_az1_en2_uplink02_interface_cidr</f>
        <v>10.23.18.3/24</v>
      </c>
      <c r="D44" s="18" t="str">
        <f>wld_az1_en2_uplink02_interface_cidr</f>
        <v>Value Missing</v>
      </c>
      <c r="E44" s="18" t="s">
        <v>655</v>
      </c>
      <c r="F44" s="41"/>
      <c r="G44" s="41"/>
      <c r="H44" s="41"/>
      <c r="I44" s="41"/>
      <c r="J44" s="41"/>
      <c r="K44" s="41"/>
      <c r="L44" s="41"/>
      <c r="M44" s="41"/>
      <c r="N44" s="41"/>
      <c r="O44" s="41"/>
      <c r="P44" s="41"/>
      <c r="Q44" s="41"/>
      <c r="R44" s="41"/>
      <c r="S44" s="41"/>
      <c r="T44" s="41"/>
      <c r="U44" s="41"/>
      <c r="V44" s="41"/>
      <c r="W44" s="41"/>
      <c r="X44" s="41"/>
      <c r="Y44" s="41"/>
      <c r="Z44" s="41"/>
    </row>
    <row r="45" ht="19.5" customHeight="1">
      <c r="A45" s="41"/>
      <c r="B45" s="391" t="s">
        <v>478</v>
      </c>
      <c r="C45" s="156" t="str">
        <f>sample_wld_az1_en2_edge_overlay_interface_ip_1_ip</f>
        <v>10.23.19.4</v>
      </c>
      <c r="D45" s="18" t="str">
        <f>wld_az1_en2_edge_overlay_interface_ip_1_ip</f>
        <v>Value Missing</v>
      </c>
      <c r="E45" s="18" t="s">
        <v>1466</v>
      </c>
      <c r="F45" s="41"/>
      <c r="G45" s="41"/>
      <c r="H45" s="41"/>
      <c r="I45" s="41"/>
      <c r="J45" s="41"/>
      <c r="K45" s="41"/>
      <c r="L45" s="41"/>
      <c r="M45" s="41"/>
      <c r="N45" s="41"/>
      <c r="O45" s="41"/>
      <c r="P45" s="41"/>
      <c r="Q45" s="41"/>
      <c r="R45" s="41"/>
      <c r="S45" s="41"/>
      <c r="T45" s="41"/>
      <c r="U45" s="41"/>
      <c r="V45" s="41"/>
      <c r="W45" s="41"/>
      <c r="X45" s="41"/>
      <c r="Y45" s="41"/>
      <c r="Z45" s="41"/>
    </row>
    <row r="46" ht="19.5" customHeight="1">
      <c r="A46" s="41"/>
      <c r="B46" s="392" t="s">
        <v>478</v>
      </c>
      <c r="C46" s="156" t="str">
        <f>sample_wld_az1_en2_edge_overlay_interface_ip_2_ip</f>
        <v>10.23.19.5</v>
      </c>
      <c r="D46" s="18" t="str">
        <f>wld_az1_en2_edge_overlay_interface_ip_2_ip</f>
        <v>Value Missing</v>
      </c>
      <c r="E46" s="18" t="s">
        <v>1468</v>
      </c>
      <c r="F46" s="41"/>
      <c r="G46" s="41"/>
      <c r="H46" s="41"/>
      <c r="I46" s="41"/>
      <c r="J46" s="41"/>
      <c r="K46" s="41"/>
      <c r="L46" s="41"/>
      <c r="M46" s="41"/>
      <c r="N46" s="41"/>
      <c r="O46" s="41"/>
      <c r="P46" s="41"/>
      <c r="Q46" s="41"/>
      <c r="R46" s="41"/>
      <c r="S46" s="41"/>
      <c r="T46" s="41"/>
      <c r="U46" s="41"/>
      <c r="V46" s="41"/>
      <c r="W46" s="41"/>
      <c r="X46" s="41"/>
      <c r="Y46" s="41"/>
      <c r="Z46" s="41"/>
    </row>
    <row r="47" ht="19.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33.75" customHeight="1">
      <c r="A48" s="41"/>
      <c r="B48" s="12" t="s">
        <v>3719</v>
      </c>
      <c r="C48" s="13"/>
      <c r="D48" s="13"/>
      <c r="E48" s="14"/>
      <c r="F48" s="41"/>
      <c r="G48" s="41"/>
      <c r="H48" s="41"/>
      <c r="I48" s="41"/>
      <c r="J48" s="41"/>
      <c r="K48" s="41"/>
      <c r="L48" s="41"/>
      <c r="M48" s="41"/>
      <c r="N48" s="41"/>
      <c r="O48" s="41"/>
      <c r="P48" s="41"/>
      <c r="Q48" s="41"/>
      <c r="R48" s="41"/>
      <c r="S48" s="41"/>
      <c r="T48" s="41"/>
      <c r="U48" s="41"/>
      <c r="V48" s="41"/>
      <c r="W48" s="41"/>
      <c r="X48" s="41"/>
      <c r="Y48" s="41"/>
      <c r="Z48" s="41"/>
    </row>
    <row r="49" ht="19.5" customHeight="1">
      <c r="A49" s="41"/>
      <c r="B49" s="49" t="s">
        <v>37</v>
      </c>
      <c r="C49" s="49" t="s">
        <v>273</v>
      </c>
      <c r="D49" s="49" t="s">
        <v>274</v>
      </c>
      <c r="E49" s="49" t="s">
        <v>5</v>
      </c>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102" t="s">
        <v>405</v>
      </c>
      <c r="C50" s="13"/>
      <c r="D50" s="13"/>
      <c r="E50" s="14"/>
      <c r="F50" s="41"/>
      <c r="G50" s="41"/>
      <c r="H50" s="41"/>
      <c r="I50" s="41"/>
      <c r="J50" s="41"/>
      <c r="K50" s="41"/>
      <c r="L50" s="41"/>
      <c r="M50" s="41"/>
      <c r="N50" s="41"/>
      <c r="O50" s="41"/>
      <c r="P50" s="41"/>
      <c r="Q50" s="41"/>
      <c r="R50" s="41"/>
      <c r="S50" s="41"/>
      <c r="T50" s="41"/>
      <c r="U50" s="41"/>
      <c r="V50" s="41"/>
      <c r="W50" s="41"/>
      <c r="X50" s="41"/>
      <c r="Y50" s="41"/>
      <c r="Z50" s="41"/>
    </row>
    <row r="51" ht="19.5" customHeight="1">
      <c r="A51" s="41"/>
      <c r="B51" s="84" t="s">
        <v>401</v>
      </c>
      <c r="C51" s="163" t="str">
        <f>sample_wld_az1_mgmt_vm_vlan</f>
        <v>2310</v>
      </c>
      <c r="D51" s="18" t="str">
        <f>wld_az1_mgmt_vm_vlan</f>
        <v>Value Missing</v>
      </c>
      <c r="E51" s="190"/>
      <c r="F51" s="41"/>
      <c r="G51" s="41"/>
      <c r="H51" s="41"/>
      <c r="I51" s="41"/>
      <c r="J51" s="41"/>
      <c r="K51" s="41"/>
      <c r="L51" s="41"/>
      <c r="M51" s="41"/>
      <c r="N51" s="41"/>
      <c r="O51" s="41"/>
      <c r="P51" s="41"/>
      <c r="Q51" s="41"/>
      <c r="R51" s="41"/>
      <c r="S51" s="41"/>
      <c r="T51" s="41"/>
      <c r="U51" s="41"/>
      <c r="V51" s="41"/>
      <c r="W51" s="41"/>
      <c r="X51" s="41"/>
      <c r="Y51" s="41"/>
      <c r="Z51" s="41"/>
    </row>
    <row r="52" ht="19.5" customHeight="1">
      <c r="A52" s="41"/>
      <c r="B52" s="84" t="s">
        <v>402</v>
      </c>
      <c r="C52" s="156" t="str">
        <f>sample_wld_az1_mgmt_vm_gateway_ip</f>
        <v>10.23.10.1</v>
      </c>
      <c r="D52" s="18" t="str">
        <f>wld_az1_mgmt_vm_gateway_ip</f>
        <v>Value Missing</v>
      </c>
      <c r="E52" s="190"/>
      <c r="F52" s="41"/>
      <c r="G52" s="41"/>
      <c r="H52" s="41"/>
      <c r="I52" s="41"/>
      <c r="J52" s="41"/>
      <c r="K52" s="41"/>
      <c r="L52" s="41"/>
      <c r="M52" s="41"/>
      <c r="N52" s="41"/>
      <c r="O52" s="41"/>
      <c r="P52" s="41"/>
      <c r="Q52" s="41"/>
      <c r="R52" s="41"/>
      <c r="S52" s="41"/>
      <c r="T52" s="41"/>
      <c r="U52" s="41"/>
      <c r="V52" s="41"/>
      <c r="W52" s="41"/>
      <c r="X52" s="41"/>
      <c r="Y52" s="41"/>
      <c r="Z52" s="41"/>
    </row>
    <row r="53" ht="19.5" customHeight="1">
      <c r="A53" s="41"/>
      <c r="B53" s="84" t="s">
        <v>403</v>
      </c>
      <c r="C53" s="156" t="str">
        <f>sample_wld_az1_mgmt_cidr</f>
        <v>10.23.11.0/24</v>
      </c>
      <c r="D53" s="18" t="str">
        <f>wld_az1_mgmt_cidr</f>
        <v>Value Missing</v>
      </c>
      <c r="E53" s="190"/>
      <c r="F53" s="41"/>
      <c r="G53" s="41"/>
      <c r="H53" s="41"/>
      <c r="I53" s="41"/>
      <c r="J53" s="41"/>
      <c r="K53" s="41"/>
      <c r="L53" s="41"/>
      <c r="M53" s="41"/>
      <c r="N53" s="41"/>
      <c r="O53" s="41"/>
      <c r="P53" s="41"/>
      <c r="Q53" s="41"/>
      <c r="R53" s="41"/>
      <c r="S53" s="41"/>
      <c r="T53" s="41"/>
      <c r="U53" s="41"/>
      <c r="V53" s="41"/>
      <c r="W53" s="41"/>
      <c r="X53" s="41"/>
      <c r="Y53" s="41"/>
      <c r="Z53" s="41"/>
    </row>
    <row r="54" ht="19.5" customHeight="1">
      <c r="A54" s="41"/>
      <c r="B54" s="84" t="s">
        <v>404</v>
      </c>
      <c r="C54" s="156">
        <f>sample_wld_az1_mgmt_vm_mtu</f>
        <v>1500</v>
      </c>
      <c r="D54" s="18" t="str">
        <f>wld_az1_mgmt_vm_mtu</f>
        <v>Value Missing</v>
      </c>
      <c r="E54" s="190"/>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102" t="s">
        <v>3705</v>
      </c>
      <c r="C55" s="13"/>
      <c r="D55" s="13"/>
      <c r="E55" s="14"/>
      <c r="F55" s="41"/>
      <c r="G55" s="41"/>
      <c r="H55" s="41"/>
      <c r="I55" s="41"/>
      <c r="J55" s="41"/>
      <c r="K55" s="41"/>
      <c r="L55" s="41"/>
      <c r="M55" s="41"/>
      <c r="N55" s="41"/>
      <c r="O55" s="41"/>
      <c r="P55" s="41"/>
      <c r="Q55" s="41"/>
      <c r="R55" s="41"/>
      <c r="S55" s="41"/>
      <c r="T55" s="41"/>
      <c r="U55" s="41"/>
      <c r="V55" s="41"/>
      <c r="W55" s="41"/>
      <c r="X55" s="41"/>
      <c r="Y55" s="41"/>
      <c r="Z55" s="41"/>
    </row>
    <row r="56" ht="19.5" customHeight="1">
      <c r="A56" s="41"/>
      <c r="B56" s="393" t="str">
        <f>sample_wld_avilb_cluster_fqdn</f>
        <v>lax-w01-avilb01.lax.rainpole.io</v>
      </c>
      <c r="C56" s="156" t="str">
        <f>sample_wld_avilb_ip</f>
        <v>10.21.10.151</v>
      </c>
      <c r="D56" s="18" t="str">
        <f>wld_avilb_ip</f>
        <v>Value Missing</v>
      </c>
      <c r="E56" s="51" t="s">
        <v>694</v>
      </c>
      <c r="F56" s="41"/>
      <c r="G56" s="41"/>
      <c r="H56" s="41"/>
      <c r="I56" s="41"/>
      <c r="J56" s="41"/>
      <c r="K56" s="41"/>
      <c r="L56" s="41"/>
      <c r="M56" s="41"/>
      <c r="N56" s="41"/>
      <c r="O56" s="41"/>
      <c r="P56" s="41"/>
      <c r="Q56" s="41"/>
      <c r="R56" s="41"/>
      <c r="S56" s="41"/>
      <c r="T56" s="41"/>
      <c r="U56" s="41"/>
      <c r="V56" s="41"/>
      <c r="W56" s="41"/>
      <c r="X56" s="41"/>
      <c r="Y56" s="41"/>
      <c r="Z56" s="41"/>
    </row>
    <row r="57" ht="19.5" customHeight="1">
      <c r="A57" s="41"/>
      <c r="B57" s="51" t="s">
        <v>478</v>
      </c>
      <c r="C57" s="156" t="str">
        <f>sample_wld_avilb_mgra_ip</f>
        <v>10.21.10.152</v>
      </c>
      <c r="D57" s="18" t="str">
        <f>wld_avilb_mgra_ip</f>
        <v>Value Missing</v>
      </c>
      <c r="E57" s="51" t="s">
        <v>688</v>
      </c>
      <c r="F57" s="41"/>
      <c r="G57" s="41"/>
      <c r="H57" s="41"/>
      <c r="I57" s="41"/>
      <c r="J57" s="41"/>
      <c r="K57" s="41"/>
      <c r="L57" s="41"/>
      <c r="M57" s="41"/>
      <c r="N57" s="41"/>
      <c r="O57" s="41"/>
      <c r="P57" s="41"/>
      <c r="Q57" s="41"/>
      <c r="R57" s="41"/>
      <c r="S57" s="41"/>
      <c r="T57" s="41"/>
      <c r="U57" s="41"/>
      <c r="V57" s="41"/>
      <c r="W57" s="41"/>
      <c r="X57" s="41"/>
      <c r="Y57" s="41"/>
      <c r="Z57" s="41"/>
    </row>
    <row r="58" ht="19.5" customHeight="1">
      <c r="A58" s="41"/>
      <c r="B58" s="51" t="s">
        <v>478</v>
      </c>
      <c r="C58" s="156" t="str">
        <f>sample_wld_avilb_mgrb_ip</f>
        <v>10.21.10.153</v>
      </c>
      <c r="D58" s="18" t="str">
        <f>wld_avilb_mgrb_ip</f>
        <v>Value Missing</v>
      </c>
      <c r="E58" s="51" t="s">
        <v>690</v>
      </c>
      <c r="F58" s="41"/>
      <c r="G58" s="41"/>
      <c r="H58" s="41"/>
      <c r="I58" s="41"/>
      <c r="J58" s="41"/>
      <c r="K58" s="41"/>
      <c r="L58" s="41"/>
      <c r="M58" s="41"/>
      <c r="N58" s="41"/>
      <c r="O58" s="41"/>
      <c r="P58" s="41"/>
      <c r="Q58" s="41"/>
      <c r="R58" s="41"/>
      <c r="S58" s="41"/>
      <c r="T58" s="41"/>
      <c r="U58" s="41"/>
      <c r="V58" s="41"/>
      <c r="W58" s="41"/>
      <c r="X58" s="41"/>
      <c r="Y58" s="41"/>
      <c r="Z58" s="41"/>
    </row>
    <row r="59" ht="19.5" customHeight="1">
      <c r="A59" s="41"/>
      <c r="B59" s="51" t="s">
        <v>478</v>
      </c>
      <c r="C59" s="156" t="str">
        <f>sample_wld_avilb_mgrc_ip</f>
        <v>10.21.10.154</v>
      </c>
      <c r="D59" s="18" t="str">
        <f>wld_avilb_mgrc_ip</f>
        <v>Value Missing</v>
      </c>
      <c r="E59" s="51" t="s">
        <v>692</v>
      </c>
      <c r="F59" s="41"/>
      <c r="G59" s="41"/>
      <c r="H59" s="41"/>
      <c r="I59" s="41"/>
      <c r="J59" s="41"/>
      <c r="K59" s="41"/>
      <c r="L59" s="41"/>
      <c r="M59" s="41"/>
      <c r="N59" s="41"/>
      <c r="O59" s="41"/>
      <c r="P59" s="41"/>
      <c r="Q59" s="41"/>
      <c r="R59" s="41"/>
      <c r="S59" s="41"/>
      <c r="T59" s="41"/>
      <c r="U59" s="41"/>
      <c r="V59" s="41"/>
      <c r="W59" s="41"/>
      <c r="X59" s="41"/>
      <c r="Y59" s="41"/>
      <c r="Z59" s="41"/>
    </row>
    <row r="60" ht="19.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33.75" customHeight="1">
      <c r="A61" s="41"/>
      <c r="B61" s="12" t="s">
        <v>513</v>
      </c>
      <c r="C61" s="13"/>
      <c r="D61" s="13"/>
      <c r="E61" s="14"/>
      <c r="F61" s="41"/>
      <c r="G61" s="41"/>
      <c r="H61" s="41"/>
      <c r="I61" s="41"/>
      <c r="J61" s="41"/>
      <c r="K61" s="41"/>
      <c r="L61" s="41"/>
      <c r="M61" s="41"/>
      <c r="N61" s="41"/>
      <c r="O61" s="41"/>
      <c r="P61" s="41"/>
      <c r="Q61" s="41"/>
      <c r="R61" s="41"/>
      <c r="S61" s="41"/>
      <c r="T61" s="41"/>
      <c r="U61" s="41"/>
      <c r="V61" s="41"/>
      <c r="W61" s="41"/>
      <c r="X61" s="41"/>
      <c r="Y61" s="41"/>
      <c r="Z61" s="41"/>
    </row>
    <row r="62" ht="19.5" customHeight="1">
      <c r="A62" s="41"/>
      <c r="B62" s="49" t="s">
        <v>37</v>
      </c>
      <c r="C62" s="49" t="s">
        <v>273</v>
      </c>
      <c r="D62" s="49" t="s">
        <v>274</v>
      </c>
      <c r="E62" s="49" t="s">
        <v>5</v>
      </c>
      <c r="F62" s="41"/>
      <c r="G62" s="41"/>
      <c r="H62" s="41"/>
      <c r="I62" s="41"/>
      <c r="J62" s="41"/>
      <c r="K62" s="41"/>
      <c r="L62" s="41"/>
      <c r="M62" s="41"/>
      <c r="N62" s="41"/>
      <c r="O62" s="41"/>
      <c r="P62" s="41"/>
      <c r="Q62" s="41"/>
      <c r="R62" s="41"/>
      <c r="S62" s="41"/>
      <c r="T62" s="41"/>
      <c r="U62" s="41"/>
      <c r="V62" s="41"/>
      <c r="W62" s="41"/>
      <c r="X62" s="41"/>
      <c r="Y62" s="41"/>
      <c r="Z62" s="41"/>
    </row>
    <row r="63" ht="19.5" customHeight="1">
      <c r="A63" s="41"/>
      <c r="B63" s="102" t="s">
        <v>3710</v>
      </c>
      <c r="C63" s="13"/>
      <c r="D63" s="13"/>
      <c r="E63" s="14"/>
      <c r="F63" s="41"/>
      <c r="G63" s="41"/>
      <c r="H63" s="41"/>
      <c r="I63" s="41"/>
      <c r="J63" s="41"/>
      <c r="K63" s="41"/>
      <c r="L63" s="41"/>
      <c r="M63" s="41"/>
      <c r="N63" s="41"/>
      <c r="O63" s="41"/>
      <c r="P63" s="41"/>
      <c r="Q63" s="41"/>
      <c r="R63" s="41"/>
      <c r="S63" s="41"/>
      <c r="T63" s="41"/>
      <c r="U63" s="41"/>
      <c r="V63" s="41"/>
      <c r="W63" s="41"/>
      <c r="X63" s="41"/>
      <c r="Y63" s="41"/>
      <c r="Z63" s="41"/>
    </row>
    <row r="64" ht="19.5" customHeight="1">
      <c r="A64" s="41"/>
      <c r="B64" s="84" t="s">
        <v>401</v>
      </c>
      <c r="C64" s="156" t="str">
        <f>IF(mgmt_dpg_reuse_result="Included",CONCATENATE(prefix_wld_witness_vlan,"10"),CONCATENATE(prefix_wld_witness_vlan,"11"))</f>
        <v>1110</v>
      </c>
      <c r="D64" s="400" t="str">
        <f>wld_witnessaz_mgmt_vlan</f>
        <v>Value Missing</v>
      </c>
      <c r="E64" s="191"/>
      <c r="F64" s="41"/>
      <c r="G64" s="41"/>
      <c r="H64" s="41"/>
      <c r="I64" s="41"/>
      <c r="J64" s="41"/>
      <c r="K64" s="41"/>
      <c r="L64" s="41"/>
      <c r="M64" s="41"/>
      <c r="N64" s="41"/>
      <c r="O64" s="41"/>
      <c r="P64" s="41"/>
      <c r="Q64" s="41"/>
      <c r="R64" s="41"/>
      <c r="S64" s="41"/>
      <c r="T64" s="41"/>
      <c r="U64" s="41"/>
      <c r="V64" s="41"/>
      <c r="W64" s="41"/>
      <c r="X64" s="41"/>
      <c r="Y64" s="41"/>
      <c r="Z64" s="41"/>
    </row>
    <row r="65" ht="19.5" customHeight="1">
      <c r="A65" s="41"/>
      <c r="B65" s="84" t="s">
        <v>402</v>
      </c>
      <c r="C65" s="110" t="str">
        <f>sample_wld_witnessaz_mgmt_gateway_ip</f>
        <v>10.11.10.1</v>
      </c>
      <c r="D65" s="400" t="str">
        <f>wld_witnessaz_mgmt_gateway_ip</f>
        <v>Value Missing</v>
      </c>
      <c r="E65" s="191"/>
      <c r="F65" s="41"/>
      <c r="G65" s="41"/>
      <c r="H65" s="41"/>
      <c r="I65" s="41"/>
      <c r="J65" s="41"/>
      <c r="K65" s="41"/>
      <c r="L65" s="41"/>
      <c r="M65" s="41"/>
      <c r="N65" s="41"/>
      <c r="O65" s="41"/>
      <c r="P65" s="41"/>
      <c r="Q65" s="41"/>
      <c r="R65" s="41"/>
      <c r="S65" s="41"/>
      <c r="T65" s="41"/>
      <c r="U65" s="41"/>
      <c r="V65" s="41"/>
      <c r="W65" s="41"/>
      <c r="X65" s="41"/>
      <c r="Y65" s="41"/>
      <c r="Z65" s="41"/>
    </row>
    <row r="66" ht="19.5" customHeight="1">
      <c r="A66" s="41"/>
      <c r="B66" s="84" t="s">
        <v>403</v>
      </c>
      <c r="C66" s="156" t="str">
        <f>IF(mgmt_dpg_reuse_result="Included",CONCATENATE(prefix_wld_witness_cidr,"10.0/24"),CONCATENATE(prefix_wld_witness_cidr,"11.0/24"))</f>
        <v>10.11.10.0/24</v>
      </c>
      <c r="D66" s="400" t="str">
        <f>wld_witnessaz_mgmt_cidr</f>
        <v>Value Missing</v>
      </c>
      <c r="E66" s="191"/>
      <c r="F66" s="41"/>
      <c r="G66" s="41"/>
      <c r="H66" s="41"/>
      <c r="I66" s="41"/>
      <c r="J66" s="41"/>
      <c r="K66" s="41"/>
      <c r="L66" s="41"/>
      <c r="M66" s="41"/>
      <c r="N66" s="41"/>
      <c r="O66" s="41"/>
      <c r="P66" s="41"/>
      <c r="Q66" s="41"/>
      <c r="R66" s="41"/>
      <c r="S66" s="41"/>
      <c r="T66" s="41"/>
      <c r="U66" s="41"/>
      <c r="V66" s="41"/>
      <c r="W66" s="41"/>
      <c r="X66" s="41"/>
      <c r="Y66" s="41"/>
      <c r="Z66" s="41"/>
    </row>
    <row r="67" ht="19.5" customHeight="1">
      <c r="A67" s="41"/>
      <c r="B67" s="84" t="s">
        <v>404</v>
      </c>
      <c r="C67" s="110">
        <f>sample_wld_witnessaz_mgmt_mtu</f>
        <v>1500</v>
      </c>
      <c r="D67" s="400" t="str">
        <f>wld_witnessaz_mgmt_mtu</f>
        <v>Value Missing</v>
      </c>
      <c r="E67" s="191"/>
      <c r="F67" s="41"/>
      <c r="G67" s="41"/>
      <c r="H67" s="41"/>
      <c r="I67" s="41"/>
      <c r="J67" s="41"/>
      <c r="K67" s="41"/>
      <c r="L67" s="41"/>
      <c r="M67" s="41"/>
      <c r="N67" s="41"/>
      <c r="O67" s="41"/>
      <c r="P67" s="41"/>
      <c r="Q67" s="41"/>
      <c r="R67" s="41"/>
      <c r="S67" s="41"/>
      <c r="T67" s="41"/>
      <c r="U67" s="41"/>
      <c r="V67" s="41"/>
      <c r="W67" s="41"/>
      <c r="X67" s="41"/>
      <c r="Y67" s="41"/>
      <c r="Z67" s="41"/>
    </row>
    <row r="68" ht="19.5" customHeight="1">
      <c r="A68" s="41"/>
      <c r="B68" s="172" t="s">
        <v>407</v>
      </c>
      <c r="C68" s="13"/>
      <c r="D68" s="13"/>
      <c r="E68" s="14"/>
      <c r="F68" s="41"/>
      <c r="G68" s="41"/>
      <c r="H68" s="41"/>
      <c r="I68" s="41"/>
      <c r="J68" s="41"/>
      <c r="K68" s="41"/>
      <c r="L68" s="41"/>
      <c r="M68" s="41"/>
      <c r="N68" s="41"/>
      <c r="O68" s="41"/>
      <c r="P68" s="41"/>
      <c r="Q68" s="41"/>
      <c r="R68" s="41"/>
      <c r="S68" s="41"/>
      <c r="T68" s="41"/>
      <c r="U68" s="41"/>
      <c r="V68" s="41"/>
      <c r="W68" s="41"/>
      <c r="X68" s="41"/>
      <c r="Y68" s="41"/>
      <c r="Z68" s="41"/>
    </row>
    <row r="69" ht="19.5" customHeight="1">
      <c r="A69" s="41"/>
      <c r="B69" s="187" t="s">
        <v>401</v>
      </c>
      <c r="C69" s="156" t="str">
        <f>sample_wld_az2_vmotion_vlan</f>
        <v>2412</v>
      </c>
      <c r="D69" s="400" t="str">
        <f>wld_az2_vmotion_vlan</f>
        <v>Value Missing</v>
      </c>
      <c r="E69" s="292"/>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187" t="s">
        <v>402</v>
      </c>
      <c r="C70" s="156" t="str">
        <f>sample_wld_az2_vmotion_gateway_ip</f>
        <v>10.24.12.1</v>
      </c>
      <c r="D70" s="400" t="str">
        <f>wld_az2_vmotion_gateway_ip</f>
        <v>Value Missing</v>
      </c>
      <c r="E70" s="256"/>
      <c r="F70" s="41"/>
      <c r="G70" s="41"/>
      <c r="H70" s="41"/>
      <c r="I70" s="41"/>
      <c r="J70" s="41"/>
      <c r="K70" s="41"/>
      <c r="L70" s="41"/>
      <c r="M70" s="41"/>
      <c r="N70" s="41"/>
      <c r="O70" s="41"/>
      <c r="P70" s="41"/>
      <c r="Q70" s="41"/>
      <c r="R70" s="41"/>
      <c r="S70" s="41"/>
      <c r="T70" s="41"/>
      <c r="U70" s="41"/>
      <c r="V70" s="41"/>
      <c r="W70" s="41"/>
      <c r="X70" s="41"/>
      <c r="Y70" s="41"/>
      <c r="Z70" s="41"/>
    </row>
    <row r="71" ht="19.5" customHeight="1">
      <c r="A71" s="41"/>
      <c r="B71" s="187" t="s">
        <v>403</v>
      </c>
      <c r="C71" s="156" t="str">
        <f>CONCATENATE(prefix_wld_az2_cidr,"12.0/24")</f>
        <v>10.24.12.0/24</v>
      </c>
      <c r="D71" s="400" t="str">
        <f>wld_az2_vmotion_cidr</f>
        <v>Value Missing</v>
      </c>
      <c r="E71" s="256"/>
      <c r="F71" s="41"/>
      <c r="G71" s="41"/>
      <c r="H71" s="41"/>
      <c r="I71" s="41"/>
      <c r="J71" s="41"/>
      <c r="K71" s="41"/>
      <c r="L71" s="41"/>
      <c r="M71" s="41"/>
      <c r="N71" s="41"/>
      <c r="O71" s="41"/>
      <c r="P71" s="41"/>
      <c r="Q71" s="41"/>
      <c r="R71" s="41"/>
      <c r="S71" s="41"/>
      <c r="T71" s="41"/>
      <c r="U71" s="41"/>
      <c r="V71" s="41"/>
      <c r="W71" s="41"/>
      <c r="X71" s="41"/>
      <c r="Y71" s="41"/>
      <c r="Z71" s="41"/>
    </row>
    <row r="72" ht="19.5" customHeight="1">
      <c r="A72" s="41"/>
      <c r="B72" s="187" t="s">
        <v>404</v>
      </c>
      <c r="C72" s="156">
        <f>sample_wld_az2_vmotion_mtu</f>
        <v>9000</v>
      </c>
      <c r="D72" s="400" t="str">
        <f>wld_az2_vmotion_mtu</f>
        <v>Value Missing</v>
      </c>
      <c r="E72" s="256"/>
      <c r="F72" s="41"/>
      <c r="G72" s="41"/>
      <c r="H72" s="41"/>
      <c r="I72" s="41"/>
      <c r="J72" s="41"/>
      <c r="K72" s="41"/>
      <c r="L72" s="41"/>
      <c r="M72" s="41"/>
      <c r="N72" s="41"/>
      <c r="O72" s="41"/>
      <c r="P72" s="41"/>
      <c r="Q72" s="41"/>
      <c r="R72" s="41"/>
      <c r="S72" s="41"/>
      <c r="T72" s="41"/>
      <c r="U72" s="41"/>
      <c r="V72" s="41"/>
      <c r="W72" s="41"/>
      <c r="X72" s="41"/>
      <c r="Y72" s="41"/>
      <c r="Z72" s="41"/>
    </row>
    <row r="73" ht="19.5" customHeight="1">
      <c r="A73" s="41"/>
      <c r="B73" s="187" t="s">
        <v>465</v>
      </c>
      <c r="C73" s="156" t="str">
        <f>sample_wld_az2_vmotion_pool_end_ip</f>
        <v>10.24.12.116</v>
      </c>
      <c r="D73" s="400" t="str">
        <f>wld_az2_vmotion_pool_end_ip</f>
        <v>Value Missing</v>
      </c>
      <c r="E73" s="256"/>
      <c r="F73" s="41"/>
      <c r="G73" s="41"/>
      <c r="H73" s="41"/>
      <c r="I73" s="41"/>
      <c r="J73" s="41"/>
      <c r="K73" s="41"/>
      <c r="L73" s="41"/>
      <c r="M73" s="41"/>
      <c r="N73" s="41"/>
      <c r="O73" s="41"/>
      <c r="P73" s="41"/>
      <c r="Q73" s="41"/>
      <c r="R73" s="41"/>
      <c r="S73" s="41"/>
      <c r="T73" s="41"/>
      <c r="U73" s="41"/>
      <c r="V73" s="41"/>
      <c r="W73" s="41"/>
      <c r="X73" s="41"/>
      <c r="Y73" s="41"/>
      <c r="Z73" s="41"/>
    </row>
    <row r="74" ht="19.5" customHeight="1">
      <c r="A74" s="41"/>
      <c r="B74" s="187" t="s">
        <v>466</v>
      </c>
      <c r="C74" s="156" t="str">
        <f>sample_wld_az2_vmotion_pool_start_ip</f>
        <v>10.24.12.101</v>
      </c>
      <c r="D74" s="400" t="str">
        <f>wld_az2_vmotion_pool_start_ip</f>
        <v>Value Missing</v>
      </c>
      <c r="E74" s="256"/>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172" t="s">
        <v>410</v>
      </c>
      <c r="C75" s="13"/>
      <c r="D75" s="13"/>
      <c r="E75" s="14"/>
      <c r="F75" s="41"/>
      <c r="G75" s="41"/>
      <c r="H75" s="41"/>
      <c r="I75" s="41"/>
      <c r="J75" s="41"/>
      <c r="K75" s="41"/>
      <c r="L75" s="41"/>
      <c r="M75" s="41"/>
      <c r="N75" s="41"/>
      <c r="O75" s="41"/>
      <c r="P75" s="41"/>
      <c r="Q75" s="41"/>
      <c r="R75" s="41"/>
      <c r="S75" s="41"/>
      <c r="T75" s="41"/>
      <c r="U75" s="41"/>
      <c r="V75" s="41"/>
      <c r="W75" s="41"/>
      <c r="X75" s="41"/>
      <c r="Y75" s="41"/>
      <c r="Z75" s="41"/>
    </row>
    <row r="76" ht="19.5" customHeight="1">
      <c r="A76" s="41"/>
      <c r="B76" s="187" t="s">
        <v>401</v>
      </c>
      <c r="C76" s="156" t="str">
        <f>sample_wld_az2_principal_storage_vlan</f>
        <v>2413</v>
      </c>
      <c r="D76" s="196" t="str">
        <f>wld_az2_principal_storage_vlan</f>
        <v>Value Missing</v>
      </c>
      <c r="E76" s="256"/>
      <c r="F76" s="41"/>
      <c r="G76" s="41"/>
      <c r="H76" s="41"/>
      <c r="I76" s="41"/>
      <c r="J76" s="41"/>
      <c r="K76" s="41"/>
      <c r="L76" s="41"/>
      <c r="M76" s="41"/>
      <c r="N76" s="41"/>
      <c r="O76" s="41"/>
      <c r="P76" s="41"/>
      <c r="Q76" s="41"/>
      <c r="R76" s="41"/>
      <c r="S76" s="41"/>
      <c r="T76" s="41"/>
      <c r="U76" s="41"/>
      <c r="V76" s="41"/>
      <c r="W76" s="41"/>
      <c r="X76" s="41"/>
      <c r="Y76" s="41"/>
      <c r="Z76" s="41"/>
    </row>
    <row r="77" ht="19.5" customHeight="1">
      <c r="A77" s="41"/>
      <c r="B77" s="187" t="s">
        <v>402</v>
      </c>
      <c r="C77" s="156" t="str">
        <f>sample_wld_az2_principal_storage_gateway_ip</f>
        <v>10.24.13.1</v>
      </c>
      <c r="D77" s="196" t="str">
        <f>wld_az2_principal_storage_gateway_ip</f>
        <v>Value Missing</v>
      </c>
      <c r="E77" s="256"/>
      <c r="F77" s="41"/>
      <c r="G77" s="41"/>
      <c r="H77" s="41"/>
      <c r="I77" s="41"/>
      <c r="J77" s="41"/>
      <c r="K77" s="41"/>
      <c r="L77" s="41"/>
      <c r="M77" s="41"/>
      <c r="N77" s="41"/>
      <c r="O77" s="41"/>
      <c r="P77" s="41"/>
      <c r="Q77" s="41"/>
      <c r="R77" s="41"/>
      <c r="S77" s="41"/>
      <c r="T77" s="41"/>
      <c r="U77" s="41"/>
      <c r="V77" s="41"/>
      <c r="W77" s="41"/>
      <c r="X77" s="41"/>
      <c r="Y77" s="41"/>
      <c r="Z77" s="41"/>
    </row>
    <row r="78" ht="19.5" customHeight="1">
      <c r="A78" s="41"/>
      <c r="B78" s="187" t="s">
        <v>404</v>
      </c>
      <c r="C78" s="156">
        <f>sample_wld_az2_principal_storage_mtu</f>
        <v>9000</v>
      </c>
      <c r="D78" s="196" t="str">
        <f>wld_az2_principal_storage_mtu</f>
        <v>Value Missing</v>
      </c>
      <c r="E78" s="256"/>
      <c r="F78" s="41"/>
      <c r="G78" s="41"/>
      <c r="H78" s="41"/>
      <c r="I78" s="41"/>
      <c r="J78" s="41"/>
      <c r="K78" s="41"/>
      <c r="L78" s="41"/>
      <c r="M78" s="41"/>
      <c r="N78" s="41"/>
      <c r="O78" s="41"/>
      <c r="P78" s="41"/>
      <c r="Q78" s="41"/>
      <c r="R78" s="41"/>
      <c r="S78" s="41"/>
      <c r="T78" s="41"/>
      <c r="U78" s="41"/>
      <c r="V78" s="41"/>
      <c r="W78" s="41"/>
      <c r="X78" s="41"/>
      <c r="Y78" s="41"/>
      <c r="Z78" s="41"/>
    </row>
    <row r="79" ht="19.5" customHeight="1">
      <c r="A79" s="41"/>
      <c r="B79" s="187" t="s">
        <v>403</v>
      </c>
      <c r="C79" s="156" t="str">
        <f>CONCATENATE(prefix_mgmt_az2_cidr,"13.0/24")</f>
        <v>10.22.13.0/24</v>
      </c>
      <c r="D79" s="196" t="str">
        <f>wld_az2_principal_storage_network</f>
        <v>Value Missing</v>
      </c>
      <c r="E79" s="256"/>
      <c r="F79" s="41"/>
      <c r="G79" s="41"/>
      <c r="H79" s="41"/>
      <c r="I79" s="41"/>
      <c r="J79" s="41"/>
      <c r="K79" s="41"/>
      <c r="L79" s="41"/>
      <c r="M79" s="41"/>
      <c r="N79" s="41"/>
      <c r="O79" s="41"/>
      <c r="P79" s="41"/>
      <c r="Q79" s="41"/>
      <c r="R79" s="41"/>
      <c r="S79" s="41"/>
      <c r="T79" s="41"/>
      <c r="U79" s="41"/>
      <c r="V79" s="41"/>
      <c r="W79" s="41"/>
      <c r="X79" s="41"/>
      <c r="Y79" s="41"/>
      <c r="Z79" s="41"/>
    </row>
    <row r="80" ht="19.5" customHeight="1">
      <c r="A80" s="41"/>
      <c r="B80" s="187" t="s">
        <v>465</v>
      </c>
      <c r="C80" s="156" t="str">
        <f>sample_mgmt_az2_vsan_pool_start_ip</f>
        <v>10.22.13.101</v>
      </c>
      <c r="D80" s="196" t="str">
        <f>wld_az2_principal_storage_pool_start_ip</f>
        <v>Value Missing</v>
      </c>
      <c r="E80" s="256"/>
      <c r="F80" s="41"/>
      <c r="G80" s="41"/>
      <c r="H80" s="41"/>
      <c r="I80" s="41"/>
      <c r="J80" s="41"/>
      <c r="K80" s="41"/>
      <c r="L80" s="41"/>
      <c r="M80" s="41"/>
      <c r="N80" s="41"/>
      <c r="O80" s="41"/>
      <c r="P80" s="41"/>
      <c r="Q80" s="41"/>
      <c r="R80" s="41"/>
      <c r="S80" s="41"/>
      <c r="T80" s="41"/>
      <c r="U80" s="41"/>
      <c r="V80" s="41"/>
      <c r="W80" s="41"/>
      <c r="X80" s="41"/>
      <c r="Y80" s="41"/>
      <c r="Z80" s="41"/>
    </row>
    <row r="81" ht="19.5" customHeight="1">
      <c r="A81" s="41"/>
      <c r="B81" s="187" t="s">
        <v>466</v>
      </c>
      <c r="C81" s="156" t="str">
        <f>sample_mgmt_az2_vsan_pool_end_ip</f>
        <v>10.22.13.116</v>
      </c>
      <c r="D81" s="196" t="str">
        <f>wld_az2_principal_storage_pool_end_ip</f>
        <v>Value Missing</v>
      </c>
      <c r="E81" s="256"/>
      <c r="F81" s="41"/>
      <c r="G81" s="41"/>
      <c r="H81" s="41"/>
      <c r="I81" s="41"/>
      <c r="J81" s="41"/>
      <c r="K81" s="41"/>
      <c r="L81" s="41"/>
      <c r="M81" s="41"/>
      <c r="N81" s="41"/>
      <c r="O81" s="41"/>
      <c r="P81" s="41"/>
      <c r="Q81" s="41"/>
      <c r="R81" s="41"/>
      <c r="S81" s="41"/>
      <c r="T81" s="41"/>
      <c r="U81" s="41"/>
      <c r="V81" s="41"/>
      <c r="W81" s="41"/>
      <c r="X81" s="41"/>
      <c r="Y81" s="41"/>
      <c r="Z81" s="41"/>
    </row>
    <row r="82" ht="19.5" customHeight="1">
      <c r="A82" s="41"/>
      <c r="B82" s="172" t="s">
        <v>413</v>
      </c>
      <c r="C82" s="13"/>
      <c r="D82" s="13"/>
      <c r="E82" s="14"/>
      <c r="F82" s="41"/>
      <c r="G82" s="41"/>
      <c r="H82" s="41"/>
      <c r="I82" s="41"/>
      <c r="J82" s="41"/>
      <c r="K82" s="41"/>
      <c r="L82" s="41"/>
      <c r="M82" s="41"/>
      <c r="N82" s="41"/>
      <c r="O82" s="41"/>
      <c r="P82" s="41"/>
      <c r="Q82" s="41"/>
      <c r="R82" s="41"/>
      <c r="S82" s="41"/>
      <c r="T82" s="41"/>
      <c r="U82" s="41"/>
      <c r="V82" s="41"/>
      <c r="W82" s="41"/>
      <c r="X82" s="41"/>
      <c r="Y82" s="41"/>
      <c r="Z82" s="41"/>
    </row>
    <row r="83" ht="19.5" customHeight="1">
      <c r="A83" s="41"/>
      <c r="B83" s="187" t="s">
        <v>401</v>
      </c>
      <c r="C83" s="157" t="str">
        <f>sample_wld_az2_secondary_storage_vlan</f>
        <v>2415</v>
      </c>
      <c r="D83" s="196" t="str">
        <f>wld_az2_secondary_storage_vlan</f>
        <v>Value Missing</v>
      </c>
      <c r="E83" s="256"/>
      <c r="F83" s="41"/>
      <c r="G83" s="41"/>
      <c r="H83" s="41"/>
      <c r="I83" s="41"/>
      <c r="J83" s="41"/>
      <c r="K83" s="41"/>
      <c r="L83" s="41"/>
      <c r="M83" s="41"/>
      <c r="N83" s="41"/>
      <c r="O83" s="41"/>
      <c r="P83" s="41"/>
      <c r="Q83" s="41"/>
      <c r="R83" s="41"/>
      <c r="S83" s="41"/>
      <c r="T83" s="41"/>
      <c r="U83" s="41"/>
      <c r="V83" s="41"/>
      <c r="W83" s="41"/>
      <c r="X83" s="41"/>
      <c r="Y83" s="41"/>
      <c r="Z83" s="41"/>
    </row>
    <row r="84" ht="19.5" customHeight="1">
      <c r="A84" s="41"/>
      <c r="B84" s="187" t="s">
        <v>402</v>
      </c>
      <c r="C84" s="157" t="str">
        <f>sample_wld_az2_secondary_storage_gateway_ip</f>
        <v>10.24.15.1</v>
      </c>
      <c r="D84" s="196" t="str">
        <f>wld_az2_secondary_storage_gateway_ip</f>
        <v>Value Missing</v>
      </c>
      <c r="E84" s="256"/>
      <c r="F84" s="41"/>
      <c r="G84" s="41"/>
      <c r="H84" s="41"/>
      <c r="I84" s="41"/>
      <c r="J84" s="41"/>
      <c r="K84" s="41"/>
      <c r="L84" s="41"/>
      <c r="M84" s="41"/>
      <c r="N84" s="41"/>
      <c r="O84" s="41"/>
      <c r="P84" s="41"/>
      <c r="Q84" s="41"/>
      <c r="R84" s="41"/>
      <c r="S84" s="41"/>
      <c r="T84" s="41"/>
      <c r="U84" s="41"/>
      <c r="V84" s="41"/>
      <c r="W84" s="41"/>
      <c r="X84" s="41"/>
      <c r="Y84" s="41"/>
      <c r="Z84" s="41"/>
    </row>
    <row r="85" ht="19.5" customHeight="1">
      <c r="A85" s="41"/>
      <c r="B85" s="187" t="s">
        <v>404</v>
      </c>
      <c r="C85" s="157">
        <f>sample_wld_az2_secondary_storage_mtu</f>
        <v>9000</v>
      </c>
      <c r="D85" s="196" t="str">
        <f>wld_az2_secondary_storage_mtu</f>
        <v>Value Missing</v>
      </c>
      <c r="E85" s="256"/>
      <c r="F85" s="41"/>
      <c r="G85" s="41"/>
      <c r="H85" s="41"/>
      <c r="I85" s="41"/>
      <c r="J85" s="41"/>
      <c r="K85" s="41"/>
      <c r="L85" s="41"/>
      <c r="M85" s="41"/>
      <c r="N85" s="41"/>
      <c r="O85" s="41"/>
      <c r="P85" s="41"/>
      <c r="Q85" s="41"/>
      <c r="R85" s="41"/>
      <c r="S85" s="41"/>
      <c r="T85" s="41"/>
      <c r="U85" s="41"/>
      <c r="V85" s="41"/>
      <c r="W85" s="41"/>
      <c r="X85" s="41"/>
      <c r="Y85" s="41"/>
      <c r="Z85" s="41"/>
    </row>
    <row r="86" ht="19.5" customHeight="1">
      <c r="A86" s="41"/>
      <c r="B86" s="187" t="s">
        <v>403</v>
      </c>
      <c r="C86" s="157" t="str">
        <f>CONCATENATE(prefix_wld_az2_cidr,"15.0/24")</f>
        <v>10.24.15.0/24</v>
      </c>
      <c r="D86" s="196" t="str">
        <f>wld_az2_secondary_storage_cidr</f>
        <v>#N/A</v>
      </c>
      <c r="E86" s="256"/>
      <c r="F86" s="41"/>
      <c r="G86" s="41"/>
      <c r="H86" s="41"/>
      <c r="I86" s="41"/>
      <c r="J86" s="41"/>
      <c r="K86" s="41"/>
      <c r="L86" s="41"/>
      <c r="M86" s="41"/>
      <c r="N86" s="41"/>
      <c r="O86" s="41"/>
      <c r="P86" s="41"/>
      <c r="Q86" s="41"/>
      <c r="R86" s="41"/>
      <c r="S86" s="41"/>
      <c r="T86" s="41"/>
      <c r="U86" s="41"/>
      <c r="V86" s="41"/>
      <c r="W86" s="41"/>
      <c r="X86" s="41"/>
      <c r="Y86" s="41"/>
      <c r="Z86" s="41"/>
    </row>
    <row r="87" ht="19.5" customHeight="1">
      <c r="A87" s="41"/>
      <c r="B87" s="187" t="s">
        <v>465</v>
      </c>
      <c r="C87" s="157" t="str">
        <f>sample_wld_az2_secondary_storage_pool_start_ip</f>
        <v>10.24.15.101</v>
      </c>
      <c r="D87" s="196" t="str">
        <f>wld_az2_secondary_storage_pool_start_ip</f>
        <v>Value Missing</v>
      </c>
      <c r="E87" s="256"/>
      <c r="F87" s="41"/>
      <c r="G87" s="41"/>
      <c r="H87" s="41"/>
      <c r="I87" s="41"/>
      <c r="J87" s="41"/>
      <c r="K87" s="41"/>
      <c r="L87" s="41"/>
      <c r="M87" s="41"/>
      <c r="N87" s="41"/>
      <c r="O87" s="41"/>
      <c r="P87" s="41"/>
      <c r="Q87" s="41"/>
      <c r="R87" s="41"/>
      <c r="S87" s="41"/>
      <c r="T87" s="41"/>
      <c r="U87" s="41"/>
      <c r="V87" s="41"/>
      <c r="W87" s="41"/>
      <c r="X87" s="41"/>
      <c r="Y87" s="41"/>
      <c r="Z87" s="41"/>
    </row>
    <row r="88" ht="19.5" customHeight="1">
      <c r="A88" s="41"/>
      <c r="B88" s="187" t="s">
        <v>466</v>
      </c>
      <c r="C88" s="157" t="str">
        <f>sample_wld_az2_secondary_storage_pool_end_ip</f>
        <v>10.24.15.116</v>
      </c>
      <c r="D88" s="196" t="str">
        <f>wld_az2_secondary_storage_pool_end_ip</f>
        <v>Value Missing</v>
      </c>
      <c r="E88" s="256"/>
      <c r="F88" s="41"/>
      <c r="G88" s="41"/>
      <c r="H88" s="41"/>
      <c r="I88" s="41"/>
      <c r="J88" s="41"/>
      <c r="K88" s="41"/>
      <c r="L88" s="41"/>
      <c r="M88" s="41"/>
      <c r="N88" s="41"/>
      <c r="O88" s="41"/>
      <c r="P88" s="41"/>
      <c r="Q88" s="41"/>
      <c r="R88" s="41"/>
      <c r="S88" s="41"/>
      <c r="T88" s="41"/>
      <c r="U88" s="41"/>
      <c r="V88" s="41"/>
      <c r="W88" s="41"/>
      <c r="X88" s="41"/>
      <c r="Y88" s="41"/>
      <c r="Z88" s="41"/>
    </row>
    <row r="89" ht="19.5" customHeight="1">
      <c r="A89" s="41"/>
      <c r="B89" s="102" t="s">
        <v>3720</v>
      </c>
      <c r="C89" s="13"/>
      <c r="D89" s="13"/>
      <c r="E89" s="14"/>
      <c r="F89" s="41"/>
      <c r="G89" s="41"/>
      <c r="H89" s="41"/>
      <c r="I89" s="41"/>
      <c r="J89" s="41"/>
      <c r="K89" s="41"/>
      <c r="L89" s="41"/>
      <c r="M89" s="41"/>
      <c r="N89" s="41"/>
      <c r="O89" s="41"/>
      <c r="P89" s="41"/>
      <c r="Q89" s="41"/>
      <c r="R89" s="41"/>
      <c r="S89" s="41"/>
      <c r="T89" s="41"/>
      <c r="U89" s="41"/>
      <c r="V89" s="41"/>
      <c r="W89" s="41"/>
      <c r="X89" s="41"/>
      <c r="Y89" s="41"/>
      <c r="Z89" s="41"/>
    </row>
    <row r="90" ht="19.5" customHeight="1">
      <c r="A90" s="41"/>
      <c r="B90" s="84" t="s">
        <v>401</v>
      </c>
      <c r="C90" s="110" t="str">
        <f>sample_wld_az2_host_overlay_vlan</f>
        <v>2414</v>
      </c>
      <c r="D90" s="400" t="str">
        <f>wld_az2_host_overlay_vlan</f>
        <v>Value Missing</v>
      </c>
      <c r="E90" s="201"/>
      <c r="F90" s="41"/>
      <c r="G90" s="41"/>
      <c r="H90" s="41"/>
      <c r="I90" s="41"/>
      <c r="J90" s="41"/>
      <c r="K90" s="41"/>
      <c r="L90" s="41"/>
      <c r="M90" s="41"/>
      <c r="N90" s="41"/>
      <c r="O90" s="41"/>
      <c r="P90" s="41"/>
      <c r="Q90" s="41"/>
      <c r="R90" s="41"/>
      <c r="S90" s="41"/>
      <c r="T90" s="41"/>
      <c r="U90" s="41"/>
      <c r="V90" s="41"/>
      <c r="W90" s="41"/>
      <c r="X90" s="41"/>
      <c r="Y90" s="41"/>
      <c r="Z90" s="41"/>
    </row>
    <row r="91" ht="19.5" customHeight="1">
      <c r="A91" s="41"/>
      <c r="B91" s="84" t="s">
        <v>402</v>
      </c>
      <c r="C91" s="156" t="str">
        <f>sample_wld_az2_host_overlay_gateway_ip</f>
        <v>10.24.14.1</v>
      </c>
      <c r="D91" s="400" t="str">
        <f>wld_az2_host_overlay_gateway_ip</f>
        <v>Value Missing</v>
      </c>
      <c r="E91" s="201"/>
      <c r="F91" s="41"/>
      <c r="G91" s="41"/>
      <c r="H91" s="41"/>
      <c r="I91" s="41"/>
      <c r="J91" s="41"/>
      <c r="K91" s="41"/>
      <c r="L91" s="41"/>
      <c r="M91" s="41"/>
      <c r="N91" s="41"/>
      <c r="O91" s="41"/>
      <c r="P91" s="41"/>
      <c r="Q91" s="41"/>
      <c r="R91" s="41"/>
      <c r="S91" s="41"/>
      <c r="T91" s="41"/>
      <c r="U91" s="41"/>
      <c r="V91" s="41"/>
      <c r="W91" s="41"/>
      <c r="X91" s="41"/>
      <c r="Y91" s="41"/>
      <c r="Z91" s="41"/>
    </row>
    <row r="92" ht="19.5" customHeight="1">
      <c r="A92" s="41"/>
      <c r="B92" s="84" t="s">
        <v>403</v>
      </c>
      <c r="C92" s="156" t="str">
        <f>sample_wld_az2_host_overlay_cidr</f>
        <v>10.24.14.0/24</v>
      </c>
      <c r="D92" s="400" t="str">
        <f>wld_az2_host_overlay_cidr</f>
        <v>Value Missing</v>
      </c>
      <c r="E92" s="201"/>
      <c r="F92" s="41"/>
      <c r="G92" s="41"/>
      <c r="H92" s="41"/>
      <c r="I92" s="41"/>
      <c r="J92" s="41"/>
      <c r="K92" s="41"/>
      <c r="L92" s="41"/>
      <c r="M92" s="41"/>
      <c r="N92" s="41"/>
      <c r="O92" s="41"/>
      <c r="P92" s="41"/>
      <c r="Q92" s="41"/>
      <c r="R92" s="41"/>
      <c r="S92" s="41"/>
      <c r="T92" s="41"/>
      <c r="U92" s="41"/>
      <c r="V92" s="41"/>
      <c r="W92" s="41"/>
      <c r="X92" s="41"/>
      <c r="Y92" s="41"/>
      <c r="Z92" s="41"/>
    </row>
    <row r="93" ht="19.5" customHeight="1">
      <c r="A93" s="41"/>
      <c r="B93" s="84" t="s">
        <v>404</v>
      </c>
      <c r="C93" s="156">
        <f>sample_wld_az2_host_overlay_mtu</f>
        <v>9000</v>
      </c>
      <c r="D93" s="400" t="str">
        <f>wld_az2_host_overlay_cidr</f>
        <v>Value Missing</v>
      </c>
      <c r="E93" s="41"/>
      <c r="F93" s="41"/>
      <c r="G93" s="41"/>
      <c r="H93" s="41"/>
      <c r="I93" s="41"/>
      <c r="J93" s="41"/>
      <c r="K93" s="41"/>
      <c r="L93" s="41"/>
      <c r="M93" s="41"/>
      <c r="N93" s="41"/>
      <c r="O93" s="41"/>
      <c r="P93" s="41"/>
      <c r="Q93" s="41"/>
      <c r="R93" s="41"/>
      <c r="S93" s="41"/>
      <c r="T93" s="41"/>
      <c r="U93" s="41"/>
      <c r="V93" s="41"/>
      <c r="W93" s="41"/>
      <c r="X93" s="41"/>
      <c r="Y93" s="41"/>
      <c r="Z93" s="41"/>
    </row>
    <row r="94" ht="19.5" customHeight="1">
      <c r="A94" s="41"/>
      <c r="B94" s="187" t="s">
        <v>465</v>
      </c>
      <c r="C94" s="156" t="str">
        <f>sample_wld_az2_host_overlay_pool_start_ip</f>
        <v>10.24.14.101</v>
      </c>
      <c r="D94" s="196" t="str">
        <f>wld_az2_host_overlay_pool_start_ip</f>
        <v>Value Missing</v>
      </c>
      <c r="E94" s="256"/>
      <c r="F94" s="41"/>
      <c r="G94" s="41"/>
      <c r="H94" s="41"/>
      <c r="I94" s="41"/>
      <c r="J94" s="41"/>
      <c r="K94" s="41"/>
      <c r="L94" s="41"/>
      <c r="M94" s="41"/>
      <c r="N94" s="41"/>
      <c r="O94" s="41"/>
      <c r="P94" s="41"/>
      <c r="Q94" s="41"/>
      <c r="R94" s="41"/>
      <c r="S94" s="41"/>
      <c r="T94" s="41"/>
      <c r="U94" s="41"/>
      <c r="V94" s="41"/>
      <c r="W94" s="41"/>
      <c r="X94" s="41"/>
      <c r="Y94" s="41"/>
      <c r="Z94" s="41"/>
    </row>
    <row r="95" ht="19.5" customHeight="1">
      <c r="A95" s="41"/>
      <c r="B95" s="187" t="s">
        <v>466</v>
      </c>
      <c r="C95" s="156" t="str">
        <f>sample_wld_az2_host_overlay_pool_end_ip</f>
        <v>10.24.14.132</v>
      </c>
      <c r="D95" s="196" t="str">
        <f>wld_az2_host_overlay_pool_end_ip</f>
        <v>Value Missing</v>
      </c>
      <c r="E95" s="256"/>
      <c r="F95" s="41"/>
      <c r="G95" s="41"/>
      <c r="H95" s="41"/>
      <c r="I95" s="41"/>
      <c r="J95" s="41"/>
      <c r="K95" s="41"/>
      <c r="L95" s="41"/>
      <c r="M95" s="41"/>
      <c r="N95" s="41"/>
      <c r="O95" s="41"/>
      <c r="P95" s="41"/>
      <c r="Q95" s="41"/>
      <c r="R95" s="41"/>
      <c r="S95" s="41"/>
      <c r="T95" s="41"/>
      <c r="U95" s="41"/>
      <c r="V95" s="41"/>
      <c r="W95" s="41"/>
      <c r="X95" s="41"/>
      <c r="Y95" s="41"/>
      <c r="Z95" s="41"/>
    </row>
    <row r="96" ht="19.5" customHeight="1">
      <c r="A96" s="41"/>
      <c r="B96" s="102" t="s">
        <v>1357</v>
      </c>
      <c r="C96" s="13"/>
      <c r="D96" s="13"/>
      <c r="E96" s="14"/>
      <c r="F96" s="41"/>
      <c r="G96" s="41"/>
      <c r="H96" s="41"/>
      <c r="I96" s="41"/>
      <c r="J96" s="41"/>
      <c r="K96" s="41"/>
      <c r="L96" s="41"/>
      <c r="M96" s="41"/>
      <c r="N96" s="41"/>
      <c r="O96" s="41"/>
      <c r="P96" s="41"/>
      <c r="Q96" s="41"/>
      <c r="R96" s="41"/>
      <c r="S96" s="41"/>
      <c r="T96" s="41"/>
      <c r="U96" s="41"/>
      <c r="V96" s="41"/>
      <c r="W96" s="41"/>
      <c r="X96" s="41"/>
      <c r="Y96" s="41"/>
      <c r="Z96" s="41"/>
    </row>
    <row r="97" ht="19.5" customHeight="1">
      <c r="A97" s="41"/>
      <c r="B97" s="196" t="str">
        <f>mgmt_witness_hostname</f>
        <v>Value Missing</v>
      </c>
      <c r="C97" s="203" t="str">
        <f>sample_wld_witness_ip</f>
        <v>10.11.10.219</v>
      </c>
      <c r="D97" s="95" t="str">
        <f>wld_witness_mgmt_ip</f>
        <v>#NAME?</v>
      </c>
      <c r="E97" s="243" t="s">
        <v>737</v>
      </c>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196" t="str">
        <f>wld_witness_zone_vc_hostname</f>
        <v>Value Missing</v>
      </c>
      <c r="C98" s="203" t="str">
        <f>sample_wld_witness_zone_vc_ip</f>
        <v>10.11.10.70</v>
      </c>
      <c r="D98" s="95" t="str">
        <f>wld_witness_zone_vc_ip</f>
        <v>Value Missing</v>
      </c>
      <c r="E98" s="243" t="s">
        <v>733</v>
      </c>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102" t="s">
        <v>3718</v>
      </c>
      <c r="C99" s="13"/>
      <c r="D99" s="13"/>
      <c r="E99" s="14"/>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84" t="s">
        <v>1439</v>
      </c>
      <c r="C100" s="156" t="str">
        <f>sample_wld_en_asn</f>
        <v>65202</v>
      </c>
      <c r="D100" s="95" t="str">
        <f>wld_en_asn</f>
        <v>Value Missing</v>
      </c>
      <c r="E100" s="191"/>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84" t="s">
        <v>658</v>
      </c>
      <c r="C101" s="156" t="str">
        <f>sample_wld_az2_tor1_peer_ip</f>
        <v>10.23.17.11</v>
      </c>
      <c r="D101" s="95" t="str">
        <f>wld_az1_tor1_peer_ip</f>
        <v>Value Missing</v>
      </c>
      <c r="E101" s="191"/>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84" t="s">
        <v>659</v>
      </c>
      <c r="C102" s="156" t="str">
        <f>sample_wld_az2_tor1_peer_asn</f>
        <v>241</v>
      </c>
      <c r="D102" s="95" t="str">
        <f>wld_az1_tor1_peer_asn</f>
        <v>Value Missing</v>
      </c>
      <c r="E102" s="191"/>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84" t="s">
        <v>660</v>
      </c>
      <c r="C103" s="156" t="str">
        <f>sample_wld_az2_tor1_peer_bgp_password</f>
        <v>VMw@re1!</v>
      </c>
      <c r="D103" s="95" t="str">
        <f>wld_az1_tor1_peer_bgp_password</f>
        <v>Value Missing</v>
      </c>
      <c r="E103" s="191"/>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84" t="s">
        <v>661</v>
      </c>
      <c r="C104" s="156" t="str">
        <f>sample_wld_az2_tor2_peer_ip</f>
        <v>10.23.18.11</v>
      </c>
      <c r="D104" s="95" t="str">
        <f>wld_az1_tor2_peer_ip</f>
        <v>Value Missing</v>
      </c>
      <c r="E104" s="191"/>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84" t="s">
        <v>662</v>
      </c>
      <c r="C105" s="156" t="str">
        <f>sample_wld_az2_tor2_peer_asn</f>
        <v>241</v>
      </c>
      <c r="D105" s="95" t="str">
        <f>wld_az1_tor2_peer_asn</f>
        <v>Value Missing</v>
      </c>
      <c r="E105" s="191"/>
      <c r="F105" s="41"/>
      <c r="G105" s="41"/>
      <c r="H105" s="41"/>
      <c r="I105" s="41"/>
      <c r="J105" s="41"/>
      <c r="K105" s="41"/>
      <c r="L105" s="41"/>
      <c r="M105" s="41"/>
      <c r="N105" s="41"/>
      <c r="O105" s="41"/>
      <c r="P105" s="41"/>
      <c r="Q105" s="41"/>
      <c r="R105" s="41"/>
      <c r="S105" s="41"/>
      <c r="T105" s="41"/>
      <c r="U105" s="41"/>
      <c r="V105" s="41"/>
      <c r="W105" s="41"/>
      <c r="X105" s="41"/>
      <c r="Y105" s="41"/>
      <c r="Z105" s="41"/>
    </row>
    <row r="106" ht="19.5" customHeight="1">
      <c r="A106" s="41"/>
      <c r="B106" s="84" t="s">
        <v>663</v>
      </c>
      <c r="C106" s="156" t="str">
        <f>sample_wld_az2_tor2_peer_bgp_password</f>
        <v>VMw@re1!</v>
      </c>
      <c r="D106" s="95" t="str">
        <f>wld_az1_tor2_peer_bgp_password</f>
        <v>Value Missing</v>
      </c>
      <c r="E106" s="191"/>
      <c r="F106" s="41"/>
      <c r="G106" s="41"/>
      <c r="H106" s="41"/>
      <c r="I106" s="41"/>
      <c r="J106" s="41"/>
      <c r="K106" s="41"/>
      <c r="L106" s="41"/>
      <c r="M106" s="41"/>
      <c r="N106" s="41"/>
      <c r="O106" s="41"/>
      <c r="P106" s="41"/>
      <c r="Q106" s="41"/>
      <c r="R106" s="41"/>
      <c r="S106" s="41"/>
      <c r="T106" s="41"/>
      <c r="U106" s="41"/>
      <c r="V106" s="41"/>
      <c r="W106" s="41"/>
      <c r="X106" s="41"/>
      <c r="Y106" s="41"/>
      <c r="Z106" s="41"/>
    </row>
    <row r="107" ht="19.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33.75" customHeight="1">
      <c r="A108" s="41"/>
      <c r="B108" s="12" t="s">
        <v>1443</v>
      </c>
      <c r="C108" s="13"/>
      <c r="D108" s="13"/>
      <c r="E108" s="14"/>
      <c r="F108" s="41"/>
      <c r="G108" s="41"/>
      <c r="H108" s="41"/>
      <c r="I108" s="41"/>
      <c r="J108" s="41"/>
      <c r="K108" s="41"/>
      <c r="L108" s="41"/>
      <c r="M108" s="41"/>
      <c r="N108" s="41"/>
      <c r="O108" s="41"/>
      <c r="P108" s="41"/>
      <c r="Q108" s="41"/>
      <c r="R108" s="41"/>
      <c r="S108" s="41"/>
      <c r="T108" s="41"/>
      <c r="U108" s="41"/>
      <c r="V108" s="41"/>
      <c r="W108" s="41"/>
      <c r="X108" s="41"/>
      <c r="Y108" s="41"/>
      <c r="Z108" s="41"/>
    </row>
    <row r="109" ht="19.5" customHeight="1">
      <c r="A109" s="41"/>
      <c r="B109" s="49" t="s">
        <v>37</v>
      </c>
      <c r="C109" s="49" t="s">
        <v>273</v>
      </c>
      <c r="D109" s="49" t="s">
        <v>274</v>
      </c>
      <c r="E109" s="49" t="s">
        <v>5</v>
      </c>
      <c r="F109" s="41"/>
      <c r="G109" s="41"/>
      <c r="H109" s="41"/>
      <c r="I109" s="41"/>
      <c r="J109" s="41"/>
      <c r="K109" s="41"/>
      <c r="L109" s="41"/>
      <c r="M109" s="41"/>
      <c r="N109" s="41"/>
      <c r="O109" s="41"/>
      <c r="P109" s="41"/>
      <c r="Q109" s="41"/>
      <c r="R109" s="41"/>
      <c r="S109" s="41"/>
      <c r="T109" s="41"/>
      <c r="U109" s="41"/>
      <c r="V109" s="41"/>
      <c r="W109" s="41"/>
      <c r="X109" s="41"/>
      <c r="Y109" s="41"/>
      <c r="Z109" s="41"/>
    </row>
    <row r="110" ht="19.5" customHeight="1">
      <c r="A110" s="41"/>
      <c r="B110" s="102" t="s">
        <v>405</v>
      </c>
      <c r="C110" s="13"/>
      <c r="D110" s="13"/>
      <c r="E110" s="14"/>
      <c r="F110" s="41"/>
      <c r="G110" s="41"/>
      <c r="H110" s="41"/>
      <c r="I110" s="41"/>
      <c r="J110" s="41"/>
      <c r="K110" s="41"/>
      <c r="L110" s="41"/>
      <c r="M110" s="41"/>
      <c r="N110" s="41"/>
      <c r="O110" s="41"/>
      <c r="P110" s="41"/>
      <c r="Q110" s="41"/>
      <c r="R110" s="41"/>
      <c r="S110" s="41"/>
      <c r="T110" s="41"/>
      <c r="U110" s="41"/>
      <c r="V110" s="41"/>
      <c r="W110" s="41"/>
      <c r="X110" s="41"/>
      <c r="Y110" s="41"/>
      <c r="Z110" s="41"/>
    </row>
    <row r="111" ht="19.5" customHeight="1">
      <c r="A111" s="41"/>
      <c r="B111" s="84" t="s">
        <v>401</v>
      </c>
      <c r="C111" s="163" t="str">
        <f>sample_mgmt_az1_mgmt_vm_vlan</f>
        <v>2110</v>
      </c>
      <c r="D111" s="18" t="str">
        <f>mgmt_az1_mgmt_vm_vlan</f>
        <v>Value Missing</v>
      </c>
      <c r="E111" s="190"/>
      <c r="F111" s="41"/>
      <c r="G111" s="41"/>
      <c r="H111" s="41"/>
      <c r="I111" s="41"/>
      <c r="J111" s="41"/>
      <c r="K111" s="41"/>
      <c r="L111" s="41"/>
      <c r="M111" s="41"/>
      <c r="N111" s="41"/>
      <c r="O111" s="41"/>
      <c r="P111" s="41"/>
      <c r="Q111" s="41"/>
      <c r="R111" s="41"/>
      <c r="S111" s="41"/>
      <c r="T111" s="41"/>
      <c r="U111" s="41"/>
      <c r="V111" s="41"/>
      <c r="W111" s="41"/>
      <c r="X111" s="41"/>
      <c r="Y111" s="41"/>
      <c r="Z111" s="41"/>
    </row>
    <row r="112" ht="19.5" customHeight="1">
      <c r="A112" s="41"/>
      <c r="B112" s="84" t="s">
        <v>402</v>
      </c>
      <c r="C112" s="156" t="str">
        <f>sample_mgmt_az1_mgmt_vm_gateway_ip</f>
        <v>10.21.10.1</v>
      </c>
      <c r="D112" s="18" t="str">
        <f>mgmt_az1_mgmt_vm_gateway_ip</f>
        <v>Value Missing</v>
      </c>
      <c r="E112" s="190"/>
      <c r="F112" s="41"/>
      <c r="G112" s="41"/>
      <c r="H112" s="41"/>
      <c r="I112" s="41"/>
      <c r="J112" s="41"/>
      <c r="K112" s="41"/>
      <c r="L112" s="41"/>
      <c r="M112" s="41"/>
      <c r="N112" s="41"/>
      <c r="O112" s="41"/>
      <c r="P112" s="41"/>
      <c r="Q112" s="41"/>
      <c r="R112" s="41"/>
      <c r="S112" s="41"/>
      <c r="T112" s="41"/>
      <c r="U112" s="41"/>
      <c r="V112" s="41"/>
      <c r="W112" s="41"/>
      <c r="X112" s="41"/>
      <c r="Y112" s="41"/>
      <c r="Z112" s="41"/>
    </row>
    <row r="113" ht="19.5" customHeight="1">
      <c r="A113" s="41"/>
      <c r="B113" s="84" t="s">
        <v>403</v>
      </c>
      <c r="C113" s="156" t="str">
        <f>sample_mgmt_az1_mgmt_cidr</f>
        <v>10.21.11.0/24</v>
      </c>
      <c r="D113" s="18" t="str">
        <f>mgmt_az1_mgmt_cidr</f>
        <v>Value Missing</v>
      </c>
      <c r="E113" s="190"/>
      <c r="F113" s="41"/>
      <c r="G113" s="41"/>
      <c r="H113" s="41"/>
      <c r="I113" s="41"/>
      <c r="J113" s="41"/>
      <c r="K113" s="41"/>
      <c r="L113" s="41"/>
      <c r="M113" s="41"/>
      <c r="N113" s="41"/>
      <c r="O113" s="41"/>
      <c r="P113" s="41"/>
      <c r="Q113" s="41"/>
      <c r="R113" s="41"/>
      <c r="S113" s="41"/>
      <c r="T113" s="41"/>
      <c r="U113" s="41"/>
      <c r="V113" s="41"/>
      <c r="W113" s="41"/>
      <c r="X113" s="41"/>
      <c r="Y113" s="41"/>
      <c r="Z113" s="41"/>
    </row>
    <row r="114" ht="19.5" customHeight="1">
      <c r="A114" s="41"/>
      <c r="B114" s="84" t="s">
        <v>404</v>
      </c>
      <c r="C114" s="156">
        <v>1500.0</v>
      </c>
      <c r="D114" s="18" t="str">
        <f>wld_witnessaz_mgmt_mtu</f>
        <v>Value Missing</v>
      </c>
      <c r="E114" s="190"/>
      <c r="F114" s="41"/>
      <c r="G114" s="41"/>
      <c r="H114" s="41"/>
      <c r="I114" s="41"/>
      <c r="J114" s="41"/>
      <c r="K114" s="41"/>
      <c r="L114" s="41"/>
      <c r="M114" s="41"/>
      <c r="N114" s="41"/>
      <c r="O114" s="41"/>
      <c r="P114" s="41"/>
      <c r="Q114" s="41"/>
      <c r="R114" s="41"/>
      <c r="S114" s="41"/>
      <c r="T114" s="41"/>
      <c r="U114" s="41"/>
      <c r="V114" s="41"/>
      <c r="W114" s="41"/>
      <c r="X114" s="41"/>
      <c r="Y114" s="41"/>
      <c r="Z114" s="41"/>
    </row>
    <row r="115" ht="19.5" customHeight="1">
      <c r="A115" s="41"/>
      <c r="B115" s="102" t="s">
        <v>3714</v>
      </c>
      <c r="C115" s="13"/>
      <c r="D115" s="13"/>
      <c r="E115" s="14"/>
      <c r="F115" s="41"/>
      <c r="G115" s="41"/>
      <c r="H115" s="41"/>
      <c r="I115" s="41"/>
      <c r="J115" s="41"/>
      <c r="K115" s="41"/>
      <c r="L115" s="41"/>
      <c r="M115" s="41"/>
      <c r="N115" s="41"/>
      <c r="O115" s="41"/>
      <c r="P115" s="41"/>
      <c r="Q115" s="41"/>
      <c r="R115" s="41"/>
      <c r="S115" s="41"/>
      <c r="T115" s="41"/>
      <c r="U115" s="41"/>
      <c r="V115" s="41"/>
      <c r="W115" s="41"/>
      <c r="X115" s="41"/>
      <c r="Y115" s="41"/>
      <c r="Z115" s="41"/>
    </row>
    <row r="116" ht="19.5" customHeight="1">
      <c r="A116" s="41"/>
      <c r="B116" s="84" t="s">
        <v>401</v>
      </c>
      <c r="C116" s="110" t="str">
        <f>sample_wld_az1_rtep_overlay_vlan</f>
        <v>2320</v>
      </c>
      <c r="D116" s="18" t="str">
        <f>wld_az1_rtep_overlay_vlan</f>
        <v>Value Missing</v>
      </c>
      <c r="E116" s="18"/>
      <c r="F116" s="41"/>
      <c r="G116" s="41"/>
      <c r="H116" s="41"/>
      <c r="I116" s="41"/>
      <c r="J116" s="41"/>
      <c r="K116" s="41"/>
      <c r="L116" s="41"/>
      <c r="M116" s="41"/>
      <c r="N116" s="41"/>
      <c r="O116" s="41"/>
      <c r="P116" s="41"/>
      <c r="Q116" s="41"/>
      <c r="R116" s="41"/>
      <c r="S116" s="41"/>
      <c r="T116" s="41"/>
      <c r="U116" s="41"/>
      <c r="V116" s="41"/>
      <c r="W116" s="41"/>
      <c r="X116" s="41"/>
      <c r="Y116" s="41"/>
      <c r="Z116" s="41"/>
    </row>
    <row r="117" ht="19.5" customHeight="1">
      <c r="A117" s="41"/>
      <c r="B117" s="84" t="s">
        <v>402</v>
      </c>
      <c r="C117" s="110" t="str">
        <f>sample_wld_az1_rtep_overlay_gateway_ip</f>
        <v>10.23.20.1</v>
      </c>
      <c r="D117" s="18" t="str">
        <f>wld_az1_rtep_overlay_gateway_ip</f>
        <v>Value Missing</v>
      </c>
      <c r="E117" s="18"/>
      <c r="F117" s="41"/>
      <c r="G117" s="41"/>
      <c r="H117" s="41"/>
      <c r="I117" s="41"/>
      <c r="J117" s="41"/>
      <c r="K117" s="41"/>
      <c r="L117" s="41"/>
      <c r="M117" s="41"/>
      <c r="N117" s="41"/>
      <c r="O117" s="41"/>
      <c r="P117" s="41"/>
      <c r="Q117" s="41"/>
      <c r="R117" s="41"/>
      <c r="S117" s="41"/>
      <c r="T117" s="41"/>
      <c r="U117" s="41"/>
      <c r="V117" s="41"/>
      <c r="W117" s="41"/>
      <c r="X117" s="41"/>
      <c r="Y117" s="41"/>
      <c r="Z117" s="41"/>
    </row>
    <row r="118" ht="19.5" customHeight="1">
      <c r="A118" s="41"/>
      <c r="B118" s="84" t="s">
        <v>403</v>
      </c>
      <c r="C118" s="110" t="str">
        <f>sample_wld_az1_rtep_overlay_cidr</f>
        <v>10.23.20.0/24</v>
      </c>
      <c r="D118" s="18" t="str">
        <f>wld_az1_rtep_overlay_cidr</f>
        <v>Value Missing</v>
      </c>
      <c r="E118" s="18"/>
      <c r="F118" s="41"/>
      <c r="G118" s="41"/>
      <c r="H118" s="41"/>
      <c r="I118" s="41"/>
      <c r="J118" s="41"/>
      <c r="K118" s="41"/>
      <c r="L118" s="41"/>
      <c r="M118" s="41"/>
      <c r="N118" s="41"/>
      <c r="O118" s="41"/>
      <c r="P118" s="41"/>
      <c r="Q118" s="41"/>
      <c r="R118" s="41"/>
      <c r="S118" s="41"/>
      <c r="T118" s="41"/>
      <c r="U118" s="41"/>
      <c r="V118" s="41"/>
      <c r="W118" s="41"/>
      <c r="X118" s="41"/>
      <c r="Y118" s="41"/>
      <c r="Z118" s="41"/>
    </row>
    <row r="119" ht="19.5" customHeight="1">
      <c r="A119" s="41"/>
      <c r="B119" s="102" t="s">
        <v>3705</v>
      </c>
      <c r="C119" s="13"/>
      <c r="D119" s="13"/>
      <c r="E119" s="14"/>
      <c r="F119" s="41"/>
      <c r="G119" s="41"/>
      <c r="H119" s="41"/>
      <c r="I119" s="41"/>
      <c r="J119" s="41"/>
      <c r="K119" s="41"/>
      <c r="L119" s="41"/>
      <c r="M119" s="41"/>
      <c r="N119" s="41"/>
      <c r="O119" s="41"/>
      <c r="P119" s="41"/>
      <c r="Q119" s="41"/>
      <c r="R119" s="41"/>
      <c r="S119" s="41"/>
      <c r="T119" s="41"/>
      <c r="U119" s="41"/>
      <c r="V119" s="41"/>
      <c r="W119" s="41"/>
      <c r="X119" s="41"/>
      <c r="Y119" s="41"/>
      <c r="Z119" s="41"/>
    </row>
    <row r="120" ht="19.5" customHeight="1">
      <c r="A120" s="41"/>
      <c r="B120" s="84" t="str">
        <f>wld_nsxt_global_mgra_fqdn</f>
        <v>Value Missing</v>
      </c>
      <c r="C120" s="110" t="str">
        <f>sample_wld_nsxt_gm_vip_ip</f>
        <v>10.21.10.141</v>
      </c>
      <c r="D120" s="18" t="str">
        <f>wld_nsxt_gm_vip_ip</f>
        <v>Value Missing</v>
      </c>
      <c r="E120" s="18"/>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84" t="str">
        <f>wld_nsxt_global_mgra_fqdn</f>
        <v>Value Missing</v>
      </c>
      <c r="C121" s="110" t="str">
        <f>sample_wld_nsxt_global_mgra_ip</f>
        <v>10.21.10.142</v>
      </c>
      <c r="D121" s="18" t="str">
        <f>wld_nsxt_global_mgra_ip</f>
        <v>Value Missing</v>
      </c>
      <c r="E121" s="18"/>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84" t="str">
        <f>wld_nsxt_global_mgrb_fqdn</f>
        <v>Value Missing</v>
      </c>
      <c r="C122" s="110" t="str">
        <f>sample_wld_nsxt_global_mgrb_ip</f>
        <v>10.21.10.143</v>
      </c>
      <c r="D122" s="18" t="str">
        <f>wld_nsxt_global_mgrb_ip</f>
        <v>Value Missing</v>
      </c>
      <c r="E122" s="18"/>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84" t="str">
        <f>wld_nsxt_global_mgrc_fqdn</f>
        <v>Value Missing</v>
      </c>
      <c r="C123" s="110" t="str">
        <f>sample_wld_nsxt_global_mgrc_ip</f>
        <v>10.21.10.144</v>
      </c>
      <c r="D123" s="18" t="str">
        <f>wld_nsxt_global_mgrc_ip</f>
        <v>Value Missing</v>
      </c>
      <c r="E123" s="18"/>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365" t="str">
        <f>wld_az1_en1_hostname</f>
        <v>Value Missing</v>
      </c>
      <c r="C124" s="156" t="str">
        <f>sample_wld_az1_en1_mgmt_cidr</f>
        <v>10.23.10.135/24</v>
      </c>
      <c r="D124" s="18" t="str">
        <f>wld_az1_en1_mgmt_cidr</f>
        <v>Value Missing</v>
      </c>
      <c r="E124" s="18"/>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51" t="s">
        <v>478</v>
      </c>
      <c r="C125" s="156" t="str">
        <f>sample_wld_az1_en1_uplink01_interface_cidr</f>
        <v>10.23.17.2/24</v>
      </c>
      <c r="D125" s="18" t="str">
        <f>wld_az1_en1_uplink01_interface_cidr</f>
        <v>Value Missing</v>
      </c>
      <c r="E125" s="18" t="s">
        <v>648</v>
      </c>
      <c r="F125" s="41"/>
      <c r="G125" s="41"/>
      <c r="H125" s="41"/>
      <c r="I125" s="41"/>
      <c r="J125" s="41"/>
      <c r="K125" s="41"/>
      <c r="L125" s="41"/>
      <c r="M125" s="41"/>
      <c r="N125" s="41"/>
      <c r="O125" s="41"/>
      <c r="P125" s="41"/>
      <c r="Q125" s="41"/>
      <c r="R125" s="41"/>
      <c r="S125" s="41"/>
      <c r="T125" s="41"/>
      <c r="U125" s="41"/>
      <c r="V125" s="41"/>
      <c r="W125" s="41"/>
      <c r="X125" s="41"/>
      <c r="Y125" s="41"/>
      <c r="Z125" s="41"/>
    </row>
    <row r="126" ht="19.5" customHeight="1">
      <c r="A126" s="41"/>
      <c r="B126" s="51" t="s">
        <v>478</v>
      </c>
      <c r="C126" s="156" t="str">
        <f>sample_wld_az1_en1_uplink02_interface_cidr</f>
        <v>10.23.18.2/24</v>
      </c>
      <c r="D126" s="18" t="str">
        <f>wld_az1_en1_uplink02_interface_cidr</f>
        <v>Value Missing</v>
      </c>
      <c r="E126" s="18" t="s">
        <v>1471</v>
      </c>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391" t="s">
        <v>478</v>
      </c>
      <c r="C127" s="156" t="str">
        <f>sample_wld_az1_en1_edge_overlay_interface_ip_1_ip</f>
        <v>10.23.19.2</v>
      </c>
      <c r="D127" s="18" t="str">
        <f>wld_az1_en1_edge_overlay_interface_ip_1_ip</f>
        <v>Value Missing</v>
      </c>
      <c r="E127" s="18" t="s">
        <v>1459</v>
      </c>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392" t="s">
        <v>478</v>
      </c>
      <c r="C128" s="156" t="str">
        <f>sample_wld_az1_en1_edge_overlay_interface_ip_2_ip</f>
        <v>10.23.19.3</v>
      </c>
      <c r="D128" s="18" t="str">
        <f>wld_az1_en1_edge_overlay_interface_ip_2_ip</f>
        <v>Value Missing</v>
      </c>
      <c r="E128" s="18" t="s">
        <v>3706</v>
      </c>
      <c r="F128" s="41"/>
      <c r="G128" s="41"/>
      <c r="H128" s="41"/>
      <c r="I128" s="41"/>
      <c r="J128" s="41"/>
      <c r="K128" s="41"/>
      <c r="L128" s="41"/>
      <c r="M128" s="41"/>
      <c r="N128" s="41"/>
      <c r="O128" s="41"/>
      <c r="P128" s="41"/>
      <c r="Q128" s="41"/>
      <c r="R128" s="41"/>
      <c r="S128" s="41"/>
      <c r="T128" s="41"/>
      <c r="U128" s="41"/>
      <c r="V128" s="41"/>
      <c r="W128" s="41"/>
      <c r="X128" s="41"/>
      <c r="Y128" s="41"/>
      <c r="Z128" s="41"/>
    </row>
    <row r="129" ht="19.5" customHeight="1">
      <c r="A129" s="41"/>
      <c r="B129" s="365" t="str">
        <f>wld_az1_en2_hostname</f>
        <v>Value Missing</v>
      </c>
      <c r="C129" s="156" t="str">
        <f>sample_wld_az1_en2_mgmt_cidr</f>
        <v>10.23.10.136/24</v>
      </c>
      <c r="D129" s="18" t="str">
        <f>wld_az1_en2_mgmt_cidr</f>
        <v>Value Missing</v>
      </c>
      <c r="E129" s="18"/>
      <c r="F129" s="41"/>
      <c r="G129" s="41"/>
      <c r="H129" s="41"/>
      <c r="I129" s="41"/>
      <c r="J129" s="41"/>
      <c r="K129" s="41"/>
      <c r="L129" s="41"/>
      <c r="M129" s="41"/>
      <c r="N129" s="41"/>
      <c r="O129" s="41"/>
      <c r="P129" s="41"/>
      <c r="Q129" s="41"/>
      <c r="R129" s="41"/>
      <c r="S129" s="41"/>
      <c r="T129" s="41"/>
      <c r="U129" s="41"/>
      <c r="V129" s="41"/>
      <c r="W129" s="41"/>
      <c r="X129" s="41"/>
      <c r="Y129" s="41"/>
      <c r="Z129" s="41"/>
    </row>
    <row r="130" ht="19.5" customHeight="1">
      <c r="A130" s="41"/>
      <c r="B130" s="51" t="s">
        <v>478</v>
      </c>
      <c r="C130" s="156" t="str">
        <f>sample_wld_az1_en2_uplink01_interface_cidr</f>
        <v>10.23.17.3/24</v>
      </c>
      <c r="D130" s="18" t="str">
        <f>wld_az1_en2_uplink01_interface_cidr</f>
        <v>Value Missing</v>
      </c>
      <c r="E130" s="18" t="s">
        <v>657</v>
      </c>
      <c r="F130" s="41"/>
      <c r="G130" s="41"/>
      <c r="H130" s="41"/>
      <c r="I130" s="41"/>
      <c r="J130" s="41"/>
      <c r="K130" s="41"/>
      <c r="L130" s="41"/>
      <c r="M130" s="41"/>
      <c r="N130" s="41"/>
      <c r="O130" s="41"/>
      <c r="P130" s="41"/>
      <c r="Q130" s="41"/>
      <c r="R130" s="41"/>
      <c r="S130" s="41"/>
      <c r="T130" s="41"/>
      <c r="U130" s="41"/>
      <c r="V130" s="41"/>
      <c r="W130" s="41"/>
      <c r="X130" s="41"/>
      <c r="Y130" s="41"/>
      <c r="Z130" s="41"/>
    </row>
    <row r="131" ht="19.5" customHeight="1">
      <c r="A131" s="41"/>
      <c r="B131" s="51" t="s">
        <v>478</v>
      </c>
      <c r="C131" s="156" t="str">
        <f>sample_wld_az1_en2_uplink02_interface_cidr</f>
        <v>10.23.18.3/24</v>
      </c>
      <c r="D131" s="18" t="str">
        <f>wld_az1_en2_uplink02_interface_cidr</f>
        <v>Value Missing</v>
      </c>
      <c r="E131" s="18" t="s">
        <v>655</v>
      </c>
      <c r="F131" s="41"/>
      <c r="G131" s="41"/>
      <c r="H131" s="41"/>
      <c r="I131" s="41"/>
      <c r="J131" s="41"/>
      <c r="K131" s="41"/>
      <c r="L131" s="41"/>
      <c r="M131" s="41"/>
      <c r="N131" s="41"/>
      <c r="O131" s="41"/>
      <c r="P131" s="41"/>
      <c r="Q131" s="41"/>
      <c r="R131" s="41"/>
      <c r="S131" s="41"/>
      <c r="T131" s="41"/>
      <c r="U131" s="41"/>
      <c r="V131" s="41"/>
      <c r="W131" s="41"/>
      <c r="X131" s="41"/>
      <c r="Y131" s="41"/>
      <c r="Z131" s="41"/>
    </row>
    <row r="132" ht="19.5" customHeight="1">
      <c r="A132" s="41"/>
      <c r="B132" s="391" t="s">
        <v>478</v>
      </c>
      <c r="C132" s="156" t="str">
        <f>sample_wld_az1_en2_edge_overlay_interface_ip_1_ip</f>
        <v>10.23.19.4</v>
      </c>
      <c r="D132" s="18" t="str">
        <f>wld_az1_en2_edge_overlay_interface_ip_1_ip</f>
        <v>Value Missing</v>
      </c>
      <c r="E132" s="18" t="s">
        <v>1466</v>
      </c>
      <c r="F132" s="41"/>
      <c r="G132" s="41"/>
      <c r="H132" s="41"/>
      <c r="I132" s="41"/>
      <c r="J132" s="41"/>
      <c r="K132" s="41"/>
      <c r="L132" s="41"/>
      <c r="M132" s="41"/>
      <c r="N132" s="41"/>
      <c r="O132" s="41"/>
      <c r="P132" s="41"/>
      <c r="Q132" s="41"/>
      <c r="R132" s="41"/>
      <c r="S132" s="41"/>
      <c r="T132" s="41"/>
      <c r="U132" s="41"/>
      <c r="V132" s="41"/>
      <c r="W132" s="41"/>
      <c r="X132" s="41"/>
      <c r="Y132" s="41"/>
      <c r="Z132" s="41"/>
    </row>
    <row r="133" ht="19.5" customHeight="1">
      <c r="A133" s="41"/>
      <c r="B133" s="392" t="s">
        <v>478</v>
      </c>
      <c r="C133" s="156" t="str">
        <f>sample_wld_az1_en2_edge_overlay_interface_ip_2_ip</f>
        <v>10.23.19.5</v>
      </c>
      <c r="D133" s="18" t="str">
        <f>wld_az1_en2_edge_overlay_interface_ip_2_ip</f>
        <v>Value Missing</v>
      </c>
      <c r="E133" s="18" t="s">
        <v>1468</v>
      </c>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B2:E2"/>
    <mergeCell ref="B3:E3"/>
    <mergeCell ref="B6:E6"/>
    <mergeCell ref="B7:E7"/>
    <mergeCell ref="B9:E9"/>
    <mergeCell ref="B14:E14"/>
    <mergeCell ref="B19:E19"/>
    <mergeCell ref="B24:E24"/>
    <mergeCell ref="B28:E28"/>
    <mergeCell ref="B36:E36"/>
    <mergeCell ref="B48:E48"/>
    <mergeCell ref="B50:E50"/>
    <mergeCell ref="B55:E55"/>
    <mergeCell ref="B61:E61"/>
    <mergeCell ref="B108:E108"/>
    <mergeCell ref="B110:E110"/>
    <mergeCell ref="B115:E115"/>
    <mergeCell ref="B119:E119"/>
    <mergeCell ref="B63:E63"/>
    <mergeCell ref="B68:E68"/>
    <mergeCell ref="B75:E75"/>
    <mergeCell ref="B82:E82"/>
    <mergeCell ref="B89:E89"/>
    <mergeCell ref="B96:E96"/>
    <mergeCell ref="B99:E99"/>
  </mergeCells>
  <conditionalFormatting sqref="B97:B98">
    <cfRule type="containsBlanks" dxfId="1" priority="1">
      <formula>LEN(TRIM(B97))=0</formula>
    </cfRule>
  </conditionalFormatting>
  <conditionalFormatting sqref="B97:B98">
    <cfRule type="notContainsBlanks" dxfId="0" priority="2" stopIfTrue="1">
      <formula>LEN(TRIM(B97))&gt;0</formula>
    </cfRule>
  </conditionalFormatting>
  <conditionalFormatting sqref="D10:D13">
    <cfRule type="containsBlanks" dxfId="7" priority="3">
      <formula>LEN(TRIM(D10))=0</formula>
    </cfRule>
  </conditionalFormatting>
  <conditionalFormatting sqref="D10:D13">
    <cfRule type="notContainsBlanks" dxfId="0" priority="4">
      <formula>LEN(TRIM(D10))&gt;0</formula>
    </cfRule>
  </conditionalFormatting>
  <conditionalFormatting sqref="D15:D18">
    <cfRule type="containsBlanks" dxfId="7" priority="5">
      <formula>LEN(TRIM(D15))=0</formula>
    </cfRule>
  </conditionalFormatting>
  <conditionalFormatting sqref="D15:D18">
    <cfRule type="notContainsBlanks" dxfId="0" priority="6">
      <formula>LEN(TRIM(D15))&gt;0</formula>
    </cfRule>
  </conditionalFormatting>
  <conditionalFormatting sqref="D20:D23">
    <cfRule type="containsBlanks" dxfId="7" priority="7">
      <formula>LEN(TRIM(D20))=0</formula>
    </cfRule>
  </conditionalFormatting>
  <conditionalFormatting sqref="D20:D27">
    <cfRule type="notContainsBlanks" dxfId="0" priority="8">
      <formula>LEN(TRIM(D20))&gt;0</formula>
    </cfRule>
  </conditionalFormatting>
  <conditionalFormatting sqref="D24">
    <cfRule type="expression" dxfId="3" priority="9">
      <formula>input_mgmt_principal_storage_chosen="VMFS on Fibre Channel (FC)"</formula>
    </cfRule>
  </conditionalFormatting>
  <conditionalFormatting sqref="D24">
    <cfRule type="containsBlanks" dxfId="7" priority="10">
      <formula>LEN(TRIM(D24))=0</formula>
    </cfRule>
  </conditionalFormatting>
  <conditionalFormatting sqref="D25:D27">
    <cfRule type="containsBlanks" dxfId="7" priority="11">
      <formula>LEN(TRIM(D25))=0</formula>
    </cfRule>
  </conditionalFormatting>
  <conditionalFormatting sqref="D29:D35">
    <cfRule type="containsBlanks" dxfId="7" priority="12">
      <formula>LEN(TRIM(D29))=0</formula>
    </cfRule>
  </conditionalFormatting>
  <conditionalFormatting sqref="D29:D35">
    <cfRule type="notContainsBlanks" dxfId="0" priority="13">
      <formula>LEN(TRIM(D29))&gt;0</formula>
    </cfRule>
  </conditionalFormatting>
  <conditionalFormatting sqref="D37:D46">
    <cfRule type="containsBlanks" dxfId="7" priority="14">
      <formula>LEN(TRIM(D37))=0</formula>
    </cfRule>
  </conditionalFormatting>
  <conditionalFormatting sqref="D37:D46">
    <cfRule type="notContainsBlanks" dxfId="0" priority="15">
      <formula>LEN(TRIM(D37))&gt;0</formula>
    </cfRule>
  </conditionalFormatting>
  <conditionalFormatting sqref="D51:D54">
    <cfRule type="containsBlanks" dxfId="7" priority="16">
      <formula>LEN(TRIM(D51))=0</formula>
    </cfRule>
  </conditionalFormatting>
  <conditionalFormatting sqref="D51:D54">
    <cfRule type="notContainsBlanks" dxfId="0" priority="17">
      <formula>LEN(TRIM(D51))&gt;0</formula>
    </cfRule>
  </conditionalFormatting>
  <conditionalFormatting sqref="D56:D59">
    <cfRule type="containsBlanks" dxfId="7" priority="18">
      <formula>LEN(TRIM(D56))=0</formula>
    </cfRule>
  </conditionalFormatting>
  <conditionalFormatting sqref="D56:D59">
    <cfRule type="notContainsBlanks" dxfId="0" priority="19">
      <formula>LEN(TRIM(D56))&gt;0</formula>
    </cfRule>
  </conditionalFormatting>
  <conditionalFormatting sqref="D64:D67">
    <cfRule type="containsBlanks" dxfId="1" priority="20">
      <formula>LEN(TRIM(D64))=0</formula>
    </cfRule>
  </conditionalFormatting>
  <conditionalFormatting sqref="D64:D67">
    <cfRule type="notContainsBlanks" dxfId="0" priority="21" stopIfTrue="1">
      <formula>LEN(TRIM(D64))&gt;0</formula>
    </cfRule>
  </conditionalFormatting>
  <conditionalFormatting sqref="D69:D74">
    <cfRule type="containsBlanks" dxfId="1" priority="22">
      <formula>LEN(TRIM(D69))=0</formula>
    </cfRule>
  </conditionalFormatting>
  <conditionalFormatting sqref="D69:D74">
    <cfRule type="notContainsBlanks" dxfId="0" priority="23" stopIfTrue="1">
      <formula>LEN(TRIM(D69))&gt;0</formula>
    </cfRule>
  </conditionalFormatting>
  <conditionalFormatting sqref="D76:D81">
    <cfRule type="containsBlanks" dxfId="1" priority="24">
      <formula>LEN(TRIM(D76))=0</formula>
    </cfRule>
  </conditionalFormatting>
  <conditionalFormatting sqref="D76:D81">
    <cfRule type="notContainsBlanks" dxfId="0" priority="25" stopIfTrue="1">
      <formula>LEN(TRIM(D76))&gt;0</formula>
    </cfRule>
  </conditionalFormatting>
  <conditionalFormatting sqref="D83:D88">
    <cfRule type="containsBlanks" dxfId="1" priority="26">
      <formula>LEN(TRIM(D83))=0</formula>
    </cfRule>
  </conditionalFormatting>
  <conditionalFormatting sqref="D83:D88">
    <cfRule type="notContainsBlanks" dxfId="0" priority="27" stopIfTrue="1">
      <formula>LEN(TRIM(D83))&gt;0</formula>
    </cfRule>
  </conditionalFormatting>
  <conditionalFormatting sqref="D90:D93 D97:D98">
    <cfRule type="containsBlanks" dxfId="1" priority="28">
      <formula>LEN(TRIM(D90))=0</formula>
    </cfRule>
  </conditionalFormatting>
  <conditionalFormatting sqref="D90:D93 D97:D98">
    <cfRule type="notContainsBlanks" dxfId="0" priority="29" stopIfTrue="1">
      <formula>LEN(TRIM(D90))&gt;0</formula>
    </cfRule>
  </conditionalFormatting>
  <conditionalFormatting sqref="D94:D95">
    <cfRule type="containsBlanks" dxfId="1" priority="30">
      <formula>LEN(TRIM(D94))=0</formula>
    </cfRule>
  </conditionalFormatting>
  <conditionalFormatting sqref="D94:D95">
    <cfRule type="notContainsBlanks" dxfId="0" priority="31" stopIfTrue="1">
      <formula>LEN(TRIM(D94))&gt;0</formula>
    </cfRule>
  </conditionalFormatting>
  <conditionalFormatting sqref="D100:D106">
    <cfRule type="containsBlanks" dxfId="1" priority="32">
      <formula>LEN(TRIM(D100))=0</formula>
    </cfRule>
  </conditionalFormatting>
  <conditionalFormatting sqref="D100:D106">
    <cfRule type="notContainsBlanks" dxfId="0" priority="33" stopIfTrue="1">
      <formula>LEN(TRIM(D100))&gt;0</formula>
    </cfRule>
  </conditionalFormatting>
  <conditionalFormatting sqref="D111:D114 D116:D118 D120:D133">
    <cfRule type="notContainsBlanks" dxfId="0" priority="34">
      <formula>LEN(TRIM(D111))&gt;0</formula>
    </cfRule>
  </conditionalFormatting>
  <conditionalFormatting sqref="D111:D114 D116:D118 D120:D133">
    <cfRule type="containsBlanks" dxfId="7" priority="35">
      <formula>LEN(TRIM(D111))=0</formula>
    </cfRule>
  </conditionalFormatting>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42.0"/>
    <col customWidth="1" min="3" max="3" width="35.78"/>
    <col customWidth="1" min="4" max="8" width="20.78"/>
    <col customWidth="1" min="9" max="9" width="2.78"/>
    <col customWidth="1" min="10" max="26" width="10.78"/>
  </cols>
  <sheetData>
    <row r="1" ht="15.0" customHeight="1">
      <c r="A1" s="41"/>
      <c r="B1" s="55"/>
      <c r="C1" s="55"/>
      <c r="D1" s="55"/>
      <c r="E1" s="55"/>
      <c r="F1" s="55"/>
      <c r="G1" s="55"/>
      <c r="H1" s="41"/>
      <c r="I1" s="41"/>
      <c r="J1" s="41"/>
      <c r="K1" s="41"/>
      <c r="L1" s="41"/>
      <c r="M1" s="41"/>
      <c r="N1" s="41"/>
      <c r="O1" s="41"/>
      <c r="P1" s="41"/>
      <c r="Q1" s="41"/>
      <c r="R1" s="41"/>
      <c r="S1" s="41"/>
      <c r="T1" s="41"/>
      <c r="U1" s="41"/>
      <c r="V1" s="41"/>
      <c r="W1" s="41"/>
      <c r="X1" s="41"/>
      <c r="Y1" s="41"/>
      <c r="Z1" s="41"/>
    </row>
    <row r="2" ht="54.0" customHeight="1">
      <c r="A2" s="41"/>
      <c r="B2" s="401" t="s">
        <v>3721</v>
      </c>
      <c r="C2" s="401"/>
      <c r="D2" s="401"/>
      <c r="E2" s="401"/>
      <c r="F2" s="401"/>
      <c r="G2" s="401"/>
      <c r="H2" s="401"/>
      <c r="I2" s="41"/>
      <c r="J2" s="41"/>
      <c r="K2" s="41"/>
      <c r="L2" s="41"/>
      <c r="M2" s="41"/>
      <c r="N2" s="41"/>
      <c r="O2" s="41"/>
      <c r="P2" s="41"/>
      <c r="Q2" s="41"/>
      <c r="R2" s="41"/>
      <c r="S2" s="41"/>
      <c r="T2" s="41"/>
      <c r="U2" s="41"/>
      <c r="V2" s="41"/>
      <c r="W2" s="41"/>
      <c r="X2" s="41"/>
      <c r="Y2" s="41"/>
      <c r="Z2" s="41"/>
    </row>
    <row r="3" ht="15.0" customHeight="1">
      <c r="A3" s="41"/>
      <c r="B3" s="402" t="s">
        <v>508</v>
      </c>
      <c r="C3" s="402"/>
      <c r="D3" s="402"/>
      <c r="E3" s="402"/>
      <c r="F3" s="402"/>
      <c r="G3" s="402"/>
      <c r="H3" s="402"/>
      <c r="I3" s="41"/>
      <c r="J3" s="41"/>
      <c r="K3" s="41"/>
      <c r="L3" s="41"/>
      <c r="M3" s="41"/>
      <c r="N3" s="41"/>
      <c r="O3" s="41"/>
      <c r="P3" s="41"/>
      <c r="Q3" s="41"/>
      <c r="R3" s="41"/>
      <c r="S3" s="41"/>
      <c r="T3" s="41"/>
      <c r="U3" s="41"/>
      <c r="V3" s="41"/>
      <c r="W3" s="41"/>
      <c r="X3" s="41"/>
      <c r="Y3" s="41"/>
      <c r="Z3" s="41"/>
    </row>
    <row r="4" ht="15.75" customHeight="1">
      <c r="A4" s="41"/>
      <c r="B4" s="55"/>
      <c r="C4" s="55"/>
      <c r="D4" s="55"/>
      <c r="E4" s="55"/>
      <c r="F4" s="55"/>
      <c r="G4" s="55"/>
      <c r="H4" s="41"/>
      <c r="I4" s="41"/>
      <c r="J4" s="41"/>
      <c r="K4" s="41"/>
      <c r="L4" s="41"/>
      <c r="M4" s="41"/>
      <c r="N4" s="41"/>
      <c r="O4" s="41"/>
      <c r="P4" s="41"/>
      <c r="Q4" s="41"/>
      <c r="R4" s="41"/>
      <c r="S4" s="41"/>
      <c r="T4" s="41"/>
      <c r="U4" s="41"/>
      <c r="V4" s="41"/>
      <c r="W4" s="41"/>
      <c r="X4" s="41"/>
      <c r="Y4" s="41"/>
      <c r="Z4" s="41"/>
    </row>
    <row r="5" ht="15.75"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ht="33.75" customHeight="1">
      <c r="A6" s="41"/>
      <c r="B6" s="403" t="s">
        <v>3722</v>
      </c>
      <c r="C6" s="403"/>
      <c r="D6" s="403"/>
      <c r="E6" s="403"/>
      <c r="F6" s="403"/>
      <c r="G6" s="403"/>
      <c r="H6" s="403"/>
      <c r="I6" s="41"/>
      <c r="J6" s="41"/>
      <c r="K6" s="41"/>
      <c r="L6" s="41"/>
      <c r="M6" s="41"/>
      <c r="N6" s="41"/>
      <c r="O6" s="41"/>
      <c r="P6" s="41"/>
      <c r="Q6" s="41"/>
      <c r="R6" s="41"/>
      <c r="S6" s="41"/>
      <c r="T6" s="41"/>
      <c r="U6" s="41"/>
      <c r="V6" s="41"/>
      <c r="W6" s="41"/>
      <c r="X6" s="41"/>
      <c r="Y6" s="41"/>
      <c r="Z6" s="41"/>
    </row>
    <row r="7" ht="15.75" customHeight="1">
      <c r="A7" s="41"/>
      <c r="B7" s="41"/>
      <c r="C7" s="41"/>
      <c r="D7" s="41"/>
      <c r="E7" s="41"/>
      <c r="F7" s="41"/>
      <c r="G7" s="41"/>
      <c r="H7" s="41"/>
      <c r="I7" s="41"/>
      <c r="J7" s="41"/>
      <c r="K7" s="41"/>
      <c r="L7" s="41"/>
      <c r="M7" s="41"/>
      <c r="N7" s="41"/>
      <c r="O7" s="41"/>
      <c r="P7" s="41"/>
      <c r="Q7" s="41"/>
      <c r="R7" s="41"/>
      <c r="S7" s="41"/>
      <c r="T7" s="41"/>
      <c r="U7" s="41"/>
      <c r="V7" s="41"/>
      <c r="W7" s="41"/>
      <c r="X7" s="41"/>
      <c r="Y7" s="41"/>
      <c r="Z7" s="41"/>
    </row>
    <row r="8" ht="33.75" customHeight="1">
      <c r="A8" s="41"/>
      <c r="B8" s="197" t="s">
        <v>3723</v>
      </c>
      <c r="C8" s="13"/>
      <c r="D8" s="13"/>
      <c r="E8" s="13"/>
      <c r="F8" s="13"/>
      <c r="G8" s="13"/>
      <c r="H8" s="38"/>
      <c r="I8" s="41"/>
      <c r="J8" s="41"/>
      <c r="K8" s="41"/>
      <c r="L8" s="41"/>
      <c r="M8" s="41"/>
      <c r="N8" s="41"/>
      <c r="O8" s="41"/>
      <c r="P8" s="41"/>
      <c r="Q8" s="41"/>
      <c r="R8" s="41"/>
      <c r="S8" s="41"/>
      <c r="T8" s="41"/>
      <c r="U8" s="41"/>
      <c r="V8" s="41"/>
      <c r="W8" s="41"/>
      <c r="X8" s="41"/>
      <c r="Y8" s="41"/>
      <c r="Z8" s="41"/>
    </row>
    <row r="9" ht="19.5" customHeight="1">
      <c r="A9" s="41"/>
      <c r="B9" s="103"/>
      <c r="C9" s="13"/>
      <c r="D9" s="13"/>
      <c r="E9" s="13"/>
      <c r="F9" s="13"/>
      <c r="G9" s="13"/>
      <c r="H9" s="38"/>
      <c r="I9" s="41"/>
      <c r="J9" s="41"/>
      <c r="K9" s="41"/>
      <c r="L9" s="41"/>
      <c r="M9" s="41"/>
      <c r="N9" s="41"/>
      <c r="O9" s="41"/>
      <c r="P9" s="41"/>
      <c r="Q9" s="41"/>
      <c r="R9" s="41"/>
      <c r="S9" s="41"/>
      <c r="T9" s="41"/>
      <c r="U9" s="41"/>
      <c r="V9" s="41"/>
      <c r="W9" s="41"/>
      <c r="X9" s="41"/>
      <c r="Y9" s="41"/>
      <c r="Z9" s="41"/>
    </row>
    <row r="10" ht="19.5" customHeight="1">
      <c r="A10" s="41"/>
      <c r="B10" s="108" t="s">
        <v>3724</v>
      </c>
      <c r="C10" s="108" t="s">
        <v>3145</v>
      </c>
      <c r="D10" s="108" t="s">
        <v>3725</v>
      </c>
      <c r="E10" s="108" t="s">
        <v>3726</v>
      </c>
      <c r="F10" s="108" t="s">
        <v>717</v>
      </c>
      <c r="G10" s="108" t="s">
        <v>3727</v>
      </c>
      <c r="H10" s="108" t="s">
        <v>3728</v>
      </c>
      <c r="I10" s="41"/>
      <c r="J10" s="41"/>
      <c r="K10" s="41"/>
      <c r="L10" s="41"/>
      <c r="M10" s="41"/>
      <c r="N10" s="41"/>
      <c r="O10" s="41"/>
      <c r="P10" s="41"/>
      <c r="Q10" s="41"/>
      <c r="R10" s="41"/>
      <c r="S10" s="41"/>
      <c r="T10" s="41"/>
      <c r="U10" s="41"/>
      <c r="V10" s="41"/>
      <c r="W10" s="41"/>
      <c r="X10" s="41"/>
      <c r="Y10" s="41"/>
      <c r="Z10" s="41"/>
    </row>
    <row r="11" ht="19.5" customHeight="1">
      <c r="A11" s="41"/>
      <c r="B11" s="84" t="s">
        <v>1710</v>
      </c>
      <c r="C11" s="18" t="str">
        <f>mgmt_cl01_az1_mgmt_pg</f>
        <v>Value Missing</v>
      </c>
      <c r="D11" s="18" t="str">
        <f>mgmt_az1_mgmt_vm_vlan</f>
        <v>Value Missing</v>
      </c>
      <c r="E11" s="18" t="str">
        <f>mgmt_az1_mgmt_vm_cidr</f>
        <v>Value Missing</v>
      </c>
      <c r="F11" s="18" t="str">
        <f t="array" ref="F11">mgmt_az1_mgmt_vm_network</f>
        <v>Value Missing</v>
      </c>
      <c r="G11" s="18" t="str">
        <f>mgmt_az1_mgmt_vm_gateway_ip</f>
        <v>Value Missing</v>
      </c>
      <c r="H11" s="18" t="str">
        <f>mgmt_az1_mgmt_vm_mtu</f>
        <v>Value Missing</v>
      </c>
      <c r="I11" s="41"/>
      <c r="J11" s="41"/>
      <c r="K11" s="41"/>
      <c r="L11" s="41"/>
      <c r="M11" s="41"/>
      <c r="N11" s="41"/>
      <c r="O11" s="41"/>
      <c r="P11" s="41"/>
      <c r="Q11" s="41"/>
      <c r="R11" s="41"/>
      <c r="S11" s="41"/>
      <c r="T11" s="41"/>
      <c r="U11" s="41"/>
      <c r="V11" s="41"/>
      <c r="W11" s="41"/>
      <c r="X11" s="41"/>
      <c r="Y11" s="41"/>
      <c r="Z11" s="41"/>
    </row>
    <row r="12" ht="19.5" customHeight="1">
      <c r="A12" s="41"/>
      <c r="B12" s="84" t="s">
        <v>3729</v>
      </c>
      <c r="C12" s="18" t="str">
        <f>mgmt_cl01_az1_mgmt_pg</f>
        <v>Value Missing</v>
      </c>
      <c r="D12" s="18" t="str">
        <f>mgmt_az1_mgmt_vlan</f>
        <v>Value Missing</v>
      </c>
      <c r="E12" s="18" t="str">
        <f>mgmt_az1_mgmt_cidr</f>
        <v>Value Missing</v>
      </c>
      <c r="F12" s="18" t="str">
        <f t="array" ref="F12">mgmt_az1_mgmt_network</f>
        <v>Value Missing</v>
      </c>
      <c r="G12" s="18" t="str">
        <f>mgmt_az1_mgmt_gateway_ip</f>
        <v>Value Missing</v>
      </c>
      <c r="H12" s="18" t="str">
        <f>mgmt_az1_mgmt_mtu</f>
        <v>Value Missing</v>
      </c>
      <c r="I12" s="41"/>
      <c r="J12" s="41"/>
      <c r="K12" s="41"/>
      <c r="L12" s="41"/>
      <c r="M12" s="41"/>
      <c r="N12" s="41"/>
      <c r="O12" s="41"/>
      <c r="P12" s="41"/>
      <c r="Q12" s="41"/>
      <c r="R12" s="41"/>
      <c r="S12" s="41"/>
      <c r="T12" s="41"/>
      <c r="U12" s="41"/>
      <c r="V12" s="41"/>
      <c r="W12" s="41"/>
      <c r="X12" s="41"/>
      <c r="Y12" s="41"/>
      <c r="Z12" s="41"/>
    </row>
    <row r="13" ht="19.5" customHeight="1">
      <c r="A13" s="41"/>
      <c r="B13" s="84" t="s">
        <v>407</v>
      </c>
      <c r="C13" s="18" t="str">
        <f>mgmt_cl01_az1_vmotion_pg</f>
        <v>Value Missing</v>
      </c>
      <c r="D13" s="18" t="str">
        <f>mgmt_az1_vmotion_vlan</f>
        <v>Value Missing</v>
      </c>
      <c r="E13" s="18" t="str">
        <f>mgmt_az1_vmotion_cidr</f>
        <v>Value Missing</v>
      </c>
      <c r="F13" s="18" t="str">
        <f t="array" ref="F13">mgmt_az1_vmotion_network</f>
        <v>Value Missing</v>
      </c>
      <c r="G13" s="18" t="str">
        <f>mgmt_az1_vmotion_gateway_ip</f>
        <v>Value Missing</v>
      </c>
      <c r="H13" s="18" t="str">
        <f>mgmt_az1_vmotion_mtu</f>
        <v>Value Missing</v>
      </c>
      <c r="I13" s="41"/>
      <c r="J13" s="41"/>
      <c r="K13" s="41"/>
      <c r="L13" s="41"/>
      <c r="M13" s="41"/>
      <c r="N13" s="41"/>
      <c r="O13" s="41"/>
      <c r="P13" s="41"/>
      <c r="Q13" s="41"/>
      <c r="R13" s="41"/>
      <c r="S13" s="41"/>
      <c r="T13" s="41"/>
      <c r="U13" s="41"/>
      <c r="V13" s="41"/>
      <c r="W13" s="41"/>
      <c r="X13" s="41"/>
      <c r="Y13" s="41"/>
      <c r="Z13" s="41"/>
    </row>
    <row r="14" ht="19.5" customHeight="1">
      <c r="A14" s="41"/>
      <c r="B14" s="84" t="s">
        <v>410</v>
      </c>
      <c r="C14" s="18" t="str">
        <f>mgmt_cl01_az1_vsan_pg</f>
        <v>Value Missing</v>
      </c>
      <c r="D14" s="18" t="str">
        <f>mgmt_az1_vsan_vlan</f>
        <v>Value Missing</v>
      </c>
      <c r="E14" s="18" t="str">
        <f>mgmt_az1_vsan_cidr</f>
        <v>Value Missing</v>
      </c>
      <c r="F14" s="18" t="str">
        <f t="array" ref="F14">mgmt_az1_vsan_network</f>
        <v>Value Missing</v>
      </c>
      <c r="G14" s="18" t="str">
        <f>mgmt_az1_vsan_gateway_ip</f>
        <v>Value Missing</v>
      </c>
      <c r="H14" s="18" t="str">
        <f>mgmt_az1_vsan_mtu</f>
        <v>Value Missing</v>
      </c>
      <c r="I14" s="41"/>
      <c r="J14" s="41"/>
      <c r="K14" s="41"/>
      <c r="L14" s="41"/>
      <c r="M14" s="41"/>
      <c r="N14" s="41"/>
      <c r="O14" s="41"/>
      <c r="P14" s="41"/>
      <c r="Q14" s="41"/>
      <c r="R14" s="41"/>
      <c r="S14" s="41"/>
      <c r="T14" s="41"/>
      <c r="U14" s="41"/>
      <c r="V14" s="41"/>
      <c r="W14" s="41"/>
      <c r="X14" s="41"/>
      <c r="Y14" s="41"/>
      <c r="Z14" s="41"/>
    </row>
    <row r="15" ht="19.5" customHeight="1">
      <c r="A15" s="41"/>
      <c r="B15" s="84" t="s">
        <v>1716</v>
      </c>
      <c r="C15" s="18" t="str">
        <f t="array" ref="C15">mgmt_az1_host_overlay_pg</f>
        <v>N/A</v>
      </c>
      <c r="D15" s="18" t="str">
        <f>mgmt_az1_host_overlay_vlan</f>
        <v>Value Missing</v>
      </c>
      <c r="E15" s="18" t="str">
        <f>mgmt_az1_host_overlay_cidr</f>
        <v>Value Missing</v>
      </c>
      <c r="F15" s="18" t="str">
        <f t="array" ref="F15">mgmt_az1_host_overlay_network</f>
        <v>Value Missing</v>
      </c>
      <c r="G15" s="18" t="str">
        <f>mgmt_az1_host_overlay_gateway_ip</f>
        <v>Value Missing</v>
      </c>
      <c r="H15" s="18" t="str">
        <f>mgmt_az1_host_overlay_mtu</f>
        <v>Value Missing</v>
      </c>
      <c r="I15" s="41"/>
      <c r="J15" s="41"/>
      <c r="K15" s="41"/>
      <c r="L15" s="41"/>
      <c r="M15" s="41"/>
      <c r="N15" s="41"/>
      <c r="O15" s="41"/>
      <c r="P15" s="41"/>
      <c r="Q15" s="41"/>
      <c r="R15" s="41"/>
      <c r="S15" s="41"/>
      <c r="T15" s="41"/>
      <c r="U15" s="41"/>
      <c r="V15" s="41"/>
      <c r="W15" s="41"/>
      <c r="X15" s="41"/>
      <c r="Y15" s="41"/>
      <c r="Z15" s="41"/>
    </row>
    <row r="16" ht="19.5" customHeight="1">
      <c r="A16" s="41"/>
      <c r="B16" s="84" t="s">
        <v>1726</v>
      </c>
      <c r="C16" s="18" t="str">
        <f>mgmt_vrms_pg</f>
        <v>Value Missing</v>
      </c>
      <c r="D16" s="18" t="str">
        <f>mgmt_az1_vrms_vlan</f>
        <v>Value Missing</v>
      </c>
      <c r="E16" s="18" t="str">
        <f>mgmt_az1_vrms_cidr</f>
        <v/>
      </c>
      <c r="F16" s="18" t="str">
        <f t="array" ref="F16">mgmt_az1_vrms_network</f>
        <v/>
      </c>
      <c r="G16" s="18" t="str">
        <f>mgmt_az1_vrms_gateway_ip</f>
        <v/>
      </c>
      <c r="H16" s="18" t="str">
        <f>mgmt_az1_vrms_mtu</f>
        <v>Value Missing</v>
      </c>
      <c r="I16" s="41"/>
      <c r="J16" s="41"/>
      <c r="K16" s="41"/>
      <c r="L16" s="41"/>
      <c r="M16" s="41"/>
      <c r="N16" s="41"/>
      <c r="O16" s="41"/>
      <c r="P16" s="41"/>
      <c r="Q16" s="41"/>
      <c r="R16" s="41"/>
      <c r="S16" s="41"/>
      <c r="T16" s="41"/>
      <c r="U16" s="41"/>
      <c r="V16" s="41"/>
      <c r="W16" s="41"/>
      <c r="X16" s="41"/>
      <c r="Y16" s="41"/>
      <c r="Z16" s="41"/>
    </row>
    <row r="17" ht="19.5" customHeight="1">
      <c r="A17" s="41"/>
      <c r="B17" s="84" t="s">
        <v>3730</v>
      </c>
      <c r="C17" s="18" t="str">
        <f>mgmt_cl01_az1_uplink01_pg</f>
        <v>Value Missing</v>
      </c>
      <c r="D17" s="18" t="str">
        <f>mgmt_az1_uplink01_vlan</f>
        <v>Value Missing</v>
      </c>
      <c r="E17" s="18" t="str">
        <f>mgmt_az1_uplink01_cidr</f>
        <v>Value Missing</v>
      </c>
      <c r="F17" s="18" t="str">
        <f t="array" ref="F17">mgmt_az1_uplink01_network</f>
        <v>Value Missing</v>
      </c>
      <c r="G17" s="18" t="str">
        <f>mgmt_az1_uplink01_gateway_ip</f>
        <v>Value Missing</v>
      </c>
      <c r="H17" s="18" t="str">
        <f>mgmt_az1_uplink01_mtu</f>
        <v>Value Missing</v>
      </c>
      <c r="I17" s="41"/>
      <c r="J17" s="41"/>
      <c r="K17" s="41"/>
      <c r="L17" s="41"/>
      <c r="M17" s="41"/>
      <c r="N17" s="41"/>
      <c r="O17" s="41"/>
      <c r="P17" s="41"/>
      <c r="Q17" s="41"/>
      <c r="R17" s="41"/>
      <c r="S17" s="41"/>
      <c r="T17" s="41"/>
      <c r="U17" s="41"/>
      <c r="V17" s="41"/>
      <c r="W17" s="41"/>
      <c r="X17" s="41"/>
      <c r="Y17" s="41"/>
      <c r="Z17" s="41"/>
    </row>
    <row r="18" ht="19.5" customHeight="1">
      <c r="A18" s="41"/>
      <c r="B18" s="173" t="s">
        <v>3731</v>
      </c>
      <c r="C18" s="18" t="str">
        <f>mgmt_cl01_az1_uplink02_pg</f>
        <v>Value Missing</v>
      </c>
      <c r="D18" s="18" t="str">
        <f>mgmt_az1_uplink02_vlan</f>
        <v>Value Missing</v>
      </c>
      <c r="E18" s="18" t="str">
        <f>mgmt_az1_uplink02_cidr</f>
        <v>Value Missing</v>
      </c>
      <c r="F18" s="18" t="str">
        <f t="array" ref="F18">mgmt_az1_uplink02_network</f>
        <v>Value Missing</v>
      </c>
      <c r="G18" s="18" t="str">
        <f>mgmt_az1_uplink02_gateway_ip</f>
        <v>Value Missing</v>
      </c>
      <c r="H18" s="18" t="str">
        <f>mgmt_az1_uplink02_mtu</f>
        <v>Value Missing</v>
      </c>
      <c r="I18" s="41"/>
      <c r="J18" s="41"/>
      <c r="K18" s="41"/>
      <c r="L18" s="41"/>
      <c r="M18" s="41"/>
      <c r="N18" s="41"/>
      <c r="O18" s="41"/>
      <c r="P18" s="41"/>
      <c r="Q18" s="41"/>
      <c r="R18" s="41"/>
      <c r="S18" s="41"/>
      <c r="T18" s="41"/>
      <c r="U18" s="41"/>
      <c r="V18" s="41"/>
      <c r="W18" s="41"/>
      <c r="X18" s="41"/>
      <c r="Y18" s="41"/>
      <c r="Z18" s="41"/>
    </row>
    <row r="19" ht="19.5" customHeight="1">
      <c r="A19" s="41"/>
      <c r="B19" s="173" t="s">
        <v>1722</v>
      </c>
      <c r="C19" s="18" t="str">
        <f>mgmt_az1_edge_overlay_pg</f>
        <v>N/A</v>
      </c>
      <c r="D19" s="18" t="str">
        <f>mgmt_az1_edge_overlay_vlan</f>
        <v>Value Missing</v>
      </c>
      <c r="E19" s="18" t="str">
        <f>mgmt_az1_edge_overlay_cidr</f>
        <v>Value Missing</v>
      </c>
      <c r="F19" s="18" t="str">
        <f>mgmt_az1_edge_overlay_network</f>
        <v>Value Missing</v>
      </c>
      <c r="G19" s="18" t="str">
        <f>mgmt_az1_edge_overlay_gateway_ip</f>
        <v>Value Missing</v>
      </c>
      <c r="H19" s="18" t="str">
        <f>mgmt_az1_edge_overlay_mtu</f>
        <v>Value Missing</v>
      </c>
      <c r="I19" s="41"/>
      <c r="J19" s="41"/>
      <c r="K19" s="41"/>
      <c r="L19" s="41"/>
      <c r="M19" s="41"/>
      <c r="N19" s="41"/>
      <c r="O19" s="41"/>
      <c r="P19" s="41"/>
      <c r="Q19" s="41"/>
      <c r="R19" s="41"/>
      <c r="S19" s="41"/>
      <c r="T19" s="41"/>
      <c r="U19" s="41"/>
      <c r="V19" s="41"/>
      <c r="W19" s="41"/>
      <c r="X19" s="41"/>
      <c r="Y19" s="41"/>
      <c r="Z19" s="41"/>
    </row>
    <row r="20" ht="19.5" customHeight="1">
      <c r="A20" s="41"/>
      <c r="B20" s="84" t="s">
        <v>1807</v>
      </c>
      <c r="C20" s="18" t="str">
        <f>mgmt_az1_rtep_overlay_pg</f>
        <v>N/A</v>
      </c>
      <c r="D20" s="18" t="str">
        <f>mgmt_az1_rtep_overlay_vlan</f>
        <v>Value Missing</v>
      </c>
      <c r="E20" s="18" t="str">
        <f>mgmt_az1_rtep_overlay_cidr</f>
        <v>Value Missing</v>
      </c>
      <c r="F20" s="18" t="str">
        <f t="array" ref="F20">mgmt_az1_rtep_overlay_network</f>
        <v>Value Missing</v>
      </c>
      <c r="G20" s="18" t="str">
        <f>mgmt_az1_rtep_overlay_gateway_ip</f>
        <v>Value Missing</v>
      </c>
      <c r="H20" s="18" t="s">
        <v>502</v>
      </c>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33.75" customHeight="1">
      <c r="A22" s="41"/>
      <c r="B22" s="197" t="s">
        <v>3732</v>
      </c>
      <c r="C22" s="13"/>
      <c r="D22" s="13"/>
      <c r="E22" s="13"/>
      <c r="F22" s="13"/>
      <c r="G22" s="13"/>
      <c r="H22" s="38"/>
      <c r="I22" s="41"/>
      <c r="J22" s="41"/>
      <c r="K22" s="41"/>
      <c r="L22" s="41"/>
      <c r="M22" s="41"/>
      <c r="N22" s="41"/>
      <c r="O22" s="41"/>
      <c r="P22" s="41"/>
      <c r="Q22" s="41"/>
      <c r="R22" s="41"/>
      <c r="S22" s="41"/>
      <c r="T22" s="41"/>
      <c r="U22" s="41"/>
      <c r="V22" s="41"/>
      <c r="W22" s="41"/>
      <c r="X22" s="41"/>
      <c r="Y22" s="41"/>
      <c r="Z22" s="41"/>
    </row>
    <row r="23" ht="19.5" customHeight="1">
      <c r="A23" s="41"/>
      <c r="B23" s="103"/>
      <c r="C23" s="13"/>
      <c r="D23" s="13"/>
      <c r="E23" s="13"/>
      <c r="F23" s="13"/>
      <c r="G23" s="13"/>
      <c r="H23" s="38"/>
      <c r="I23" s="41"/>
      <c r="J23" s="41"/>
      <c r="K23" s="41"/>
      <c r="L23" s="41"/>
      <c r="M23" s="41"/>
      <c r="N23" s="41"/>
      <c r="O23" s="41"/>
      <c r="P23" s="41"/>
      <c r="Q23" s="41"/>
      <c r="R23" s="41"/>
      <c r="S23" s="41"/>
      <c r="T23" s="41"/>
      <c r="U23" s="41"/>
      <c r="V23" s="41"/>
      <c r="W23" s="41"/>
      <c r="X23" s="41"/>
      <c r="Y23" s="41"/>
      <c r="Z23" s="41"/>
    </row>
    <row r="24" ht="19.5" customHeight="1">
      <c r="A24" s="41"/>
      <c r="B24" s="108" t="s">
        <v>3724</v>
      </c>
      <c r="C24" s="108" t="s">
        <v>137</v>
      </c>
      <c r="D24" s="41"/>
      <c r="E24" s="41"/>
      <c r="F24" s="41"/>
      <c r="G24" s="41"/>
      <c r="H24" s="41"/>
      <c r="I24" s="41"/>
      <c r="J24" s="41"/>
      <c r="K24" s="41"/>
      <c r="L24" s="41"/>
      <c r="M24" s="41"/>
      <c r="N24" s="41"/>
      <c r="O24" s="41"/>
      <c r="P24" s="41"/>
      <c r="Q24" s="41"/>
      <c r="R24" s="41"/>
      <c r="S24" s="41"/>
      <c r="T24" s="41"/>
      <c r="U24" s="41"/>
      <c r="V24" s="41"/>
      <c r="W24" s="41"/>
      <c r="X24" s="41"/>
      <c r="Y24" s="41"/>
      <c r="Z24" s="41"/>
    </row>
    <row r="25" ht="19.5" customHeight="1">
      <c r="A25" s="41"/>
      <c r="B25" s="84" t="s">
        <v>1439</v>
      </c>
      <c r="C25" s="18" t="str">
        <f>mgmt_en_asn</f>
        <v>Value Missing</v>
      </c>
      <c r="D25" s="41"/>
      <c r="E25" s="41"/>
      <c r="F25" s="41"/>
      <c r="G25" s="41"/>
      <c r="H25" s="41"/>
      <c r="I25" s="41"/>
      <c r="J25" s="41"/>
      <c r="K25" s="41"/>
      <c r="L25" s="41"/>
      <c r="M25" s="41"/>
      <c r="N25" s="41"/>
      <c r="O25" s="41"/>
      <c r="P25" s="41"/>
      <c r="Q25" s="41"/>
      <c r="R25" s="41"/>
      <c r="S25" s="41"/>
      <c r="T25" s="41"/>
      <c r="U25" s="41"/>
      <c r="V25" s="41"/>
      <c r="W25" s="41"/>
      <c r="X25" s="41"/>
      <c r="Y25" s="41"/>
      <c r="Z25" s="41"/>
    </row>
    <row r="26" ht="19.5" customHeight="1">
      <c r="A26" s="41"/>
      <c r="B26" s="84" t="s">
        <v>658</v>
      </c>
      <c r="C26" s="18" t="str">
        <f>mgmt_az1_tor1_peer_ip</f>
        <v>Value Missing</v>
      </c>
      <c r="D26" s="41"/>
      <c r="E26" s="41"/>
      <c r="F26" s="41"/>
      <c r="G26" s="41"/>
      <c r="H26" s="41"/>
      <c r="I26" s="41"/>
      <c r="J26" s="41"/>
      <c r="K26" s="41"/>
      <c r="L26" s="41"/>
      <c r="M26" s="41"/>
      <c r="N26" s="41"/>
      <c r="O26" s="41"/>
      <c r="P26" s="41"/>
      <c r="Q26" s="41"/>
      <c r="R26" s="41"/>
      <c r="S26" s="41"/>
      <c r="T26" s="41"/>
      <c r="U26" s="41"/>
      <c r="V26" s="41"/>
      <c r="W26" s="41"/>
      <c r="X26" s="41"/>
      <c r="Y26" s="41"/>
      <c r="Z26" s="41"/>
    </row>
    <row r="27" ht="19.5" customHeight="1">
      <c r="A27" s="41"/>
      <c r="B27" s="84" t="s">
        <v>659</v>
      </c>
      <c r="C27" s="18" t="str">
        <f>mgmt_az1_tor1_peer_asn</f>
        <v>Value Missing</v>
      </c>
      <c r="D27" s="41"/>
      <c r="E27" s="41"/>
      <c r="F27" s="41"/>
      <c r="G27" s="41"/>
      <c r="H27" s="41"/>
      <c r="I27" s="41"/>
      <c r="J27" s="41"/>
      <c r="K27" s="41"/>
      <c r="L27" s="41"/>
      <c r="M27" s="41"/>
      <c r="N27" s="41"/>
      <c r="O27" s="41"/>
      <c r="P27" s="41"/>
      <c r="Q27" s="41"/>
      <c r="R27" s="41"/>
      <c r="S27" s="41"/>
      <c r="T27" s="41"/>
      <c r="U27" s="41"/>
      <c r="V27" s="41"/>
      <c r="W27" s="41"/>
      <c r="X27" s="41"/>
      <c r="Y27" s="41"/>
      <c r="Z27" s="41"/>
    </row>
    <row r="28" ht="19.5" customHeight="1">
      <c r="A28" s="41"/>
      <c r="B28" s="84" t="s">
        <v>660</v>
      </c>
      <c r="C28" s="18" t="str">
        <f>mgmt_az1_tor1_peer_bgp_password</f>
        <v>Value Missing</v>
      </c>
      <c r="D28" s="41"/>
      <c r="E28" s="41"/>
      <c r="F28" s="41"/>
      <c r="G28" s="41"/>
      <c r="H28" s="41"/>
      <c r="I28" s="41"/>
      <c r="J28" s="41"/>
      <c r="K28" s="41"/>
      <c r="L28" s="41"/>
      <c r="M28" s="41"/>
      <c r="N28" s="41"/>
      <c r="O28" s="41"/>
      <c r="P28" s="41"/>
      <c r="Q28" s="41"/>
      <c r="R28" s="41"/>
      <c r="S28" s="41"/>
      <c r="T28" s="41"/>
      <c r="U28" s="41"/>
      <c r="V28" s="41"/>
      <c r="W28" s="41"/>
      <c r="X28" s="41"/>
      <c r="Y28" s="41"/>
      <c r="Z28" s="41"/>
    </row>
    <row r="29" ht="19.5" customHeight="1">
      <c r="A29" s="41"/>
      <c r="B29" s="84" t="s">
        <v>661</v>
      </c>
      <c r="C29" s="18" t="str">
        <f>mgmt_az1_tor2_peer_ip</f>
        <v>Value Missing</v>
      </c>
      <c r="D29" s="41"/>
      <c r="E29" s="41"/>
      <c r="F29" s="41"/>
      <c r="G29" s="41"/>
      <c r="H29" s="41"/>
      <c r="I29" s="41"/>
      <c r="J29" s="41"/>
      <c r="K29" s="41"/>
      <c r="L29" s="41"/>
      <c r="M29" s="41"/>
      <c r="N29" s="41"/>
      <c r="O29" s="41"/>
      <c r="P29" s="41"/>
      <c r="Q29" s="41"/>
      <c r="R29" s="41"/>
      <c r="S29" s="41"/>
      <c r="T29" s="41"/>
      <c r="U29" s="41"/>
      <c r="V29" s="41"/>
      <c r="W29" s="41"/>
      <c r="X29" s="41"/>
      <c r="Y29" s="41"/>
      <c r="Z29" s="41"/>
    </row>
    <row r="30" ht="19.5" customHeight="1">
      <c r="A30" s="41"/>
      <c r="B30" s="84" t="s">
        <v>662</v>
      </c>
      <c r="C30" s="18" t="str">
        <f>mgmt_az1_tor2_peer_asn</f>
        <v>Value Missing</v>
      </c>
      <c r="D30" s="41"/>
      <c r="E30" s="41"/>
      <c r="F30" s="41"/>
      <c r="G30" s="41"/>
      <c r="H30" s="41"/>
      <c r="I30" s="41"/>
      <c r="J30" s="41"/>
      <c r="K30" s="41"/>
      <c r="L30" s="41"/>
      <c r="M30" s="41"/>
      <c r="N30" s="41"/>
      <c r="O30" s="41"/>
      <c r="P30" s="41"/>
      <c r="Q30" s="41"/>
      <c r="R30" s="41"/>
      <c r="S30" s="41"/>
      <c r="T30" s="41"/>
      <c r="U30" s="41"/>
      <c r="V30" s="41"/>
      <c r="W30" s="41"/>
      <c r="X30" s="41"/>
      <c r="Y30" s="41"/>
      <c r="Z30" s="41"/>
    </row>
    <row r="31" ht="19.5" customHeight="1">
      <c r="A31" s="41"/>
      <c r="B31" s="84" t="s">
        <v>663</v>
      </c>
      <c r="C31" s="18" t="str">
        <f>mgmt_az1_tor2_peer_bgp_password</f>
        <v>Value Missing</v>
      </c>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33.75" customHeight="1">
      <c r="A33" s="41"/>
      <c r="B33" s="197" t="s">
        <v>3733</v>
      </c>
      <c r="C33" s="13"/>
      <c r="D33" s="13"/>
      <c r="E33" s="13"/>
      <c r="F33" s="13"/>
      <c r="G33" s="13"/>
      <c r="H33" s="38"/>
      <c r="I33" s="41"/>
      <c r="J33" s="41"/>
      <c r="K33" s="41"/>
      <c r="L33" s="41"/>
      <c r="M33" s="41"/>
      <c r="N33" s="41"/>
      <c r="O33" s="41"/>
      <c r="P33" s="41"/>
      <c r="Q33" s="41"/>
      <c r="R33" s="41"/>
      <c r="S33" s="41"/>
      <c r="T33" s="41"/>
      <c r="U33" s="41"/>
      <c r="V33" s="41"/>
      <c r="W33" s="41"/>
      <c r="X33" s="41"/>
      <c r="Y33" s="41"/>
      <c r="Z33" s="41"/>
    </row>
    <row r="34" ht="19.5" customHeight="1">
      <c r="A34" s="41"/>
      <c r="B34" s="103"/>
      <c r="C34" s="13"/>
      <c r="D34" s="13"/>
      <c r="E34" s="13"/>
      <c r="F34" s="13"/>
      <c r="G34" s="13"/>
      <c r="H34" s="38"/>
      <c r="I34" s="41"/>
      <c r="J34" s="41"/>
      <c r="K34" s="41"/>
      <c r="L34" s="41"/>
      <c r="M34" s="41"/>
      <c r="N34" s="41"/>
      <c r="O34" s="41"/>
      <c r="P34" s="41"/>
      <c r="Q34" s="41"/>
      <c r="R34" s="41"/>
      <c r="S34" s="41"/>
      <c r="T34" s="41"/>
      <c r="U34" s="41"/>
      <c r="V34" s="41"/>
      <c r="W34" s="41"/>
      <c r="X34" s="41"/>
      <c r="Y34" s="41"/>
      <c r="Z34" s="41"/>
    </row>
    <row r="35" ht="19.5" customHeight="1">
      <c r="A35" s="41"/>
      <c r="B35" s="108" t="s">
        <v>3724</v>
      </c>
      <c r="C35" s="108" t="s">
        <v>3145</v>
      </c>
      <c r="D35" s="108" t="s">
        <v>401</v>
      </c>
      <c r="E35" s="108" t="s">
        <v>3726</v>
      </c>
      <c r="F35" s="108" t="s">
        <v>717</v>
      </c>
      <c r="G35" s="108" t="s">
        <v>402</v>
      </c>
      <c r="H35" s="108" t="s">
        <v>404</v>
      </c>
      <c r="I35" s="41"/>
      <c r="J35" s="41"/>
      <c r="K35" s="41"/>
      <c r="L35" s="41"/>
      <c r="M35" s="41"/>
      <c r="N35" s="41"/>
      <c r="O35" s="41"/>
      <c r="P35" s="41"/>
      <c r="Q35" s="41"/>
      <c r="R35" s="41"/>
      <c r="S35" s="41"/>
      <c r="T35" s="41"/>
      <c r="U35" s="41"/>
      <c r="V35" s="41"/>
      <c r="W35" s="41"/>
      <c r="X35" s="41"/>
      <c r="Y35" s="41"/>
      <c r="Z35" s="41"/>
    </row>
    <row r="36" ht="19.5" customHeight="1">
      <c r="A36" s="41"/>
      <c r="B36" s="84" t="s">
        <v>1710</v>
      </c>
      <c r="C36" s="18" t="str">
        <f>IF(mgmt_stretched_cluster_result="Excluded","Not Required",mgmt_cl01_az1_mgmt_vm_pg)</f>
        <v>Not Required</v>
      </c>
      <c r="D36" s="18" t="str">
        <f>IF(mgmt_stretched_cluster_result="Excluded","Not Required",mgmt_az1_mgmt_vm_vlan)</f>
        <v>Not Required</v>
      </c>
      <c r="E36" s="18" t="str">
        <f>IF(mgmt_stretched_cluster_result="Excluded","Not Required",mgmt_az1_mgmt_vm_cidr)</f>
        <v>Not Required</v>
      </c>
      <c r="F36" s="18" t="str">
        <f>IF(mgmt_stretched_cluster_result="Excluded","Not Required",mgmt_az1_mgmt_vm_network)</f>
        <v>Not Required</v>
      </c>
      <c r="G36" s="18" t="str">
        <f>IF(mgmt_stretched_cluster_result="Excluded","Not Required",mgmt_az1_mgmt_vm_gateway_ip)</f>
        <v>Not Required</v>
      </c>
      <c r="H36" s="18" t="str">
        <f>IF(mgmt_stretched_cluster_result="Excluded","Not Required",mgmt_az1_mgmt_vm_mtu)</f>
        <v>Not Required</v>
      </c>
      <c r="I36" s="41"/>
      <c r="J36" s="41"/>
      <c r="K36" s="41"/>
      <c r="L36" s="41"/>
      <c r="M36" s="41"/>
      <c r="N36" s="41"/>
      <c r="O36" s="41"/>
      <c r="P36" s="41"/>
      <c r="Q36" s="41"/>
      <c r="R36" s="41"/>
      <c r="S36" s="41"/>
      <c r="T36" s="41"/>
      <c r="U36" s="41"/>
      <c r="V36" s="41"/>
      <c r="W36" s="41"/>
      <c r="X36" s="41"/>
      <c r="Y36" s="41"/>
      <c r="Z36" s="41"/>
    </row>
    <row r="37" ht="19.5" customHeight="1">
      <c r="A37" s="41"/>
      <c r="B37" s="84" t="s">
        <v>3729</v>
      </c>
      <c r="C37" s="18" t="str">
        <f>mgmt_cl01_az2_mgmt_pg</f>
        <v>Value Missing</v>
      </c>
      <c r="D37" s="18" t="str">
        <f>mgmt_az2_mgmt_vlan</f>
        <v>Value Missing</v>
      </c>
      <c r="E37" s="18" t="str">
        <f>mgmt_az2_mgmt_cidr</f>
        <v>Value Missing</v>
      </c>
      <c r="F37" s="18" t="str">
        <f>mgmt_az2_mgmt_network</f>
        <v>Value Missing</v>
      </c>
      <c r="G37" s="18" t="str">
        <f>mgmt_az2_mgmt_gateway_ip</f>
        <v>Value Missing</v>
      </c>
      <c r="H37" s="18" t="str">
        <f>mgmt_az2_mgmt_mtu</f>
        <v>Value Missing</v>
      </c>
      <c r="I37" s="41"/>
      <c r="J37" s="41"/>
      <c r="K37" s="41"/>
      <c r="L37" s="41"/>
      <c r="M37" s="41"/>
      <c r="N37" s="41"/>
      <c r="O37" s="41"/>
      <c r="P37" s="41"/>
      <c r="Q37" s="41"/>
      <c r="R37" s="41"/>
      <c r="S37" s="41"/>
      <c r="T37" s="41"/>
      <c r="U37" s="41"/>
      <c r="V37" s="41"/>
      <c r="W37" s="41"/>
      <c r="X37" s="41"/>
      <c r="Y37" s="41"/>
      <c r="Z37" s="41"/>
    </row>
    <row r="38" ht="19.5" customHeight="1">
      <c r="A38" s="41"/>
      <c r="B38" s="84" t="s">
        <v>407</v>
      </c>
      <c r="C38" s="18" t="str">
        <f>mgmt_cl01_az2_vmotion_pg</f>
        <v>Value Missing</v>
      </c>
      <c r="D38" s="18" t="str">
        <f>mgmt_az2_vmotion_vlan</f>
        <v>Value Missing</v>
      </c>
      <c r="E38" s="18" t="str">
        <f>mgmt_az2_vmotion_cidr</f>
        <v>Value Missing</v>
      </c>
      <c r="F38" s="18" t="str">
        <f t="array" ref="F38">mgmt_az2_vmotion_network</f>
        <v>Value Missing</v>
      </c>
      <c r="G38" s="18" t="str">
        <f>mgmt_az2_vmotion_gateway_ip</f>
        <v>Value Missing</v>
      </c>
      <c r="H38" s="18" t="str">
        <f>mgmt_az2_vmotion_mtu</f>
        <v>Value Missing</v>
      </c>
      <c r="I38" s="41"/>
      <c r="J38" s="41"/>
      <c r="K38" s="41"/>
      <c r="L38" s="41"/>
      <c r="M38" s="41"/>
      <c r="N38" s="41"/>
      <c r="O38" s="41"/>
      <c r="P38" s="41"/>
      <c r="Q38" s="41"/>
      <c r="R38" s="41"/>
      <c r="S38" s="41"/>
      <c r="T38" s="41"/>
      <c r="U38" s="41"/>
      <c r="V38" s="41"/>
      <c r="W38" s="41"/>
      <c r="X38" s="41"/>
      <c r="Y38" s="41"/>
      <c r="Z38" s="41"/>
    </row>
    <row r="39" ht="19.5" customHeight="1">
      <c r="A39" s="41"/>
      <c r="B39" s="84" t="s">
        <v>410</v>
      </c>
      <c r="C39" s="18" t="str">
        <f>mgmt_cl01_az2_vsan_pg</f>
        <v>Value Missing</v>
      </c>
      <c r="D39" s="18" t="str">
        <f>mgmt_az2_vsan_vlan</f>
        <v>Value Missing</v>
      </c>
      <c r="E39" s="18" t="str">
        <f>mgmt_az2_vsan_cidr</f>
        <v>Value Missing</v>
      </c>
      <c r="F39" s="18" t="str">
        <f>mgmt_az2_vsan_network</f>
        <v>Value Missing</v>
      </c>
      <c r="G39" s="18" t="str">
        <f>mgmt_az2_vsan_gateway_ip</f>
        <v>Value Missing</v>
      </c>
      <c r="H39" s="18" t="str">
        <f>mgmt_az2_vsan_mtu</f>
        <v>Value Missing</v>
      </c>
      <c r="I39" s="41"/>
      <c r="J39" s="41"/>
      <c r="K39" s="41"/>
      <c r="L39" s="41"/>
      <c r="M39" s="41"/>
      <c r="N39" s="41"/>
      <c r="O39" s="41"/>
      <c r="P39" s="41"/>
      <c r="Q39" s="41"/>
      <c r="R39" s="41"/>
      <c r="S39" s="41"/>
      <c r="T39" s="41"/>
      <c r="U39" s="41"/>
      <c r="V39" s="41"/>
      <c r="W39" s="41"/>
      <c r="X39" s="41"/>
      <c r="Y39" s="41"/>
      <c r="Z39" s="41"/>
    </row>
    <row r="40" ht="19.5" customHeight="1">
      <c r="A40" s="41"/>
      <c r="B40" s="84" t="s">
        <v>1716</v>
      </c>
      <c r="C40" s="18" t="str">
        <f>mgmt_az2_host_overlay_pg</f>
        <v>N/A</v>
      </c>
      <c r="D40" s="18" t="str">
        <f>mgmt_az2_host_overlay_vlan</f>
        <v>Value Missing</v>
      </c>
      <c r="E40" s="18" t="str">
        <f>mgmt_az2_host_overlay_cidr</f>
        <v>Value Missing</v>
      </c>
      <c r="F40" s="18" t="str">
        <f>mgmt_az2_host_overlay_network</f>
        <v>Value Missing</v>
      </c>
      <c r="G40" s="18" t="str">
        <f>mgmt_az2_host_overlay_gateway_ip</f>
        <v>Value Missing</v>
      </c>
      <c r="H40" s="18" t="str">
        <f>IF(mgmt_stretched_cluster_result="Excluded","Not Required",mgmt_az2_host_overlay_mtu)</f>
        <v>Not Required</v>
      </c>
      <c r="I40" s="41"/>
      <c r="J40" s="41"/>
      <c r="K40" s="41"/>
      <c r="L40" s="41"/>
      <c r="M40" s="41"/>
      <c r="N40" s="41"/>
      <c r="O40" s="41"/>
      <c r="P40" s="41"/>
      <c r="Q40" s="41"/>
      <c r="R40" s="41"/>
      <c r="S40" s="41"/>
      <c r="T40" s="41"/>
      <c r="U40" s="41"/>
      <c r="V40" s="41"/>
      <c r="W40" s="41"/>
      <c r="X40" s="41"/>
      <c r="Y40" s="41"/>
      <c r="Z40" s="41"/>
    </row>
    <row r="41" ht="19.5" customHeight="1">
      <c r="A41" s="41"/>
      <c r="B41" s="84" t="s">
        <v>3734</v>
      </c>
      <c r="C41" s="18" t="str">
        <f>mgmt_vrms_pg</f>
        <v>Value Missing</v>
      </c>
      <c r="D41" s="18" t="str">
        <f>mgmt_az2_vrms_vlan</f>
        <v>Value Missing</v>
      </c>
      <c r="E41" s="18" t="str">
        <f>mgmt_az2_vrms_cidr</f>
        <v/>
      </c>
      <c r="F41" s="18" t="str">
        <f t="array" ref="F41">mgmt_az2_vrms_network</f>
        <v/>
      </c>
      <c r="G41" s="18" t="str">
        <f>mgmt_az2_vrms_gateway_ip</f>
        <v/>
      </c>
      <c r="H41" s="18" t="str">
        <f>mgmt_az2_vrms_mtu</f>
        <v/>
      </c>
      <c r="I41" s="41"/>
      <c r="J41" s="41"/>
      <c r="K41" s="41"/>
      <c r="L41" s="41"/>
      <c r="M41" s="41"/>
      <c r="N41" s="41"/>
      <c r="O41" s="41"/>
      <c r="P41" s="41"/>
      <c r="Q41" s="41"/>
      <c r="R41" s="41"/>
      <c r="S41" s="41"/>
      <c r="T41" s="41"/>
      <c r="U41" s="41"/>
      <c r="V41" s="41"/>
      <c r="W41" s="41"/>
      <c r="X41" s="41"/>
      <c r="Y41" s="41"/>
      <c r="Z41" s="41"/>
    </row>
    <row r="42" ht="19.5" customHeight="1">
      <c r="A42" s="41"/>
      <c r="B42" s="84" t="s">
        <v>3730</v>
      </c>
      <c r="C42" s="18" t="str">
        <f>IF(mgmt_stretched_cluster_result="Excluded","Not Required",mgmt_cl01_az1_uplink01_pg)</f>
        <v>Not Required</v>
      </c>
      <c r="D42" s="18" t="str">
        <f>IF(mgmt_stretched_cluster_result="Excluded","Not Required",mgmt_az2_uplink01_vlan)</f>
        <v>Not Required</v>
      </c>
      <c r="E42" s="18" t="str">
        <f>IF(mgmt_stretched_cluster_result="Excluded","Not Required",mgmt_az2_uplink01_cidr)</f>
        <v>Not Required</v>
      </c>
      <c r="F42" s="18" t="str">
        <f>IF(mgmt_stretched_cluster_result="Excluded","Not Required",mgmt_az2_uplink01_network)</f>
        <v>Not Required</v>
      </c>
      <c r="G42" s="18" t="str">
        <f>IF(mgmt_stretched_cluster_result="Excluded","Not Required",mgmt_az2_uplink01_gateway_ip)</f>
        <v>Not Required</v>
      </c>
      <c r="H42" s="18" t="str">
        <f>IF(mgmt_stretched_cluster_result="Excluded","Not Required",mgmt_az2_uplink01_mtu)</f>
        <v>Not Required</v>
      </c>
      <c r="I42" s="41"/>
      <c r="J42" s="41"/>
      <c r="K42" s="41"/>
      <c r="L42" s="41"/>
      <c r="M42" s="41"/>
      <c r="N42" s="41"/>
      <c r="O42" s="41"/>
      <c r="P42" s="41"/>
      <c r="Q42" s="41"/>
      <c r="R42" s="41"/>
      <c r="S42" s="41"/>
      <c r="T42" s="41"/>
      <c r="U42" s="41"/>
      <c r="V42" s="41"/>
      <c r="W42" s="41"/>
      <c r="X42" s="41"/>
      <c r="Y42" s="41"/>
      <c r="Z42" s="41"/>
    </row>
    <row r="43" ht="19.5" customHeight="1">
      <c r="A43" s="41"/>
      <c r="B43" s="173" t="s">
        <v>3731</v>
      </c>
      <c r="C43" s="18" t="str">
        <f>mgmt_cl01_az2_uplink01_pg</f>
        <v>Value Missing</v>
      </c>
      <c r="D43" s="18" t="str">
        <f>mgmt_az2_uplink02_vlan</f>
        <v>Value Missing</v>
      </c>
      <c r="E43" s="18" t="str">
        <f>IF(mgmt_stretched_cluster_result="Excluded","Not Required",mgmt_az2_uplink02_cidr)</f>
        <v>Not Required</v>
      </c>
      <c r="F43" s="18" t="str">
        <f>IF(mgmt_stretched_cluster_result="Excluded","Not Required",mgmt_az2_uplink02_network)</f>
        <v>Not Required</v>
      </c>
      <c r="G43" s="18" t="str">
        <f>IF(mgmt_stretched_cluster_result="Excluded","Not Required",mgmt_az2_uplink02_gateway_ip)</f>
        <v>Not Required</v>
      </c>
      <c r="H43" s="18" t="str">
        <f>IF(mgmt_stretched_cluster_result="Excluded","Not Required",mgmt_az2_uplink02_mtu)</f>
        <v>Not Required</v>
      </c>
      <c r="I43" s="41"/>
      <c r="J43" s="41"/>
      <c r="K43" s="41"/>
      <c r="L43" s="41"/>
      <c r="M43" s="41"/>
      <c r="N43" s="41"/>
      <c r="O43" s="41"/>
      <c r="P43" s="41"/>
      <c r="Q43" s="41"/>
      <c r="R43" s="41"/>
      <c r="S43" s="41"/>
      <c r="T43" s="41"/>
      <c r="U43" s="41"/>
      <c r="V43" s="41"/>
      <c r="W43" s="41"/>
      <c r="X43" s="41"/>
      <c r="Y43" s="41"/>
      <c r="Z43" s="41"/>
    </row>
    <row r="44" ht="19.5" customHeight="1">
      <c r="A44" s="41"/>
      <c r="B44" s="173" t="s">
        <v>1722</v>
      </c>
      <c r="C44" s="18" t="str">
        <f t="array" ref="C44">mgmt_az2_edge_overlay_pg</f>
        <v>N/A</v>
      </c>
      <c r="D44" s="18" t="str">
        <f>mgmt_az2_edge_overlay_vlan</f>
        <v>Value Missing</v>
      </c>
      <c r="E44" s="18" t="str">
        <f>IF(mgmt_stretched_cluster_result="Excluded","Not Required",mgmt_az1_edge_overlay_cidr)</f>
        <v>Not Required</v>
      </c>
      <c r="F44" s="18" t="str">
        <f>IF(mgmt_stretched_cluster_result="Excluded","Not Required",mgmt_az1_edge_overlay_network)</f>
        <v>Not Required</v>
      </c>
      <c r="G44" s="18" t="str">
        <f>IF(mgmt_stretched_cluster_result="Excluded","Not Required",mgmt_az1_edge_overlay_gateway_ip)</f>
        <v>Not Required</v>
      </c>
      <c r="H44" s="18" t="str">
        <f>IF(mgmt_stretched_cluster_result="Excluded","Not Required",mgmt_az1_edge_overlay_mtu)</f>
        <v>Not Required</v>
      </c>
      <c r="I44" s="41"/>
      <c r="J44" s="41"/>
      <c r="K44" s="41"/>
      <c r="L44" s="41"/>
      <c r="M44" s="41"/>
      <c r="N44" s="41"/>
      <c r="O44" s="41"/>
      <c r="P44" s="41"/>
      <c r="Q44" s="41"/>
      <c r="R44" s="41"/>
      <c r="S44" s="41"/>
      <c r="T44" s="41"/>
      <c r="U44" s="41"/>
      <c r="V44" s="41"/>
      <c r="W44" s="41"/>
      <c r="X44" s="41"/>
      <c r="Y44" s="41"/>
      <c r="Z44" s="41"/>
    </row>
    <row r="45" ht="19.5" customHeight="1">
      <c r="A45" s="41"/>
      <c r="B45" s="84" t="s">
        <v>1807</v>
      </c>
      <c r="C45" s="18" t="str">
        <f>mgmt_az1_rtep_overlay_pg</f>
        <v>N/A</v>
      </c>
      <c r="D45" s="18" t="str">
        <f>mgmt_az1_rtep_overlay_vlan</f>
        <v>Value Missing</v>
      </c>
      <c r="E45" s="18" t="str">
        <f>mgmt_az1_rtep_overlay_cidr</f>
        <v>Value Missing</v>
      </c>
      <c r="F45" s="18" t="str">
        <f>mgmt_az1_rtep_overlay_network</f>
        <v>Value Missing</v>
      </c>
      <c r="G45" s="18" t="str">
        <f>mgmt_az2_rtep_overlay_gateway_ip</f>
        <v>Value Missing</v>
      </c>
      <c r="H45" s="18" t="s">
        <v>502</v>
      </c>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33.75" customHeight="1">
      <c r="A47" s="41"/>
      <c r="B47" s="197" t="s">
        <v>3735</v>
      </c>
      <c r="C47" s="13"/>
      <c r="D47" s="13"/>
      <c r="E47" s="13"/>
      <c r="F47" s="13"/>
      <c r="G47" s="13"/>
      <c r="H47" s="38"/>
      <c r="I47" s="41"/>
      <c r="J47" s="41"/>
      <c r="K47" s="41"/>
      <c r="L47" s="41"/>
      <c r="M47" s="41"/>
      <c r="N47" s="41"/>
      <c r="O47" s="41"/>
      <c r="P47" s="41"/>
      <c r="Q47" s="41"/>
      <c r="R47" s="41"/>
      <c r="S47" s="41"/>
      <c r="T47" s="41"/>
      <c r="U47" s="41"/>
      <c r="V47" s="41"/>
      <c r="W47" s="41"/>
      <c r="X47" s="41"/>
      <c r="Y47" s="41"/>
      <c r="Z47" s="41"/>
    </row>
    <row r="48" ht="19.5" customHeight="1">
      <c r="A48" s="41"/>
      <c r="B48" s="103"/>
      <c r="C48" s="13"/>
      <c r="D48" s="13"/>
      <c r="E48" s="13"/>
      <c r="F48" s="13"/>
      <c r="G48" s="13"/>
      <c r="H48" s="38"/>
      <c r="I48" s="41"/>
      <c r="J48" s="41"/>
      <c r="K48" s="41"/>
      <c r="L48" s="41"/>
      <c r="M48" s="41"/>
      <c r="N48" s="41"/>
      <c r="O48" s="41"/>
      <c r="P48" s="41"/>
      <c r="Q48" s="41"/>
      <c r="R48" s="41"/>
      <c r="S48" s="41"/>
      <c r="T48" s="41"/>
      <c r="U48" s="41"/>
      <c r="V48" s="41"/>
      <c r="W48" s="41"/>
      <c r="X48" s="41"/>
      <c r="Y48" s="41"/>
      <c r="Z48" s="41"/>
    </row>
    <row r="49" ht="19.5" customHeight="1">
      <c r="A49" s="41"/>
      <c r="B49" s="108" t="s">
        <v>3724</v>
      </c>
      <c r="C49" s="108" t="s">
        <v>137</v>
      </c>
      <c r="D49" s="41"/>
      <c r="E49" s="41"/>
      <c r="F49" s="41"/>
      <c r="G49" s="41"/>
      <c r="H49" s="41"/>
      <c r="I49" s="41"/>
      <c r="J49" s="41"/>
      <c r="K49" s="41"/>
      <c r="L49" s="41"/>
      <c r="M49" s="41"/>
      <c r="N49" s="41"/>
      <c r="O49" s="41"/>
      <c r="P49" s="41"/>
      <c r="Q49" s="41"/>
      <c r="R49" s="41"/>
      <c r="S49" s="41"/>
      <c r="T49" s="41"/>
      <c r="U49" s="41"/>
      <c r="V49" s="41"/>
      <c r="W49" s="41"/>
      <c r="X49" s="41"/>
      <c r="Y49" s="41"/>
      <c r="Z49" s="41"/>
    </row>
    <row r="50" ht="19.5" customHeight="1">
      <c r="A50" s="41"/>
      <c r="B50" s="84" t="s">
        <v>1439</v>
      </c>
      <c r="C50" s="18" t="str">
        <f>IF(mgmt_stretched_cluster_result="Excluded","Not Required",mgmt_en_asn)</f>
        <v>Not Required</v>
      </c>
      <c r="D50" s="41"/>
      <c r="E50" s="41"/>
      <c r="F50" s="41"/>
      <c r="G50" s="41"/>
      <c r="H50" s="41"/>
      <c r="I50" s="41"/>
      <c r="J50" s="41"/>
      <c r="K50" s="41"/>
      <c r="L50" s="41"/>
      <c r="M50" s="41"/>
      <c r="N50" s="41"/>
      <c r="O50" s="41"/>
      <c r="P50" s="41"/>
      <c r="Q50" s="41"/>
      <c r="R50" s="41"/>
      <c r="S50" s="41"/>
      <c r="T50" s="41"/>
      <c r="U50" s="41"/>
      <c r="V50" s="41"/>
      <c r="W50" s="41"/>
      <c r="X50" s="41"/>
      <c r="Y50" s="41"/>
      <c r="Z50" s="41"/>
    </row>
    <row r="51" ht="19.5" customHeight="1">
      <c r="A51" s="41"/>
      <c r="B51" s="84" t="s">
        <v>658</v>
      </c>
      <c r="C51" s="18" t="str">
        <f>IF(mgmt_stretched_cluster_result="Excluded","Not Required",mgmt_az1_tor1_peer_ip)</f>
        <v>Not Required</v>
      </c>
      <c r="D51" s="41"/>
      <c r="E51" s="41"/>
      <c r="F51" s="41"/>
      <c r="G51" s="41"/>
      <c r="H51" s="41"/>
      <c r="I51" s="41"/>
      <c r="J51" s="41"/>
      <c r="K51" s="41"/>
      <c r="L51" s="41"/>
      <c r="M51" s="41"/>
      <c r="N51" s="41"/>
      <c r="O51" s="41"/>
      <c r="P51" s="41"/>
      <c r="Q51" s="41"/>
      <c r="R51" s="41"/>
      <c r="S51" s="41"/>
      <c r="T51" s="41"/>
      <c r="U51" s="41"/>
      <c r="V51" s="41"/>
      <c r="W51" s="41"/>
      <c r="X51" s="41"/>
      <c r="Y51" s="41"/>
      <c r="Z51" s="41"/>
    </row>
    <row r="52" ht="19.5" customHeight="1">
      <c r="A52" s="41"/>
      <c r="B52" s="84" t="s">
        <v>659</v>
      </c>
      <c r="C52" s="18" t="str">
        <f>IF(mgmt_stretched_cluster_result="Excluded","Not Required",mgmt_az1_tor1_peer_asn)</f>
        <v>Not Required</v>
      </c>
      <c r="D52" s="41"/>
      <c r="E52" s="41"/>
      <c r="F52" s="41"/>
      <c r="G52" s="41"/>
      <c r="H52" s="41"/>
      <c r="I52" s="41"/>
      <c r="J52" s="41"/>
      <c r="K52" s="41"/>
      <c r="L52" s="41"/>
      <c r="M52" s="41"/>
      <c r="N52" s="41"/>
      <c r="O52" s="41"/>
      <c r="P52" s="41"/>
      <c r="Q52" s="41"/>
      <c r="R52" s="41"/>
      <c r="S52" s="41"/>
      <c r="T52" s="41"/>
      <c r="U52" s="41"/>
      <c r="V52" s="41"/>
      <c r="W52" s="41"/>
      <c r="X52" s="41"/>
      <c r="Y52" s="41"/>
      <c r="Z52" s="41"/>
    </row>
    <row r="53" ht="19.5" customHeight="1">
      <c r="A53" s="41"/>
      <c r="B53" s="84" t="s">
        <v>660</v>
      </c>
      <c r="C53" s="18" t="str">
        <f>IF(mgmt_stretched_cluster_result="Excluded","Not Required",mgmt_az1_tor1_peer_bgp_password)</f>
        <v>Not Required</v>
      </c>
      <c r="D53" s="41"/>
      <c r="E53" s="41"/>
      <c r="F53" s="41"/>
      <c r="G53" s="41"/>
      <c r="H53" s="41"/>
      <c r="I53" s="41"/>
      <c r="J53" s="41"/>
      <c r="K53" s="41"/>
      <c r="L53" s="41"/>
      <c r="M53" s="41"/>
      <c r="N53" s="41"/>
      <c r="O53" s="41"/>
      <c r="P53" s="41"/>
      <c r="Q53" s="41"/>
      <c r="R53" s="41"/>
      <c r="S53" s="41"/>
      <c r="T53" s="41"/>
      <c r="U53" s="41"/>
      <c r="V53" s="41"/>
      <c r="W53" s="41"/>
      <c r="X53" s="41"/>
      <c r="Y53" s="41"/>
      <c r="Z53" s="41"/>
    </row>
    <row r="54" ht="19.5" customHeight="1">
      <c r="A54" s="41"/>
      <c r="B54" s="84" t="s">
        <v>661</v>
      </c>
      <c r="C54" s="18" t="str">
        <f>IF(mgmt_stretched_cluster_result="Excluded","Not Required",mgmt_az1_tor2_peer_ip)</f>
        <v>Not Required</v>
      </c>
      <c r="D54" s="41"/>
      <c r="E54" s="41"/>
      <c r="F54" s="41"/>
      <c r="G54" s="41"/>
      <c r="H54" s="41"/>
      <c r="I54" s="41"/>
      <c r="J54" s="41"/>
      <c r="K54" s="41"/>
      <c r="L54" s="41"/>
      <c r="M54" s="41"/>
      <c r="N54" s="41"/>
      <c r="O54" s="41"/>
      <c r="P54" s="41"/>
      <c r="Q54" s="41"/>
      <c r="R54" s="41"/>
      <c r="S54" s="41"/>
      <c r="T54" s="41"/>
      <c r="U54" s="41"/>
      <c r="V54" s="41"/>
      <c r="W54" s="41"/>
      <c r="X54" s="41"/>
      <c r="Y54" s="41"/>
      <c r="Z54" s="41"/>
    </row>
    <row r="55" ht="19.5" customHeight="1">
      <c r="A55" s="41"/>
      <c r="B55" s="84" t="s">
        <v>662</v>
      </c>
      <c r="C55" s="18" t="str">
        <f>IF(mgmt_stretched_cluster_result="Excluded","Not Required",mgmt_az1_tor2_peer_asn)</f>
        <v>Not Required</v>
      </c>
      <c r="D55" s="41"/>
      <c r="E55" s="41"/>
      <c r="F55" s="41"/>
      <c r="G55" s="41"/>
      <c r="H55" s="41"/>
      <c r="I55" s="41"/>
      <c r="J55" s="41"/>
      <c r="K55" s="41"/>
      <c r="L55" s="41"/>
      <c r="M55" s="41"/>
      <c r="N55" s="41"/>
      <c r="O55" s="41"/>
      <c r="P55" s="41"/>
      <c r="Q55" s="41"/>
      <c r="R55" s="41"/>
      <c r="S55" s="41"/>
      <c r="T55" s="41"/>
      <c r="U55" s="41"/>
      <c r="V55" s="41"/>
      <c r="W55" s="41"/>
      <c r="X55" s="41"/>
      <c r="Y55" s="41"/>
      <c r="Z55" s="41"/>
    </row>
    <row r="56" ht="19.5" customHeight="1">
      <c r="A56" s="41"/>
      <c r="B56" s="84" t="s">
        <v>663</v>
      </c>
      <c r="C56" s="18" t="str">
        <f>IF(mgmt_stretched_cluster_result="Excluded","Not Required",mgmt_az1_tor2_peer_bgp_password)</f>
        <v>Not Required</v>
      </c>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33.75" customHeight="1">
      <c r="A58" s="41"/>
      <c r="B58" s="197" t="s">
        <v>3733</v>
      </c>
      <c r="C58" s="13"/>
      <c r="D58" s="13"/>
      <c r="E58" s="13"/>
      <c r="F58" s="13"/>
      <c r="G58" s="13"/>
      <c r="H58" s="38"/>
      <c r="I58" s="41"/>
      <c r="J58" s="41"/>
      <c r="K58" s="41"/>
      <c r="L58" s="41"/>
      <c r="M58" s="41"/>
      <c r="N58" s="41"/>
      <c r="O58" s="41"/>
      <c r="P58" s="41"/>
      <c r="Q58" s="41"/>
      <c r="R58" s="41"/>
      <c r="S58" s="41"/>
      <c r="T58" s="41"/>
      <c r="U58" s="41"/>
      <c r="V58" s="41"/>
      <c r="W58" s="41"/>
      <c r="X58" s="41"/>
      <c r="Y58" s="41"/>
      <c r="Z58" s="41"/>
    </row>
    <row r="59" ht="19.5" customHeight="1">
      <c r="A59" s="41"/>
      <c r="B59" s="103"/>
      <c r="C59" s="13"/>
      <c r="D59" s="13"/>
      <c r="E59" s="13"/>
      <c r="F59" s="13"/>
      <c r="G59" s="13"/>
      <c r="H59" s="38"/>
      <c r="I59" s="41"/>
      <c r="J59" s="41"/>
      <c r="K59" s="41"/>
      <c r="L59" s="41"/>
      <c r="M59" s="41"/>
      <c r="N59" s="41"/>
      <c r="O59" s="41"/>
      <c r="P59" s="41"/>
      <c r="Q59" s="41"/>
      <c r="R59" s="41"/>
      <c r="S59" s="41"/>
      <c r="T59" s="41"/>
      <c r="U59" s="41"/>
      <c r="V59" s="41"/>
      <c r="W59" s="41"/>
      <c r="X59" s="41"/>
      <c r="Y59" s="41"/>
      <c r="Z59" s="41"/>
    </row>
    <row r="60" ht="19.5" customHeight="1">
      <c r="A60" s="41"/>
      <c r="B60" s="108" t="s">
        <v>3724</v>
      </c>
      <c r="C60" s="108" t="s">
        <v>3145</v>
      </c>
      <c r="D60" s="108" t="s">
        <v>401</v>
      </c>
      <c r="E60" s="108" t="s">
        <v>3726</v>
      </c>
      <c r="F60" s="108" t="s">
        <v>717</v>
      </c>
      <c r="G60" s="108" t="s">
        <v>402</v>
      </c>
      <c r="H60" s="108" t="s">
        <v>404</v>
      </c>
      <c r="I60" s="41"/>
      <c r="J60" s="41"/>
      <c r="K60" s="41"/>
      <c r="L60" s="41"/>
      <c r="M60" s="41"/>
      <c r="N60" s="41"/>
      <c r="O60" s="41"/>
      <c r="P60" s="41"/>
      <c r="Q60" s="41"/>
      <c r="R60" s="41"/>
      <c r="S60" s="41"/>
      <c r="T60" s="41"/>
      <c r="U60" s="41"/>
      <c r="V60" s="41"/>
      <c r="W60" s="41"/>
      <c r="X60" s="41"/>
      <c r="Y60" s="41"/>
      <c r="Z60" s="41"/>
    </row>
    <row r="61" ht="19.5" customHeight="1">
      <c r="A61" s="41"/>
      <c r="B61" s="84" t="s">
        <v>1710</v>
      </c>
      <c r="C61" s="18" t="str">
        <f>IF(mgmt_stretched_cluster_result="Excluded","Not Required",mgmt_witness_mgmt_pg)</f>
        <v>Not Required</v>
      </c>
      <c r="D61" s="18" t="str">
        <f>IF(mgmt_stretched_cluster_result="Excluded","Not Required",mgmt_witnessaz_mgmt_vlan)</f>
        <v>Not Required</v>
      </c>
      <c r="E61" s="18" t="str">
        <f>IF(mgmt_stretched_cluster_result="Excluded","Not Required",mgmt_witnessaz_mgmt_cidr)</f>
        <v>Not Required</v>
      </c>
      <c r="F61" s="18" t="str">
        <f>IF(mgmt_stretched_cluster_result="Excluded","Not Required",mgmt_witnessaz_mgmt_cidr)</f>
        <v>Not Required</v>
      </c>
      <c r="G61" s="18" t="str">
        <f>IF(mgmt_stretched_cluster_result="Excluded","Not Required",mgmt_witnessaz_mgmt_gateway_ip)</f>
        <v>Not Required</v>
      </c>
      <c r="H61" s="18" t="str">
        <f>IF(mgmt_stretched_cluster_result="Excluded","Not Required",mgmt_witnessaz_mgmt_mtu)</f>
        <v>Not Required</v>
      </c>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31.5" customHeight="1">
      <c r="A63" s="41"/>
      <c r="B63" s="197" t="s">
        <v>3736</v>
      </c>
      <c r="C63" s="13"/>
      <c r="D63" s="13"/>
      <c r="E63" s="13"/>
      <c r="F63" s="13"/>
      <c r="G63" s="13"/>
      <c r="H63" s="38"/>
      <c r="I63" s="41"/>
      <c r="J63" s="41"/>
      <c r="K63" s="41"/>
      <c r="L63" s="41"/>
      <c r="M63" s="41"/>
      <c r="N63" s="41"/>
      <c r="O63" s="41"/>
      <c r="P63" s="41"/>
      <c r="Q63" s="41"/>
      <c r="R63" s="41"/>
      <c r="S63" s="41"/>
      <c r="T63" s="41"/>
      <c r="U63" s="41"/>
      <c r="V63" s="41"/>
      <c r="W63" s="41"/>
      <c r="X63" s="41"/>
      <c r="Y63" s="41"/>
      <c r="Z63" s="41"/>
    </row>
    <row r="64" ht="19.5" customHeight="1">
      <c r="A64" s="41"/>
      <c r="B64" s="103" t="s">
        <v>3712</v>
      </c>
      <c r="C64" s="13"/>
      <c r="D64" s="13"/>
      <c r="E64" s="13"/>
      <c r="F64" s="13"/>
      <c r="G64" s="13"/>
      <c r="H64" s="38"/>
      <c r="I64" s="41"/>
      <c r="J64" s="41"/>
      <c r="K64" s="41"/>
      <c r="L64" s="41"/>
      <c r="M64" s="41"/>
      <c r="N64" s="41"/>
      <c r="O64" s="41"/>
      <c r="P64" s="41"/>
      <c r="Q64" s="41"/>
      <c r="R64" s="41"/>
      <c r="S64" s="41"/>
      <c r="T64" s="41"/>
      <c r="U64" s="41"/>
      <c r="V64" s="41"/>
      <c r="W64" s="41"/>
      <c r="X64" s="41"/>
      <c r="Y64" s="41"/>
      <c r="Z64" s="41"/>
    </row>
    <row r="65" ht="19.5" customHeight="1">
      <c r="A65" s="41"/>
      <c r="B65" s="108" t="s">
        <v>3724</v>
      </c>
      <c r="C65" s="108" t="s">
        <v>537</v>
      </c>
      <c r="D65" s="108" t="s">
        <v>760</v>
      </c>
      <c r="E65" s="108" t="s">
        <v>3737</v>
      </c>
      <c r="F65" s="41"/>
      <c r="G65" s="41"/>
      <c r="H65" s="41"/>
      <c r="I65" s="41"/>
      <c r="J65" s="41"/>
      <c r="K65" s="41"/>
      <c r="L65" s="41"/>
      <c r="M65" s="41"/>
      <c r="N65" s="41"/>
      <c r="O65" s="41"/>
      <c r="P65" s="41"/>
      <c r="Q65" s="41"/>
      <c r="R65" s="41"/>
      <c r="S65" s="41"/>
      <c r="T65" s="41"/>
      <c r="U65" s="41"/>
      <c r="V65" s="41"/>
      <c r="W65" s="41"/>
      <c r="X65" s="41"/>
      <c r="Y65" s="41"/>
      <c r="Z65" s="41"/>
    </row>
    <row r="66" ht="19.5" customHeight="1">
      <c r="A66" s="41"/>
      <c r="B66" s="84" t="s">
        <v>697</v>
      </c>
      <c r="C66" s="18" t="str">
        <f>mgmt_az1_host1_fqdn</f>
        <v>Value Missing</v>
      </c>
      <c r="D66" s="18" t="str">
        <f>mgmt_az1_host1_hostname</f>
        <v>Value Missing</v>
      </c>
      <c r="E66" s="18" t="str">
        <f>mgmt_az1_host1_mgmt_ip</f>
        <v>Value Missing</v>
      </c>
      <c r="F66" s="41"/>
      <c r="G66" s="41"/>
      <c r="H66" s="41"/>
      <c r="I66" s="41"/>
      <c r="J66" s="41"/>
      <c r="K66" s="41"/>
      <c r="L66" s="41"/>
      <c r="M66" s="41"/>
      <c r="N66" s="41"/>
      <c r="O66" s="41"/>
      <c r="P66" s="41"/>
      <c r="Q66" s="41"/>
      <c r="R66" s="41"/>
      <c r="S66" s="41"/>
      <c r="T66" s="41"/>
      <c r="U66" s="41"/>
      <c r="V66" s="41"/>
      <c r="W66" s="41"/>
      <c r="X66" s="41"/>
      <c r="Y66" s="41"/>
      <c r="Z66" s="41"/>
    </row>
    <row r="67" ht="19.5" customHeight="1">
      <c r="A67" s="41"/>
      <c r="B67" s="84" t="s">
        <v>698</v>
      </c>
      <c r="C67" s="18" t="str">
        <f>mgmt_az1_host2_fqdn</f>
        <v>Value Missing</v>
      </c>
      <c r="D67" s="18" t="str">
        <f>mgmt_az1_host2_hostname</f>
        <v>Value Missing</v>
      </c>
      <c r="E67" s="18" t="str">
        <f>mgmt_az1_host2_mgmt_ip</f>
        <v>Value Missing</v>
      </c>
      <c r="F67" s="41"/>
      <c r="G67" s="41"/>
      <c r="H67" s="41"/>
      <c r="I67" s="41"/>
      <c r="J67" s="41"/>
      <c r="K67" s="41"/>
      <c r="L67" s="41"/>
      <c r="M67" s="41"/>
      <c r="N67" s="41"/>
      <c r="O67" s="41"/>
      <c r="P67" s="41"/>
      <c r="Q67" s="41"/>
      <c r="R67" s="41"/>
      <c r="S67" s="41"/>
      <c r="T67" s="41"/>
      <c r="U67" s="41"/>
      <c r="V67" s="41"/>
      <c r="W67" s="41"/>
      <c r="X67" s="41"/>
      <c r="Y67" s="41"/>
      <c r="Z67" s="41"/>
    </row>
    <row r="68" ht="19.5" customHeight="1">
      <c r="A68" s="41"/>
      <c r="B68" s="84" t="s">
        <v>699</v>
      </c>
      <c r="C68" s="18" t="str">
        <f>mgmt_az1_host3_fqdn</f>
        <v>Value Missing</v>
      </c>
      <c r="D68" s="18" t="str">
        <f>mgmt_az1_host3_hostname</f>
        <v>Value Missing</v>
      </c>
      <c r="E68" s="18" t="str">
        <f>mgmt_az1_host3_mgmt_ip</f>
        <v>Value Missing</v>
      </c>
      <c r="F68" s="41"/>
      <c r="G68" s="41"/>
      <c r="H68" s="41"/>
      <c r="I68" s="41"/>
      <c r="J68" s="41"/>
      <c r="K68" s="41"/>
      <c r="L68" s="41"/>
      <c r="M68" s="41"/>
      <c r="N68" s="41"/>
      <c r="O68" s="41"/>
      <c r="P68" s="41"/>
      <c r="Q68" s="41"/>
      <c r="R68" s="41"/>
      <c r="S68" s="41"/>
      <c r="T68" s="41"/>
      <c r="U68" s="41"/>
      <c r="V68" s="41"/>
      <c r="W68" s="41"/>
      <c r="X68" s="41"/>
      <c r="Y68" s="41"/>
      <c r="Z68" s="41"/>
    </row>
    <row r="69" ht="19.5" customHeight="1">
      <c r="A69" s="41"/>
      <c r="B69" s="84" t="s">
        <v>700</v>
      </c>
      <c r="C69" s="18" t="str">
        <f>mgmt_az1_host4_fqdn</f>
        <v>Value Missing</v>
      </c>
      <c r="D69" s="18" t="str">
        <f>mgmt_az1_host4_hostname</f>
        <v>Value Missing</v>
      </c>
      <c r="E69" s="18" t="str">
        <f>mgmt_az1_host4_mgmt_ip</f>
        <v>Value Missing</v>
      </c>
      <c r="F69" s="41"/>
      <c r="G69" s="41"/>
      <c r="H69" s="41"/>
      <c r="I69" s="41"/>
      <c r="J69" s="41"/>
      <c r="K69" s="41"/>
      <c r="L69" s="41"/>
      <c r="M69" s="41"/>
      <c r="N69" s="41"/>
      <c r="O69" s="41"/>
      <c r="P69" s="41"/>
      <c r="Q69" s="41"/>
      <c r="R69" s="41"/>
      <c r="S69" s="41"/>
      <c r="T69" s="41"/>
      <c r="U69" s="41"/>
      <c r="V69" s="41"/>
      <c r="W69" s="41"/>
      <c r="X69" s="41"/>
      <c r="Y69" s="41"/>
      <c r="Z69" s="41"/>
    </row>
    <row r="70" ht="19.5" customHeight="1">
      <c r="A70" s="41"/>
      <c r="B70" s="84" t="s">
        <v>701</v>
      </c>
      <c r="C70" s="18" t="str">
        <f>mgmt_az1_host5_fqdn</f>
        <v>Value Missing</v>
      </c>
      <c r="D70" s="18" t="str">
        <f>mgmt_az1_host5_hostname</f>
        <v>Value Missing</v>
      </c>
      <c r="E70" s="18" t="str">
        <f>mgmt_az1_host5_mgmt_ip</f>
        <v>Value Missing</v>
      </c>
      <c r="F70" s="41"/>
      <c r="G70" s="41"/>
      <c r="H70" s="41"/>
      <c r="I70" s="41"/>
      <c r="J70" s="41"/>
      <c r="K70" s="41"/>
      <c r="L70" s="41"/>
      <c r="M70" s="41"/>
      <c r="N70" s="41"/>
      <c r="O70" s="41"/>
      <c r="P70" s="41"/>
      <c r="Q70" s="41"/>
      <c r="R70" s="41"/>
      <c r="S70" s="41"/>
      <c r="T70" s="41"/>
      <c r="U70" s="41"/>
      <c r="V70" s="41"/>
      <c r="W70" s="41"/>
      <c r="X70" s="41"/>
      <c r="Y70" s="41"/>
      <c r="Z70" s="41"/>
    </row>
    <row r="71" ht="19.5" customHeight="1">
      <c r="A71" s="41"/>
      <c r="B71" s="84" t="s">
        <v>702</v>
      </c>
      <c r="C71" s="18" t="str">
        <f>mgmt_az1_host6_fqdn</f>
        <v>Value Missing</v>
      </c>
      <c r="D71" s="18" t="str">
        <f>mgmt_az1_host6_hostname</f>
        <v>Value Missing</v>
      </c>
      <c r="E71" s="18" t="str">
        <f>mgmt_az1_host6_mgmt_ip</f>
        <v>Value Missing</v>
      </c>
      <c r="F71" s="41"/>
      <c r="G71" s="41"/>
      <c r="H71" s="41"/>
      <c r="I71" s="41"/>
      <c r="J71" s="41"/>
      <c r="K71" s="41"/>
      <c r="L71" s="41"/>
      <c r="M71" s="41"/>
      <c r="N71" s="41"/>
      <c r="O71" s="41"/>
      <c r="P71" s="41"/>
      <c r="Q71" s="41"/>
      <c r="R71" s="41"/>
      <c r="S71" s="41"/>
      <c r="T71" s="41"/>
      <c r="U71" s="41"/>
      <c r="V71" s="41"/>
      <c r="W71" s="41"/>
      <c r="X71" s="41"/>
      <c r="Y71" s="41"/>
      <c r="Z71" s="41"/>
    </row>
    <row r="72" ht="19.5" customHeight="1">
      <c r="A72" s="41"/>
      <c r="B72" s="84" t="s">
        <v>703</v>
      </c>
      <c r="C72" s="18" t="str">
        <f>mgmt_az1_host7_fqdn</f>
        <v>Value Missing</v>
      </c>
      <c r="D72" s="18" t="str">
        <f>mgmt_az1_host7_hostname</f>
        <v>Value Missing</v>
      </c>
      <c r="E72" s="18" t="str">
        <f>mgmt_az1_host7_mgmt_ip</f>
        <v>Value Missing</v>
      </c>
      <c r="F72" s="41"/>
      <c r="G72" s="41"/>
      <c r="H72" s="41"/>
      <c r="I72" s="41"/>
      <c r="J72" s="41"/>
      <c r="K72" s="41"/>
      <c r="L72" s="41"/>
      <c r="M72" s="41"/>
      <c r="N72" s="41"/>
      <c r="O72" s="41"/>
      <c r="P72" s="41"/>
      <c r="Q72" s="41"/>
      <c r="R72" s="41"/>
      <c r="S72" s="41"/>
      <c r="T72" s="41"/>
      <c r="U72" s="41"/>
      <c r="V72" s="41"/>
      <c r="W72" s="41"/>
      <c r="X72" s="41"/>
      <c r="Y72" s="41"/>
      <c r="Z72" s="41"/>
    </row>
    <row r="73" ht="19.5" customHeight="1">
      <c r="A73" s="41"/>
      <c r="B73" s="84" t="s">
        <v>704</v>
      </c>
      <c r="C73" s="18" t="str">
        <f>mgmt_az1_host8_fqdn</f>
        <v>Value Missing</v>
      </c>
      <c r="D73" s="18" t="str">
        <f>mgmt_az1_host8_hostname</f>
        <v>Value Missing</v>
      </c>
      <c r="E73" s="18" t="str">
        <f>mgmt_az1_host8_mgmt_ip</f>
        <v>Value Missing</v>
      </c>
      <c r="F73" s="41"/>
      <c r="G73" s="41"/>
      <c r="H73" s="41"/>
      <c r="I73" s="41"/>
      <c r="J73" s="41"/>
      <c r="K73" s="41"/>
      <c r="L73" s="41"/>
      <c r="M73" s="41"/>
      <c r="N73" s="41"/>
      <c r="O73" s="41"/>
      <c r="P73" s="41"/>
      <c r="Q73" s="41"/>
      <c r="R73" s="41"/>
      <c r="S73" s="41"/>
      <c r="T73" s="41"/>
      <c r="U73" s="41"/>
      <c r="V73" s="41"/>
      <c r="W73" s="41"/>
      <c r="X73" s="41"/>
      <c r="Y73" s="41"/>
      <c r="Z73" s="41"/>
    </row>
    <row r="74" ht="19.5" customHeight="1">
      <c r="A74" s="41"/>
      <c r="B74" s="84" t="s">
        <v>705</v>
      </c>
      <c r="C74" s="18" t="str">
        <f>mgmt_az1_host9_fqdn</f>
        <v>Value Missing</v>
      </c>
      <c r="D74" s="18" t="str">
        <f>mgmt_az1_host9_hostname</f>
        <v>Value Missing</v>
      </c>
      <c r="E74" s="18" t="str">
        <f>mgmt_az1_host9_mgmt_ip</f>
        <v>Value Missing</v>
      </c>
      <c r="F74" s="41"/>
      <c r="G74" s="41"/>
      <c r="H74" s="41"/>
      <c r="I74" s="41"/>
      <c r="J74" s="41"/>
      <c r="K74" s="41"/>
      <c r="L74" s="41"/>
      <c r="M74" s="41"/>
      <c r="N74" s="41"/>
      <c r="O74" s="41"/>
      <c r="P74" s="41"/>
      <c r="Q74" s="41"/>
      <c r="R74" s="41"/>
      <c r="S74" s="41"/>
      <c r="T74" s="41"/>
      <c r="U74" s="41"/>
      <c r="V74" s="41"/>
      <c r="W74" s="41"/>
      <c r="X74" s="41"/>
      <c r="Y74" s="41"/>
      <c r="Z74" s="41"/>
    </row>
    <row r="75" ht="19.5" customHeight="1">
      <c r="A75" s="41"/>
      <c r="B75" s="84" t="s">
        <v>706</v>
      </c>
      <c r="C75" s="18" t="str">
        <f>mgmt_az1_host10_fqdn</f>
        <v>Value Missing</v>
      </c>
      <c r="D75" s="18" t="str">
        <f>mgmt_az1_host10_hostname</f>
        <v>Value Missing</v>
      </c>
      <c r="E75" s="18" t="str">
        <f>mgmt_az1_host10_mgmt_ip</f>
        <v>Value Missing</v>
      </c>
      <c r="F75" s="41"/>
      <c r="G75" s="41"/>
      <c r="H75" s="41"/>
      <c r="I75" s="41"/>
      <c r="J75" s="41"/>
      <c r="K75" s="41"/>
      <c r="L75" s="41"/>
      <c r="M75" s="41"/>
      <c r="N75" s="41"/>
      <c r="O75" s="41"/>
      <c r="P75" s="41"/>
      <c r="Q75" s="41"/>
      <c r="R75" s="41"/>
      <c r="S75" s="41"/>
      <c r="T75" s="41"/>
      <c r="U75" s="41"/>
      <c r="V75" s="41"/>
      <c r="W75" s="41"/>
      <c r="X75" s="41"/>
      <c r="Y75" s="41"/>
      <c r="Z75" s="41"/>
    </row>
    <row r="76" ht="19.5" customHeight="1">
      <c r="A76" s="41"/>
      <c r="B76" s="84" t="s">
        <v>707</v>
      </c>
      <c r="C76" s="18" t="str">
        <f>mgmt_az1_host11_fqdn</f>
        <v>Value Missing</v>
      </c>
      <c r="D76" s="18" t="str">
        <f>mgmt_az1_host11_hostname</f>
        <v>Value Missing</v>
      </c>
      <c r="E76" s="18" t="str">
        <f>mgmt_az1_host11_mgmt_ip</f>
        <v>Value Missing</v>
      </c>
      <c r="F76" s="41"/>
      <c r="G76" s="41"/>
      <c r="H76" s="41"/>
      <c r="I76" s="41"/>
      <c r="J76" s="41"/>
      <c r="K76" s="41"/>
      <c r="L76" s="41"/>
      <c r="M76" s="41"/>
      <c r="N76" s="41"/>
      <c r="O76" s="41"/>
      <c r="P76" s="41"/>
      <c r="Q76" s="41"/>
      <c r="R76" s="41"/>
      <c r="S76" s="41"/>
      <c r="T76" s="41"/>
      <c r="U76" s="41"/>
      <c r="V76" s="41"/>
      <c r="W76" s="41"/>
      <c r="X76" s="41"/>
      <c r="Y76" s="41"/>
      <c r="Z76" s="41"/>
    </row>
    <row r="77" ht="19.5" customHeight="1">
      <c r="A77" s="41"/>
      <c r="B77" s="84" t="s">
        <v>708</v>
      </c>
      <c r="C77" s="18" t="str">
        <f>mgmt_az1_host12_fqdn</f>
        <v>Value Missing</v>
      </c>
      <c r="D77" s="18" t="str">
        <f>mgmt_az1_host12_hostname</f>
        <v>Value Missing</v>
      </c>
      <c r="E77" s="18" t="str">
        <f>mgmt_az1_host12_mgmt_ip</f>
        <v>Value Missing</v>
      </c>
      <c r="F77" s="41"/>
      <c r="G77" s="41"/>
      <c r="H77" s="41"/>
      <c r="I77" s="41"/>
      <c r="J77" s="41"/>
      <c r="K77" s="41"/>
      <c r="L77" s="41"/>
      <c r="M77" s="41"/>
      <c r="N77" s="41"/>
      <c r="O77" s="41"/>
      <c r="P77" s="41"/>
      <c r="Q77" s="41"/>
      <c r="R77" s="41"/>
      <c r="S77" s="41"/>
      <c r="T77" s="41"/>
      <c r="U77" s="41"/>
      <c r="V77" s="41"/>
      <c r="W77" s="41"/>
      <c r="X77" s="41"/>
      <c r="Y77" s="41"/>
      <c r="Z77" s="41"/>
    </row>
    <row r="78" ht="19.5" customHeight="1">
      <c r="A78" s="41"/>
      <c r="B78" s="84" t="s">
        <v>709</v>
      </c>
      <c r="C78" s="18" t="str">
        <f>mgmt_az1_host13_fqdn</f>
        <v>Value Missing</v>
      </c>
      <c r="D78" s="18" t="str">
        <f>mgmt_az1_host13_hostname</f>
        <v>Value Missing</v>
      </c>
      <c r="E78" s="18" t="str">
        <f>mgmt_az1_host13_mgmt_ip</f>
        <v>Value Missing</v>
      </c>
      <c r="F78" s="41"/>
      <c r="G78" s="41"/>
      <c r="H78" s="41"/>
      <c r="I78" s="41"/>
      <c r="J78" s="41"/>
      <c r="K78" s="41"/>
      <c r="L78" s="41"/>
      <c r="M78" s="41"/>
      <c r="N78" s="41"/>
      <c r="O78" s="41"/>
      <c r="P78" s="41"/>
      <c r="Q78" s="41"/>
      <c r="R78" s="41"/>
      <c r="S78" s="41"/>
      <c r="T78" s="41"/>
      <c r="U78" s="41"/>
      <c r="V78" s="41"/>
      <c r="W78" s="41"/>
      <c r="X78" s="41"/>
      <c r="Y78" s="41"/>
      <c r="Z78" s="41"/>
    </row>
    <row r="79" ht="19.5" customHeight="1">
      <c r="A79" s="41"/>
      <c r="B79" s="84" t="s">
        <v>710</v>
      </c>
      <c r="C79" s="18" t="str">
        <f>mgmt_az1_host14_fqdn</f>
        <v>Value Missing</v>
      </c>
      <c r="D79" s="18" t="str">
        <f>mgmt_az1_host14_hostname</f>
        <v>Value Missing</v>
      </c>
      <c r="E79" s="18" t="str">
        <f>mgmt_az1_host14_mgmt_ip</f>
        <v>Value Missing</v>
      </c>
      <c r="F79" s="41"/>
      <c r="G79" s="41"/>
      <c r="H79" s="41"/>
      <c r="I79" s="41"/>
      <c r="J79" s="41"/>
      <c r="K79" s="41"/>
      <c r="L79" s="41"/>
      <c r="M79" s="41"/>
      <c r="N79" s="41"/>
      <c r="O79" s="41"/>
      <c r="P79" s="41"/>
      <c r="Q79" s="41"/>
      <c r="R79" s="41"/>
      <c r="S79" s="41"/>
      <c r="T79" s="41"/>
      <c r="U79" s="41"/>
      <c r="V79" s="41"/>
      <c r="W79" s="41"/>
      <c r="X79" s="41"/>
      <c r="Y79" s="41"/>
      <c r="Z79" s="41"/>
    </row>
    <row r="80" ht="19.5" customHeight="1">
      <c r="A80" s="41"/>
      <c r="B80" s="84" t="s">
        <v>711</v>
      </c>
      <c r="C80" s="18" t="str">
        <f>mgmt_az1_host15_fqdn</f>
        <v>Value Missing</v>
      </c>
      <c r="D80" s="18" t="str">
        <f>mgmt_az1_host15_hostname</f>
        <v>Value Missing</v>
      </c>
      <c r="E80" s="18" t="str">
        <f>mgmt_az1_host15_mgmt_ip</f>
        <v>Value Missing</v>
      </c>
      <c r="F80" s="41"/>
      <c r="G80" s="41"/>
      <c r="H80" s="41"/>
      <c r="I80" s="41"/>
      <c r="J80" s="41"/>
      <c r="K80" s="41"/>
      <c r="L80" s="41"/>
      <c r="M80" s="41"/>
      <c r="N80" s="41"/>
      <c r="O80" s="41"/>
      <c r="P80" s="41"/>
      <c r="Q80" s="41"/>
      <c r="R80" s="41"/>
      <c r="S80" s="41"/>
      <c r="T80" s="41"/>
      <c r="U80" s="41"/>
      <c r="V80" s="41"/>
      <c r="W80" s="41"/>
      <c r="X80" s="41"/>
      <c r="Y80" s="41"/>
      <c r="Z80" s="41"/>
    </row>
    <row r="81" ht="19.5" customHeight="1">
      <c r="A81" s="41"/>
      <c r="B81" s="84" t="s">
        <v>712</v>
      </c>
      <c r="C81" s="18" t="str">
        <f>mgmt_az1_host16_fqdn</f>
        <v>Value Missing</v>
      </c>
      <c r="D81" s="18" t="str">
        <f>mgmt_az1_host16_hostname</f>
        <v>Value Missing</v>
      </c>
      <c r="E81" s="18" t="str">
        <f>mgmt_az1_host16_mgmt_ip</f>
        <v>Value Missing</v>
      </c>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33.75" customHeight="1">
      <c r="A83" s="41"/>
      <c r="B83" s="197" t="s">
        <v>3738</v>
      </c>
      <c r="C83" s="13"/>
      <c r="D83" s="13"/>
      <c r="E83" s="13"/>
      <c r="F83" s="13"/>
      <c r="G83" s="13"/>
      <c r="H83" s="38"/>
      <c r="I83" s="41"/>
      <c r="J83" s="41"/>
      <c r="K83" s="41"/>
      <c r="L83" s="41"/>
      <c r="M83" s="41"/>
      <c r="N83" s="41"/>
      <c r="O83" s="41"/>
      <c r="P83" s="41"/>
      <c r="Q83" s="41"/>
      <c r="R83" s="41"/>
      <c r="S83" s="41"/>
      <c r="T83" s="41"/>
      <c r="U83" s="41"/>
      <c r="V83" s="41"/>
      <c r="W83" s="41"/>
      <c r="X83" s="41"/>
      <c r="Y83" s="41"/>
      <c r="Z83" s="41"/>
    </row>
    <row r="84" ht="19.5" customHeight="1">
      <c r="A84" s="41"/>
      <c r="B84" s="103" t="s">
        <v>3484</v>
      </c>
      <c r="C84" s="13"/>
      <c r="D84" s="13"/>
      <c r="E84" s="38"/>
      <c r="F84" s="41"/>
      <c r="G84" s="41"/>
      <c r="H84" s="41"/>
      <c r="I84" s="41"/>
      <c r="J84" s="41"/>
      <c r="K84" s="41"/>
      <c r="L84" s="41"/>
      <c r="M84" s="41"/>
      <c r="N84" s="41"/>
      <c r="O84" s="41"/>
      <c r="P84" s="41"/>
      <c r="Q84" s="41"/>
      <c r="R84" s="41"/>
      <c r="S84" s="41"/>
      <c r="T84" s="41"/>
      <c r="U84" s="41"/>
      <c r="V84" s="41"/>
      <c r="W84" s="41"/>
      <c r="X84" s="41"/>
      <c r="Y84" s="41"/>
      <c r="Z84" s="41"/>
    </row>
    <row r="85" ht="19.5" customHeight="1">
      <c r="A85" s="41"/>
      <c r="B85" s="108" t="s">
        <v>3724</v>
      </c>
      <c r="C85" s="108" t="s">
        <v>537</v>
      </c>
      <c r="D85" s="108" t="s">
        <v>760</v>
      </c>
      <c r="E85" s="108" t="s">
        <v>3739</v>
      </c>
      <c r="F85" s="41"/>
      <c r="G85" s="41"/>
      <c r="H85" s="41"/>
      <c r="I85" s="41"/>
      <c r="J85" s="41"/>
      <c r="K85" s="41"/>
      <c r="L85" s="41"/>
      <c r="M85" s="41"/>
      <c r="N85" s="41"/>
      <c r="O85" s="41"/>
      <c r="P85" s="41"/>
      <c r="Q85" s="41"/>
      <c r="R85" s="41"/>
      <c r="S85" s="41"/>
      <c r="T85" s="41"/>
      <c r="U85" s="41"/>
      <c r="V85" s="41"/>
      <c r="W85" s="41"/>
      <c r="X85" s="41"/>
      <c r="Y85" s="41"/>
      <c r="Z85" s="41"/>
    </row>
    <row r="86" ht="19.5" customHeight="1">
      <c r="A86" s="41"/>
      <c r="B86" s="84" t="s">
        <v>146</v>
      </c>
      <c r="C86" s="18" t="str">
        <f>sddc_mgr_fqdn</f>
        <v>Value Missing</v>
      </c>
      <c r="D86" s="18" t="str">
        <f>sddc_mgr_hostname</f>
        <v>Value Missing</v>
      </c>
      <c r="E86" s="18" t="str">
        <f>sddc_mgr_ip</f>
        <v>Value Missing</v>
      </c>
      <c r="F86" s="41"/>
      <c r="G86" s="41"/>
      <c r="H86" s="41"/>
      <c r="I86" s="41"/>
      <c r="J86" s="41"/>
      <c r="K86" s="41"/>
      <c r="L86" s="41"/>
      <c r="M86" s="41"/>
      <c r="N86" s="41"/>
      <c r="O86" s="41"/>
      <c r="P86" s="41"/>
      <c r="Q86" s="41"/>
      <c r="R86" s="41"/>
      <c r="S86" s="41"/>
      <c r="T86" s="41"/>
      <c r="U86" s="41"/>
      <c r="V86" s="41"/>
      <c r="W86" s="41"/>
      <c r="X86" s="41"/>
      <c r="Y86" s="41"/>
      <c r="Z86" s="41"/>
    </row>
    <row r="87" ht="19.5" customHeight="1">
      <c r="A87" s="41"/>
      <c r="B87" s="84" t="s">
        <v>299</v>
      </c>
      <c r="C87" s="18" t="str">
        <f>mgmt_vc_fqdn</f>
        <v>Value Missing</v>
      </c>
      <c r="D87" s="18" t="str">
        <f>mgmt_vc_hostname</f>
        <v>Value Missing</v>
      </c>
      <c r="E87" s="18" t="str">
        <f>mgmt_vc_ip</f>
        <v>Value Missing</v>
      </c>
      <c r="F87" s="41"/>
      <c r="G87" s="41"/>
      <c r="H87" s="41"/>
      <c r="I87" s="41"/>
      <c r="J87" s="41"/>
      <c r="K87" s="41"/>
      <c r="L87" s="41"/>
      <c r="M87" s="41"/>
      <c r="N87" s="41"/>
      <c r="O87" s="41"/>
      <c r="P87" s="41"/>
      <c r="Q87" s="41"/>
      <c r="R87" s="41"/>
      <c r="S87" s="41"/>
      <c r="T87" s="41"/>
      <c r="U87" s="41"/>
      <c r="V87" s="41"/>
      <c r="W87" s="41"/>
      <c r="X87" s="41"/>
      <c r="Y87" s="41"/>
      <c r="Z87" s="41"/>
    </row>
    <row r="88" ht="19.5" customHeight="1">
      <c r="A88" s="41"/>
      <c r="B88" s="84" t="s">
        <v>3740</v>
      </c>
      <c r="C88" s="18" t="str">
        <f>mgmt_nsxt_vip_fqdn</f>
        <v>Value Missing</v>
      </c>
      <c r="D88" s="18" t="str">
        <f>mgmt_nsxt_hostname</f>
        <v>Value Missing</v>
      </c>
      <c r="E88" s="18" t="str">
        <f>mgmt_nsxt_vip_ip</f>
        <v>Value Missing</v>
      </c>
      <c r="F88" s="41"/>
      <c r="G88" s="41"/>
      <c r="H88" s="41"/>
      <c r="I88" s="41"/>
      <c r="J88" s="41"/>
      <c r="K88" s="41"/>
      <c r="L88" s="41"/>
      <c r="M88" s="41"/>
      <c r="N88" s="41"/>
      <c r="O88" s="41"/>
      <c r="P88" s="41"/>
      <c r="Q88" s="41"/>
      <c r="R88" s="41"/>
      <c r="S88" s="41"/>
      <c r="T88" s="41"/>
      <c r="U88" s="41"/>
      <c r="V88" s="41"/>
      <c r="W88" s="41"/>
      <c r="X88" s="41"/>
      <c r="Y88" s="41"/>
      <c r="Z88" s="41"/>
    </row>
    <row r="89" ht="19.5" customHeight="1">
      <c r="A89" s="41"/>
      <c r="B89" s="84" t="s">
        <v>3741</v>
      </c>
      <c r="C89" s="18" t="str">
        <f>mgmt_nsxt_mgra_fqdn</f>
        <v>Value Missing</v>
      </c>
      <c r="D89" s="18" t="str">
        <f>mgmt_nsxt_mgra_hostname</f>
        <v>Value Missing</v>
      </c>
      <c r="E89" s="18" t="str">
        <f>mgmt_nsxt_mgra_ip</f>
        <v>Value Missing</v>
      </c>
      <c r="F89" s="41"/>
      <c r="G89" s="41"/>
      <c r="H89" s="41"/>
      <c r="I89" s="41"/>
      <c r="J89" s="41"/>
      <c r="K89" s="41"/>
      <c r="L89" s="41"/>
      <c r="M89" s="41"/>
      <c r="N89" s="41"/>
      <c r="O89" s="41"/>
      <c r="P89" s="41"/>
      <c r="Q89" s="41"/>
      <c r="R89" s="41"/>
      <c r="S89" s="41"/>
      <c r="T89" s="41"/>
      <c r="U89" s="41"/>
      <c r="V89" s="41"/>
      <c r="W89" s="41"/>
      <c r="X89" s="41"/>
      <c r="Y89" s="41"/>
      <c r="Z89" s="41"/>
    </row>
    <row r="90" ht="19.5" customHeight="1">
      <c r="A90" s="41"/>
      <c r="B90" s="84" t="s">
        <v>3742</v>
      </c>
      <c r="C90" s="18" t="str">
        <f>mgmt_nsxt_mgrb_fqdn</f>
        <v>Value Missing</v>
      </c>
      <c r="D90" s="18" t="str">
        <f>mgmt_nsxt_mgrb_hostname</f>
        <v>Value Missing</v>
      </c>
      <c r="E90" s="18" t="str">
        <f>mgmt_nsxt_mgrb_ip</f>
        <v>Value Missing</v>
      </c>
      <c r="F90" s="41"/>
      <c r="G90" s="41"/>
      <c r="H90" s="41"/>
      <c r="I90" s="41"/>
      <c r="J90" s="41"/>
      <c r="K90" s="41"/>
      <c r="L90" s="41"/>
      <c r="M90" s="41"/>
      <c r="N90" s="41"/>
      <c r="O90" s="41"/>
      <c r="P90" s="41"/>
      <c r="Q90" s="41"/>
      <c r="R90" s="41"/>
      <c r="S90" s="41"/>
      <c r="T90" s="41"/>
      <c r="U90" s="41"/>
      <c r="V90" s="41"/>
      <c r="W90" s="41"/>
      <c r="X90" s="41"/>
      <c r="Y90" s="41"/>
      <c r="Z90" s="41"/>
    </row>
    <row r="91" ht="19.5" customHeight="1">
      <c r="A91" s="41"/>
      <c r="B91" s="84" t="s">
        <v>3743</v>
      </c>
      <c r="C91" s="18" t="str">
        <f>mgmt_nsxt_mgrc_fqdn</f>
        <v>Value Missing</v>
      </c>
      <c r="D91" s="18" t="str">
        <f>mgmt_nsxt_mgrc_hostname</f>
        <v>Value Missing</v>
      </c>
      <c r="E91" s="18" t="str">
        <f>mgmt_nsxt_mgrc_ip</f>
        <v>Value Missing</v>
      </c>
      <c r="F91" s="41"/>
      <c r="G91" s="41"/>
      <c r="H91" s="41"/>
      <c r="I91" s="41"/>
      <c r="J91" s="41"/>
      <c r="K91" s="41"/>
      <c r="L91" s="41"/>
      <c r="M91" s="41"/>
      <c r="N91" s="41"/>
      <c r="O91" s="41"/>
      <c r="P91" s="41"/>
      <c r="Q91" s="41"/>
      <c r="R91" s="41"/>
      <c r="S91" s="41"/>
      <c r="T91" s="41"/>
      <c r="U91" s="41"/>
      <c r="V91" s="41"/>
      <c r="W91" s="41"/>
      <c r="X91" s="41"/>
      <c r="Y91" s="41"/>
      <c r="Z91" s="41"/>
    </row>
    <row r="92" ht="19.5" customHeight="1">
      <c r="A92" s="41"/>
      <c r="B92" s="84" t="s">
        <v>3744</v>
      </c>
      <c r="C92" s="18" t="str">
        <f>mgmt_az1_en1_fqdn</f>
        <v>Value Missing</v>
      </c>
      <c r="D92" s="18" t="str">
        <f>mgmt_az1_en1_hostname</f>
        <v>Value Missing</v>
      </c>
      <c r="E92" s="18" t="str">
        <f>mgmt_az1_en1_mgmt_cidr</f>
        <v>Value Missing</v>
      </c>
      <c r="F92" s="41"/>
      <c r="G92" s="41"/>
      <c r="H92" s="41"/>
      <c r="I92" s="41"/>
      <c r="J92" s="41"/>
      <c r="K92" s="41"/>
      <c r="L92" s="41"/>
      <c r="M92" s="41"/>
      <c r="N92" s="41"/>
      <c r="O92" s="41"/>
      <c r="P92" s="41"/>
      <c r="Q92" s="41"/>
      <c r="R92" s="41"/>
      <c r="S92" s="41"/>
      <c r="T92" s="41"/>
      <c r="U92" s="41"/>
      <c r="V92" s="41"/>
      <c r="W92" s="41"/>
      <c r="X92" s="41"/>
      <c r="Y92" s="41"/>
      <c r="Z92" s="41"/>
    </row>
    <row r="93" ht="19.5" customHeight="1">
      <c r="A93" s="41"/>
      <c r="B93" s="84" t="s">
        <v>3745</v>
      </c>
      <c r="C93" s="18" t="str">
        <f>mgmt_az1_en2_fqdn</f>
        <v>Value Missing</v>
      </c>
      <c r="D93" s="18" t="str">
        <f>mgmt_az1_en2_hostname</f>
        <v>Value Missing</v>
      </c>
      <c r="E93" s="18" t="str">
        <f>mgmt_az1_en2_mgmt_cidr</f>
        <v>Value Missing</v>
      </c>
      <c r="F93" s="41"/>
      <c r="G93" s="41"/>
      <c r="H93" s="41"/>
      <c r="I93" s="41"/>
      <c r="J93" s="41"/>
      <c r="K93" s="41"/>
      <c r="L93" s="41"/>
      <c r="M93" s="41"/>
      <c r="N93" s="41"/>
      <c r="O93" s="41"/>
      <c r="P93" s="41"/>
      <c r="Q93" s="41"/>
      <c r="R93" s="41"/>
      <c r="S93" s="41"/>
      <c r="T93" s="41"/>
      <c r="U93" s="41"/>
      <c r="V93" s="41"/>
      <c r="W93" s="41"/>
      <c r="X93" s="41"/>
      <c r="Y93" s="41"/>
      <c r="Z93" s="41"/>
    </row>
    <row r="94" ht="19.5" customHeight="1">
      <c r="A94" s="41"/>
      <c r="B94" s="84" t="s">
        <v>3746</v>
      </c>
      <c r="C94" s="18" t="str">
        <f>xreg_vrops_nodea_fqdn</f>
        <v>Value Missing</v>
      </c>
      <c r="D94" s="18" t="str">
        <f>xreg_vrops_nodea_hostname</f>
        <v>Value Missing</v>
      </c>
      <c r="E94" s="18" t="str">
        <f>xreg_vrops_nodea_ip</f>
        <v>Value Missing</v>
      </c>
      <c r="F94" s="41"/>
      <c r="G94" s="41"/>
      <c r="H94" s="41"/>
      <c r="I94" s="41"/>
      <c r="J94" s="41"/>
      <c r="K94" s="41"/>
      <c r="L94" s="41"/>
      <c r="M94" s="41"/>
      <c r="N94" s="41"/>
      <c r="O94" s="41"/>
      <c r="P94" s="41"/>
      <c r="Q94" s="41"/>
      <c r="R94" s="41"/>
      <c r="S94" s="41"/>
      <c r="T94" s="41"/>
      <c r="U94" s="41"/>
      <c r="V94" s="41"/>
      <c r="W94" s="41"/>
      <c r="X94" s="41"/>
      <c r="Y94" s="41"/>
      <c r="Z94" s="41"/>
    </row>
    <row r="95" ht="19.5" customHeight="1">
      <c r="A95" s="41"/>
      <c r="B95" s="84" t="s">
        <v>2379</v>
      </c>
      <c r="C95" s="18" t="str">
        <f>xreg_vrops_nodeb_fqdn</f>
        <v>Value Missing</v>
      </c>
      <c r="D95" s="18" t="str">
        <f>xreg_vrops_nodeb_hostname</f>
        <v>Value Missing</v>
      </c>
      <c r="E95" s="18" t="str">
        <f>xreg_vrops_nodeb_ip</f>
        <v>Value Missing</v>
      </c>
      <c r="F95" s="41"/>
      <c r="G95" s="41"/>
      <c r="H95" s="41"/>
      <c r="I95" s="41"/>
      <c r="J95" s="41"/>
      <c r="K95" s="41"/>
      <c r="L95" s="41"/>
      <c r="M95" s="41"/>
      <c r="N95" s="41"/>
      <c r="O95" s="41"/>
      <c r="P95" s="41"/>
      <c r="Q95" s="41"/>
      <c r="R95" s="41"/>
      <c r="S95" s="41"/>
      <c r="T95" s="41"/>
      <c r="U95" s="41"/>
      <c r="V95" s="41"/>
      <c r="W95" s="41"/>
      <c r="X95" s="41"/>
      <c r="Y95" s="41"/>
      <c r="Z95" s="41"/>
    </row>
    <row r="96" ht="19.5" customHeight="1">
      <c r="A96" s="41"/>
      <c r="B96" s="84" t="s">
        <v>2384</v>
      </c>
      <c r="C96" s="18" t="str">
        <f>xreg_vrops_nodec_fqdn</f>
        <v>Value Missing</v>
      </c>
      <c r="D96" s="18" t="str">
        <f>xreg_vrops_nodec_hostname</f>
        <v>Value Missing</v>
      </c>
      <c r="E96" s="18" t="str">
        <f>xreg_vrops_nodec_ip</f>
        <v>Value Missing</v>
      </c>
      <c r="F96" s="41"/>
      <c r="G96" s="41"/>
      <c r="H96" s="41"/>
      <c r="I96" s="41"/>
      <c r="J96" s="41"/>
      <c r="K96" s="41"/>
      <c r="L96" s="41"/>
      <c r="M96" s="41"/>
      <c r="N96" s="41"/>
      <c r="O96" s="41"/>
      <c r="P96" s="41"/>
      <c r="Q96" s="41"/>
      <c r="R96" s="41"/>
      <c r="S96" s="41"/>
      <c r="T96" s="41"/>
      <c r="U96" s="41"/>
      <c r="V96" s="41"/>
      <c r="W96" s="41"/>
      <c r="X96" s="41"/>
      <c r="Y96" s="41"/>
      <c r="Z96" s="41"/>
    </row>
    <row r="97" ht="19.5" customHeight="1">
      <c r="A97" s="41"/>
      <c r="B97" s="84" t="s">
        <v>3747</v>
      </c>
      <c r="C97" s="18" t="str">
        <f>xreg_vrops_virtual_fqdn</f>
        <v>Value Missing</v>
      </c>
      <c r="D97" s="18" t="str">
        <f>xreg_vrops_virtual_hostname</f>
        <v>Value Missing</v>
      </c>
      <c r="E97" s="18" t="str">
        <f>xreg_vrops_virtual_ip</f>
        <v>Value Missing</v>
      </c>
      <c r="F97" s="41"/>
      <c r="G97" s="41"/>
      <c r="H97" s="41"/>
      <c r="I97" s="41"/>
      <c r="J97" s="41"/>
      <c r="K97" s="41"/>
      <c r="L97" s="41"/>
      <c r="M97" s="41"/>
      <c r="N97" s="41"/>
      <c r="O97" s="41"/>
      <c r="P97" s="41"/>
      <c r="Q97" s="41"/>
      <c r="R97" s="41"/>
      <c r="S97" s="41"/>
      <c r="T97" s="41"/>
      <c r="U97" s="41"/>
      <c r="V97" s="41"/>
      <c r="W97" s="41"/>
      <c r="X97" s="41"/>
      <c r="Y97" s="41"/>
      <c r="Z97" s="41"/>
    </row>
    <row r="98" ht="19.5" customHeight="1">
      <c r="A98" s="41"/>
      <c r="B98" s="84" t="s">
        <v>2870</v>
      </c>
      <c r="C98" s="18" t="str">
        <f>xreg_vra_virtual_fqdn</f>
        <v>Value Missing</v>
      </c>
      <c r="D98" s="18" t="str">
        <f>xreg_vra_virtual_hostname</f>
        <v>Value Missing</v>
      </c>
      <c r="E98" s="18" t="str">
        <f>xreg_vra_virtual_ip</f>
        <v>Value Missing</v>
      </c>
      <c r="F98" s="41"/>
      <c r="G98" s="41"/>
      <c r="H98" s="41"/>
      <c r="I98" s="41"/>
      <c r="J98" s="41"/>
      <c r="K98" s="41"/>
      <c r="L98" s="41"/>
      <c r="M98" s="41"/>
      <c r="N98" s="41"/>
      <c r="O98" s="41"/>
      <c r="P98" s="41"/>
      <c r="Q98" s="41"/>
      <c r="R98" s="41"/>
      <c r="S98" s="41"/>
      <c r="T98" s="41"/>
      <c r="U98" s="41"/>
      <c r="V98" s="41"/>
      <c r="W98" s="41"/>
      <c r="X98" s="41"/>
      <c r="Y98" s="41"/>
      <c r="Z98" s="41"/>
    </row>
    <row r="99" ht="19.5" customHeight="1">
      <c r="A99" s="41"/>
      <c r="B99" s="84" t="s">
        <v>3748</v>
      </c>
      <c r="C99" s="18" t="s">
        <v>502</v>
      </c>
      <c r="D99" s="18" t="s">
        <v>502</v>
      </c>
      <c r="E99" s="18" t="str">
        <f>xreg_vra_nodea_ip</f>
        <v>Value Missing</v>
      </c>
      <c r="F99" s="41"/>
      <c r="G99" s="41"/>
      <c r="H99" s="41"/>
      <c r="I99" s="41"/>
      <c r="J99" s="41"/>
      <c r="K99" s="41"/>
      <c r="L99" s="41"/>
      <c r="M99" s="41"/>
      <c r="N99" s="41"/>
      <c r="O99" s="41"/>
      <c r="P99" s="41"/>
      <c r="Q99" s="41"/>
      <c r="R99" s="41"/>
      <c r="S99" s="41"/>
      <c r="T99" s="41"/>
      <c r="U99" s="41"/>
      <c r="V99" s="41"/>
      <c r="W99" s="41"/>
      <c r="X99" s="41"/>
      <c r="Y99" s="41"/>
      <c r="Z99" s="41"/>
    </row>
    <row r="100" ht="19.5" customHeight="1">
      <c r="A100" s="41"/>
      <c r="B100" s="84" t="s">
        <v>3749</v>
      </c>
      <c r="C100" s="18" t="s">
        <v>502</v>
      </c>
      <c r="D100" s="18" t="s">
        <v>502</v>
      </c>
      <c r="E100" s="18" t="str">
        <f>xreg_vra_nodeb_ip</f>
        <v>Value Missing</v>
      </c>
      <c r="F100" s="41"/>
      <c r="G100" s="41"/>
      <c r="H100" s="41"/>
      <c r="I100" s="41"/>
      <c r="J100" s="41"/>
      <c r="K100" s="41"/>
      <c r="L100" s="41"/>
      <c r="M100" s="41"/>
      <c r="N100" s="41"/>
      <c r="O100" s="41"/>
      <c r="P100" s="41"/>
      <c r="Q100" s="41"/>
      <c r="R100" s="41"/>
      <c r="S100" s="41"/>
      <c r="T100" s="41"/>
      <c r="U100" s="41"/>
      <c r="V100" s="41"/>
      <c r="W100" s="41"/>
      <c r="X100" s="41"/>
      <c r="Y100" s="41"/>
      <c r="Z100" s="41"/>
    </row>
    <row r="101" ht="19.5" customHeight="1">
      <c r="A101" s="41"/>
      <c r="B101" s="84" t="s">
        <v>3750</v>
      </c>
      <c r="C101" s="18" t="s">
        <v>502</v>
      </c>
      <c r="D101" s="18" t="s">
        <v>502</v>
      </c>
      <c r="E101" s="18" t="str">
        <f>xreg_vra_nodec_ip</f>
        <v>Value Missing</v>
      </c>
      <c r="F101" s="41"/>
      <c r="G101" s="41"/>
      <c r="H101" s="41"/>
      <c r="I101" s="41"/>
      <c r="J101" s="41"/>
      <c r="K101" s="41"/>
      <c r="L101" s="41"/>
      <c r="M101" s="41"/>
      <c r="N101" s="41"/>
      <c r="O101" s="41"/>
      <c r="P101" s="41"/>
      <c r="Q101" s="41"/>
      <c r="R101" s="41"/>
      <c r="S101" s="41"/>
      <c r="T101" s="41"/>
      <c r="U101" s="41"/>
      <c r="V101" s="41"/>
      <c r="W101" s="41"/>
      <c r="X101" s="41"/>
      <c r="Y101" s="41"/>
      <c r="Z101" s="41"/>
    </row>
    <row r="102" ht="19.5" customHeight="1">
      <c r="A102" s="41"/>
      <c r="B102" s="84" t="s">
        <v>3751</v>
      </c>
      <c r="C102" s="18" t="s">
        <v>502</v>
      </c>
      <c r="D102" s="18" t="s">
        <v>502</v>
      </c>
      <c r="E102" s="18" t="str">
        <f>xreg_vra_noded_ip</f>
        <v>Value Missing</v>
      </c>
      <c r="F102" s="41"/>
      <c r="G102" s="41"/>
      <c r="H102" s="41"/>
      <c r="I102" s="41"/>
      <c r="J102" s="41"/>
      <c r="K102" s="41"/>
      <c r="L102" s="41"/>
      <c r="M102" s="41"/>
      <c r="N102" s="41"/>
      <c r="O102" s="41"/>
      <c r="P102" s="41"/>
      <c r="Q102" s="41"/>
      <c r="R102" s="41"/>
      <c r="S102" s="41"/>
      <c r="T102" s="41"/>
      <c r="U102" s="41"/>
      <c r="V102" s="41"/>
      <c r="W102" s="41"/>
      <c r="X102" s="41"/>
      <c r="Y102" s="41"/>
      <c r="Z102" s="41"/>
    </row>
    <row r="103" ht="19.5" customHeight="1">
      <c r="A103" s="41"/>
      <c r="B103" s="84" t="s">
        <v>3752</v>
      </c>
      <c r="C103" s="18" t="str">
        <f>flt_vidb_vip_fqdn</f>
        <v>Value Missing</v>
      </c>
      <c r="D103" s="18" t="str">
        <f t="array" ref="D103">flt_vidb_hostname</f>
        <v>Value Missing</v>
      </c>
      <c r="E103" s="18" t="str">
        <f>flt_vidb_vip_ip</f>
        <v>Value Missing</v>
      </c>
      <c r="F103" s="41"/>
      <c r="G103" s="41"/>
      <c r="H103" s="41"/>
      <c r="I103" s="41"/>
      <c r="J103" s="41"/>
      <c r="K103" s="41"/>
      <c r="L103" s="41"/>
      <c r="M103" s="41"/>
      <c r="N103" s="41"/>
      <c r="O103" s="41"/>
      <c r="P103" s="41"/>
      <c r="Q103" s="41"/>
      <c r="R103" s="41"/>
      <c r="S103" s="41"/>
      <c r="T103" s="41"/>
      <c r="U103" s="41"/>
      <c r="V103" s="41"/>
      <c r="W103" s="41"/>
      <c r="X103" s="41"/>
      <c r="Y103" s="41"/>
      <c r="Z103" s="41"/>
    </row>
    <row r="104" ht="19.5" customHeight="1">
      <c r="A104" s="41"/>
      <c r="B104" s="84" t="s">
        <v>3753</v>
      </c>
      <c r="C104" s="18" t="s">
        <v>502</v>
      </c>
      <c r="D104" s="18" t="s">
        <v>502</v>
      </c>
      <c r="E104" s="18" t="str">
        <f>flt_vidb_nodea_ip</f>
        <v>Value Missing</v>
      </c>
      <c r="F104" s="41"/>
      <c r="G104" s="41"/>
      <c r="H104" s="41"/>
      <c r="I104" s="41"/>
      <c r="J104" s="41"/>
      <c r="K104" s="41"/>
      <c r="L104" s="41"/>
      <c r="M104" s="41"/>
      <c r="N104" s="41"/>
      <c r="O104" s="41"/>
      <c r="P104" s="41"/>
      <c r="Q104" s="41"/>
      <c r="R104" s="41"/>
      <c r="S104" s="41"/>
      <c r="T104" s="41"/>
      <c r="U104" s="41"/>
      <c r="V104" s="41"/>
      <c r="W104" s="41"/>
      <c r="X104" s="41"/>
      <c r="Y104" s="41"/>
      <c r="Z104" s="41"/>
    </row>
    <row r="105" ht="19.5" customHeight="1">
      <c r="A105" s="41"/>
      <c r="B105" s="84" t="s">
        <v>3754</v>
      </c>
      <c r="C105" s="18" t="s">
        <v>502</v>
      </c>
      <c r="D105" s="18" t="s">
        <v>502</v>
      </c>
      <c r="E105" s="18" t="str">
        <f>flt_vidb_nodeb_ip</f>
        <v>Value Missing</v>
      </c>
      <c r="F105" s="41"/>
      <c r="G105" s="41"/>
      <c r="H105" s="41"/>
      <c r="I105" s="41"/>
      <c r="J105" s="41"/>
      <c r="K105" s="41"/>
      <c r="L105" s="41"/>
      <c r="M105" s="41"/>
      <c r="N105" s="41"/>
      <c r="O105" s="41"/>
      <c r="P105" s="41"/>
      <c r="Q105" s="41"/>
      <c r="R105" s="41"/>
      <c r="S105" s="41"/>
      <c r="T105" s="41"/>
      <c r="U105" s="41"/>
      <c r="V105" s="41"/>
      <c r="W105" s="41"/>
      <c r="X105" s="41"/>
      <c r="Y105" s="41"/>
      <c r="Z105" s="41"/>
    </row>
    <row r="106" ht="19.5" customHeight="1">
      <c r="A106" s="41"/>
      <c r="B106" s="84" t="s">
        <v>3755</v>
      </c>
      <c r="C106" s="18" t="s">
        <v>502</v>
      </c>
      <c r="D106" s="18" t="s">
        <v>502</v>
      </c>
      <c r="E106" s="18" t="str">
        <f>flt_vidb_nodec_ip</f>
        <v>Value Missing</v>
      </c>
      <c r="F106" s="41"/>
      <c r="G106" s="41"/>
      <c r="H106" s="41"/>
      <c r="I106" s="41"/>
      <c r="J106" s="41"/>
      <c r="K106" s="41"/>
      <c r="L106" s="41"/>
      <c r="M106" s="41"/>
      <c r="N106" s="41"/>
      <c r="O106" s="41"/>
      <c r="P106" s="41"/>
      <c r="Q106" s="41"/>
      <c r="R106" s="41"/>
      <c r="S106" s="41"/>
      <c r="T106" s="41"/>
      <c r="U106" s="41"/>
      <c r="V106" s="41"/>
      <c r="W106" s="41"/>
      <c r="X106" s="41"/>
      <c r="Y106" s="41"/>
      <c r="Z106" s="41"/>
    </row>
    <row r="107" ht="19.5" customHeight="1">
      <c r="A107" s="41"/>
      <c r="B107" s="84" t="s">
        <v>3756</v>
      </c>
      <c r="C107" s="18" t="s">
        <v>502</v>
      </c>
      <c r="D107" s="18" t="s">
        <v>502</v>
      </c>
      <c r="E107" s="18" t="str">
        <f>flt_vidb_noded_ip</f>
        <v>Value Missing</v>
      </c>
      <c r="F107" s="41"/>
      <c r="G107" s="41"/>
      <c r="H107" s="41"/>
      <c r="I107" s="41"/>
      <c r="J107" s="41"/>
      <c r="K107" s="41"/>
      <c r="L107" s="41"/>
      <c r="M107" s="41"/>
      <c r="N107" s="41"/>
      <c r="O107" s="41"/>
      <c r="P107" s="41"/>
      <c r="Q107" s="41"/>
      <c r="R107" s="41"/>
      <c r="S107" s="41"/>
      <c r="T107" s="41"/>
      <c r="U107" s="41"/>
      <c r="V107" s="41"/>
      <c r="W107" s="41"/>
      <c r="X107" s="41"/>
      <c r="Y107" s="41"/>
      <c r="Z107" s="41"/>
    </row>
    <row r="108" ht="19.5" customHeight="1">
      <c r="A108" s="41"/>
      <c r="B108" s="84" t="s">
        <v>3757</v>
      </c>
      <c r="C108" s="18" t="s">
        <v>502</v>
      </c>
      <c r="D108" s="18" t="s">
        <v>502</v>
      </c>
      <c r="E108" s="18"/>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33.75" customHeight="1">
      <c r="A110" s="41"/>
      <c r="B110" s="197" t="s">
        <v>3758</v>
      </c>
      <c r="C110" s="13"/>
      <c r="D110" s="13"/>
      <c r="E110" s="13"/>
      <c r="F110" s="13"/>
      <c r="G110" s="13"/>
      <c r="H110" s="38"/>
      <c r="I110" s="41"/>
      <c r="J110" s="41"/>
      <c r="K110" s="41"/>
      <c r="L110" s="41"/>
      <c r="M110" s="41"/>
      <c r="N110" s="41"/>
      <c r="O110" s="41"/>
      <c r="P110" s="41"/>
      <c r="Q110" s="41"/>
      <c r="R110" s="41"/>
      <c r="S110" s="41"/>
      <c r="T110" s="41"/>
      <c r="U110" s="41"/>
      <c r="V110" s="41"/>
      <c r="W110" s="41"/>
      <c r="X110" s="41"/>
      <c r="Y110" s="41"/>
      <c r="Z110" s="41"/>
    </row>
    <row r="111" ht="19.5" customHeight="1">
      <c r="A111" s="41"/>
      <c r="B111" s="103" t="s">
        <v>3712</v>
      </c>
      <c r="C111" s="13"/>
      <c r="D111" s="13"/>
      <c r="E111" s="13"/>
      <c r="F111" s="13"/>
      <c r="G111" s="13"/>
      <c r="H111" s="38"/>
      <c r="I111" s="41"/>
      <c r="J111" s="41"/>
      <c r="K111" s="41"/>
      <c r="L111" s="41"/>
      <c r="M111" s="41"/>
      <c r="N111" s="41"/>
      <c r="O111" s="41"/>
      <c r="P111" s="41"/>
      <c r="Q111" s="41"/>
      <c r="R111" s="41"/>
      <c r="S111" s="41"/>
      <c r="T111" s="41"/>
      <c r="U111" s="41"/>
      <c r="V111" s="41"/>
      <c r="W111" s="41"/>
      <c r="X111" s="41"/>
      <c r="Y111" s="41"/>
      <c r="Z111" s="41"/>
    </row>
    <row r="112" ht="19.5" customHeight="1">
      <c r="A112" s="41"/>
      <c r="B112" s="108" t="s">
        <v>3724</v>
      </c>
      <c r="C112" s="108" t="s">
        <v>537</v>
      </c>
      <c r="D112" s="108" t="s">
        <v>760</v>
      </c>
      <c r="E112" s="108" t="s">
        <v>3737</v>
      </c>
      <c r="F112" s="41"/>
      <c r="G112" s="41"/>
      <c r="H112" s="41"/>
      <c r="I112" s="41"/>
      <c r="J112" s="41"/>
      <c r="K112" s="41"/>
      <c r="L112" s="41"/>
      <c r="M112" s="41"/>
      <c r="N112" s="41"/>
      <c r="O112" s="41"/>
      <c r="P112" s="41"/>
      <c r="Q112" s="41"/>
      <c r="R112" s="41"/>
      <c r="S112" s="41"/>
      <c r="T112" s="41"/>
      <c r="U112" s="41"/>
      <c r="V112" s="41"/>
      <c r="W112" s="41"/>
      <c r="X112" s="41"/>
      <c r="Y112" s="41"/>
      <c r="Z112" s="41"/>
    </row>
    <row r="113" ht="19.5" customHeight="1">
      <c r="A113" s="41"/>
      <c r="B113" s="84" t="s">
        <v>697</v>
      </c>
      <c r="C113" s="18" t="str">
        <f>mgmt_az2_host1_fqdn</f>
        <v>Value Missing</v>
      </c>
      <c r="D113" s="18" t="str">
        <f>mgmt_az2_host1_hostname</f>
        <v>Value Missing</v>
      </c>
      <c r="E113" s="18" t="str">
        <f>mgmt_az2_host1_mgmt_ip</f>
        <v>Value Missing</v>
      </c>
      <c r="F113" s="41"/>
      <c r="G113" s="41"/>
      <c r="H113" s="41"/>
      <c r="I113" s="41"/>
      <c r="J113" s="41"/>
      <c r="K113" s="41"/>
      <c r="L113" s="41"/>
      <c r="M113" s="41"/>
      <c r="N113" s="41"/>
      <c r="O113" s="41"/>
      <c r="P113" s="41"/>
      <c r="Q113" s="41"/>
      <c r="R113" s="41"/>
      <c r="S113" s="41"/>
      <c r="T113" s="41"/>
      <c r="U113" s="41"/>
      <c r="V113" s="41"/>
      <c r="W113" s="41"/>
      <c r="X113" s="41"/>
      <c r="Y113" s="41"/>
      <c r="Z113" s="41"/>
    </row>
    <row r="114" ht="19.5" customHeight="1">
      <c r="A114" s="41"/>
      <c r="B114" s="84" t="s">
        <v>698</v>
      </c>
      <c r="C114" s="18" t="str">
        <f>mgmt_az2_host2_fqdn</f>
        <v>Value Missing</v>
      </c>
      <c r="D114" s="18" t="str">
        <f>mgmt_az2_host2_hostname</f>
        <v>Value Missing</v>
      </c>
      <c r="E114" s="18" t="str">
        <f>mgmt_az2_host2_mgmt_ip</f>
        <v>Value Missing</v>
      </c>
      <c r="F114" s="41"/>
      <c r="G114" s="41"/>
      <c r="H114" s="41"/>
      <c r="I114" s="41"/>
      <c r="J114" s="41"/>
      <c r="K114" s="41"/>
      <c r="L114" s="41"/>
      <c r="M114" s="41"/>
      <c r="N114" s="41"/>
      <c r="O114" s="41"/>
      <c r="P114" s="41"/>
      <c r="Q114" s="41"/>
      <c r="R114" s="41"/>
      <c r="S114" s="41"/>
      <c r="T114" s="41"/>
      <c r="U114" s="41"/>
      <c r="V114" s="41"/>
      <c r="W114" s="41"/>
      <c r="X114" s="41"/>
      <c r="Y114" s="41"/>
      <c r="Z114" s="41"/>
    </row>
    <row r="115" ht="19.5" customHeight="1">
      <c r="A115" s="41"/>
      <c r="B115" s="84" t="s">
        <v>699</v>
      </c>
      <c r="C115" s="18" t="str">
        <f>mgmt_az2_host3_fqdn</f>
        <v>Value Missing</v>
      </c>
      <c r="D115" s="18" t="str">
        <f>mgmt_az2_host3_hostname</f>
        <v>Value Missing</v>
      </c>
      <c r="E115" s="18" t="str">
        <f>mgmt_az2_host3_mgmt_ip</f>
        <v>Value Missing</v>
      </c>
      <c r="F115" s="41"/>
      <c r="G115" s="41"/>
      <c r="H115" s="41"/>
      <c r="I115" s="41"/>
      <c r="J115" s="41"/>
      <c r="K115" s="41"/>
      <c r="L115" s="41"/>
      <c r="M115" s="41"/>
      <c r="N115" s="41"/>
      <c r="O115" s="41"/>
      <c r="P115" s="41"/>
      <c r="Q115" s="41"/>
      <c r="R115" s="41"/>
      <c r="S115" s="41"/>
      <c r="T115" s="41"/>
      <c r="U115" s="41"/>
      <c r="V115" s="41"/>
      <c r="W115" s="41"/>
      <c r="X115" s="41"/>
      <c r="Y115" s="41"/>
      <c r="Z115" s="41"/>
    </row>
    <row r="116" ht="19.5" customHeight="1">
      <c r="A116" s="41"/>
      <c r="B116" s="84" t="s">
        <v>700</v>
      </c>
      <c r="C116" s="18" t="str">
        <f>mgmt_az2_host4_fqdn</f>
        <v>Value Missing</v>
      </c>
      <c r="D116" s="18" t="str">
        <f>mgmt_az2_host4_hostname</f>
        <v>Value Missing</v>
      </c>
      <c r="E116" s="18" t="str">
        <f>mgmt_az2_host4_mgmt_ip</f>
        <v>Value Missing</v>
      </c>
      <c r="F116" s="41"/>
      <c r="G116" s="41"/>
      <c r="H116" s="41"/>
      <c r="I116" s="41"/>
      <c r="J116" s="41"/>
      <c r="K116" s="41"/>
      <c r="L116" s="41"/>
      <c r="M116" s="41"/>
      <c r="N116" s="41"/>
      <c r="O116" s="41"/>
      <c r="P116" s="41"/>
      <c r="Q116" s="41"/>
      <c r="R116" s="41"/>
      <c r="S116" s="41"/>
      <c r="T116" s="41"/>
      <c r="U116" s="41"/>
      <c r="V116" s="41"/>
      <c r="W116" s="41"/>
      <c r="X116" s="41"/>
      <c r="Y116" s="41"/>
      <c r="Z116" s="41"/>
    </row>
    <row r="117" ht="19.5" customHeight="1">
      <c r="A117" s="41"/>
      <c r="B117" s="84" t="s">
        <v>701</v>
      </c>
      <c r="C117" s="18" t="str">
        <f>mgmt_az2_host5_fqdn</f>
        <v>Value Missing</v>
      </c>
      <c r="D117" s="18" t="str">
        <f>mgmt_az2_host5_hostname</f>
        <v>Value Missing</v>
      </c>
      <c r="E117" s="18" t="str">
        <f>mgmt_az2_host5_mgmt_ip</f>
        <v>Value Missing</v>
      </c>
      <c r="F117" s="41"/>
      <c r="G117" s="41"/>
      <c r="H117" s="41"/>
      <c r="I117" s="41"/>
      <c r="J117" s="41"/>
      <c r="K117" s="41"/>
      <c r="L117" s="41"/>
      <c r="M117" s="41"/>
      <c r="N117" s="41"/>
      <c r="O117" s="41"/>
      <c r="P117" s="41"/>
      <c r="Q117" s="41"/>
      <c r="R117" s="41"/>
      <c r="S117" s="41"/>
      <c r="T117" s="41"/>
      <c r="U117" s="41"/>
      <c r="V117" s="41"/>
      <c r="W117" s="41"/>
      <c r="X117" s="41"/>
      <c r="Y117" s="41"/>
      <c r="Z117" s="41"/>
    </row>
    <row r="118" ht="19.5" customHeight="1">
      <c r="A118" s="41"/>
      <c r="B118" s="84" t="s">
        <v>702</v>
      </c>
      <c r="C118" s="18" t="str">
        <f>mgmt_az2_host6_fqdn</f>
        <v>Value Missing</v>
      </c>
      <c r="D118" s="18" t="str">
        <f>mgmt_az2_host6_hostname</f>
        <v>Value Missing</v>
      </c>
      <c r="E118" s="18" t="str">
        <f>mgmt_az2_host6_mgmt_ip</f>
        <v>Value Missing</v>
      </c>
      <c r="F118" s="41"/>
      <c r="G118" s="41"/>
      <c r="H118" s="41"/>
      <c r="I118" s="41"/>
      <c r="J118" s="41"/>
      <c r="K118" s="41"/>
      <c r="L118" s="41"/>
      <c r="M118" s="41"/>
      <c r="N118" s="41"/>
      <c r="O118" s="41"/>
      <c r="P118" s="41"/>
      <c r="Q118" s="41"/>
      <c r="R118" s="41"/>
      <c r="S118" s="41"/>
      <c r="T118" s="41"/>
      <c r="U118" s="41"/>
      <c r="V118" s="41"/>
      <c r="W118" s="41"/>
      <c r="X118" s="41"/>
      <c r="Y118" s="41"/>
      <c r="Z118" s="41"/>
    </row>
    <row r="119" ht="19.5" customHeight="1">
      <c r="A119" s="41"/>
      <c r="B119" s="84" t="s">
        <v>703</v>
      </c>
      <c r="C119" s="18" t="str">
        <f>mgmt_az2_host7_fqdn</f>
        <v>Value Missing</v>
      </c>
      <c r="D119" s="18" t="str">
        <f>mgmt_az2_host7_hostname</f>
        <v>Value Missing</v>
      </c>
      <c r="E119" s="18" t="str">
        <f>mgmt_az2_host7_mgmt_ip</f>
        <v>Value Missing</v>
      </c>
      <c r="F119" s="41"/>
      <c r="G119" s="41"/>
      <c r="H119" s="41"/>
      <c r="I119" s="41"/>
      <c r="J119" s="41"/>
      <c r="K119" s="41"/>
      <c r="L119" s="41"/>
      <c r="M119" s="41"/>
      <c r="N119" s="41"/>
      <c r="O119" s="41"/>
      <c r="P119" s="41"/>
      <c r="Q119" s="41"/>
      <c r="R119" s="41"/>
      <c r="S119" s="41"/>
      <c r="T119" s="41"/>
      <c r="U119" s="41"/>
      <c r="V119" s="41"/>
      <c r="W119" s="41"/>
      <c r="X119" s="41"/>
      <c r="Y119" s="41"/>
      <c r="Z119" s="41"/>
    </row>
    <row r="120" ht="19.5" customHeight="1">
      <c r="A120" s="41"/>
      <c r="B120" s="84" t="s">
        <v>704</v>
      </c>
      <c r="C120" s="18" t="str">
        <f>mgmt_az2_host8_fqdn</f>
        <v>Value Missing</v>
      </c>
      <c r="D120" s="18" t="str">
        <f>mgmt_az2_host8_hostname</f>
        <v>Value Missing</v>
      </c>
      <c r="E120" s="18" t="str">
        <f>mgmt_az2_host8_mgmt_ip</f>
        <v>Value Missing</v>
      </c>
      <c r="F120" s="41"/>
      <c r="G120" s="41"/>
      <c r="H120" s="41"/>
      <c r="I120" s="41"/>
      <c r="J120" s="41"/>
      <c r="K120" s="41"/>
      <c r="L120" s="41"/>
      <c r="M120" s="41"/>
      <c r="N120" s="41"/>
      <c r="O120" s="41"/>
      <c r="P120" s="41"/>
      <c r="Q120" s="41"/>
      <c r="R120" s="41"/>
      <c r="S120" s="41"/>
      <c r="T120" s="41"/>
      <c r="U120" s="41"/>
      <c r="V120" s="41"/>
      <c r="W120" s="41"/>
      <c r="X120" s="41"/>
      <c r="Y120" s="41"/>
      <c r="Z120" s="41"/>
    </row>
    <row r="121" ht="19.5" customHeight="1">
      <c r="A121" s="41"/>
      <c r="B121" s="84" t="s">
        <v>705</v>
      </c>
      <c r="C121" s="18" t="str">
        <f>mgmt_az2_host9_fqdn</f>
        <v>Value Missing</v>
      </c>
      <c r="D121" s="18" t="str">
        <f>mgmt_az2_host9_hostname</f>
        <v>Value Missing</v>
      </c>
      <c r="E121" s="18" t="str">
        <f>mgmt_az2_host9_mgmt_ip</f>
        <v>Value Missing</v>
      </c>
      <c r="F121" s="41"/>
      <c r="G121" s="41"/>
      <c r="H121" s="41"/>
      <c r="I121" s="41"/>
      <c r="J121" s="41"/>
      <c r="K121" s="41"/>
      <c r="L121" s="41"/>
      <c r="M121" s="41"/>
      <c r="N121" s="41"/>
      <c r="O121" s="41"/>
      <c r="P121" s="41"/>
      <c r="Q121" s="41"/>
      <c r="R121" s="41"/>
      <c r="S121" s="41"/>
      <c r="T121" s="41"/>
      <c r="U121" s="41"/>
      <c r="V121" s="41"/>
      <c r="W121" s="41"/>
      <c r="X121" s="41"/>
      <c r="Y121" s="41"/>
      <c r="Z121" s="41"/>
    </row>
    <row r="122" ht="19.5" customHeight="1">
      <c r="A122" s="41"/>
      <c r="B122" s="84" t="s">
        <v>706</v>
      </c>
      <c r="C122" s="18" t="str">
        <f>mgmt_az2_host10_fqdn</f>
        <v>Value Missing</v>
      </c>
      <c r="D122" s="18" t="str">
        <f>mgmt_az2_host10_hostname</f>
        <v>Value Missing</v>
      </c>
      <c r="E122" s="18" t="str">
        <f>mgmt_az2_host10_mgmt_ip</f>
        <v>Value Missing</v>
      </c>
      <c r="F122" s="41"/>
      <c r="G122" s="41"/>
      <c r="H122" s="41"/>
      <c r="I122" s="41"/>
      <c r="J122" s="41"/>
      <c r="K122" s="41"/>
      <c r="L122" s="41"/>
      <c r="M122" s="41"/>
      <c r="N122" s="41"/>
      <c r="O122" s="41"/>
      <c r="P122" s="41"/>
      <c r="Q122" s="41"/>
      <c r="R122" s="41"/>
      <c r="S122" s="41"/>
      <c r="T122" s="41"/>
      <c r="U122" s="41"/>
      <c r="V122" s="41"/>
      <c r="W122" s="41"/>
      <c r="X122" s="41"/>
      <c r="Y122" s="41"/>
      <c r="Z122" s="41"/>
    </row>
    <row r="123" ht="19.5" customHeight="1">
      <c r="A123" s="41"/>
      <c r="B123" s="84" t="s">
        <v>707</v>
      </c>
      <c r="C123" s="18" t="str">
        <f>mgmt_az2_host11_fqdn</f>
        <v>Value Missing</v>
      </c>
      <c r="D123" s="18" t="str">
        <f>mgmt_az2_host11_hostname</f>
        <v>Value Missing</v>
      </c>
      <c r="E123" s="18" t="str">
        <f>mgmt_az2_host11_mgmt_ip</f>
        <v>Value Missing</v>
      </c>
      <c r="F123" s="41"/>
      <c r="G123" s="41"/>
      <c r="H123" s="41"/>
      <c r="I123" s="41"/>
      <c r="J123" s="41"/>
      <c r="K123" s="41"/>
      <c r="L123" s="41"/>
      <c r="M123" s="41"/>
      <c r="N123" s="41"/>
      <c r="O123" s="41"/>
      <c r="P123" s="41"/>
      <c r="Q123" s="41"/>
      <c r="R123" s="41"/>
      <c r="S123" s="41"/>
      <c r="T123" s="41"/>
      <c r="U123" s="41"/>
      <c r="V123" s="41"/>
      <c r="W123" s="41"/>
      <c r="X123" s="41"/>
      <c r="Y123" s="41"/>
      <c r="Z123" s="41"/>
    </row>
    <row r="124" ht="19.5" customHeight="1">
      <c r="A124" s="41"/>
      <c r="B124" s="84" t="s">
        <v>708</v>
      </c>
      <c r="C124" s="18" t="str">
        <f>mgmt_az2_host12_fqdn</f>
        <v>Value Missing</v>
      </c>
      <c r="D124" s="18" t="str">
        <f>mgmt_az2_host12_hostname</f>
        <v>Value Missing</v>
      </c>
      <c r="E124" s="18" t="str">
        <f>mgmt_az2_host12_mgmt_ip</f>
        <v>Value Missing</v>
      </c>
      <c r="F124" s="41"/>
      <c r="G124" s="41"/>
      <c r="H124" s="41"/>
      <c r="I124" s="41"/>
      <c r="J124" s="41"/>
      <c r="K124" s="41"/>
      <c r="L124" s="41"/>
      <c r="M124" s="41"/>
      <c r="N124" s="41"/>
      <c r="O124" s="41"/>
      <c r="P124" s="41"/>
      <c r="Q124" s="41"/>
      <c r="R124" s="41"/>
      <c r="S124" s="41"/>
      <c r="T124" s="41"/>
      <c r="U124" s="41"/>
      <c r="V124" s="41"/>
      <c r="W124" s="41"/>
      <c r="X124" s="41"/>
      <c r="Y124" s="41"/>
      <c r="Z124" s="41"/>
    </row>
    <row r="125" ht="19.5" customHeight="1">
      <c r="A125" s="41"/>
      <c r="B125" s="84" t="s">
        <v>709</v>
      </c>
      <c r="C125" s="18" t="str">
        <f>mgmt_az2_host13_fqdn</f>
        <v>Value Missing</v>
      </c>
      <c r="D125" s="18" t="str">
        <f>mgmt_az2_host13_hostname</f>
        <v>Value Missing</v>
      </c>
      <c r="E125" s="18" t="str">
        <f>mgmt_az2_host13_mgmt_ip</f>
        <v>Value Missing</v>
      </c>
      <c r="F125" s="41"/>
      <c r="G125" s="41"/>
      <c r="H125" s="41"/>
      <c r="I125" s="41"/>
      <c r="J125" s="41"/>
      <c r="K125" s="41"/>
      <c r="L125" s="41"/>
      <c r="M125" s="41"/>
      <c r="N125" s="41"/>
      <c r="O125" s="41"/>
      <c r="P125" s="41"/>
      <c r="Q125" s="41"/>
      <c r="R125" s="41"/>
      <c r="S125" s="41"/>
      <c r="T125" s="41"/>
      <c r="U125" s="41"/>
      <c r="V125" s="41"/>
      <c r="W125" s="41"/>
      <c r="X125" s="41"/>
      <c r="Y125" s="41"/>
      <c r="Z125" s="41"/>
    </row>
    <row r="126" ht="19.5" customHeight="1">
      <c r="A126" s="41"/>
      <c r="B126" s="84" t="s">
        <v>710</v>
      </c>
      <c r="C126" s="18" t="str">
        <f>mgmt_az2_host14_fqdn</f>
        <v>Value Missing</v>
      </c>
      <c r="D126" s="18" t="str">
        <f>mgmt_az2_host14_hostname</f>
        <v>Value Missing</v>
      </c>
      <c r="E126" s="18" t="str">
        <f>mgmt_az2_host14_mgmt_ip</f>
        <v>Value Missing</v>
      </c>
      <c r="F126" s="41"/>
      <c r="G126" s="41"/>
      <c r="H126" s="41"/>
      <c r="I126" s="41"/>
      <c r="J126" s="41"/>
      <c r="K126" s="41"/>
      <c r="L126" s="41"/>
      <c r="M126" s="41"/>
      <c r="N126" s="41"/>
      <c r="O126" s="41"/>
      <c r="P126" s="41"/>
      <c r="Q126" s="41"/>
      <c r="R126" s="41"/>
      <c r="S126" s="41"/>
      <c r="T126" s="41"/>
      <c r="U126" s="41"/>
      <c r="V126" s="41"/>
      <c r="W126" s="41"/>
      <c r="X126" s="41"/>
      <c r="Y126" s="41"/>
      <c r="Z126" s="41"/>
    </row>
    <row r="127" ht="19.5" customHeight="1">
      <c r="A127" s="41"/>
      <c r="B127" s="84" t="s">
        <v>711</v>
      </c>
      <c r="C127" s="18" t="str">
        <f>mgmt_az2_host15_fqdn</f>
        <v>Value Missing</v>
      </c>
      <c r="D127" s="18" t="str">
        <f>mgmt_az2_host15_hostname</f>
        <v>Value Missing</v>
      </c>
      <c r="E127" s="18" t="str">
        <f>mgmt_az2_host15_mgmt_ip</f>
        <v>Value Missing</v>
      </c>
      <c r="F127" s="41"/>
      <c r="G127" s="41"/>
      <c r="H127" s="41"/>
      <c r="I127" s="41"/>
      <c r="J127" s="41"/>
      <c r="K127" s="41"/>
      <c r="L127" s="41"/>
      <c r="M127" s="41"/>
      <c r="N127" s="41"/>
      <c r="O127" s="41"/>
      <c r="P127" s="41"/>
      <c r="Q127" s="41"/>
      <c r="R127" s="41"/>
      <c r="S127" s="41"/>
      <c r="T127" s="41"/>
      <c r="U127" s="41"/>
      <c r="V127" s="41"/>
      <c r="W127" s="41"/>
      <c r="X127" s="41"/>
      <c r="Y127" s="41"/>
      <c r="Z127" s="41"/>
    </row>
    <row r="128" ht="19.5" customHeight="1">
      <c r="A128" s="41"/>
      <c r="B128" s="84" t="s">
        <v>712</v>
      </c>
      <c r="C128" s="18" t="str">
        <f>mgmt_az2_host16_fqdn</f>
        <v>Value Missing</v>
      </c>
      <c r="D128" s="18" t="str">
        <f>mgmt_az2_host16_hostname</f>
        <v>Value Missing</v>
      </c>
      <c r="E128" s="18" t="str">
        <f>mgmt_az2_host16_mgmt_ip</f>
        <v>Value Missing</v>
      </c>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33.75" customHeight="1">
      <c r="A130" s="41"/>
      <c r="B130" s="404" t="s">
        <v>3759</v>
      </c>
      <c r="C130" s="3"/>
      <c r="D130" s="3"/>
      <c r="E130" s="3"/>
      <c r="F130" s="3"/>
      <c r="G130" s="3"/>
      <c r="H130" s="4"/>
      <c r="I130" s="41"/>
      <c r="J130" s="41"/>
      <c r="K130" s="41"/>
      <c r="L130" s="41"/>
      <c r="M130" s="41"/>
      <c r="N130" s="41"/>
      <c r="O130" s="41"/>
      <c r="P130" s="41"/>
      <c r="Q130" s="41"/>
      <c r="R130" s="41"/>
      <c r="S130" s="41"/>
      <c r="T130" s="41"/>
      <c r="U130" s="41"/>
      <c r="V130" s="41"/>
      <c r="W130" s="41"/>
      <c r="X130" s="41"/>
      <c r="Y130" s="41"/>
      <c r="Z130" s="41"/>
    </row>
    <row r="131" ht="15.0"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31.5" customHeight="1">
      <c r="A132" s="41"/>
      <c r="B132" s="197" t="s">
        <v>3760</v>
      </c>
      <c r="C132" s="13"/>
      <c r="D132" s="13"/>
      <c r="E132" s="13"/>
      <c r="F132" s="13"/>
      <c r="G132" s="13"/>
      <c r="H132" s="38"/>
      <c r="I132" s="41"/>
      <c r="J132" s="41"/>
      <c r="K132" s="41"/>
      <c r="L132" s="41"/>
      <c r="M132" s="41"/>
      <c r="N132" s="41"/>
      <c r="O132" s="41"/>
      <c r="P132" s="41"/>
      <c r="Q132" s="41"/>
      <c r="R132" s="41"/>
      <c r="S132" s="41"/>
      <c r="T132" s="41"/>
      <c r="U132" s="41"/>
      <c r="V132" s="41"/>
      <c r="W132" s="41"/>
      <c r="X132" s="41"/>
      <c r="Y132" s="41"/>
      <c r="Z132" s="41"/>
    </row>
    <row r="133" ht="19.5" customHeight="1">
      <c r="A133" s="41"/>
      <c r="B133" s="103"/>
      <c r="C133" s="13"/>
      <c r="D133" s="13"/>
      <c r="E133" s="13"/>
      <c r="F133" s="13"/>
      <c r="G133" s="13"/>
      <c r="H133" s="38"/>
      <c r="I133" s="41"/>
      <c r="J133" s="41"/>
      <c r="K133" s="41"/>
      <c r="L133" s="41"/>
      <c r="M133" s="41"/>
      <c r="N133" s="41"/>
      <c r="O133" s="41"/>
      <c r="P133" s="41"/>
      <c r="Q133" s="41"/>
      <c r="R133" s="41"/>
      <c r="S133" s="41"/>
      <c r="T133" s="41"/>
      <c r="U133" s="41"/>
      <c r="V133" s="41"/>
      <c r="W133" s="41"/>
      <c r="X133" s="41"/>
      <c r="Y133" s="41"/>
      <c r="Z133" s="41"/>
    </row>
    <row r="134" ht="19.5" customHeight="1">
      <c r="A134" s="41"/>
      <c r="B134" s="108" t="s">
        <v>3724</v>
      </c>
      <c r="C134" s="108" t="s">
        <v>3145</v>
      </c>
      <c r="D134" s="108" t="s">
        <v>3725</v>
      </c>
      <c r="E134" s="108" t="s">
        <v>3726</v>
      </c>
      <c r="F134" s="108" t="s">
        <v>3761</v>
      </c>
      <c r="G134" s="108" t="s">
        <v>3727</v>
      </c>
      <c r="H134" s="108" t="s">
        <v>3728</v>
      </c>
      <c r="I134" s="41"/>
      <c r="J134" s="41"/>
      <c r="K134" s="41"/>
      <c r="L134" s="41"/>
      <c r="M134" s="41"/>
      <c r="N134" s="41"/>
      <c r="O134" s="41"/>
      <c r="P134" s="41"/>
      <c r="Q134" s="41"/>
      <c r="R134" s="41"/>
      <c r="S134" s="41"/>
      <c r="T134" s="41"/>
      <c r="U134" s="41"/>
      <c r="V134" s="41"/>
      <c r="W134" s="41"/>
      <c r="X134" s="41"/>
      <c r="Y134" s="41"/>
      <c r="Z134" s="41"/>
    </row>
    <row r="135" ht="19.5" customHeight="1">
      <c r="A135" s="41"/>
      <c r="B135" s="84" t="s">
        <v>1710</v>
      </c>
      <c r="C135" s="18" t="str">
        <f>wld_cl01_az1_mgmt_vm_pg</f>
        <v>Value Missing</v>
      </c>
      <c r="D135" s="18" t="str">
        <f>wld_az1_mgmt_vm_vlan</f>
        <v>Value Missing</v>
      </c>
      <c r="E135" s="18" t="str">
        <f>wld_az1_mgmt_vm_cidr</f>
        <v>Value Missing</v>
      </c>
      <c r="F135" s="18" t="str">
        <f>wld_az1_mgmt_vm_network</f>
        <v>Value Missing</v>
      </c>
      <c r="G135" s="18" t="str">
        <f>wld_az1_mgmt_vm_gateway_ip</f>
        <v>Value Missing</v>
      </c>
      <c r="H135" s="18" t="str">
        <f>wld_az1_mgmt_vm_mtu</f>
        <v>Value Missing</v>
      </c>
      <c r="I135" s="41"/>
      <c r="J135" s="41"/>
      <c r="K135" s="41"/>
      <c r="L135" s="41"/>
      <c r="M135" s="41"/>
      <c r="N135" s="41"/>
      <c r="O135" s="41"/>
      <c r="P135" s="41"/>
      <c r="Q135" s="41"/>
      <c r="R135" s="41"/>
      <c r="S135" s="41"/>
      <c r="T135" s="41"/>
      <c r="U135" s="41"/>
      <c r="V135" s="41"/>
      <c r="W135" s="41"/>
      <c r="X135" s="41"/>
      <c r="Y135" s="41"/>
      <c r="Z135" s="41"/>
    </row>
    <row r="136" ht="19.5" customHeight="1">
      <c r="A136" s="41"/>
      <c r="B136" s="84" t="s">
        <v>3729</v>
      </c>
      <c r="C136" s="18" t="str">
        <f>wld_cl01_az1_mgmt_pg</f>
        <v>Value Missing</v>
      </c>
      <c r="D136" s="18" t="str">
        <f>wld_az1_mgmt_vlan</f>
        <v>Value Missing</v>
      </c>
      <c r="E136" s="18" t="str">
        <f>wld_az1_mgmt_cidr</f>
        <v>Value Missing</v>
      </c>
      <c r="F136" s="18" t="str">
        <f>wld_az1_mgmt_network</f>
        <v>Value Missing</v>
      </c>
      <c r="G136" s="18" t="str">
        <f>wld_az1_mgmt_gateway_ip</f>
        <v>Value Missing</v>
      </c>
      <c r="H136" s="18" t="str">
        <f>wld_az1_mgmt_mtu</f>
        <v>Value Missing</v>
      </c>
      <c r="I136" s="41"/>
      <c r="J136" s="41"/>
      <c r="K136" s="41"/>
      <c r="L136" s="41"/>
      <c r="M136" s="41"/>
      <c r="N136" s="41"/>
      <c r="O136" s="41"/>
      <c r="P136" s="41"/>
      <c r="Q136" s="41"/>
      <c r="R136" s="41"/>
      <c r="S136" s="41"/>
      <c r="T136" s="41"/>
      <c r="U136" s="41"/>
      <c r="V136" s="41"/>
      <c r="W136" s="41"/>
      <c r="X136" s="41"/>
      <c r="Y136" s="41"/>
      <c r="Z136" s="41"/>
    </row>
    <row r="137" ht="19.5" customHeight="1">
      <c r="A137" s="41"/>
      <c r="B137" s="84" t="s">
        <v>407</v>
      </c>
      <c r="C137" s="18" t="str">
        <f>wld_cl01_az1_vmotion_pg</f>
        <v>Value Missing</v>
      </c>
      <c r="D137" s="18" t="str">
        <f>wld_az1_vmotion_vlan</f>
        <v>Value Missing</v>
      </c>
      <c r="E137" s="18" t="str">
        <f>wld_az1_vmotion_cidr</f>
        <v>Value Missing</v>
      </c>
      <c r="F137" s="18" t="str">
        <f>wld_az1_vmotion_network</f>
        <v>Value Missing</v>
      </c>
      <c r="G137" s="18" t="str">
        <f>wld_az1_vmotion_gateway_ip</f>
        <v>Value Missing</v>
      </c>
      <c r="H137" s="18" t="str">
        <f>wld_az1_vmotion_mtu</f>
        <v>Value Missing</v>
      </c>
      <c r="I137" s="41"/>
      <c r="J137" s="41"/>
      <c r="K137" s="41"/>
      <c r="L137" s="41"/>
      <c r="M137" s="41"/>
      <c r="N137" s="41"/>
      <c r="O137" s="41"/>
      <c r="P137" s="41"/>
      <c r="Q137" s="41"/>
      <c r="R137" s="41"/>
      <c r="S137" s="41"/>
      <c r="T137" s="41"/>
      <c r="U137" s="41"/>
      <c r="V137" s="41"/>
      <c r="W137" s="41"/>
      <c r="X137" s="41"/>
      <c r="Y137" s="41"/>
      <c r="Z137" s="41"/>
    </row>
    <row r="138" ht="19.5" customHeight="1">
      <c r="A138" s="41"/>
      <c r="B138" s="84" t="s">
        <v>410</v>
      </c>
      <c r="C138" s="18" t="str">
        <f>wld_cl01_az1_principal_storage_pg</f>
        <v>Value Missing</v>
      </c>
      <c r="D138" s="18" t="str">
        <f>wld_az1_principal_storage_vlan</f>
        <v>Value Missing</v>
      </c>
      <c r="E138" s="18" t="str">
        <f>wld_az1_principal_storage_cidr</f>
        <v>Value Missing</v>
      </c>
      <c r="F138" s="18" t="str">
        <f>wld_az1_principal_storage_network</f>
        <v>Value Missing</v>
      </c>
      <c r="G138" s="18" t="str">
        <f>wld_az1_principal_storage_gateway_ip</f>
        <v>Value Missing</v>
      </c>
      <c r="H138" s="18" t="str">
        <f>wld_az1_principal_storage_mtu</f>
        <v>Value Missing</v>
      </c>
      <c r="I138" s="41"/>
      <c r="J138" s="41"/>
      <c r="K138" s="41"/>
      <c r="L138" s="41"/>
      <c r="M138" s="41"/>
      <c r="N138" s="41"/>
      <c r="O138" s="41"/>
      <c r="P138" s="41"/>
      <c r="Q138" s="41"/>
      <c r="R138" s="41"/>
      <c r="S138" s="41"/>
      <c r="T138" s="41"/>
      <c r="U138" s="41"/>
      <c r="V138" s="41"/>
      <c r="W138" s="41"/>
      <c r="X138" s="41"/>
      <c r="Y138" s="41"/>
      <c r="Z138" s="41"/>
    </row>
    <row r="139" ht="19.5" customHeight="1">
      <c r="A139" s="41"/>
      <c r="B139" s="84" t="s">
        <v>1716</v>
      </c>
      <c r="C139" s="18" t="str">
        <f>wld_az1_host_overlay_pg</f>
        <v>N/A</v>
      </c>
      <c r="D139" s="18" t="str">
        <f>wld_az1_host_overlay_vlan</f>
        <v>Value Missing</v>
      </c>
      <c r="E139" s="18" t="str">
        <f>wld_az1_host_overlay_cidr</f>
        <v>Value Missing</v>
      </c>
      <c r="F139" s="18" t="str">
        <f>wld_az1_host_overlay_network</f>
        <v>Value Missing</v>
      </c>
      <c r="G139" s="18" t="str">
        <f>wld_az1_host_overlay_gateway_ip</f>
        <v>Value Missing</v>
      </c>
      <c r="H139" s="18" t="str">
        <f>wld_az1_host_overlay_mtu</f>
        <v>Value Missing</v>
      </c>
      <c r="I139" s="41"/>
      <c r="J139" s="41"/>
      <c r="K139" s="41"/>
      <c r="L139" s="41"/>
      <c r="M139" s="41"/>
      <c r="N139" s="41"/>
      <c r="O139" s="41"/>
      <c r="P139" s="41"/>
      <c r="Q139" s="41"/>
      <c r="R139" s="41"/>
      <c r="S139" s="41"/>
      <c r="T139" s="41"/>
      <c r="U139" s="41"/>
      <c r="V139" s="41"/>
      <c r="W139" s="41"/>
      <c r="X139" s="41"/>
      <c r="Y139" s="41"/>
      <c r="Z139" s="41"/>
    </row>
    <row r="140" ht="19.5" customHeight="1">
      <c r="A140" s="41"/>
      <c r="B140" s="84" t="s">
        <v>3734</v>
      </c>
      <c r="C140" s="18" t="str">
        <f>wld_vrms_pg</f>
        <v>Value Missing</v>
      </c>
      <c r="D140" s="18" t="str">
        <f>wld_az1_vrms_vlan</f>
        <v>Value Missing</v>
      </c>
      <c r="E140" s="18" t="str">
        <f>wld_az1_vrms_cidr</f>
        <v>Value Missing</v>
      </c>
      <c r="F140" s="18" t="str">
        <f>wld_az1_vrms_network</f>
        <v>Value Missing</v>
      </c>
      <c r="G140" s="18" t="str">
        <f>wld_az1_vrms_gateway_ip</f>
        <v>Value Missing</v>
      </c>
      <c r="H140" s="18" t="str">
        <f>wld_az1_vrms_mtu</f>
        <v>Value Missing</v>
      </c>
      <c r="I140" s="41"/>
      <c r="J140" s="41"/>
      <c r="K140" s="41"/>
      <c r="L140" s="41"/>
      <c r="M140" s="41"/>
      <c r="N140" s="41"/>
      <c r="O140" s="41"/>
      <c r="P140" s="41"/>
      <c r="Q140" s="41"/>
      <c r="R140" s="41"/>
      <c r="S140" s="41"/>
      <c r="T140" s="41"/>
      <c r="U140" s="41"/>
      <c r="V140" s="41"/>
      <c r="W140" s="41"/>
      <c r="X140" s="41"/>
      <c r="Y140" s="41"/>
      <c r="Z140" s="41"/>
    </row>
    <row r="141" ht="19.5" customHeight="1">
      <c r="A141" s="41"/>
      <c r="B141" s="84" t="s">
        <v>3730</v>
      </c>
      <c r="C141" s="18" t="str">
        <f>wld_cl01_az1_uplink01_pg</f>
        <v>Value Missing</v>
      </c>
      <c r="D141" s="18" t="str">
        <f>wld_az1_uplink01_vlan</f>
        <v>Value Missing</v>
      </c>
      <c r="E141" s="18" t="str">
        <f>wld_az1_uplink01_cidr</f>
        <v>Value Missing</v>
      </c>
      <c r="F141" s="18" t="str">
        <f>wld_az1_uplink01_network</f>
        <v>Value Missing</v>
      </c>
      <c r="G141" s="18" t="str">
        <f>wld_az1_uplink01_gateway_ip</f>
        <v>Value Missing</v>
      </c>
      <c r="H141" s="18" t="str">
        <f>wld_az1_uplink01_mtu</f>
        <v>Value Missing</v>
      </c>
      <c r="I141" s="41"/>
      <c r="J141" s="41"/>
      <c r="K141" s="41"/>
      <c r="L141" s="41"/>
      <c r="M141" s="41"/>
      <c r="N141" s="41"/>
      <c r="O141" s="41"/>
      <c r="P141" s="41"/>
      <c r="Q141" s="41"/>
      <c r="R141" s="41"/>
      <c r="S141" s="41"/>
      <c r="T141" s="41"/>
      <c r="U141" s="41"/>
      <c r="V141" s="41"/>
      <c r="W141" s="41"/>
      <c r="X141" s="41"/>
      <c r="Y141" s="41"/>
      <c r="Z141" s="41"/>
    </row>
    <row r="142" ht="19.5" customHeight="1">
      <c r="A142" s="41"/>
      <c r="B142" s="173" t="s">
        <v>3731</v>
      </c>
      <c r="C142" s="18" t="str">
        <f>wld_cl01_az1_uplink02_pg</f>
        <v>Value Missing</v>
      </c>
      <c r="D142" s="18" t="str">
        <f>wld_az1_uplink02_vlan</f>
        <v>Value Missing</v>
      </c>
      <c r="E142" s="18" t="str">
        <f>wld_az1_uplink02_cidr</f>
        <v>Value Missing</v>
      </c>
      <c r="F142" s="18" t="str">
        <f>wld_az1_uplink02_network</f>
        <v>Value Missing</v>
      </c>
      <c r="G142" s="18" t="str">
        <f>wld_az1_uplink02_gateway_ip</f>
        <v>Value Missing</v>
      </c>
      <c r="H142" s="18" t="str">
        <f>wld_az1_uplink02_mtu</f>
        <v>Value Missing</v>
      </c>
      <c r="I142" s="107"/>
      <c r="J142" s="41"/>
      <c r="K142" s="41"/>
      <c r="L142" s="41"/>
      <c r="M142" s="41"/>
      <c r="N142" s="41"/>
      <c r="O142" s="41"/>
      <c r="P142" s="41"/>
      <c r="Q142" s="41"/>
      <c r="R142" s="41"/>
      <c r="S142" s="41"/>
      <c r="T142" s="41"/>
      <c r="U142" s="41"/>
      <c r="V142" s="41"/>
      <c r="W142" s="41"/>
      <c r="X142" s="41"/>
      <c r="Y142" s="41"/>
      <c r="Z142" s="41"/>
    </row>
    <row r="143" ht="19.5" customHeight="1">
      <c r="A143" s="41"/>
      <c r="B143" s="173" t="s">
        <v>1722</v>
      </c>
      <c r="C143" s="18" t="str">
        <f>wld_az1_edge_overlay_pg</f>
        <v>N/A</v>
      </c>
      <c r="D143" s="18" t="str">
        <f>wld_az1_edge_overlay_vlan</f>
        <v>Value Missing</v>
      </c>
      <c r="E143" s="18" t="str">
        <f>wld_az1_edge_overlay_cidr</f>
        <v>Value Missing</v>
      </c>
      <c r="F143" s="18" t="str">
        <f>wld_az1_edge_overlay_network</f>
        <v>Value Missing</v>
      </c>
      <c r="G143" s="18" t="str">
        <f>wld_az1_edge_overlay_gateway_ip</f>
        <v>Value Missing</v>
      </c>
      <c r="H143" s="18" t="str">
        <f>wld_az1_edge_overlay_mtu</f>
        <v>N/A</v>
      </c>
      <c r="I143" s="107"/>
      <c r="J143" s="41"/>
      <c r="K143" s="41"/>
      <c r="L143" s="41"/>
      <c r="M143" s="41"/>
      <c r="N143" s="41"/>
      <c r="O143" s="41"/>
      <c r="P143" s="41"/>
      <c r="Q143" s="41"/>
      <c r="R143" s="41"/>
      <c r="S143" s="41"/>
      <c r="T143" s="41"/>
      <c r="U143" s="41"/>
      <c r="V143" s="41"/>
      <c r="W143" s="41"/>
      <c r="X143" s="41"/>
      <c r="Y143" s="41"/>
      <c r="Z143" s="41"/>
    </row>
    <row r="144" ht="19.5" customHeight="1">
      <c r="A144" s="41"/>
      <c r="B144" s="84" t="s">
        <v>1807</v>
      </c>
      <c r="C144" s="18" t="str">
        <f>wld_az1_rtep_overlay_pg</f>
        <v>N/A</v>
      </c>
      <c r="D144" s="18" t="str">
        <f>wld_az1_rtep_overlay_vlan</f>
        <v>Value Missing</v>
      </c>
      <c r="E144" s="18" t="str">
        <f>wld_az1_rtep_overlay_cidr</f>
        <v>Value Missing</v>
      </c>
      <c r="F144" s="18" t="str">
        <f>wld_az1_rtep_overlay_network</f>
        <v>Value Missing</v>
      </c>
      <c r="G144" s="18" t="str">
        <f>wld_az1_rtep_overlay_gateway_ip</f>
        <v>Value Missing</v>
      </c>
      <c r="H144" s="18" t="str">
        <f>wld_az1_rtep_overlay_mtu</f>
        <v/>
      </c>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33.75" customHeight="1">
      <c r="A146" s="41"/>
      <c r="B146" s="197" t="s">
        <v>3762</v>
      </c>
      <c r="C146" s="13"/>
      <c r="D146" s="13"/>
      <c r="E146" s="13"/>
      <c r="F146" s="13"/>
      <c r="G146" s="13"/>
      <c r="H146" s="38"/>
      <c r="I146" s="41"/>
      <c r="J146" s="41"/>
      <c r="K146" s="41"/>
      <c r="L146" s="41"/>
      <c r="M146" s="41"/>
      <c r="N146" s="41"/>
      <c r="O146" s="41"/>
      <c r="P146" s="41"/>
      <c r="Q146" s="41"/>
      <c r="R146" s="41"/>
      <c r="S146" s="41"/>
      <c r="T146" s="41"/>
      <c r="U146" s="41"/>
      <c r="V146" s="41"/>
      <c r="W146" s="41"/>
      <c r="X146" s="41"/>
      <c r="Y146" s="41"/>
      <c r="Z146" s="41"/>
    </row>
    <row r="147" ht="19.5" customHeight="1">
      <c r="A147" s="41"/>
      <c r="B147" s="103"/>
      <c r="C147" s="13"/>
      <c r="D147" s="13"/>
      <c r="E147" s="13"/>
      <c r="F147" s="13"/>
      <c r="G147" s="13"/>
      <c r="H147" s="38"/>
      <c r="I147" s="41"/>
      <c r="J147" s="41"/>
      <c r="K147" s="41"/>
      <c r="L147" s="41"/>
      <c r="M147" s="41"/>
      <c r="N147" s="41"/>
      <c r="O147" s="41"/>
      <c r="P147" s="41"/>
      <c r="Q147" s="41"/>
      <c r="R147" s="41"/>
      <c r="S147" s="41"/>
      <c r="T147" s="41"/>
      <c r="U147" s="41"/>
      <c r="V147" s="41"/>
      <c r="W147" s="41"/>
      <c r="X147" s="41"/>
      <c r="Y147" s="41"/>
      <c r="Z147" s="41"/>
    </row>
    <row r="148" ht="19.5" customHeight="1">
      <c r="A148" s="41"/>
      <c r="B148" s="108" t="s">
        <v>3724</v>
      </c>
      <c r="C148" s="108" t="s">
        <v>137</v>
      </c>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9.5" customHeight="1">
      <c r="A149" s="41"/>
      <c r="B149" s="84" t="s">
        <v>1439</v>
      </c>
      <c r="C149" s="18" t="str">
        <f>wld_en_asn</f>
        <v>Value Missing</v>
      </c>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9.5" customHeight="1">
      <c r="A150" s="41"/>
      <c r="B150" s="84" t="s">
        <v>658</v>
      </c>
      <c r="C150" s="18" t="str">
        <f>wld_az1_tor1_peer_ip</f>
        <v>Value Missing</v>
      </c>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9.5" customHeight="1">
      <c r="A151" s="41"/>
      <c r="B151" s="84" t="s">
        <v>659</v>
      </c>
      <c r="C151" s="18" t="str">
        <f>wld_az1_tor1_peer_asn</f>
        <v>Value Missing</v>
      </c>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9.5" customHeight="1">
      <c r="A152" s="41"/>
      <c r="B152" s="84" t="s">
        <v>660</v>
      </c>
      <c r="C152" s="18" t="str">
        <f>wld_az1_tor1_peer_bgp_password</f>
        <v>Value Missing</v>
      </c>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9.5" customHeight="1">
      <c r="A153" s="41"/>
      <c r="B153" s="84" t="s">
        <v>661</v>
      </c>
      <c r="C153" s="18" t="str">
        <f>wld_az1_tor2_peer_ip</f>
        <v>Value Missing</v>
      </c>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9.5" customHeight="1">
      <c r="A154" s="41"/>
      <c r="B154" s="84" t="s">
        <v>662</v>
      </c>
      <c r="C154" s="18" t="str">
        <f>wld_az1_tor2_peer_asn</f>
        <v>Value Missing</v>
      </c>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9.5" customHeight="1">
      <c r="A155" s="41"/>
      <c r="B155" s="84" t="s">
        <v>663</v>
      </c>
      <c r="C155" s="18" t="str">
        <f>wld_az1_tor2_peer_bgp_password</f>
        <v>Value Missing</v>
      </c>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33.75" customHeight="1">
      <c r="A157" s="41"/>
      <c r="B157" s="197" t="s">
        <v>3763</v>
      </c>
      <c r="C157" s="13"/>
      <c r="D157" s="13"/>
      <c r="E157" s="13"/>
      <c r="F157" s="13"/>
      <c r="G157" s="13"/>
      <c r="H157" s="38"/>
      <c r="I157" s="41"/>
      <c r="J157" s="41"/>
      <c r="K157" s="41"/>
      <c r="L157" s="41"/>
      <c r="M157" s="41"/>
      <c r="N157" s="41"/>
      <c r="O157" s="41"/>
      <c r="P157" s="41"/>
      <c r="Q157" s="41"/>
      <c r="R157" s="41"/>
      <c r="S157" s="41"/>
      <c r="T157" s="41"/>
      <c r="U157" s="41"/>
      <c r="V157" s="41"/>
      <c r="W157" s="41"/>
      <c r="X157" s="41"/>
      <c r="Y157" s="41"/>
      <c r="Z157" s="41"/>
    </row>
    <row r="158" ht="19.5" customHeight="1">
      <c r="A158" s="41"/>
      <c r="B158" s="103"/>
      <c r="C158" s="13"/>
      <c r="D158" s="13"/>
      <c r="E158" s="13"/>
      <c r="F158" s="13"/>
      <c r="G158" s="13"/>
      <c r="H158" s="38"/>
      <c r="I158" s="41"/>
      <c r="J158" s="41"/>
      <c r="K158" s="41"/>
      <c r="L158" s="41"/>
      <c r="M158" s="41"/>
      <c r="N158" s="41"/>
      <c r="O158" s="41"/>
      <c r="P158" s="41"/>
      <c r="Q158" s="41"/>
      <c r="R158" s="41"/>
      <c r="S158" s="41"/>
      <c r="T158" s="41"/>
      <c r="U158" s="41"/>
      <c r="V158" s="41"/>
      <c r="W158" s="41"/>
      <c r="X158" s="41"/>
      <c r="Y158" s="41"/>
      <c r="Z158" s="41"/>
    </row>
    <row r="159" ht="19.5" customHeight="1">
      <c r="A159" s="41"/>
      <c r="B159" s="108" t="s">
        <v>3724</v>
      </c>
      <c r="C159" s="108" t="s">
        <v>3145</v>
      </c>
      <c r="D159" s="108" t="s">
        <v>401</v>
      </c>
      <c r="E159" s="108" t="s">
        <v>2583</v>
      </c>
      <c r="F159" s="108" t="s">
        <v>717</v>
      </c>
      <c r="G159" s="108" t="s">
        <v>402</v>
      </c>
      <c r="H159" s="108" t="s">
        <v>404</v>
      </c>
      <c r="I159" s="41"/>
      <c r="J159" s="41"/>
      <c r="K159" s="41"/>
      <c r="L159" s="41"/>
      <c r="M159" s="41"/>
      <c r="N159" s="41"/>
      <c r="O159" s="41"/>
      <c r="P159" s="41"/>
      <c r="Q159" s="41"/>
      <c r="R159" s="41"/>
      <c r="S159" s="41"/>
      <c r="T159" s="41"/>
      <c r="U159" s="41"/>
      <c r="V159" s="41"/>
      <c r="W159" s="41"/>
      <c r="X159" s="41"/>
      <c r="Y159" s="41"/>
      <c r="Z159" s="41"/>
    </row>
    <row r="160" ht="19.5" customHeight="1">
      <c r="A160" s="41"/>
      <c r="B160" s="84" t="s">
        <v>1710</v>
      </c>
      <c r="C160" s="18" t="str">
        <f>IF(wld_stretched_cluster_result="Excluded","Not Required",wld_cl01_az1_mgmt_vm_pg)</f>
        <v>Not Required</v>
      </c>
      <c r="D160" s="18" t="str">
        <f>IF(wld_stretched_cluster_result="Excluded","Not Required",wld_az1_mgmt_vm_vlan)</f>
        <v>Not Required</v>
      </c>
      <c r="E160" s="18" t="str">
        <f>IF(wld_stretched_cluster_result="Excluded","Not Required",wld_az1_mgmt_vm_cidr)</f>
        <v>Not Required</v>
      </c>
      <c r="F160" s="18" t="str">
        <f>IF(wld_stretched_cluster_result="Excluded","Not Required",wld_az1_mgmt_vm_network)</f>
        <v>Not Required</v>
      </c>
      <c r="G160" s="18" t="str">
        <f>IF(wld_stretched_cluster_result="Excluded","Not Required",wld_az1_mgmt_vm_gateway_ip)</f>
        <v>Not Required</v>
      </c>
      <c r="H160" s="18" t="str">
        <f>IF(wld_stretched_cluster_result="Excluded","Not Required",wld_az1_mgmt_vm_mtu)</f>
        <v>Not Required</v>
      </c>
      <c r="I160" s="41"/>
      <c r="J160" s="41"/>
      <c r="K160" s="41"/>
      <c r="L160" s="41"/>
      <c r="M160" s="41"/>
      <c r="N160" s="41"/>
      <c r="O160" s="41"/>
      <c r="P160" s="41"/>
      <c r="Q160" s="41"/>
      <c r="R160" s="41"/>
      <c r="S160" s="41"/>
      <c r="T160" s="41"/>
      <c r="U160" s="41"/>
      <c r="V160" s="41"/>
      <c r="W160" s="41"/>
      <c r="X160" s="41"/>
      <c r="Y160" s="41"/>
      <c r="Z160" s="41"/>
    </row>
    <row r="161" ht="19.5" customHeight="1">
      <c r="A161" s="41"/>
      <c r="B161" s="84" t="s">
        <v>3729</v>
      </c>
      <c r="C161" s="18" t="str">
        <f>wld_cl01_az2_mgmt_pg</f>
        <v>Value Missing</v>
      </c>
      <c r="D161" s="18" t="str">
        <f>wld_az2_mgmt_vlan</f>
        <v>Value Missing</v>
      </c>
      <c r="E161" s="18" t="str">
        <f>wld_az2_mgmt_cidr</f>
        <v>Value Missing</v>
      </c>
      <c r="F161" s="18" t="str">
        <f t="array" ref="F161">wld_az2_mgmt_network</f>
        <v>Value Missing</v>
      </c>
      <c r="G161" s="18" t="str">
        <f>wld_az2_mgmt_gateway_ip</f>
        <v>Value Missing</v>
      </c>
      <c r="H161" s="18" t="str">
        <f>wld_az2_mgmt_mtu</f>
        <v>Value Missing</v>
      </c>
      <c r="I161" s="41"/>
      <c r="J161" s="41"/>
      <c r="K161" s="41"/>
      <c r="L161" s="41"/>
      <c r="M161" s="41"/>
      <c r="N161" s="41"/>
      <c r="O161" s="41"/>
      <c r="P161" s="41"/>
      <c r="Q161" s="41"/>
      <c r="R161" s="41"/>
      <c r="S161" s="41"/>
      <c r="T161" s="41"/>
      <c r="U161" s="41"/>
      <c r="V161" s="41"/>
      <c r="W161" s="41"/>
      <c r="X161" s="41"/>
      <c r="Y161" s="41"/>
      <c r="Z161" s="41"/>
    </row>
    <row r="162" ht="19.5" customHeight="1">
      <c r="A162" s="41"/>
      <c r="B162" s="84" t="s">
        <v>407</v>
      </c>
      <c r="C162" s="18" t="str">
        <f>wld_cl01_az2_vmotion_pg</f>
        <v>Value Missing</v>
      </c>
      <c r="D162" s="18" t="str">
        <f>wld_az2_vmotion_vlan</f>
        <v>Value Missing</v>
      </c>
      <c r="E162" s="18" t="str">
        <f>wld_az2_vmotion_cidr</f>
        <v>Value Missing</v>
      </c>
      <c r="F162" s="18" t="str">
        <f>wld_az2_vmotion_network</f>
        <v>Value Missing</v>
      </c>
      <c r="G162" s="18" t="str">
        <f>wld_az2_vmotion_gateway_ip</f>
        <v>Value Missing</v>
      </c>
      <c r="H162" s="18" t="str">
        <f>wld_az2_vmotion_mtu</f>
        <v>Value Missing</v>
      </c>
      <c r="I162" s="41"/>
      <c r="J162" s="41"/>
      <c r="K162" s="41"/>
      <c r="L162" s="41"/>
      <c r="M162" s="41"/>
      <c r="N162" s="41"/>
      <c r="O162" s="41"/>
      <c r="P162" s="41"/>
      <c r="Q162" s="41"/>
      <c r="R162" s="41"/>
      <c r="S162" s="41"/>
      <c r="T162" s="41"/>
      <c r="U162" s="41"/>
      <c r="V162" s="41"/>
      <c r="W162" s="41"/>
      <c r="X162" s="41"/>
      <c r="Y162" s="41"/>
      <c r="Z162" s="41"/>
    </row>
    <row r="163" ht="19.5" customHeight="1">
      <c r="A163" s="41"/>
      <c r="B163" s="84" t="s">
        <v>410</v>
      </c>
      <c r="C163" s="18" t="str">
        <f>wld_cl01_az2_principal_storage_pg</f>
        <v>Value Missing</v>
      </c>
      <c r="D163" s="18" t="str">
        <f>wld_az2_principal_storage_vlan</f>
        <v>Value Missing</v>
      </c>
      <c r="E163" s="18" t="str">
        <f>wld_az2_principal_storage_cidr</f>
        <v>Value Missing</v>
      </c>
      <c r="F163" s="18" t="str">
        <f>wld_az2_principal_storage_network</f>
        <v>Value Missing</v>
      </c>
      <c r="G163" s="18" t="str">
        <f>wld_az2_principal_storage_gateway_ip</f>
        <v>Value Missing</v>
      </c>
      <c r="H163" s="18" t="str">
        <f>wld_az2_principal_storage_mtu</f>
        <v>Value Missing</v>
      </c>
      <c r="I163" s="41"/>
      <c r="J163" s="41"/>
      <c r="K163" s="41"/>
      <c r="L163" s="41"/>
      <c r="M163" s="41"/>
      <c r="N163" s="41"/>
      <c r="O163" s="41"/>
      <c r="P163" s="41"/>
      <c r="Q163" s="41"/>
      <c r="R163" s="41"/>
      <c r="S163" s="41"/>
      <c r="T163" s="41"/>
      <c r="U163" s="41"/>
      <c r="V163" s="41"/>
      <c r="W163" s="41"/>
      <c r="X163" s="41"/>
      <c r="Y163" s="41"/>
      <c r="Z163" s="41"/>
    </row>
    <row r="164" ht="19.5" customHeight="1">
      <c r="A164" s="41"/>
      <c r="B164" s="84" t="s">
        <v>1716</v>
      </c>
      <c r="C164" s="18" t="str">
        <f t="array" ref="C164">wld_az2_host_overlay_pg</f>
        <v>N/A</v>
      </c>
      <c r="D164" s="18" t="str">
        <f>wld_az2_host_overlay_vlan</f>
        <v>Value Missing</v>
      </c>
      <c r="E164" s="18" t="str">
        <f>wld_az2_host_overlay_cidr</f>
        <v>Value Missing</v>
      </c>
      <c r="F164" s="18" t="str">
        <f>wld_az2_host_overlay_network</f>
        <v>Value Missing</v>
      </c>
      <c r="G164" s="18" t="str">
        <f>wld_az2_host_overlay_gateway_ip</f>
        <v>Value Missing</v>
      </c>
      <c r="H164" s="18" t="str">
        <f>wld_az2_host_overlay_mtu</f>
        <v>Value Missing</v>
      </c>
      <c r="I164" s="41"/>
      <c r="J164" s="41"/>
      <c r="K164" s="41"/>
      <c r="L164" s="41"/>
      <c r="M164" s="41"/>
      <c r="N164" s="41"/>
      <c r="O164" s="41"/>
      <c r="P164" s="41"/>
      <c r="Q164" s="41"/>
      <c r="R164" s="41"/>
      <c r="S164" s="41"/>
      <c r="T164" s="41"/>
      <c r="U164" s="41"/>
      <c r="V164" s="41"/>
      <c r="W164" s="41"/>
      <c r="X164" s="41"/>
      <c r="Y164" s="41"/>
      <c r="Z164" s="41"/>
    </row>
    <row r="165" ht="19.5" customHeight="1">
      <c r="A165" s="41"/>
      <c r="B165" s="84" t="s">
        <v>3734</v>
      </c>
      <c r="C165" s="18" t="str">
        <f>wld_vrms_pg</f>
        <v>Value Missing</v>
      </c>
      <c r="D165" s="18" t="str">
        <f>wld_az2_vrms_vlan</f>
        <v>Value Missing</v>
      </c>
      <c r="E165" s="18" t="str">
        <f>wld_az2_vrms_cidr</f>
        <v>Value Missing</v>
      </c>
      <c r="F165" s="18" t="str">
        <f>wld_az2_vrms_network</f>
        <v>Value Missing</v>
      </c>
      <c r="G165" s="18" t="str">
        <f>wld_az2_vrms_gateway_ip</f>
        <v>Value Missing</v>
      </c>
      <c r="H165" s="18" t="str">
        <f>wld_az2_vrms_mtu</f>
        <v>Value Missing</v>
      </c>
      <c r="I165" s="41"/>
      <c r="J165" s="41"/>
      <c r="K165" s="41"/>
      <c r="L165" s="41"/>
      <c r="M165" s="41"/>
      <c r="N165" s="41"/>
      <c r="O165" s="41"/>
      <c r="P165" s="41"/>
      <c r="Q165" s="41"/>
      <c r="R165" s="41"/>
      <c r="S165" s="41"/>
      <c r="T165" s="41"/>
      <c r="U165" s="41"/>
      <c r="V165" s="41"/>
      <c r="W165" s="41"/>
      <c r="X165" s="41"/>
      <c r="Y165" s="41"/>
      <c r="Z165" s="41"/>
    </row>
    <row r="166" ht="19.5" customHeight="1">
      <c r="A166" s="41"/>
      <c r="B166" s="84" t="s">
        <v>3730</v>
      </c>
      <c r="C166" s="18" t="str">
        <f t="array" ref="C166">wld_cl01_az2_uplink01_pg</f>
        <v>Value Missing</v>
      </c>
      <c r="D166" s="18" t="str">
        <f>wld_az2_uplink01_vlan</f>
        <v>Value Missing</v>
      </c>
      <c r="E166" s="18" t="str">
        <f>wld_az2_uplink01_cidr</f>
        <v>Value Missing</v>
      </c>
      <c r="F166" s="18" t="str">
        <f>wld_az2_uplink02_network</f>
        <v>Value Missing</v>
      </c>
      <c r="G166" s="18" t="str">
        <f>wld_az2_uplink01_gateway_ip</f>
        <v>Value Missing</v>
      </c>
      <c r="H166" s="18" t="str">
        <f>wld_az2_uplink01_mtu</f>
        <v>Value Missing</v>
      </c>
      <c r="I166" s="41"/>
      <c r="J166" s="41"/>
      <c r="K166" s="41"/>
      <c r="L166" s="41"/>
      <c r="M166" s="41"/>
      <c r="N166" s="41"/>
      <c r="O166" s="41"/>
      <c r="P166" s="41"/>
      <c r="Q166" s="41"/>
      <c r="R166" s="41"/>
      <c r="S166" s="41"/>
      <c r="T166" s="41"/>
      <c r="U166" s="41"/>
      <c r="V166" s="41"/>
      <c r="W166" s="41"/>
      <c r="X166" s="41"/>
      <c r="Y166" s="41"/>
      <c r="Z166" s="41"/>
    </row>
    <row r="167" ht="19.5" customHeight="1">
      <c r="A167" s="41"/>
      <c r="B167" s="173" t="s">
        <v>3731</v>
      </c>
      <c r="C167" s="18" t="str">
        <f t="array" ref="C167">wld_cl01_az2_uplink02_pg</f>
        <v>Value Missing</v>
      </c>
      <c r="D167" s="18" t="str">
        <f>wld_az2_uplink02_vlan</f>
        <v>Value Missing</v>
      </c>
      <c r="E167" s="18" t="str">
        <f>wld_az2_uplink02_cidr</f>
        <v>Value Missing</v>
      </c>
      <c r="F167" s="18" t="str">
        <f>wld_az2_uplink02_network</f>
        <v>Value Missing</v>
      </c>
      <c r="G167" s="18" t="str">
        <f>wld_az2_uplink02_gateway_ip</f>
        <v>Value Missing</v>
      </c>
      <c r="H167" s="18" t="str">
        <f>wld_az2_uplink02_mtu</f>
        <v>Value Missing</v>
      </c>
      <c r="I167" s="41"/>
      <c r="J167" s="41"/>
      <c r="K167" s="41"/>
      <c r="L167" s="41"/>
      <c r="M167" s="41"/>
      <c r="N167" s="41"/>
      <c r="O167" s="41"/>
      <c r="P167" s="41"/>
      <c r="Q167" s="41"/>
      <c r="R167" s="41"/>
      <c r="S167" s="41"/>
      <c r="T167" s="41"/>
      <c r="U167" s="41"/>
      <c r="V167" s="41"/>
      <c r="W167" s="41"/>
      <c r="X167" s="41"/>
      <c r="Y167" s="41"/>
      <c r="Z167" s="41"/>
    </row>
    <row r="168" ht="19.5" customHeight="1">
      <c r="A168" s="41"/>
      <c r="B168" s="173" t="s">
        <v>1722</v>
      </c>
      <c r="C168" s="18" t="str">
        <f t="array" ref="C168">wld_az2_edge_overlay_pg</f>
        <v>N/A</v>
      </c>
      <c r="D168" s="18" t="str">
        <f>wld_az2_edge_overlay_vlan</f>
        <v>Value Missing</v>
      </c>
      <c r="E168" s="18" t="str">
        <f>wld_az2_edge_overlay_cidr</f>
        <v>Value Missing</v>
      </c>
      <c r="F168" s="18" t="str">
        <f>wld_az2_edge_overlay_network</f>
        <v>Value Missing</v>
      </c>
      <c r="G168" s="18" t="str">
        <f>wld_az2_edge_overlay_gateway_ip</f>
        <v>Value Missing</v>
      </c>
      <c r="H168" s="18" t="str">
        <f>wld_az2_edge_overlay_mtu</f>
        <v>N/A</v>
      </c>
      <c r="I168" s="41"/>
      <c r="J168" s="41"/>
      <c r="K168" s="41"/>
      <c r="L168" s="41"/>
      <c r="M168" s="41"/>
      <c r="N168" s="41"/>
      <c r="O168" s="41"/>
      <c r="P168" s="41"/>
      <c r="Q168" s="41"/>
      <c r="R168" s="41"/>
      <c r="S168" s="41"/>
      <c r="T168" s="41"/>
      <c r="U168" s="41"/>
      <c r="V168" s="41"/>
      <c r="W168" s="41"/>
      <c r="X168" s="41"/>
      <c r="Y168" s="41"/>
      <c r="Z168" s="41"/>
    </row>
    <row r="169" ht="19.5" customHeight="1">
      <c r="A169" s="41"/>
      <c r="B169" s="84" t="s">
        <v>1807</v>
      </c>
      <c r="C169" s="18" t="str">
        <f>wld_az1_rtep_overlay_pg</f>
        <v>N/A</v>
      </c>
      <c r="D169" s="18" t="str">
        <f>wld_az2_rtep_overlay_vlan</f>
        <v>Value Missing</v>
      </c>
      <c r="E169" s="18" t="str">
        <f>wld_az2_rtep_overlay_cidr</f>
        <v>Value Missing</v>
      </c>
      <c r="F169" s="18" t="str">
        <f>wld_az1_rtep_overlay_network</f>
        <v>Value Missing</v>
      </c>
      <c r="G169" s="18" t="str">
        <f>wld_az2_rtep_overlay_gateway_ip</f>
        <v>Value Missing</v>
      </c>
      <c r="H169" s="18" t="str">
        <f>wld_az2_rtep_overlay_mtu</f>
        <v/>
      </c>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33.75" customHeight="1">
      <c r="A171" s="41"/>
      <c r="B171" s="197" t="s">
        <v>3764</v>
      </c>
      <c r="C171" s="13"/>
      <c r="D171" s="13"/>
      <c r="E171" s="13"/>
      <c r="F171" s="13"/>
      <c r="G171" s="13"/>
      <c r="H171" s="38"/>
      <c r="I171" s="41"/>
      <c r="J171" s="41"/>
      <c r="K171" s="41"/>
      <c r="L171" s="41"/>
      <c r="M171" s="41"/>
      <c r="N171" s="41"/>
      <c r="O171" s="41"/>
      <c r="P171" s="41"/>
      <c r="Q171" s="41"/>
      <c r="R171" s="41"/>
      <c r="S171" s="41"/>
      <c r="T171" s="41"/>
      <c r="U171" s="41"/>
      <c r="V171" s="41"/>
      <c r="W171" s="41"/>
      <c r="X171" s="41"/>
      <c r="Y171" s="41"/>
      <c r="Z171" s="41"/>
    </row>
    <row r="172" ht="19.5" customHeight="1">
      <c r="A172" s="41"/>
      <c r="B172" s="103"/>
      <c r="C172" s="13"/>
      <c r="D172" s="13"/>
      <c r="E172" s="13"/>
      <c r="F172" s="13"/>
      <c r="G172" s="13"/>
      <c r="H172" s="38"/>
      <c r="I172" s="41"/>
      <c r="J172" s="41"/>
      <c r="K172" s="41"/>
      <c r="L172" s="41"/>
      <c r="M172" s="41"/>
      <c r="N172" s="41"/>
      <c r="O172" s="41"/>
      <c r="P172" s="41"/>
      <c r="Q172" s="41"/>
      <c r="R172" s="41"/>
      <c r="S172" s="41"/>
      <c r="T172" s="41"/>
      <c r="U172" s="41"/>
      <c r="V172" s="41"/>
      <c r="W172" s="41"/>
      <c r="X172" s="41"/>
      <c r="Y172" s="41"/>
      <c r="Z172" s="41"/>
    </row>
    <row r="173" ht="19.5" customHeight="1">
      <c r="A173" s="41"/>
      <c r="B173" s="108" t="s">
        <v>3724</v>
      </c>
      <c r="C173" s="108" t="s">
        <v>137</v>
      </c>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9.5" customHeight="1">
      <c r="A174" s="41"/>
      <c r="B174" s="84" t="s">
        <v>1439</v>
      </c>
      <c r="C174" s="18" t="str">
        <f>wld_en_asn</f>
        <v>Value Missing</v>
      </c>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9.5" customHeight="1">
      <c r="A175" s="41"/>
      <c r="B175" s="84" t="s">
        <v>658</v>
      </c>
      <c r="C175" s="18" t="str">
        <f>wld_az1_tor1_peer_ip</f>
        <v>Value Missing</v>
      </c>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9.5" customHeight="1">
      <c r="A176" s="41"/>
      <c r="B176" s="84" t="s">
        <v>659</v>
      </c>
      <c r="C176" s="18" t="str">
        <f>wld_az1_tor1_peer_asn</f>
        <v>Value Missing</v>
      </c>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9.5" customHeight="1">
      <c r="A177" s="41"/>
      <c r="B177" s="84" t="s">
        <v>660</v>
      </c>
      <c r="C177" s="18" t="str">
        <f>wld_az1_tor1_peer_bgp_password</f>
        <v>Value Missing</v>
      </c>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9.5" customHeight="1">
      <c r="A178" s="41"/>
      <c r="B178" s="84" t="s">
        <v>661</v>
      </c>
      <c r="C178" s="18" t="str">
        <f>wld_az1_tor2_peer_ip</f>
        <v>Value Missing</v>
      </c>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9.5" customHeight="1">
      <c r="A179" s="41"/>
      <c r="B179" s="84" t="s">
        <v>662</v>
      </c>
      <c r="C179" s="18" t="str">
        <f>wld_az1_tor2_peer_asn</f>
        <v>Value Missing</v>
      </c>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9.5" customHeight="1">
      <c r="A180" s="41"/>
      <c r="B180" s="84" t="s">
        <v>663</v>
      </c>
      <c r="C180" s="18" t="str">
        <f>wld_az1_tor2_peer_bgp_password</f>
        <v>Value Missing</v>
      </c>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31.5" customHeight="1">
      <c r="A182" s="41"/>
      <c r="B182" s="197" t="s">
        <v>3765</v>
      </c>
      <c r="C182" s="13"/>
      <c r="D182" s="13"/>
      <c r="E182" s="13"/>
      <c r="F182" s="13"/>
      <c r="G182" s="13"/>
      <c r="H182" s="38"/>
      <c r="I182" s="41"/>
      <c r="J182" s="41"/>
      <c r="K182" s="41"/>
      <c r="L182" s="41"/>
      <c r="M182" s="41"/>
      <c r="N182" s="41"/>
      <c r="O182" s="41"/>
      <c r="P182" s="41"/>
      <c r="Q182" s="41"/>
      <c r="R182" s="41"/>
      <c r="S182" s="41"/>
      <c r="T182" s="41"/>
      <c r="U182" s="41"/>
      <c r="V182" s="41"/>
      <c r="W182" s="41"/>
      <c r="X182" s="41"/>
      <c r="Y182" s="41"/>
      <c r="Z182" s="41"/>
    </row>
    <row r="183" ht="19.5" customHeight="1">
      <c r="A183" s="41"/>
      <c r="B183" s="103" t="s">
        <v>3712</v>
      </c>
      <c r="C183" s="13"/>
      <c r="D183" s="13"/>
      <c r="E183" s="13"/>
      <c r="F183" s="13"/>
      <c r="G183" s="13"/>
      <c r="H183" s="38"/>
      <c r="I183" s="41"/>
      <c r="J183" s="41"/>
      <c r="K183" s="41"/>
      <c r="L183" s="41"/>
      <c r="M183" s="41"/>
      <c r="N183" s="41"/>
      <c r="O183" s="41"/>
      <c r="P183" s="41"/>
      <c r="Q183" s="41"/>
      <c r="R183" s="41"/>
      <c r="S183" s="41"/>
      <c r="T183" s="41"/>
      <c r="U183" s="41"/>
      <c r="V183" s="41"/>
      <c r="W183" s="41"/>
      <c r="X183" s="41"/>
      <c r="Y183" s="41"/>
      <c r="Z183" s="41"/>
    </row>
    <row r="184" ht="19.5" customHeight="1">
      <c r="A184" s="41"/>
      <c r="B184" s="108" t="s">
        <v>3724</v>
      </c>
      <c r="C184" s="108" t="s">
        <v>537</v>
      </c>
      <c r="D184" s="108" t="s">
        <v>760</v>
      </c>
      <c r="E184" s="108" t="s">
        <v>3737</v>
      </c>
      <c r="F184" s="41"/>
      <c r="G184" s="41"/>
      <c r="H184" s="41"/>
      <c r="I184" s="41"/>
      <c r="J184" s="41"/>
      <c r="K184" s="41"/>
      <c r="L184" s="41"/>
      <c r="M184" s="41"/>
      <c r="N184" s="41"/>
      <c r="O184" s="41"/>
      <c r="P184" s="41"/>
      <c r="Q184" s="41"/>
      <c r="R184" s="41"/>
      <c r="S184" s="41"/>
      <c r="T184" s="41"/>
      <c r="U184" s="41"/>
      <c r="V184" s="41"/>
      <c r="W184" s="41"/>
      <c r="X184" s="41"/>
      <c r="Y184" s="41"/>
      <c r="Z184" s="41"/>
    </row>
    <row r="185" ht="19.5" customHeight="1">
      <c r="A185" s="41"/>
      <c r="B185" s="84" t="s">
        <v>697</v>
      </c>
      <c r="C185" s="18" t="str">
        <f>wld_az1_host1_fqdn</f>
        <v>Value Missing</v>
      </c>
      <c r="D185" s="18" t="str">
        <f>wld_az1_host1_hostname</f>
        <v>Value Missing</v>
      </c>
      <c r="E185" s="18" t="str">
        <f>wld_az1_host1_mgmt_ip</f>
        <v>Value Missing</v>
      </c>
      <c r="F185" s="41"/>
      <c r="G185" s="41"/>
      <c r="H185" s="41"/>
      <c r="I185" s="41"/>
      <c r="J185" s="41"/>
      <c r="K185" s="41"/>
      <c r="L185" s="41"/>
      <c r="M185" s="41"/>
      <c r="N185" s="41"/>
      <c r="O185" s="41"/>
      <c r="P185" s="41"/>
      <c r="Q185" s="41"/>
      <c r="R185" s="41"/>
      <c r="S185" s="41"/>
      <c r="T185" s="41"/>
      <c r="U185" s="41"/>
      <c r="V185" s="41"/>
      <c r="W185" s="41"/>
      <c r="X185" s="41"/>
      <c r="Y185" s="41"/>
      <c r="Z185" s="41"/>
    </row>
    <row r="186" ht="19.5" customHeight="1">
      <c r="A186" s="41"/>
      <c r="B186" s="84" t="s">
        <v>698</v>
      </c>
      <c r="C186" s="18" t="str">
        <f>wld_az1_host2_fqdn</f>
        <v>Value Missing</v>
      </c>
      <c r="D186" s="18" t="str">
        <f>wld_az1_host2_hostname</f>
        <v>Value Missing</v>
      </c>
      <c r="E186" s="18" t="str">
        <f>wld_az1_host2_mgmt_ip</f>
        <v>Value Missing</v>
      </c>
      <c r="F186" s="41"/>
      <c r="G186" s="41"/>
      <c r="H186" s="41"/>
      <c r="I186" s="41"/>
      <c r="J186" s="41"/>
      <c r="K186" s="41"/>
      <c r="L186" s="41"/>
      <c r="M186" s="41"/>
      <c r="N186" s="41"/>
      <c r="O186" s="41"/>
      <c r="P186" s="41"/>
      <c r="Q186" s="41"/>
      <c r="R186" s="41"/>
      <c r="S186" s="41"/>
      <c r="T186" s="41"/>
      <c r="U186" s="41"/>
      <c r="V186" s="41"/>
      <c r="W186" s="41"/>
      <c r="X186" s="41"/>
      <c r="Y186" s="41"/>
      <c r="Z186" s="41"/>
    </row>
    <row r="187" ht="19.5" customHeight="1">
      <c r="A187" s="41"/>
      <c r="B187" s="84" t="s">
        <v>699</v>
      </c>
      <c r="C187" s="18" t="str">
        <f>wld_az1_host3_fqdn</f>
        <v>Value Missing</v>
      </c>
      <c r="D187" s="18" t="str">
        <f>wld_az1_host3_hostname</f>
        <v>Value Missing</v>
      </c>
      <c r="E187" s="18" t="str">
        <f>wld_az1_host3_mgmt_ip</f>
        <v>Value Missing</v>
      </c>
      <c r="F187" s="41"/>
      <c r="G187" s="41"/>
      <c r="H187" s="41"/>
      <c r="I187" s="41"/>
      <c r="J187" s="41"/>
      <c r="K187" s="41"/>
      <c r="L187" s="41"/>
      <c r="M187" s="41"/>
      <c r="N187" s="41"/>
      <c r="O187" s="41"/>
      <c r="P187" s="41"/>
      <c r="Q187" s="41"/>
      <c r="R187" s="41"/>
      <c r="S187" s="41"/>
      <c r="T187" s="41"/>
      <c r="U187" s="41"/>
      <c r="V187" s="41"/>
      <c r="W187" s="41"/>
      <c r="X187" s="41"/>
      <c r="Y187" s="41"/>
      <c r="Z187" s="41"/>
    </row>
    <row r="188" ht="19.5" customHeight="1">
      <c r="A188" s="41"/>
      <c r="B188" s="84" t="s">
        <v>700</v>
      </c>
      <c r="C188" s="18" t="str">
        <f>wld_az1_host4_fqdn</f>
        <v>Value Missing</v>
      </c>
      <c r="D188" s="18" t="str">
        <f>wld_az1_host4_hostname</f>
        <v>Value Missing</v>
      </c>
      <c r="E188" s="18" t="str">
        <f>wld_az1_host4_mgmt_ip</f>
        <v>Value Missing</v>
      </c>
      <c r="F188" s="41"/>
      <c r="G188" s="41"/>
      <c r="H188" s="41"/>
      <c r="I188" s="41"/>
      <c r="J188" s="41"/>
      <c r="K188" s="41"/>
      <c r="L188" s="41"/>
      <c r="M188" s="41"/>
      <c r="N188" s="41"/>
      <c r="O188" s="41"/>
      <c r="P188" s="41"/>
      <c r="Q188" s="41"/>
      <c r="R188" s="41"/>
      <c r="S188" s="41"/>
      <c r="T188" s="41"/>
      <c r="U188" s="41"/>
      <c r="V188" s="41"/>
      <c r="W188" s="41"/>
      <c r="X188" s="41"/>
      <c r="Y188" s="41"/>
      <c r="Z188" s="41"/>
    </row>
    <row r="189" ht="19.5" customHeight="1">
      <c r="A189" s="41"/>
      <c r="B189" s="84" t="s">
        <v>701</v>
      </c>
      <c r="C189" s="18" t="str">
        <f>wld_az1_host5_fqdn</f>
        <v>Value Missing</v>
      </c>
      <c r="D189" s="18" t="str">
        <f>wld_az1_host5_hostname</f>
        <v>Value Missing</v>
      </c>
      <c r="E189" s="18" t="str">
        <f>wld_az1_host5_mgmt_ip</f>
        <v>Value Missing</v>
      </c>
      <c r="F189" s="41"/>
      <c r="G189" s="41"/>
      <c r="H189" s="41"/>
      <c r="I189" s="41"/>
      <c r="J189" s="41"/>
      <c r="K189" s="41"/>
      <c r="L189" s="41"/>
      <c r="M189" s="41"/>
      <c r="N189" s="41"/>
      <c r="O189" s="41"/>
      <c r="P189" s="41"/>
      <c r="Q189" s="41"/>
      <c r="R189" s="41"/>
      <c r="S189" s="41"/>
      <c r="T189" s="41"/>
      <c r="U189" s="41"/>
      <c r="V189" s="41"/>
      <c r="W189" s="41"/>
      <c r="X189" s="41"/>
      <c r="Y189" s="41"/>
      <c r="Z189" s="41"/>
    </row>
    <row r="190" ht="19.5" customHeight="1">
      <c r="A190" s="41"/>
      <c r="B190" s="84" t="s">
        <v>702</v>
      </c>
      <c r="C190" s="18" t="str">
        <f>wld_az1_host6_fqdn</f>
        <v>Value Missing</v>
      </c>
      <c r="D190" s="18" t="str">
        <f>wld_az1_host6_hostname</f>
        <v>Value Missing</v>
      </c>
      <c r="E190" s="18" t="str">
        <f>wld_az1_host6_mgmt_ip</f>
        <v>Value Missing</v>
      </c>
      <c r="F190" s="41"/>
      <c r="G190" s="41"/>
      <c r="H190" s="41"/>
      <c r="I190" s="41"/>
      <c r="J190" s="41"/>
      <c r="K190" s="41"/>
      <c r="L190" s="41"/>
      <c r="M190" s="41"/>
      <c r="N190" s="41"/>
      <c r="O190" s="41"/>
      <c r="P190" s="41"/>
      <c r="Q190" s="41"/>
      <c r="R190" s="41"/>
      <c r="S190" s="41"/>
      <c r="T190" s="41"/>
      <c r="U190" s="41"/>
      <c r="V190" s="41"/>
      <c r="W190" s="41"/>
      <c r="X190" s="41"/>
      <c r="Y190" s="41"/>
      <c r="Z190" s="41"/>
    </row>
    <row r="191" ht="19.5" customHeight="1">
      <c r="A191" s="41"/>
      <c r="B191" s="84" t="s">
        <v>703</v>
      </c>
      <c r="C191" s="18" t="str">
        <f>wld_az1_host7_fqdn</f>
        <v>Value Missing</v>
      </c>
      <c r="D191" s="18" t="str">
        <f>wld_az1_host7_hostname</f>
        <v>Value Missing</v>
      </c>
      <c r="E191" s="18" t="str">
        <f>wld_az1_host7_mgmt_ip</f>
        <v>Value Missing</v>
      </c>
      <c r="F191" s="41"/>
      <c r="G191" s="41"/>
      <c r="H191" s="41"/>
      <c r="I191" s="41"/>
      <c r="J191" s="41"/>
      <c r="K191" s="41"/>
      <c r="L191" s="41"/>
      <c r="M191" s="41"/>
      <c r="N191" s="41"/>
      <c r="O191" s="41"/>
      <c r="P191" s="41"/>
      <c r="Q191" s="41"/>
      <c r="R191" s="41"/>
      <c r="S191" s="41"/>
      <c r="T191" s="41"/>
      <c r="U191" s="41"/>
      <c r="V191" s="41"/>
      <c r="W191" s="41"/>
      <c r="X191" s="41"/>
      <c r="Y191" s="41"/>
      <c r="Z191" s="41"/>
    </row>
    <row r="192" ht="19.5" customHeight="1">
      <c r="A192" s="41"/>
      <c r="B192" s="84" t="s">
        <v>704</v>
      </c>
      <c r="C192" s="18" t="str">
        <f>wld_az1_host8_fqdn</f>
        <v>Value Missing</v>
      </c>
      <c r="D192" s="18" t="str">
        <f>wld_az1_host8_hostname</f>
        <v>Value Missing</v>
      </c>
      <c r="E192" s="18" t="str">
        <f>wld_az1_host8_mgmt_ip</f>
        <v>Value Missing</v>
      </c>
      <c r="F192" s="41"/>
      <c r="G192" s="41"/>
      <c r="H192" s="41"/>
      <c r="I192" s="41"/>
      <c r="J192" s="41"/>
      <c r="K192" s="41"/>
      <c r="L192" s="41"/>
      <c r="M192" s="41"/>
      <c r="N192" s="41"/>
      <c r="O192" s="41"/>
      <c r="P192" s="41"/>
      <c r="Q192" s="41"/>
      <c r="R192" s="41"/>
      <c r="S192" s="41"/>
      <c r="T192" s="41"/>
      <c r="U192" s="41"/>
      <c r="V192" s="41"/>
      <c r="W192" s="41"/>
      <c r="X192" s="41"/>
      <c r="Y192" s="41"/>
      <c r="Z192" s="41"/>
    </row>
    <row r="193" ht="19.5" customHeight="1">
      <c r="A193" s="41"/>
      <c r="B193" s="84" t="s">
        <v>705</v>
      </c>
      <c r="C193" s="18" t="str">
        <f>wld_az1_host9_fqdn</f>
        <v>Value Missing</v>
      </c>
      <c r="D193" s="18" t="str">
        <f>wld_az1_host9_hostname</f>
        <v>Value Missing</v>
      </c>
      <c r="E193" s="18" t="str">
        <f>wld_az1_host9_mgmt_ip</f>
        <v>Value Missing</v>
      </c>
      <c r="F193" s="41"/>
      <c r="G193" s="41"/>
      <c r="H193" s="41"/>
      <c r="I193" s="41"/>
      <c r="J193" s="41"/>
      <c r="K193" s="41"/>
      <c r="L193" s="41"/>
      <c r="M193" s="41"/>
      <c r="N193" s="41"/>
      <c r="O193" s="41"/>
      <c r="P193" s="41"/>
      <c r="Q193" s="41"/>
      <c r="R193" s="41"/>
      <c r="S193" s="41"/>
      <c r="T193" s="41"/>
      <c r="U193" s="41"/>
      <c r="V193" s="41"/>
      <c r="W193" s="41"/>
      <c r="X193" s="41"/>
      <c r="Y193" s="41"/>
      <c r="Z193" s="41"/>
    </row>
    <row r="194" ht="19.5" customHeight="1">
      <c r="A194" s="41"/>
      <c r="B194" s="84" t="s">
        <v>706</v>
      </c>
      <c r="C194" s="18" t="str">
        <f>wld_az1_host10_fqdn</f>
        <v>Value Missing</v>
      </c>
      <c r="D194" s="18" t="str">
        <f>wld_az1_host10_hostname</f>
        <v>Value Missing</v>
      </c>
      <c r="E194" s="18" t="str">
        <f>wld_az1_host10_mgmt_ip</f>
        <v>Value Missing</v>
      </c>
      <c r="F194" s="41"/>
      <c r="G194" s="41"/>
      <c r="H194" s="41"/>
      <c r="I194" s="41"/>
      <c r="J194" s="41"/>
      <c r="K194" s="41"/>
      <c r="L194" s="41"/>
      <c r="M194" s="41"/>
      <c r="N194" s="41"/>
      <c r="O194" s="41"/>
      <c r="P194" s="41"/>
      <c r="Q194" s="41"/>
      <c r="R194" s="41"/>
      <c r="S194" s="41"/>
      <c r="T194" s="41"/>
      <c r="U194" s="41"/>
      <c r="V194" s="41"/>
      <c r="W194" s="41"/>
      <c r="X194" s="41"/>
      <c r="Y194" s="41"/>
      <c r="Z194" s="41"/>
    </row>
    <row r="195" ht="19.5" customHeight="1">
      <c r="A195" s="41"/>
      <c r="B195" s="84" t="s">
        <v>707</v>
      </c>
      <c r="C195" s="18" t="str">
        <f>wld_az1_host11_fqdn</f>
        <v>Value Missing</v>
      </c>
      <c r="D195" s="18" t="str">
        <f>wld_az1_host11_hostname</f>
        <v>Value Missing</v>
      </c>
      <c r="E195" s="18" t="str">
        <f>wld_az1_host11_mgmt_ip</f>
        <v>Value Missing</v>
      </c>
      <c r="F195" s="41"/>
      <c r="G195" s="41"/>
      <c r="H195" s="41"/>
      <c r="I195" s="41"/>
      <c r="J195" s="41"/>
      <c r="K195" s="41"/>
      <c r="L195" s="41"/>
      <c r="M195" s="41"/>
      <c r="N195" s="41"/>
      <c r="O195" s="41"/>
      <c r="P195" s="41"/>
      <c r="Q195" s="41"/>
      <c r="R195" s="41"/>
      <c r="S195" s="41"/>
      <c r="T195" s="41"/>
      <c r="U195" s="41"/>
      <c r="V195" s="41"/>
      <c r="W195" s="41"/>
      <c r="X195" s="41"/>
      <c r="Y195" s="41"/>
      <c r="Z195" s="41"/>
    </row>
    <row r="196" ht="19.5" customHeight="1">
      <c r="A196" s="41"/>
      <c r="B196" s="84" t="s">
        <v>708</v>
      </c>
      <c r="C196" s="18" t="str">
        <f>wld_az1_host12_fqdn</f>
        <v>Value Missing</v>
      </c>
      <c r="D196" s="18" t="str">
        <f>wld_az1_host12_hostname</f>
        <v>Value Missing</v>
      </c>
      <c r="E196" s="18" t="str">
        <f>wld_az1_host12_mgmt_ip</f>
        <v>Value Missing</v>
      </c>
      <c r="F196" s="41"/>
      <c r="G196" s="41"/>
      <c r="H196" s="41"/>
      <c r="I196" s="41"/>
      <c r="J196" s="41"/>
      <c r="K196" s="41"/>
      <c r="L196" s="41"/>
      <c r="M196" s="41"/>
      <c r="N196" s="41"/>
      <c r="O196" s="41"/>
      <c r="P196" s="41"/>
      <c r="Q196" s="41"/>
      <c r="R196" s="41"/>
      <c r="S196" s="41"/>
      <c r="T196" s="41"/>
      <c r="U196" s="41"/>
      <c r="V196" s="41"/>
      <c r="W196" s="41"/>
      <c r="X196" s="41"/>
      <c r="Y196" s="41"/>
      <c r="Z196" s="41"/>
    </row>
    <row r="197" ht="19.5" customHeight="1">
      <c r="A197" s="41"/>
      <c r="B197" s="84" t="s">
        <v>709</v>
      </c>
      <c r="C197" s="18" t="str">
        <f>wld_az1_host13_fqdn</f>
        <v>Value Missing</v>
      </c>
      <c r="D197" s="18" t="str">
        <f>wld_az1_host13_hostname</f>
        <v>Value Missing</v>
      </c>
      <c r="E197" s="18" t="str">
        <f>wld_az1_host13_mgmt_ip</f>
        <v>Value Missing</v>
      </c>
      <c r="F197" s="41"/>
      <c r="G197" s="41"/>
      <c r="H197" s="41"/>
      <c r="I197" s="41"/>
      <c r="J197" s="41"/>
      <c r="K197" s="41"/>
      <c r="L197" s="41"/>
      <c r="M197" s="41"/>
      <c r="N197" s="41"/>
      <c r="O197" s="41"/>
      <c r="P197" s="41"/>
      <c r="Q197" s="41"/>
      <c r="R197" s="41"/>
      <c r="S197" s="41"/>
      <c r="T197" s="41"/>
      <c r="U197" s="41"/>
      <c r="V197" s="41"/>
      <c r="W197" s="41"/>
      <c r="X197" s="41"/>
      <c r="Y197" s="41"/>
      <c r="Z197" s="41"/>
    </row>
    <row r="198" ht="19.5" customHeight="1">
      <c r="A198" s="41"/>
      <c r="B198" s="84" t="s">
        <v>710</v>
      </c>
      <c r="C198" s="18" t="str">
        <f>wld_az1_host14_fqdn</f>
        <v>Value Missing</v>
      </c>
      <c r="D198" s="18" t="str">
        <f>wld_az1_host14_hostname</f>
        <v>Value Missing</v>
      </c>
      <c r="E198" s="18" t="str">
        <f>wld_az1_host14_mgmt_ip</f>
        <v>Value Missing</v>
      </c>
      <c r="F198" s="41"/>
      <c r="G198" s="41"/>
      <c r="H198" s="41"/>
      <c r="I198" s="41"/>
      <c r="J198" s="41"/>
      <c r="K198" s="41"/>
      <c r="L198" s="41"/>
      <c r="M198" s="41"/>
      <c r="N198" s="41"/>
      <c r="O198" s="41"/>
      <c r="P198" s="41"/>
      <c r="Q198" s="41"/>
      <c r="R198" s="41"/>
      <c r="S198" s="41"/>
      <c r="T198" s="41"/>
      <c r="U198" s="41"/>
      <c r="V198" s="41"/>
      <c r="W198" s="41"/>
      <c r="X198" s="41"/>
      <c r="Y198" s="41"/>
      <c r="Z198" s="41"/>
    </row>
    <row r="199" ht="19.5" customHeight="1">
      <c r="A199" s="41"/>
      <c r="B199" s="84" t="s">
        <v>711</v>
      </c>
      <c r="C199" s="18" t="str">
        <f>wld_az1_host15_fqdn</f>
        <v>Value Missing</v>
      </c>
      <c r="D199" s="18" t="str">
        <f>wld_az1_host15_hostname</f>
        <v>Value Missing</v>
      </c>
      <c r="E199" s="18" t="str">
        <f>wld_az1_host15_mgmt_ip</f>
        <v>Value Missing</v>
      </c>
      <c r="F199" s="41"/>
      <c r="G199" s="41"/>
      <c r="H199" s="41"/>
      <c r="I199" s="41"/>
      <c r="J199" s="41"/>
      <c r="K199" s="41"/>
      <c r="L199" s="41"/>
      <c r="M199" s="41"/>
      <c r="N199" s="41"/>
      <c r="O199" s="41"/>
      <c r="P199" s="41"/>
      <c r="Q199" s="41"/>
      <c r="R199" s="41"/>
      <c r="S199" s="41"/>
      <c r="T199" s="41"/>
      <c r="U199" s="41"/>
      <c r="V199" s="41"/>
      <c r="W199" s="41"/>
      <c r="X199" s="41"/>
      <c r="Y199" s="41"/>
      <c r="Z199" s="41"/>
    </row>
    <row r="200" ht="19.5" customHeight="1">
      <c r="A200" s="41"/>
      <c r="B200" s="84" t="s">
        <v>712</v>
      </c>
      <c r="C200" s="18" t="str">
        <f>wld_az1_host16_fqdn</f>
        <v>Value Missing</v>
      </c>
      <c r="D200" s="18" t="str">
        <f>wld_az1_host16_hostname</f>
        <v>Value Missing</v>
      </c>
      <c r="E200" s="18" t="str">
        <f>wld_az1_host16_mgmt_ip</f>
        <v>Value Missing</v>
      </c>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9.5" customHeight="1">
      <c r="A202" s="41"/>
      <c r="B202" s="103" t="s">
        <v>3484</v>
      </c>
      <c r="C202" s="13"/>
      <c r="D202" s="13"/>
      <c r="E202" s="13"/>
      <c r="F202" s="13"/>
      <c r="G202" s="13"/>
      <c r="H202" s="38"/>
      <c r="I202" s="41"/>
      <c r="J202" s="41"/>
      <c r="K202" s="41"/>
      <c r="L202" s="41"/>
      <c r="M202" s="41"/>
      <c r="N202" s="41"/>
      <c r="O202" s="41"/>
      <c r="P202" s="41"/>
      <c r="Q202" s="41"/>
      <c r="R202" s="41"/>
      <c r="S202" s="41"/>
      <c r="T202" s="41"/>
      <c r="U202" s="41"/>
      <c r="V202" s="41"/>
      <c r="W202" s="41"/>
      <c r="X202" s="41"/>
      <c r="Y202" s="41"/>
      <c r="Z202" s="41"/>
    </row>
    <row r="203" ht="19.5" customHeight="1">
      <c r="A203" s="41"/>
      <c r="B203" s="108" t="s">
        <v>3724</v>
      </c>
      <c r="C203" s="108" t="s">
        <v>537</v>
      </c>
      <c r="D203" s="108" t="s">
        <v>760</v>
      </c>
      <c r="E203" s="108" t="s">
        <v>3739</v>
      </c>
      <c r="F203" s="41"/>
      <c r="G203" s="41"/>
      <c r="H203" s="41"/>
      <c r="I203" s="41"/>
      <c r="J203" s="41"/>
      <c r="K203" s="41"/>
      <c r="L203" s="41"/>
      <c r="M203" s="41"/>
      <c r="N203" s="41"/>
      <c r="O203" s="41"/>
      <c r="P203" s="41"/>
      <c r="Q203" s="41"/>
      <c r="R203" s="41"/>
      <c r="S203" s="41"/>
      <c r="T203" s="41"/>
      <c r="U203" s="41"/>
      <c r="V203" s="41"/>
      <c r="W203" s="41"/>
      <c r="X203" s="41"/>
      <c r="Y203" s="41"/>
      <c r="Z203" s="41"/>
    </row>
    <row r="204" ht="19.5" customHeight="1">
      <c r="A204" s="41"/>
      <c r="B204" s="84" t="s">
        <v>299</v>
      </c>
      <c r="C204" s="18" t="str">
        <f>wld_vc_fqdn</f>
        <v>Value Missing</v>
      </c>
      <c r="D204" s="18" t="str">
        <f>wld_vc_hostname</f>
        <v>Value Missing</v>
      </c>
      <c r="E204" s="18" t="str">
        <f>wld_vc_ip</f>
        <v>Value Missing</v>
      </c>
      <c r="F204" s="41"/>
      <c r="G204" s="41"/>
      <c r="H204" s="41"/>
      <c r="I204" s="41"/>
      <c r="J204" s="41"/>
      <c r="K204" s="41"/>
      <c r="L204" s="41"/>
      <c r="M204" s="41"/>
      <c r="N204" s="41"/>
      <c r="O204" s="41"/>
      <c r="P204" s="41"/>
      <c r="Q204" s="41"/>
      <c r="R204" s="41"/>
      <c r="S204" s="41"/>
      <c r="T204" s="41"/>
      <c r="U204" s="41"/>
      <c r="V204" s="41"/>
      <c r="W204" s="41"/>
      <c r="X204" s="41"/>
      <c r="Y204" s="41"/>
      <c r="Z204" s="41"/>
    </row>
    <row r="205" ht="19.5" customHeight="1">
      <c r="A205" s="41"/>
      <c r="B205" s="84" t="s">
        <v>3740</v>
      </c>
      <c r="C205" s="18" t="str">
        <f>wld_nsxt_vip_fqdn</f>
        <v>Value Missing</v>
      </c>
      <c r="D205" s="18" t="str">
        <f>wld_nsxt_vip_fqdn</f>
        <v>Value Missing</v>
      </c>
      <c r="E205" s="18" t="str">
        <f>wld_nsxt_vip_ip</f>
        <v>Value Missing</v>
      </c>
      <c r="F205" s="41"/>
      <c r="G205" s="41"/>
      <c r="H205" s="41"/>
      <c r="I205" s="41"/>
      <c r="J205" s="41"/>
      <c r="K205" s="41"/>
      <c r="L205" s="41"/>
      <c r="M205" s="41"/>
      <c r="N205" s="41"/>
      <c r="O205" s="41"/>
      <c r="P205" s="41"/>
      <c r="Q205" s="41"/>
      <c r="R205" s="41"/>
      <c r="S205" s="41"/>
      <c r="T205" s="41"/>
      <c r="U205" s="41"/>
      <c r="V205" s="41"/>
      <c r="W205" s="41"/>
      <c r="X205" s="41"/>
      <c r="Y205" s="41"/>
      <c r="Z205" s="41"/>
    </row>
    <row r="206" ht="19.5" customHeight="1">
      <c r="A206" s="41"/>
      <c r="B206" s="84" t="s">
        <v>3741</v>
      </c>
      <c r="C206" s="18" t="str">
        <f>wld_nsxt_mgra_fqdn</f>
        <v>Value Missing</v>
      </c>
      <c r="D206" s="18" t="str">
        <f>wld_nsxt_mgra_hostname</f>
        <v>Value Missing</v>
      </c>
      <c r="E206" s="18" t="str">
        <f>wld_nsxt_mgra_ip</f>
        <v>Value Missing</v>
      </c>
      <c r="F206" s="41"/>
      <c r="G206" s="41"/>
      <c r="H206" s="41"/>
      <c r="I206" s="41"/>
      <c r="J206" s="41"/>
      <c r="K206" s="41"/>
      <c r="L206" s="41"/>
      <c r="M206" s="41"/>
      <c r="N206" s="41"/>
      <c r="O206" s="41"/>
      <c r="P206" s="41"/>
      <c r="Q206" s="41"/>
      <c r="R206" s="41"/>
      <c r="S206" s="41"/>
      <c r="T206" s="41"/>
      <c r="U206" s="41"/>
      <c r="V206" s="41"/>
      <c r="W206" s="41"/>
      <c r="X206" s="41"/>
      <c r="Y206" s="41"/>
      <c r="Z206" s="41"/>
    </row>
    <row r="207" ht="19.5" customHeight="1">
      <c r="A207" s="41"/>
      <c r="B207" s="84" t="s">
        <v>3742</v>
      </c>
      <c r="C207" s="18" t="str">
        <f>wld_nsxt_mgrb_fqdn</f>
        <v>Value Missing</v>
      </c>
      <c r="D207" s="18" t="str">
        <f>wld_nsxt_mgrb_hostname</f>
        <v>Value Missing</v>
      </c>
      <c r="E207" s="18" t="str">
        <f>wld_nsxt_mgrb_ip</f>
        <v>Value Missing</v>
      </c>
      <c r="F207" s="41"/>
      <c r="G207" s="41"/>
      <c r="H207" s="41"/>
      <c r="I207" s="41"/>
      <c r="J207" s="41"/>
      <c r="K207" s="41"/>
      <c r="L207" s="41"/>
      <c r="M207" s="41"/>
      <c r="N207" s="41"/>
      <c r="O207" s="41"/>
      <c r="P207" s="41"/>
      <c r="Q207" s="41"/>
      <c r="R207" s="41"/>
      <c r="S207" s="41"/>
      <c r="T207" s="41"/>
      <c r="U207" s="41"/>
      <c r="V207" s="41"/>
      <c r="W207" s="41"/>
      <c r="X207" s="41"/>
      <c r="Y207" s="41"/>
      <c r="Z207" s="41"/>
    </row>
    <row r="208" ht="19.5" customHeight="1">
      <c r="A208" s="41"/>
      <c r="B208" s="84" t="s">
        <v>3743</v>
      </c>
      <c r="C208" s="18" t="str">
        <f>wld_nsxt_mgrc_fqdn</f>
        <v>Value Missing</v>
      </c>
      <c r="D208" s="18" t="str">
        <f>wld_nsxt_mgrc_hostname</f>
        <v>Value Missing</v>
      </c>
      <c r="E208" s="18" t="str">
        <f>wld_nsxt_mgrc_ip</f>
        <v>Value Missing</v>
      </c>
      <c r="F208" s="41"/>
      <c r="G208" s="41"/>
      <c r="H208" s="41"/>
      <c r="I208" s="41"/>
      <c r="J208" s="41"/>
      <c r="K208" s="41"/>
      <c r="L208" s="41"/>
      <c r="M208" s="41"/>
      <c r="N208" s="41"/>
      <c r="O208" s="41"/>
      <c r="P208" s="41"/>
      <c r="Q208" s="41"/>
      <c r="R208" s="41"/>
      <c r="S208" s="41"/>
      <c r="T208" s="41"/>
      <c r="U208" s="41"/>
      <c r="V208" s="41"/>
      <c r="W208" s="41"/>
      <c r="X208" s="41"/>
      <c r="Y208" s="41"/>
      <c r="Z208" s="41"/>
    </row>
    <row r="209" ht="19.5" customHeight="1">
      <c r="A209" s="41"/>
      <c r="B209" s="84" t="s">
        <v>3744</v>
      </c>
      <c r="C209" s="18" t="str">
        <f>wld_az1_en1_fqdn</f>
        <v>Value Missing</v>
      </c>
      <c r="D209" s="18" t="str">
        <f>wld_az1_en1_hostname</f>
        <v>Value Missing</v>
      </c>
      <c r="E209" s="18" t="str">
        <f>wld_az1_en1_mgmt_cidr</f>
        <v>Value Missing</v>
      </c>
      <c r="F209" s="41"/>
      <c r="G209" s="41"/>
      <c r="H209" s="41"/>
      <c r="I209" s="41"/>
      <c r="J209" s="41"/>
      <c r="K209" s="41"/>
      <c r="L209" s="41"/>
      <c r="M209" s="41"/>
      <c r="N209" s="41"/>
      <c r="O209" s="41"/>
      <c r="P209" s="41"/>
      <c r="Q209" s="41"/>
      <c r="R209" s="41"/>
      <c r="S209" s="41"/>
      <c r="T209" s="41"/>
      <c r="U209" s="41"/>
      <c r="V209" s="41"/>
      <c r="W209" s="41"/>
      <c r="X209" s="41"/>
      <c r="Y209" s="41"/>
      <c r="Z209" s="41"/>
    </row>
    <row r="210" ht="19.5" customHeight="1">
      <c r="A210" s="41"/>
      <c r="B210" s="84" t="s">
        <v>3745</v>
      </c>
      <c r="C210" s="18" t="str">
        <f>wld_az1_en2_fqdn</f>
        <v>Value Missing</v>
      </c>
      <c r="D210" s="18" t="str">
        <f>wld_az1_en2_hostname</f>
        <v>Value Missing</v>
      </c>
      <c r="E210" s="18" t="str">
        <f>wld_az1_en2_mgmt_cidr</f>
        <v>Value Missing</v>
      </c>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33.75" customHeight="1">
      <c r="A212" s="41"/>
      <c r="B212" s="197" t="s">
        <v>3766</v>
      </c>
      <c r="C212" s="13"/>
      <c r="D212" s="13"/>
      <c r="E212" s="13"/>
      <c r="F212" s="13"/>
      <c r="G212" s="13"/>
      <c r="H212" s="38"/>
      <c r="I212" s="41"/>
      <c r="J212" s="41"/>
      <c r="K212" s="41"/>
      <c r="L212" s="41"/>
      <c r="M212" s="41"/>
      <c r="N212" s="41"/>
      <c r="O212" s="41"/>
      <c r="P212" s="41"/>
      <c r="Q212" s="41"/>
      <c r="R212" s="41"/>
      <c r="S212" s="41"/>
      <c r="T212" s="41"/>
      <c r="U212" s="41"/>
      <c r="V212" s="41"/>
      <c r="W212" s="41"/>
      <c r="X212" s="41"/>
      <c r="Y212" s="41"/>
      <c r="Z212" s="41"/>
    </row>
    <row r="213" ht="19.5" customHeight="1">
      <c r="A213" s="41"/>
      <c r="B213" s="103" t="s">
        <v>3712</v>
      </c>
      <c r="C213" s="13"/>
      <c r="D213" s="13"/>
      <c r="E213" s="13"/>
      <c r="F213" s="13"/>
      <c r="G213" s="13"/>
      <c r="H213" s="38"/>
      <c r="I213" s="41"/>
      <c r="J213" s="41"/>
      <c r="K213" s="41"/>
      <c r="L213" s="41"/>
      <c r="M213" s="41"/>
      <c r="N213" s="41"/>
      <c r="O213" s="41"/>
      <c r="P213" s="41"/>
      <c r="Q213" s="41"/>
      <c r="R213" s="41"/>
      <c r="S213" s="41"/>
      <c r="T213" s="41"/>
      <c r="U213" s="41"/>
      <c r="V213" s="41"/>
      <c r="W213" s="41"/>
      <c r="X213" s="41"/>
      <c r="Y213" s="41"/>
      <c r="Z213" s="41"/>
    </row>
    <row r="214" ht="19.5" customHeight="1">
      <c r="A214" s="41"/>
      <c r="B214" s="108" t="s">
        <v>3724</v>
      </c>
      <c r="C214" s="108" t="s">
        <v>537</v>
      </c>
      <c r="D214" s="108" t="s">
        <v>760</v>
      </c>
      <c r="E214" s="108" t="s">
        <v>3737</v>
      </c>
      <c r="F214" s="41"/>
      <c r="G214" s="41"/>
      <c r="H214" s="41"/>
      <c r="I214" s="41"/>
      <c r="J214" s="41"/>
      <c r="K214" s="41"/>
      <c r="L214" s="41"/>
      <c r="M214" s="41"/>
      <c r="N214" s="41"/>
      <c r="O214" s="41"/>
      <c r="P214" s="41"/>
      <c r="Q214" s="41"/>
      <c r="R214" s="41"/>
      <c r="S214" s="41"/>
      <c r="T214" s="41"/>
      <c r="U214" s="41"/>
      <c r="V214" s="41"/>
      <c r="W214" s="41"/>
      <c r="X214" s="41"/>
      <c r="Y214" s="41"/>
      <c r="Z214" s="41"/>
    </row>
    <row r="215" ht="19.5" customHeight="1">
      <c r="A215" s="41"/>
      <c r="B215" s="84" t="s">
        <v>697</v>
      </c>
      <c r="C215" s="18" t="str">
        <f>wld_az2_host1_fqdn</f>
        <v>Value Missing</v>
      </c>
      <c r="D215" s="18" t="str">
        <f>wld_az2_host1_hostname</f>
        <v>Value Missing</v>
      </c>
      <c r="E215" s="18" t="str">
        <f>wld_az2_host1_mgmt_ip</f>
        <v>Value Missing</v>
      </c>
      <c r="F215" s="41"/>
      <c r="G215" s="41"/>
      <c r="H215" s="41"/>
      <c r="I215" s="41"/>
      <c r="J215" s="41"/>
      <c r="K215" s="41"/>
      <c r="L215" s="41"/>
      <c r="M215" s="41"/>
      <c r="N215" s="41"/>
      <c r="O215" s="41"/>
      <c r="P215" s="41"/>
      <c r="Q215" s="41"/>
      <c r="R215" s="41"/>
      <c r="S215" s="41"/>
      <c r="T215" s="41"/>
      <c r="U215" s="41"/>
      <c r="V215" s="41"/>
      <c r="W215" s="41"/>
      <c r="X215" s="41"/>
      <c r="Y215" s="41"/>
      <c r="Z215" s="41"/>
    </row>
    <row r="216" ht="19.5" customHeight="1">
      <c r="A216" s="41"/>
      <c r="B216" s="84" t="s">
        <v>698</v>
      </c>
      <c r="C216" s="18" t="str">
        <f>wld_az2_host2_fqdn</f>
        <v>Value Missing</v>
      </c>
      <c r="D216" s="18" t="str">
        <f>wld_az2_host2_hostname</f>
        <v>Value Missing</v>
      </c>
      <c r="E216" s="18" t="str">
        <f>wld_az2_host2_mgmt_ip</f>
        <v>Value Missing</v>
      </c>
      <c r="F216" s="41"/>
      <c r="G216" s="41"/>
      <c r="H216" s="41"/>
      <c r="I216" s="41"/>
      <c r="J216" s="41"/>
      <c r="K216" s="41"/>
      <c r="L216" s="41"/>
      <c r="M216" s="41"/>
      <c r="N216" s="41"/>
      <c r="O216" s="41"/>
      <c r="P216" s="41"/>
      <c r="Q216" s="41"/>
      <c r="R216" s="41"/>
      <c r="S216" s="41"/>
      <c r="T216" s="41"/>
      <c r="U216" s="41"/>
      <c r="V216" s="41"/>
      <c r="W216" s="41"/>
      <c r="X216" s="41"/>
      <c r="Y216" s="41"/>
      <c r="Z216" s="41"/>
    </row>
    <row r="217" ht="19.5" customHeight="1">
      <c r="A217" s="41"/>
      <c r="B217" s="84" t="s">
        <v>699</v>
      </c>
      <c r="C217" s="18" t="str">
        <f>wld_az2_host3_fqdn</f>
        <v>Value Missing</v>
      </c>
      <c r="D217" s="18" t="str">
        <f>wld_az2_host3_hostname</f>
        <v>Value Missing</v>
      </c>
      <c r="E217" s="18" t="str">
        <f>wld_az2_host3_mgmt_ip</f>
        <v>Value Missing</v>
      </c>
      <c r="F217" s="41"/>
      <c r="G217" s="41"/>
      <c r="H217" s="41"/>
      <c r="I217" s="41"/>
      <c r="J217" s="41"/>
      <c r="K217" s="41"/>
      <c r="L217" s="41"/>
      <c r="M217" s="41"/>
      <c r="N217" s="41"/>
      <c r="O217" s="41"/>
      <c r="P217" s="41"/>
      <c r="Q217" s="41"/>
      <c r="R217" s="41"/>
      <c r="S217" s="41"/>
      <c r="T217" s="41"/>
      <c r="U217" s="41"/>
      <c r="V217" s="41"/>
      <c r="W217" s="41"/>
      <c r="X217" s="41"/>
      <c r="Y217" s="41"/>
      <c r="Z217" s="41"/>
    </row>
    <row r="218" ht="19.5" customHeight="1">
      <c r="A218" s="41"/>
      <c r="B218" s="84" t="s">
        <v>700</v>
      </c>
      <c r="C218" s="18" t="str">
        <f>wld_az2_host4_fqdn</f>
        <v>Value Missing</v>
      </c>
      <c r="D218" s="18" t="str">
        <f>wld_az2_host4_hostname</f>
        <v>Value Missing</v>
      </c>
      <c r="E218" s="18" t="str">
        <f>wld_az2_host4_mgmt_ip</f>
        <v>Value Missing</v>
      </c>
      <c r="F218" s="41"/>
      <c r="G218" s="41"/>
      <c r="H218" s="41"/>
      <c r="I218" s="41"/>
      <c r="J218" s="41"/>
      <c r="K218" s="41"/>
      <c r="L218" s="41"/>
      <c r="M218" s="41"/>
      <c r="N218" s="41"/>
      <c r="O218" s="41"/>
      <c r="P218" s="41"/>
      <c r="Q218" s="41"/>
      <c r="R218" s="41"/>
      <c r="S218" s="41"/>
      <c r="T218" s="41"/>
      <c r="U218" s="41"/>
      <c r="V218" s="41"/>
      <c r="W218" s="41"/>
      <c r="X218" s="41"/>
      <c r="Y218" s="41"/>
      <c r="Z218" s="41"/>
    </row>
    <row r="219" ht="19.5" customHeight="1">
      <c r="A219" s="41"/>
      <c r="B219" s="84" t="s">
        <v>701</v>
      </c>
      <c r="C219" s="18" t="str">
        <f>wld_az2_host5_fqdn</f>
        <v>Value Missing</v>
      </c>
      <c r="D219" s="18" t="str">
        <f>wld_az2_host5_hostname</f>
        <v>Value Missing</v>
      </c>
      <c r="E219" s="18" t="str">
        <f>wld_az2_host5_mgmt_ip</f>
        <v>Value Missing</v>
      </c>
      <c r="F219" s="41"/>
      <c r="G219" s="41"/>
      <c r="H219" s="41"/>
      <c r="I219" s="41"/>
      <c r="J219" s="41"/>
      <c r="K219" s="41"/>
      <c r="L219" s="41"/>
      <c r="M219" s="41"/>
      <c r="N219" s="41"/>
      <c r="O219" s="41"/>
      <c r="P219" s="41"/>
      <c r="Q219" s="41"/>
      <c r="R219" s="41"/>
      <c r="S219" s="41"/>
      <c r="T219" s="41"/>
      <c r="U219" s="41"/>
      <c r="V219" s="41"/>
      <c r="W219" s="41"/>
      <c r="X219" s="41"/>
      <c r="Y219" s="41"/>
      <c r="Z219" s="41"/>
    </row>
    <row r="220" ht="19.5" customHeight="1">
      <c r="A220" s="41"/>
      <c r="B220" s="84" t="s">
        <v>702</v>
      </c>
      <c r="C220" s="18" t="str">
        <f>wld_az2_host6_fqdn</f>
        <v>Value Missing</v>
      </c>
      <c r="D220" s="18" t="str">
        <f>wld_az2_host6_hostname</f>
        <v>Value Missing</v>
      </c>
      <c r="E220" s="18" t="str">
        <f>wld_az2_host6_mgmt_ip</f>
        <v>Value Missing</v>
      </c>
      <c r="F220" s="41"/>
      <c r="G220" s="41"/>
      <c r="H220" s="41"/>
      <c r="I220" s="41"/>
      <c r="J220" s="41"/>
      <c r="K220" s="41"/>
      <c r="L220" s="41"/>
      <c r="M220" s="41"/>
      <c r="N220" s="41"/>
      <c r="O220" s="41"/>
      <c r="P220" s="41"/>
      <c r="Q220" s="41"/>
      <c r="R220" s="41"/>
      <c r="S220" s="41"/>
      <c r="T220" s="41"/>
      <c r="U220" s="41"/>
      <c r="V220" s="41"/>
      <c r="W220" s="41"/>
      <c r="X220" s="41"/>
      <c r="Y220" s="41"/>
      <c r="Z220" s="41"/>
    </row>
    <row r="221" ht="19.5" customHeight="1">
      <c r="A221" s="41"/>
      <c r="B221" s="84" t="s">
        <v>703</v>
      </c>
      <c r="C221" s="18" t="str">
        <f>wld_az2_host7_fqdn</f>
        <v>Value Missing</v>
      </c>
      <c r="D221" s="18" t="str">
        <f>wld_az2_host7_hostname</f>
        <v>Value Missing</v>
      </c>
      <c r="E221" s="18" t="str">
        <f>wld_az2_host7_mgmt_ip</f>
        <v>Value Missing</v>
      </c>
      <c r="F221" s="41"/>
      <c r="G221" s="41"/>
      <c r="H221" s="41"/>
      <c r="I221" s="41"/>
      <c r="J221" s="41"/>
      <c r="K221" s="41"/>
      <c r="L221" s="41"/>
      <c r="M221" s="41"/>
      <c r="N221" s="41"/>
      <c r="O221" s="41"/>
      <c r="P221" s="41"/>
      <c r="Q221" s="41"/>
      <c r="R221" s="41"/>
      <c r="S221" s="41"/>
      <c r="T221" s="41"/>
      <c r="U221" s="41"/>
      <c r="V221" s="41"/>
      <c r="W221" s="41"/>
      <c r="X221" s="41"/>
      <c r="Y221" s="41"/>
      <c r="Z221" s="41"/>
    </row>
    <row r="222" ht="19.5" customHeight="1">
      <c r="A222" s="41"/>
      <c r="B222" s="84" t="s">
        <v>704</v>
      </c>
      <c r="C222" s="18" t="str">
        <f>wld_az2_host8_fqdn</f>
        <v>Value Missing</v>
      </c>
      <c r="D222" s="18" t="str">
        <f>wld_az2_host8_hostname</f>
        <v>Value Missing</v>
      </c>
      <c r="E222" s="18" t="str">
        <f>wld_az2_host8_mgmt_ip</f>
        <v>Value Missing</v>
      </c>
      <c r="F222" s="41"/>
      <c r="G222" s="41"/>
      <c r="H222" s="41"/>
      <c r="I222" s="41"/>
      <c r="J222" s="41"/>
      <c r="K222" s="41"/>
      <c r="L222" s="41"/>
      <c r="M222" s="41"/>
      <c r="N222" s="41"/>
      <c r="O222" s="41"/>
      <c r="P222" s="41"/>
      <c r="Q222" s="41"/>
      <c r="R222" s="41"/>
      <c r="S222" s="41"/>
      <c r="T222" s="41"/>
      <c r="U222" s="41"/>
      <c r="V222" s="41"/>
      <c r="W222" s="41"/>
      <c r="X222" s="41"/>
      <c r="Y222" s="41"/>
      <c r="Z222" s="41"/>
    </row>
    <row r="223" ht="19.5" customHeight="1">
      <c r="A223" s="41"/>
      <c r="B223" s="84" t="s">
        <v>705</v>
      </c>
      <c r="C223" s="18" t="str">
        <f>wld_az2_host9_fqdn</f>
        <v>Value Missing</v>
      </c>
      <c r="D223" s="18" t="str">
        <f>wld_az2_host9_hostname</f>
        <v>Value Missing</v>
      </c>
      <c r="E223" s="18" t="str">
        <f>wld_az2_host9_mgmt_ip</f>
        <v>Value Missing</v>
      </c>
      <c r="F223" s="41"/>
      <c r="G223" s="41"/>
      <c r="H223" s="41"/>
      <c r="I223" s="41"/>
      <c r="J223" s="41"/>
      <c r="K223" s="41"/>
      <c r="L223" s="41"/>
      <c r="M223" s="41"/>
      <c r="N223" s="41"/>
      <c r="O223" s="41"/>
      <c r="P223" s="41"/>
      <c r="Q223" s="41"/>
      <c r="R223" s="41"/>
      <c r="S223" s="41"/>
      <c r="T223" s="41"/>
      <c r="U223" s="41"/>
      <c r="V223" s="41"/>
      <c r="W223" s="41"/>
      <c r="X223" s="41"/>
      <c r="Y223" s="41"/>
      <c r="Z223" s="41"/>
    </row>
    <row r="224" ht="19.5" customHeight="1">
      <c r="A224" s="41"/>
      <c r="B224" s="84" t="s">
        <v>706</v>
      </c>
      <c r="C224" s="18" t="str">
        <f>wld_az2_host10_fqdn</f>
        <v>Value Missing</v>
      </c>
      <c r="D224" s="18" t="str">
        <f>wld_az2_host10_hostname</f>
        <v>Value Missing</v>
      </c>
      <c r="E224" s="18" t="str">
        <f>wld_az2_host10_mgmt_ip</f>
        <v>Value Missing</v>
      </c>
      <c r="F224" s="41"/>
      <c r="G224" s="41"/>
      <c r="H224" s="41"/>
      <c r="I224" s="41"/>
      <c r="J224" s="41"/>
      <c r="K224" s="41"/>
      <c r="L224" s="41"/>
      <c r="M224" s="41"/>
      <c r="N224" s="41"/>
      <c r="O224" s="41"/>
      <c r="P224" s="41"/>
      <c r="Q224" s="41"/>
      <c r="R224" s="41"/>
      <c r="S224" s="41"/>
      <c r="T224" s="41"/>
      <c r="U224" s="41"/>
      <c r="V224" s="41"/>
      <c r="W224" s="41"/>
      <c r="X224" s="41"/>
      <c r="Y224" s="41"/>
      <c r="Z224" s="41"/>
    </row>
    <row r="225" ht="19.5" customHeight="1">
      <c r="A225" s="41"/>
      <c r="B225" s="84" t="s">
        <v>707</v>
      </c>
      <c r="C225" s="18" t="str">
        <f>wld_az2_host11_fqdn</f>
        <v>Value Missing</v>
      </c>
      <c r="D225" s="18" t="str">
        <f>wld_az2_host11_hostname</f>
        <v>Value Missing</v>
      </c>
      <c r="E225" s="18" t="str">
        <f>wld_az2_host11_mgmt_ip</f>
        <v>Value Missing</v>
      </c>
      <c r="F225" s="41"/>
      <c r="G225" s="41"/>
      <c r="H225" s="41"/>
      <c r="I225" s="41"/>
      <c r="J225" s="41"/>
      <c r="K225" s="41"/>
      <c r="L225" s="41"/>
      <c r="M225" s="41"/>
      <c r="N225" s="41"/>
      <c r="O225" s="41"/>
      <c r="P225" s="41"/>
      <c r="Q225" s="41"/>
      <c r="R225" s="41"/>
      <c r="S225" s="41"/>
      <c r="T225" s="41"/>
      <c r="U225" s="41"/>
      <c r="V225" s="41"/>
      <c r="W225" s="41"/>
      <c r="X225" s="41"/>
      <c r="Y225" s="41"/>
      <c r="Z225" s="41"/>
    </row>
    <row r="226" ht="19.5" customHeight="1">
      <c r="A226" s="41"/>
      <c r="B226" s="84" t="s">
        <v>708</v>
      </c>
      <c r="C226" s="18" t="str">
        <f>wld_az2_host12_fqdn</f>
        <v>Value Missing</v>
      </c>
      <c r="D226" s="18" t="str">
        <f>wld_az2_host12_hostname</f>
        <v>Value Missing</v>
      </c>
      <c r="E226" s="18" t="str">
        <f>wld_az2_host12_mgmt_ip</f>
        <v>Value Missing</v>
      </c>
      <c r="F226" s="41"/>
      <c r="G226" s="41"/>
      <c r="H226" s="41"/>
      <c r="I226" s="41"/>
      <c r="J226" s="41"/>
      <c r="K226" s="41"/>
      <c r="L226" s="41"/>
      <c r="M226" s="41"/>
      <c r="N226" s="41"/>
      <c r="O226" s="41"/>
      <c r="P226" s="41"/>
      <c r="Q226" s="41"/>
      <c r="R226" s="41"/>
      <c r="S226" s="41"/>
      <c r="T226" s="41"/>
      <c r="U226" s="41"/>
      <c r="V226" s="41"/>
      <c r="W226" s="41"/>
      <c r="X226" s="41"/>
      <c r="Y226" s="41"/>
      <c r="Z226" s="41"/>
    </row>
    <row r="227" ht="19.5" customHeight="1">
      <c r="A227" s="41"/>
      <c r="B227" s="84" t="s">
        <v>709</v>
      </c>
      <c r="C227" s="18" t="str">
        <f>wld_az2_host13_fqdn</f>
        <v>Value Missing</v>
      </c>
      <c r="D227" s="18" t="str">
        <f>wld_az2_host13_hostname</f>
        <v>Value Missing</v>
      </c>
      <c r="E227" s="18" t="str">
        <f>wld_az2_host13_mgmt_ip</f>
        <v>Value Missing</v>
      </c>
      <c r="F227" s="41"/>
      <c r="G227" s="41"/>
      <c r="H227" s="41"/>
      <c r="I227" s="41"/>
      <c r="J227" s="41"/>
      <c r="K227" s="41"/>
      <c r="L227" s="41"/>
      <c r="M227" s="41"/>
      <c r="N227" s="41"/>
      <c r="O227" s="41"/>
      <c r="P227" s="41"/>
      <c r="Q227" s="41"/>
      <c r="R227" s="41"/>
      <c r="S227" s="41"/>
      <c r="T227" s="41"/>
      <c r="U227" s="41"/>
      <c r="V227" s="41"/>
      <c r="W227" s="41"/>
      <c r="X227" s="41"/>
      <c r="Y227" s="41"/>
      <c r="Z227" s="41"/>
    </row>
    <row r="228" ht="19.5" customHeight="1">
      <c r="A228" s="41"/>
      <c r="B228" s="84" t="s">
        <v>710</v>
      </c>
      <c r="C228" s="18" t="str">
        <f>wld_az2_host14_fqdn</f>
        <v>Value Missing</v>
      </c>
      <c r="D228" s="18" t="str">
        <f>wld_az2_host14_hostname</f>
        <v>Value Missing</v>
      </c>
      <c r="E228" s="18" t="str">
        <f>wld_az2_host14_mgmt_ip</f>
        <v>Value Missing</v>
      </c>
      <c r="F228" s="41"/>
      <c r="G228" s="41"/>
      <c r="H228" s="41"/>
      <c r="I228" s="41"/>
      <c r="J228" s="41"/>
      <c r="K228" s="41"/>
      <c r="L228" s="41"/>
      <c r="M228" s="41"/>
      <c r="N228" s="41"/>
      <c r="O228" s="41"/>
      <c r="P228" s="41"/>
      <c r="Q228" s="41"/>
      <c r="R228" s="41"/>
      <c r="S228" s="41"/>
      <c r="T228" s="41"/>
      <c r="U228" s="41"/>
      <c r="V228" s="41"/>
      <c r="W228" s="41"/>
      <c r="X228" s="41"/>
      <c r="Y228" s="41"/>
      <c r="Z228" s="41"/>
    </row>
    <row r="229" ht="19.5" customHeight="1">
      <c r="A229" s="41"/>
      <c r="B229" s="84" t="s">
        <v>711</v>
      </c>
      <c r="C229" s="18" t="str">
        <f>wld_az2_host15_fqdn</f>
        <v>Value Missing</v>
      </c>
      <c r="D229" s="18" t="str">
        <f>wld_az2_host15_hostname</f>
        <v>Value Missing</v>
      </c>
      <c r="E229" s="18" t="str">
        <f>wld_az2_host15_mgmt_ip</f>
        <v>Value Missing</v>
      </c>
      <c r="F229" s="41"/>
      <c r="G229" s="41"/>
      <c r="H229" s="41"/>
      <c r="I229" s="41"/>
      <c r="J229" s="41"/>
      <c r="K229" s="41"/>
      <c r="L229" s="41"/>
      <c r="M229" s="41"/>
      <c r="N229" s="41"/>
      <c r="O229" s="41"/>
      <c r="P229" s="41"/>
      <c r="Q229" s="41"/>
      <c r="R229" s="41"/>
      <c r="S229" s="41"/>
      <c r="T229" s="41"/>
      <c r="U229" s="41"/>
      <c r="V229" s="41"/>
      <c r="W229" s="41"/>
      <c r="X229" s="41"/>
      <c r="Y229" s="41"/>
      <c r="Z229" s="41"/>
    </row>
    <row r="230" ht="19.5" customHeight="1">
      <c r="A230" s="41"/>
      <c r="B230" s="84" t="s">
        <v>712</v>
      </c>
      <c r="C230" s="18" t="str">
        <f>wld_az2_host16_fqdn</f>
        <v>Value Missing</v>
      </c>
      <c r="D230" s="18" t="str">
        <f>wld_az2_host16_hostname</f>
        <v>Value Missing</v>
      </c>
      <c r="E230" s="18" t="str">
        <f>wld_az2_host16_mgmt_ip</f>
        <v>Value Missing</v>
      </c>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30">
    <mergeCell ref="B8:H8"/>
    <mergeCell ref="B9:H9"/>
    <mergeCell ref="B22:H22"/>
    <mergeCell ref="B23:H23"/>
    <mergeCell ref="B33:H33"/>
    <mergeCell ref="B34:H34"/>
    <mergeCell ref="B47:H47"/>
    <mergeCell ref="B48:H48"/>
    <mergeCell ref="B58:H58"/>
    <mergeCell ref="B59:H59"/>
    <mergeCell ref="B63:H63"/>
    <mergeCell ref="B64:H64"/>
    <mergeCell ref="B83:H83"/>
    <mergeCell ref="B84:E84"/>
    <mergeCell ref="B110:H110"/>
    <mergeCell ref="B111:H111"/>
    <mergeCell ref="B130:H130"/>
    <mergeCell ref="B132:H132"/>
    <mergeCell ref="B133:H133"/>
    <mergeCell ref="B146:H146"/>
    <mergeCell ref="B147:H147"/>
    <mergeCell ref="B212:H212"/>
    <mergeCell ref="B213:H213"/>
    <mergeCell ref="B157:H157"/>
    <mergeCell ref="B158:H158"/>
    <mergeCell ref="B171:H171"/>
    <mergeCell ref="B172:H172"/>
    <mergeCell ref="B182:H182"/>
    <mergeCell ref="B183:H183"/>
    <mergeCell ref="B202:H202"/>
  </mergeCells>
  <conditionalFormatting sqref="C25:C31">
    <cfRule type="containsBlanks" dxfId="7" priority="1">
      <formula>LEN(TRIM(C25))=0</formula>
    </cfRule>
  </conditionalFormatting>
  <conditionalFormatting sqref="C25:C31">
    <cfRule type="notContainsBlanks" dxfId="0" priority="2">
      <formula>LEN(TRIM(C25))&gt;0</formula>
    </cfRule>
  </conditionalFormatting>
  <conditionalFormatting sqref="C50:C56">
    <cfRule type="notContainsBlanks" dxfId="0" priority="3">
      <formula>LEN(TRIM(C50))&gt;0</formula>
    </cfRule>
  </conditionalFormatting>
  <conditionalFormatting sqref="C149:C155">
    <cfRule type="notContainsBlanks" dxfId="0" priority="4">
      <formula>LEN(TRIM(C149))&gt;0</formula>
    </cfRule>
  </conditionalFormatting>
  <conditionalFormatting sqref="C174:C180">
    <cfRule type="notContainsBlanks" dxfId="0" priority="5">
      <formula>LEN(TRIM(C174))&gt;0</formula>
    </cfRule>
  </conditionalFormatting>
  <conditionalFormatting sqref="C86:E108 C204:E210">
    <cfRule type="notContainsBlanks" dxfId="0" priority="6">
      <formula>LEN(TRIM(C86))&gt;0</formula>
    </cfRule>
  </conditionalFormatting>
  <conditionalFormatting sqref="C86:E108 C204:E210">
    <cfRule type="containsBlanks" dxfId="7" priority="7">
      <formula>LEN(TRIM(C86))=0</formula>
    </cfRule>
  </conditionalFormatting>
  <conditionalFormatting sqref="C11:H20 C36:H45 C135:H144 C160:H169">
    <cfRule type="notContainsBlanks" dxfId="0" priority="8">
      <formula>LEN(TRIM(C11))&gt;0</formula>
    </cfRule>
  </conditionalFormatting>
  <conditionalFormatting sqref="C11:H20 C36:H45 C135:H144 C160:H169">
    <cfRule type="containsBlanks" dxfId="7" priority="9">
      <formula>LEN(TRIM(C11))=0</formula>
    </cfRule>
  </conditionalFormatting>
  <conditionalFormatting sqref="C61:H61">
    <cfRule type="notContainsBlanks" dxfId="0" priority="10">
      <formula>LEN(TRIM(C61))&gt;0</formula>
    </cfRule>
  </conditionalFormatting>
  <conditionalFormatting sqref="C61:H61">
    <cfRule type="containsBlanks" dxfId="7" priority="11">
      <formula>LEN(TRIM(C61))=0</formula>
    </cfRule>
  </conditionalFormatting>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14.11"/>
    <col customWidth="1" min="3" max="3" width="19.33"/>
    <col customWidth="1" min="4" max="4" width="75.78"/>
    <col customWidth="1" min="5" max="5" width="151.78"/>
    <col customWidth="1" min="6" max="26" width="11.0"/>
  </cols>
  <sheetData>
    <row r="1" ht="15.75" customHeight="1">
      <c r="A1" s="55"/>
      <c r="B1" s="55"/>
      <c r="C1" s="55"/>
      <c r="D1" s="55"/>
      <c r="E1" s="55"/>
      <c r="F1" s="55"/>
    </row>
    <row r="2" ht="54.0" customHeight="1">
      <c r="A2" s="396"/>
      <c r="B2" s="397" t="s">
        <v>3715</v>
      </c>
      <c r="C2" s="13"/>
      <c r="D2" s="13"/>
      <c r="E2" s="14"/>
      <c r="F2" s="55"/>
    </row>
    <row r="3" ht="15.75" customHeight="1">
      <c r="A3" s="398"/>
      <c r="B3" s="172" t="s">
        <v>508</v>
      </c>
      <c r="C3" s="13"/>
      <c r="D3" s="13"/>
      <c r="E3" s="14"/>
      <c r="F3" s="399"/>
    </row>
    <row r="4" ht="15.75" customHeight="1">
      <c r="A4" s="55"/>
      <c r="B4" s="55"/>
      <c r="C4" s="55"/>
      <c r="D4" s="55"/>
      <c r="E4" s="55"/>
      <c r="F4" s="55"/>
    </row>
    <row r="5" ht="15.75" customHeight="1"/>
    <row r="6" ht="33.75" customHeight="1">
      <c r="B6" s="12" t="s">
        <v>3767</v>
      </c>
      <c r="C6" s="13"/>
      <c r="D6" s="13"/>
      <c r="E6" s="14"/>
    </row>
    <row r="7" ht="19.5" customHeight="1">
      <c r="B7" s="165" t="s">
        <v>120</v>
      </c>
      <c r="C7" s="166" t="s">
        <v>3768</v>
      </c>
      <c r="D7" s="405" t="s">
        <v>3769</v>
      </c>
      <c r="E7" s="14"/>
    </row>
    <row r="8" ht="102.75" customHeight="1">
      <c r="B8" s="51" t="s">
        <v>3770</v>
      </c>
      <c r="C8" s="51" t="s">
        <v>3771</v>
      </c>
      <c r="D8" s="406" t="s">
        <v>3772</v>
      </c>
      <c r="E8" s="14"/>
    </row>
    <row r="9" ht="102.75" customHeight="1">
      <c r="B9" s="51" t="s">
        <v>3773</v>
      </c>
      <c r="C9" s="51" t="s">
        <v>3774</v>
      </c>
      <c r="D9" s="406" t="s">
        <v>3775</v>
      </c>
      <c r="E9" s="14"/>
    </row>
    <row r="10" ht="24.75" customHeight="1">
      <c r="B10" s="51" t="s">
        <v>3776</v>
      </c>
      <c r="C10" s="51" t="s">
        <v>3777</v>
      </c>
      <c r="D10" s="406" t="s">
        <v>3778</v>
      </c>
      <c r="E10" s="14"/>
    </row>
    <row r="11" ht="19.5" customHeight="1">
      <c r="B11" s="51" t="s">
        <v>3779</v>
      </c>
      <c r="C11" s="51" t="s">
        <v>3777</v>
      </c>
      <c r="D11" s="406" t="s">
        <v>3780</v>
      </c>
      <c r="E11" s="14"/>
    </row>
    <row r="12" ht="67.5" customHeight="1">
      <c r="B12" s="51" t="s">
        <v>3781</v>
      </c>
      <c r="C12" s="51" t="s">
        <v>3782</v>
      </c>
      <c r="D12" s="406" t="s">
        <v>3783</v>
      </c>
      <c r="E12" s="14"/>
    </row>
    <row r="13" ht="81.0" customHeight="1">
      <c r="B13" s="51" t="s">
        <v>3784</v>
      </c>
      <c r="C13" s="51" t="s">
        <v>3785</v>
      </c>
      <c r="D13" s="407" t="s">
        <v>3786</v>
      </c>
      <c r="E13" s="14"/>
    </row>
    <row r="14" ht="19.5" customHeight="1">
      <c r="B14" s="51" t="s">
        <v>3787</v>
      </c>
      <c r="C14" s="51" t="s">
        <v>3788</v>
      </c>
      <c r="D14" s="408" t="s">
        <v>3789</v>
      </c>
      <c r="E14" s="14"/>
    </row>
    <row r="15" ht="15.75" customHeight="1"/>
    <row r="16" ht="33.75" customHeight="1">
      <c r="B16" s="12" t="s">
        <v>5</v>
      </c>
      <c r="C16" s="13"/>
      <c r="D16" s="13"/>
      <c r="E16" s="14"/>
    </row>
    <row r="17" ht="19.5" customHeight="1">
      <c r="B17" s="102" t="s">
        <v>3790</v>
      </c>
      <c r="C17" s="13"/>
      <c r="D17" s="13"/>
      <c r="E17" s="14"/>
    </row>
    <row r="18" ht="19.5" customHeight="1">
      <c r="B18" s="409" t="s">
        <v>3791</v>
      </c>
      <c r="C18" s="13"/>
      <c r="D18" s="13"/>
      <c r="E18" s="14"/>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D11:E11"/>
    <mergeCell ref="D12:E12"/>
    <mergeCell ref="D13:E13"/>
    <mergeCell ref="D14:E14"/>
    <mergeCell ref="B16:E16"/>
    <mergeCell ref="B17:E17"/>
    <mergeCell ref="B18:E18"/>
    <mergeCell ref="B2:E2"/>
    <mergeCell ref="B3:E3"/>
    <mergeCell ref="B6:E6"/>
    <mergeCell ref="D7:E7"/>
    <mergeCell ref="D8:E8"/>
    <mergeCell ref="D9:E9"/>
    <mergeCell ref="D10:E10"/>
  </mergeCell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showGridLines="0" workbookViewId="0">
      <pane ySplit="5.0" topLeftCell="A6" activePane="bottomLeft" state="frozen"/>
      <selection activeCell="B7" sqref="B7" pane="bottomLeft"/>
    </sheetView>
  </sheetViews>
  <sheetFormatPr customHeight="1" defaultColWidth="11.22" defaultRowHeight="15.0"/>
  <cols>
    <col customWidth="1" min="1" max="1" width="2.78"/>
    <col customWidth="1" min="2" max="2" width="63.78"/>
    <col customWidth="1" min="3" max="4" width="80.78"/>
    <col customWidth="1" min="5" max="5" width="60.78"/>
    <col customWidth="1" min="6" max="6" width="2.78"/>
    <col customWidth="1" min="7" max="26" width="11.0"/>
  </cols>
  <sheetData>
    <row r="1" ht="15.75" customHeight="1">
      <c r="A1" s="35"/>
      <c r="B1" s="35"/>
      <c r="C1" s="35"/>
      <c r="D1" s="35"/>
      <c r="E1" s="35"/>
      <c r="F1" s="35"/>
      <c r="G1" s="35"/>
      <c r="H1" s="35"/>
      <c r="I1" s="35"/>
      <c r="J1" s="35"/>
      <c r="K1" s="35"/>
      <c r="L1" s="35"/>
      <c r="M1" s="35"/>
      <c r="N1" s="35"/>
      <c r="O1" s="35"/>
      <c r="P1" s="35"/>
      <c r="Q1" s="35"/>
      <c r="R1" s="35"/>
      <c r="S1" s="35"/>
      <c r="T1" s="35"/>
      <c r="U1" s="35"/>
      <c r="V1" s="35"/>
      <c r="W1" s="35"/>
      <c r="X1" s="35"/>
      <c r="Y1" s="35"/>
      <c r="Z1" s="35"/>
    </row>
    <row r="2" ht="54.0" customHeight="1">
      <c r="A2" s="35"/>
      <c r="B2" s="410" t="s">
        <v>3792</v>
      </c>
      <c r="C2" s="13"/>
      <c r="D2" s="13"/>
      <c r="E2" s="14"/>
      <c r="F2" s="35"/>
      <c r="G2" s="35"/>
      <c r="H2" s="35"/>
      <c r="I2" s="35"/>
      <c r="J2" s="35"/>
      <c r="K2" s="35"/>
      <c r="L2" s="35"/>
      <c r="M2" s="35"/>
      <c r="N2" s="35"/>
      <c r="O2" s="35"/>
      <c r="P2" s="35"/>
      <c r="Q2" s="35"/>
      <c r="R2" s="35"/>
      <c r="S2" s="35"/>
      <c r="T2" s="35"/>
      <c r="U2" s="35"/>
      <c r="V2" s="35"/>
      <c r="W2" s="35"/>
      <c r="X2" s="35"/>
      <c r="Y2" s="35"/>
      <c r="Z2" s="35"/>
    </row>
    <row r="3" ht="19.5" customHeight="1">
      <c r="A3" s="35"/>
      <c r="B3" s="375" t="s">
        <v>3793</v>
      </c>
      <c r="C3" s="13"/>
      <c r="D3" s="13"/>
      <c r="E3" s="14"/>
      <c r="F3" s="35"/>
      <c r="G3" s="35"/>
      <c r="H3" s="35"/>
      <c r="I3" s="35"/>
      <c r="J3" s="35"/>
      <c r="K3" s="35"/>
      <c r="L3" s="35"/>
      <c r="M3" s="35"/>
      <c r="N3" s="35"/>
      <c r="O3" s="35"/>
      <c r="P3" s="35"/>
      <c r="Q3" s="35"/>
      <c r="R3" s="35"/>
      <c r="S3" s="35"/>
      <c r="T3" s="35"/>
      <c r="U3" s="35"/>
      <c r="V3" s="35"/>
      <c r="W3" s="35"/>
      <c r="X3" s="35"/>
      <c r="Y3" s="35"/>
      <c r="Z3" s="35"/>
    </row>
    <row r="4" ht="15.7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row>
    <row r="5" ht="15.75" customHeight="1">
      <c r="A5" s="35"/>
      <c r="B5" s="35"/>
      <c r="C5" s="35"/>
      <c r="D5" s="411"/>
      <c r="E5" s="40"/>
      <c r="F5" s="40"/>
      <c r="G5" s="35"/>
      <c r="H5" s="35"/>
      <c r="I5" s="35"/>
      <c r="J5" s="35"/>
      <c r="K5" s="35"/>
      <c r="L5" s="35"/>
      <c r="M5" s="35"/>
      <c r="N5" s="35"/>
      <c r="O5" s="35"/>
      <c r="P5" s="35"/>
      <c r="Q5" s="35"/>
      <c r="R5" s="35"/>
      <c r="S5" s="35"/>
      <c r="T5" s="35"/>
      <c r="U5" s="35"/>
      <c r="V5" s="35"/>
      <c r="W5" s="35"/>
      <c r="X5" s="35"/>
      <c r="Y5" s="35"/>
      <c r="Z5" s="35"/>
    </row>
    <row r="6" ht="15.75" customHeight="1">
      <c r="A6" s="114"/>
      <c r="B6" s="114"/>
      <c r="C6" s="114"/>
      <c r="D6" s="114"/>
      <c r="E6" s="114"/>
      <c r="F6" s="114"/>
      <c r="G6" s="114"/>
      <c r="H6" s="114"/>
      <c r="I6" s="114"/>
      <c r="J6" s="114"/>
      <c r="K6" s="114"/>
      <c r="L6" s="114"/>
      <c r="M6" s="114"/>
      <c r="N6" s="114"/>
      <c r="O6" s="114"/>
      <c r="P6" s="114"/>
      <c r="Q6" s="114"/>
      <c r="R6" s="114"/>
      <c r="S6" s="114"/>
      <c r="T6" s="114"/>
      <c r="U6" s="114"/>
      <c r="V6" s="114"/>
      <c r="W6" s="114"/>
      <c r="X6" s="114"/>
      <c r="Y6" s="114"/>
      <c r="Z6" s="114"/>
    </row>
    <row r="7" ht="33.75" customHeight="1">
      <c r="A7" s="1"/>
      <c r="B7" s="197" t="s">
        <v>3794</v>
      </c>
      <c r="C7" s="13"/>
      <c r="D7" s="13"/>
      <c r="E7" s="14"/>
      <c r="F7" s="1"/>
      <c r="G7" s="1"/>
      <c r="H7" s="1"/>
      <c r="I7" s="1"/>
      <c r="J7" s="1"/>
      <c r="K7" s="1"/>
      <c r="L7" s="1"/>
      <c r="M7" s="1"/>
      <c r="N7" s="1"/>
      <c r="O7" s="1"/>
      <c r="P7" s="1"/>
      <c r="Q7" s="1"/>
      <c r="R7" s="1"/>
      <c r="S7" s="1"/>
      <c r="T7" s="1"/>
      <c r="U7" s="1"/>
      <c r="V7" s="1"/>
      <c r="W7" s="1"/>
      <c r="X7" s="1"/>
      <c r="Y7" s="1"/>
      <c r="Z7" s="1"/>
    </row>
    <row r="8" ht="19.5" customHeight="1">
      <c r="A8" s="1"/>
      <c r="B8" s="15" t="s">
        <v>256</v>
      </c>
      <c r="C8" s="15" t="s">
        <v>722</v>
      </c>
      <c r="D8" s="15" t="s">
        <v>274</v>
      </c>
      <c r="E8" s="15" t="s">
        <v>5</v>
      </c>
      <c r="F8" s="1"/>
      <c r="G8" s="1"/>
      <c r="H8" s="1"/>
      <c r="I8" s="1"/>
      <c r="J8" s="1"/>
      <c r="K8" s="1"/>
      <c r="L8" s="1"/>
      <c r="M8" s="1"/>
      <c r="N8" s="1"/>
      <c r="O8" s="1"/>
      <c r="P8" s="1"/>
      <c r="Q8" s="1"/>
      <c r="R8" s="1"/>
      <c r="S8" s="1"/>
      <c r="T8" s="1"/>
      <c r="U8" s="1"/>
      <c r="V8" s="1"/>
      <c r="W8" s="1"/>
      <c r="X8" s="1"/>
      <c r="Y8" s="1"/>
      <c r="Z8" s="1"/>
    </row>
    <row r="9" ht="19.5" customHeight="1">
      <c r="A9" s="1"/>
      <c r="B9" s="84" t="s">
        <v>2236</v>
      </c>
      <c r="C9" s="110" t="s">
        <v>3795</v>
      </c>
      <c r="D9" s="18"/>
      <c r="E9" s="18"/>
      <c r="F9" s="1"/>
      <c r="G9" s="1"/>
      <c r="H9" s="1"/>
      <c r="I9" s="1"/>
      <c r="J9" s="1"/>
      <c r="K9" s="1"/>
      <c r="L9" s="1"/>
      <c r="M9" s="1"/>
      <c r="N9" s="1"/>
      <c r="O9" s="1"/>
      <c r="P9" s="1"/>
      <c r="Q9" s="1"/>
      <c r="R9" s="1"/>
      <c r="S9" s="1"/>
      <c r="T9" s="1"/>
      <c r="U9" s="1"/>
      <c r="V9" s="1"/>
      <c r="W9" s="1"/>
      <c r="X9" s="1"/>
      <c r="Y9" s="1"/>
      <c r="Z9" s="1"/>
    </row>
    <row r="10" ht="19.5" customHeight="1">
      <c r="A10" s="1"/>
      <c r="B10" s="84" t="s">
        <v>2239</v>
      </c>
      <c r="C10" s="1"/>
      <c r="D10" s="1"/>
      <c r="E10" s="18"/>
      <c r="F10" s="1"/>
      <c r="G10" s="1"/>
      <c r="H10" s="1"/>
      <c r="I10" s="1"/>
      <c r="J10" s="1"/>
      <c r="K10" s="1"/>
      <c r="L10" s="1"/>
      <c r="M10" s="1"/>
      <c r="N10" s="1"/>
      <c r="O10" s="1"/>
      <c r="P10" s="1"/>
      <c r="Q10" s="1"/>
      <c r="R10" s="1"/>
      <c r="S10" s="1"/>
      <c r="T10" s="1"/>
      <c r="U10" s="1"/>
      <c r="V10" s="1"/>
      <c r="W10" s="1"/>
      <c r="X10" s="1"/>
      <c r="Y10" s="1"/>
      <c r="Z10" s="1"/>
    </row>
    <row r="11" ht="19.5" customHeight="1">
      <c r="A11" s="1"/>
      <c r="B11" s="84" t="s">
        <v>2244</v>
      </c>
      <c r="C11" s="1"/>
      <c r="D11" s="1"/>
      <c r="E11" s="18"/>
      <c r="F11" s="1"/>
      <c r="G11" s="1"/>
      <c r="H11" s="1"/>
      <c r="I11" s="1"/>
      <c r="J11" s="1"/>
      <c r="K11" s="1"/>
      <c r="L11" s="1"/>
      <c r="M11" s="1"/>
      <c r="N11" s="1"/>
      <c r="O11" s="1"/>
      <c r="P11" s="1"/>
      <c r="Q11" s="1"/>
      <c r="R11" s="1"/>
      <c r="S11" s="1"/>
      <c r="T11" s="1"/>
      <c r="U11" s="1"/>
      <c r="V11" s="1"/>
      <c r="W11" s="1"/>
      <c r="X11" s="1"/>
      <c r="Y11" s="1"/>
      <c r="Z11" s="1"/>
    </row>
    <row r="12" ht="19.5" customHeight="1">
      <c r="A12" s="1"/>
      <c r="B12" s="84" t="s">
        <v>2248</v>
      </c>
      <c r="C12" s="1"/>
      <c r="D12" s="1"/>
      <c r="E12" s="18"/>
      <c r="F12" s="1"/>
      <c r="G12" s="1"/>
      <c r="H12" s="1"/>
      <c r="I12" s="1"/>
      <c r="J12" s="1"/>
      <c r="K12" s="1"/>
      <c r="L12" s="1"/>
      <c r="M12" s="1"/>
      <c r="N12" s="1"/>
      <c r="O12" s="1"/>
      <c r="P12" s="1"/>
      <c r="Q12" s="1"/>
      <c r="R12" s="1"/>
      <c r="S12" s="1"/>
      <c r="T12" s="1"/>
      <c r="U12" s="1"/>
      <c r="V12" s="1"/>
      <c r="W12" s="1"/>
      <c r="X12" s="1"/>
      <c r="Y12" s="1"/>
      <c r="Z12" s="1"/>
    </row>
    <row r="13" ht="19.5" customHeight="1">
      <c r="A13" s="1"/>
      <c r="B13" s="362" t="s">
        <v>3796</v>
      </c>
      <c r="C13" s="13"/>
      <c r="D13" s="13"/>
      <c r="E13" s="14"/>
      <c r="F13" s="1"/>
      <c r="G13" s="1"/>
      <c r="H13" s="1"/>
      <c r="I13" s="1"/>
      <c r="J13" s="1"/>
      <c r="K13" s="1"/>
      <c r="L13" s="1"/>
      <c r="M13" s="1"/>
      <c r="N13" s="1"/>
      <c r="O13" s="1"/>
      <c r="P13" s="1"/>
      <c r="Q13" s="1"/>
      <c r="R13" s="1"/>
      <c r="S13" s="1"/>
      <c r="T13" s="1"/>
      <c r="U13" s="1"/>
      <c r="V13" s="1"/>
      <c r="W13" s="1"/>
      <c r="X13" s="1"/>
      <c r="Y13" s="1"/>
      <c r="Z13" s="1"/>
    </row>
    <row r="14" ht="19.5" customHeight="1">
      <c r="A14" s="1"/>
      <c r="B14" s="337" t="s">
        <v>256</v>
      </c>
      <c r="C14" s="337" t="s">
        <v>722</v>
      </c>
      <c r="D14" s="338" t="s">
        <v>274</v>
      </c>
      <c r="E14" s="337" t="s">
        <v>5</v>
      </c>
      <c r="F14" s="1"/>
      <c r="G14" s="1"/>
      <c r="H14" s="1"/>
      <c r="I14" s="1"/>
      <c r="J14" s="1"/>
      <c r="K14" s="1"/>
      <c r="L14" s="1"/>
      <c r="M14" s="1"/>
      <c r="N14" s="1"/>
      <c r="O14" s="1"/>
      <c r="P14" s="1"/>
      <c r="Q14" s="1"/>
      <c r="R14" s="1"/>
      <c r="S14" s="1"/>
      <c r="T14" s="1"/>
      <c r="U14" s="1"/>
      <c r="V14" s="1"/>
      <c r="W14" s="1"/>
      <c r="X14" s="1"/>
      <c r="Y14" s="1"/>
      <c r="Z14" s="1"/>
    </row>
    <row r="15" ht="19.5" customHeight="1">
      <c r="A15" s="1"/>
      <c r="B15" s="84" t="s">
        <v>2421</v>
      </c>
      <c r="C15" s="203" t="str">
        <f>CONCATENATE(this_instance,"-w0",wld_domain_number_chosen,"-ns01")</f>
        <v>lax-w01-ns01</v>
      </c>
      <c r="D15" s="18"/>
      <c r="E15" s="18"/>
      <c r="F15" s="1"/>
      <c r="G15" s="1"/>
      <c r="H15" s="1"/>
      <c r="I15" s="1"/>
      <c r="J15" s="1"/>
      <c r="K15" s="1"/>
      <c r="L15" s="1"/>
      <c r="M15" s="1"/>
      <c r="N15" s="1"/>
      <c r="O15" s="1"/>
      <c r="P15" s="1"/>
      <c r="Q15" s="1"/>
      <c r="R15" s="1"/>
      <c r="S15" s="1"/>
      <c r="T15" s="1"/>
      <c r="U15" s="1"/>
      <c r="V15" s="1"/>
      <c r="W15" s="1"/>
      <c r="X15" s="1"/>
      <c r="Y15" s="1"/>
      <c r="Z15" s="1"/>
    </row>
    <row r="16" ht="19.5" customHeight="1">
      <c r="A16" s="1"/>
      <c r="B16" s="84" t="s">
        <v>3797</v>
      </c>
      <c r="C16" s="1"/>
      <c r="D16" s="1"/>
      <c r="E16" s="18"/>
      <c r="F16" s="1"/>
      <c r="G16" s="1"/>
      <c r="H16" s="1"/>
      <c r="I16" s="1"/>
      <c r="J16" s="1"/>
      <c r="K16" s="1"/>
      <c r="L16" s="1"/>
      <c r="M16" s="1"/>
      <c r="N16" s="1"/>
      <c r="O16" s="1"/>
      <c r="P16" s="1"/>
      <c r="Q16" s="1"/>
      <c r="R16" s="1"/>
      <c r="S16" s="1"/>
      <c r="T16" s="1"/>
      <c r="U16" s="1"/>
      <c r="V16" s="1"/>
      <c r="W16" s="1"/>
      <c r="X16" s="1"/>
      <c r="Y16" s="1"/>
      <c r="Z16" s="1"/>
    </row>
    <row r="17" ht="33.75" customHeight="1">
      <c r="A17" s="1"/>
      <c r="B17" s="197" t="s">
        <v>3798</v>
      </c>
      <c r="C17" s="13"/>
      <c r="D17" s="13"/>
      <c r="E17" s="14"/>
      <c r="F17" s="1"/>
      <c r="G17" s="1"/>
      <c r="H17" s="1"/>
      <c r="I17" s="1"/>
      <c r="J17" s="1"/>
      <c r="K17" s="1"/>
      <c r="L17" s="1"/>
      <c r="M17" s="1"/>
      <c r="N17" s="1"/>
      <c r="O17" s="1"/>
      <c r="P17" s="1"/>
      <c r="Q17" s="1"/>
      <c r="R17" s="1"/>
      <c r="S17" s="1"/>
      <c r="T17" s="1"/>
      <c r="U17" s="1"/>
      <c r="V17" s="1"/>
      <c r="W17" s="1"/>
      <c r="X17" s="1"/>
      <c r="Y17" s="1"/>
      <c r="Z17" s="1"/>
    </row>
    <row r="18" ht="19.5" customHeight="1">
      <c r="A18" s="1"/>
      <c r="B18" s="15" t="s">
        <v>256</v>
      </c>
      <c r="C18" s="15" t="s">
        <v>722</v>
      </c>
      <c r="D18" s="15" t="s">
        <v>274</v>
      </c>
      <c r="E18" s="15" t="s">
        <v>5</v>
      </c>
      <c r="F18" s="1"/>
      <c r="G18" s="1"/>
      <c r="H18" s="1"/>
      <c r="I18" s="1"/>
      <c r="J18" s="1"/>
      <c r="K18" s="1"/>
      <c r="L18" s="1"/>
      <c r="M18" s="1"/>
      <c r="N18" s="1"/>
      <c r="O18" s="1"/>
      <c r="P18" s="1"/>
      <c r="Q18" s="1"/>
      <c r="R18" s="1"/>
      <c r="S18" s="1"/>
      <c r="T18" s="1"/>
      <c r="U18" s="1"/>
      <c r="V18" s="1"/>
      <c r="W18" s="1"/>
      <c r="X18" s="1"/>
      <c r="Y18" s="1"/>
      <c r="Z18" s="1"/>
    </row>
    <row r="19" ht="19.5" customHeight="1">
      <c r="A19" s="1"/>
      <c r="B19" s="84" t="s">
        <v>3799</v>
      </c>
      <c r="C19" s="203" t="str">
        <f>CONCATENATE(this_instance,"-",workload_descriptor,"-seg01-tanzu")</f>
        <v>lax-w01-seg01-tanzu</v>
      </c>
      <c r="D19" s="18"/>
      <c r="E19" s="18"/>
      <c r="F19" s="1"/>
      <c r="G19" s="1"/>
      <c r="H19" s="1"/>
      <c r="I19" s="1"/>
      <c r="J19" s="1"/>
      <c r="K19" s="1"/>
      <c r="L19" s="1"/>
      <c r="M19" s="1"/>
      <c r="N19" s="1"/>
      <c r="O19" s="1"/>
      <c r="P19" s="1"/>
      <c r="Q19" s="1"/>
      <c r="R19" s="1"/>
      <c r="S19" s="1"/>
      <c r="T19" s="1"/>
      <c r="U19" s="1"/>
      <c r="V19" s="1"/>
      <c r="W19" s="1"/>
      <c r="X19" s="1"/>
      <c r="Y19" s="1"/>
      <c r="Z19" s="1"/>
    </row>
    <row r="20" ht="19.5" customHeight="1">
      <c r="A20" s="1"/>
      <c r="B20" s="84" t="s">
        <v>2115</v>
      </c>
      <c r="C20" s="203" t="str">
        <f>IF(mgmt_consolidated_result="Included",CONCATENATE(sample_mgmt_tier0_name,"-prefixlist"),CONCATENATE(sample_wld_tier0_name,"-prefixlist"))</f>
        <v>lax-w01-ec01-t0-gw01-prefixlist</v>
      </c>
      <c r="D20" s="18"/>
      <c r="E20" s="18"/>
      <c r="F20" s="1"/>
      <c r="G20" s="1"/>
      <c r="H20" s="1"/>
      <c r="I20" s="1"/>
      <c r="J20" s="1"/>
      <c r="K20" s="1"/>
      <c r="L20" s="1"/>
      <c r="M20" s="1"/>
      <c r="N20" s="1"/>
      <c r="O20" s="1"/>
      <c r="P20" s="1"/>
      <c r="Q20" s="1"/>
      <c r="R20" s="1"/>
      <c r="S20" s="1"/>
      <c r="T20" s="1"/>
      <c r="U20" s="1"/>
      <c r="V20" s="1"/>
      <c r="W20" s="1"/>
      <c r="X20" s="1"/>
      <c r="Y20" s="1"/>
      <c r="Z20" s="1"/>
    </row>
    <row r="21" ht="19.5" customHeight="1">
      <c r="A21" s="1"/>
      <c r="B21" s="84" t="s">
        <v>2121</v>
      </c>
      <c r="C21" s="203" t="str">
        <f>IF(mgmt_consolidated_result="Included",CONCATENATE(sample_mgmt_tier0_name,"-routemap"),CONCATENATE(sample_wld_tier0_name,"-routemap"))</f>
        <v>lax-w01-ec01-t0-gw01-routemap</v>
      </c>
      <c r="D21" s="18"/>
      <c r="E21" s="18"/>
      <c r="F21" s="1"/>
      <c r="G21" s="1"/>
      <c r="H21" s="1"/>
      <c r="I21" s="1"/>
      <c r="J21" s="1"/>
      <c r="K21" s="1"/>
      <c r="L21" s="1"/>
      <c r="M21" s="1"/>
      <c r="N21" s="1"/>
      <c r="O21" s="1"/>
      <c r="P21" s="1"/>
      <c r="Q21" s="1"/>
      <c r="R21" s="1"/>
      <c r="S21" s="1"/>
      <c r="T21" s="1"/>
      <c r="U21" s="1"/>
      <c r="V21" s="1"/>
      <c r="W21" s="1"/>
      <c r="X21" s="1"/>
      <c r="Y21" s="1"/>
      <c r="Z21" s="1"/>
    </row>
    <row r="22" ht="19.5" customHeight="1">
      <c r="A22" s="1"/>
      <c r="B22" s="84" t="s">
        <v>2141</v>
      </c>
      <c r="C22" s="203" t="s">
        <v>3800</v>
      </c>
      <c r="D22" s="18"/>
      <c r="E22" s="18"/>
      <c r="F22" s="1"/>
      <c r="G22" s="1"/>
      <c r="H22" s="1"/>
      <c r="I22" s="1"/>
      <c r="J22" s="1"/>
      <c r="K22" s="1"/>
      <c r="L22" s="1"/>
      <c r="M22" s="1"/>
      <c r="N22" s="1"/>
      <c r="O22" s="1"/>
      <c r="P22" s="1"/>
      <c r="Q22" s="1"/>
      <c r="R22" s="1"/>
      <c r="S22" s="1"/>
      <c r="T22" s="1"/>
      <c r="U22" s="1"/>
      <c r="V22" s="1"/>
      <c r="W22" s="1"/>
      <c r="X22" s="1"/>
      <c r="Y22" s="1"/>
      <c r="Z22" s="1"/>
    </row>
    <row r="23" ht="19.5" customHeight="1">
      <c r="A23" s="1"/>
      <c r="B23" s="84" t="s">
        <v>2145</v>
      </c>
      <c r="C23" s="203" t="s">
        <v>3801</v>
      </c>
      <c r="D23" s="18"/>
      <c r="E23" s="18"/>
      <c r="F23" s="1"/>
      <c r="G23" s="1"/>
      <c r="H23" s="1"/>
      <c r="I23" s="1"/>
      <c r="J23" s="1"/>
      <c r="K23" s="1"/>
      <c r="L23" s="1"/>
      <c r="M23" s="1"/>
      <c r="N23" s="1"/>
      <c r="O23" s="1"/>
      <c r="P23" s="1"/>
      <c r="Q23" s="1"/>
      <c r="R23" s="1"/>
      <c r="S23" s="1"/>
      <c r="T23" s="1"/>
      <c r="U23" s="1"/>
      <c r="V23" s="1"/>
      <c r="W23" s="1"/>
      <c r="X23" s="1"/>
      <c r="Y23" s="1"/>
      <c r="Z23" s="1"/>
    </row>
    <row r="24" ht="19.5" customHeight="1">
      <c r="A24" s="1"/>
      <c r="B24" s="84" t="s">
        <v>2149</v>
      </c>
      <c r="C24" s="210"/>
      <c r="D24" s="1"/>
      <c r="E24" s="18"/>
      <c r="F24" s="1"/>
      <c r="G24" s="1"/>
      <c r="H24" s="1"/>
      <c r="I24" s="1"/>
      <c r="J24" s="1"/>
      <c r="K24" s="1"/>
      <c r="L24" s="1"/>
      <c r="M24" s="1"/>
      <c r="N24" s="1"/>
      <c r="O24" s="1"/>
      <c r="P24" s="1"/>
      <c r="Q24" s="1"/>
      <c r="R24" s="1"/>
      <c r="S24" s="1"/>
      <c r="T24" s="1"/>
      <c r="U24" s="1"/>
      <c r="V24" s="1"/>
      <c r="W24" s="1"/>
      <c r="X24" s="1"/>
      <c r="Y24" s="1"/>
      <c r="Z24" s="1"/>
    </row>
    <row r="25" ht="19.5" customHeight="1">
      <c r="A25" s="1"/>
      <c r="B25" s="84" t="s">
        <v>2155</v>
      </c>
      <c r="C25" s="210"/>
      <c r="D25" s="1"/>
      <c r="E25" s="18"/>
      <c r="F25" s="1"/>
      <c r="G25" s="1"/>
      <c r="H25" s="1"/>
      <c r="I25" s="1"/>
      <c r="J25" s="1"/>
      <c r="K25" s="1"/>
      <c r="L25" s="1"/>
      <c r="M25" s="1"/>
      <c r="N25" s="1"/>
      <c r="O25" s="1"/>
      <c r="P25" s="1"/>
      <c r="Q25" s="1"/>
      <c r="R25" s="1"/>
      <c r="S25" s="1"/>
      <c r="T25" s="1"/>
      <c r="U25" s="1"/>
      <c r="V25" s="1"/>
      <c r="W25" s="1"/>
      <c r="X25" s="1"/>
      <c r="Y25" s="1"/>
      <c r="Z25" s="1"/>
    </row>
    <row r="26" ht="19.5" customHeight="1">
      <c r="A26" s="1"/>
      <c r="B26" s="84" t="s">
        <v>3802</v>
      </c>
      <c r="C26" s="203" t="s">
        <v>3803</v>
      </c>
      <c r="D26" s="18"/>
      <c r="E26" s="18"/>
      <c r="F26" s="1"/>
      <c r="G26" s="1"/>
      <c r="H26" s="1"/>
      <c r="I26" s="1"/>
      <c r="J26" s="1"/>
      <c r="K26" s="1"/>
      <c r="L26" s="1"/>
      <c r="M26" s="1"/>
      <c r="N26" s="1"/>
      <c r="O26" s="1"/>
      <c r="P26" s="1"/>
      <c r="Q26" s="1"/>
      <c r="R26" s="1"/>
      <c r="S26" s="1"/>
      <c r="T26" s="1"/>
      <c r="U26" s="1"/>
      <c r="V26" s="1"/>
      <c r="W26" s="1"/>
      <c r="X26" s="1"/>
      <c r="Y26" s="1"/>
      <c r="Z26" s="1"/>
    </row>
    <row r="27" ht="19.5" customHeight="1">
      <c r="A27" s="1"/>
      <c r="B27" s="84" t="s">
        <v>3804</v>
      </c>
      <c r="C27" s="203" t="s">
        <v>3805</v>
      </c>
      <c r="D27" s="18"/>
      <c r="E27" s="18"/>
      <c r="F27" s="1"/>
      <c r="G27" s="1"/>
      <c r="H27" s="1"/>
      <c r="I27" s="1"/>
      <c r="J27" s="1"/>
      <c r="K27" s="1"/>
      <c r="L27" s="1"/>
      <c r="M27" s="1"/>
      <c r="N27" s="1"/>
      <c r="O27" s="1"/>
      <c r="P27" s="1"/>
      <c r="Q27" s="1"/>
      <c r="R27" s="1"/>
      <c r="S27" s="1"/>
      <c r="T27" s="1"/>
      <c r="U27" s="1"/>
      <c r="V27" s="1"/>
      <c r="W27" s="1"/>
      <c r="X27" s="1"/>
      <c r="Y27" s="1"/>
      <c r="Z27" s="1"/>
    </row>
    <row r="28" ht="19.5" customHeight="1">
      <c r="A28" s="1"/>
      <c r="B28" s="80"/>
      <c r="C28" s="1"/>
      <c r="D28" s="1"/>
      <c r="E28" s="1"/>
      <c r="F28" s="1"/>
      <c r="G28" s="1"/>
      <c r="H28" s="1"/>
      <c r="I28" s="1"/>
      <c r="J28" s="1"/>
      <c r="K28" s="1"/>
      <c r="L28" s="1"/>
      <c r="M28" s="1"/>
      <c r="N28" s="1"/>
      <c r="O28" s="1"/>
      <c r="P28" s="1"/>
      <c r="Q28" s="1"/>
      <c r="R28" s="1"/>
      <c r="S28" s="1"/>
      <c r="T28" s="1"/>
      <c r="U28" s="1"/>
      <c r="V28" s="1"/>
      <c r="W28" s="1"/>
      <c r="X28" s="1"/>
      <c r="Y28" s="1"/>
      <c r="Z28" s="1"/>
    </row>
    <row r="29" ht="19.5" customHeight="1">
      <c r="A29" s="1"/>
      <c r="B29" s="80"/>
      <c r="C29" s="1"/>
      <c r="D29" s="1"/>
      <c r="E29" s="1"/>
      <c r="F29" s="1"/>
      <c r="G29" s="1"/>
      <c r="H29" s="1"/>
      <c r="I29" s="1"/>
      <c r="J29" s="1"/>
      <c r="K29" s="1"/>
      <c r="L29" s="1"/>
      <c r="M29" s="1"/>
      <c r="N29" s="1"/>
      <c r="O29" s="1"/>
      <c r="P29" s="1"/>
      <c r="Q29" s="1"/>
      <c r="R29" s="1"/>
      <c r="S29" s="1"/>
      <c r="T29" s="1"/>
      <c r="U29" s="1"/>
      <c r="V29" s="1"/>
      <c r="W29" s="1"/>
      <c r="X29" s="1"/>
      <c r="Y29" s="1"/>
      <c r="Z29" s="1"/>
    </row>
    <row r="30" ht="19.5" customHeight="1">
      <c r="A30" s="1"/>
      <c r="B30" s="80"/>
      <c r="C30" s="1"/>
      <c r="D30" s="1"/>
      <c r="E30" s="1"/>
      <c r="F30" s="1"/>
      <c r="G30" s="1"/>
      <c r="H30" s="1"/>
      <c r="I30" s="1"/>
      <c r="J30" s="1"/>
      <c r="K30" s="1"/>
      <c r="L30" s="1"/>
      <c r="M30" s="1"/>
      <c r="N30" s="1"/>
      <c r="O30" s="1"/>
      <c r="P30" s="1"/>
      <c r="Q30" s="1"/>
      <c r="R30" s="1"/>
      <c r="S30" s="1"/>
      <c r="T30" s="1"/>
      <c r="U30" s="1"/>
      <c r="V30" s="1"/>
      <c r="W30" s="1"/>
      <c r="X30" s="1"/>
      <c r="Y30" s="1"/>
      <c r="Z30" s="1"/>
    </row>
    <row r="31" ht="19.5" customHeight="1">
      <c r="A31" s="1"/>
      <c r="B31" s="80"/>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row>
    <row r="33" ht="33.75" customHeight="1">
      <c r="A33" s="114"/>
      <c r="B33" s="197" t="s">
        <v>3806</v>
      </c>
      <c r="C33" s="13"/>
      <c r="D33" s="13"/>
      <c r="E33" s="14"/>
      <c r="F33" s="114"/>
      <c r="G33" s="114"/>
      <c r="H33" s="114"/>
      <c r="I33" s="114"/>
      <c r="J33" s="114"/>
      <c r="K33" s="114"/>
      <c r="L33" s="114"/>
      <c r="M33" s="114"/>
      <c r="N33" s="114"/>
      <c r="O33" s="114"/>
      <c r="P33" s="114"/>
      <c r="Q33" s="114"/>
      <c r="R33" s="114"/>
      <c r="S33" s="114"/>
      <c r="T33" s="114"/>
      <c r="U33" s="114"/>
      <c r="V33" s="114"/>
      <c r="W33" s="114"/>
      <c r="X33" s="114"/>
      <c r="Y33" s="114"/>
      <c r="Z33" s="114"/>
    </row>
    <row r="34" ht="19.5" customHeight="1">
      <c r="A34" s="114"/>
      <c r="B34" s="15" t="s">
        <v>256</v>
      </c>
      <c r="C34" s="15" t="s">
        <v>722</v>
      </c>
      <c r="D34" s="15" t="s">
        <v>274</v>
      </c>
      <c r="E34" s="15" t="s">
        <v>5</v>
      </c>
      <c r="F34" s="114"/>
      <c r="G34" s="114"/>
      <c r="H34" s="114"/>
      <c r="I34" s="114"/>
      <c r="J34" s="114"/>
      <c r="K34" s="114"/>
      <c r="L34" s="114"/>
      <c r="M34" s="114"/>
      <c r="N34" s="114"/>
      <c r="O34" s="114"/>
      <c r="P34" s="114"/>
      <c r="Q34" s="114"/>
      <c r="R34" s="114"/>
      <c r="S34" s="114"/>
      <c r="T34" s="114"/>
      <c r="U34" s="114"/>
      <c r="V34" s="114"/>
      <c r="W34" s="114"/>
      <c r="X34" s="114"/>
      <c r="Y34" s="114"/>
      <c r="Z34" s="114"/>
    </row>
    <row r="35" ht="19.5" customHeight="1">
      <c r="A35" s="114"/>
      <c r="B35" s="365" t="s">
        <v>826</v>
      </c>
      <c r="C35" s="111" t="str">
        <f>IF(mgmt_consolidated_result="Included",CONCATENATE(sample_mgmt_vc_fqdn),CONCATENATE(sample_wld_vc_fqdn))</f>
        <v>lax-w01-vc01.lax.rainpole.io</v>
      </c>
      <c r="D35" s="51" t="str">
        <f>dri_vcenter_fqdn</f>
        <v>Value Missing</v>
      </c>
      <c r="E35" s="366"/>
      <c r="F35" s="114"/>
      <c r="G35" s="114"/>
      <c r="H35" s="114"/>
      <c r="I35" s="114"/>
      <c r="J35" s="114"/>
      <c r="K35" s="114"/>
      <c r="L35" s="114"/>
      <c r="M35" s="114"/>
      <c r="N35" s="114"/>
      <c r="O35" s="114"/>
      <c r="P35" s="114"/>
      <c r="Q35" s="114"/>
      <c r="R35" s="114"/>
      <c r="S35" s="114"/>
      <c r="T35" s="114"/>
      <c r="U35" s="114"/>
      <c r="V35" s="114"/>
      <c r="W35" s="114"/>
      <c r="X35" s="114"/>
      <c r="Y35" s="114"/>
      <c r="Z35" s="114"/>
    </row>
    <row r="36" ht="15.75" customHeight="1">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ht="33.75" customHeight="1">
      <c r="A37" s="114"/>
      <c r="B37" s="197" t="s">
        <v>3807</v>
      </c>
      <c r="C37" s="13"/>
      <c r="D37" s="13"/>
      <c r="E37" s="14"/>
      <c r="F37" s="114"/>
      <c r="G37" s="114"/>
      <c r="H37" s="114"/>
      <c r="I37" s="114"/>
      <c r="J37" s="114"/>
      <c r="K37" s="114"/>
      <c r="L37" s="114"/>
      <c r="M37" s="114"/>
      <c r="N37" s="114"/>
      <c r="O37" s="114"/>
      <c r="P37" s="114"/>
      <c r="Q37" s="114"/>
      <c r="R37" s="114"/>
      <c r="S37" s="114"/>
      <c r="T37" s="114"/>
      <c r="U37" s="114"/>
      <c r="V37" s="114"/>
      <c r="W37" s="114"/>
      <c r="X37" s="114"/>
      <c r="Y37" s="114"/>
      <c r="Z37" s="114"/>
    </row>
    <row r="38" ht="19.5" customHeight="1">
      <c r="A38" s="114"/>
      <c r="B38" s="15" t="s">
        <v>256</v>
      </c>
      <c r="C38" s="15" t="s">
        <v>722</v>
      </c>
      <c r="D38" s="15" t="s">
        <v>274</v>
      </c>
      <c r="E38" s="15" t="s">
        <v>5</v>
      </c>
      <c r="F38" s="114"/>
      <c r="G38" s="114"/>
      <c r="H38" s="114"/>
      <c r="I38" s="114"/>
      <c r="J38" s="114"/>
      <c r="K38" s="114"/>
      <c r="L38" s="114"/>
      <c r="M38" s="114"/>
      <c r="N38" s="114"/>
      <c r="O38" s="114"/>
      <c r="P38" s="114"/>
      <c r="Q38" s="114"/>
      <c r="R38" s="114"/>
      <c r="S38" s="114"/>
      <c r="T38" s="114"/>
      <c r="U38" s="114"/>
      <c r="V38" s="114"/>
      <c r="W38" s="114"/>
      <c r="X38" s="114"/>
      <c r="Y38" s="114"/>
      <c r="Z38" s="114"/>
    </row>
    <row r="39" ht="19.5" customHeight="1">
      <c r="A39" s="114"/>
      <c r="B39" s="365" t="s">
        <v>826</v>
      </c>
      <c r="C39" s="111" t="str">
        <f>IF(mgmt_consolidated_result="Included",CONCATENATE(sample_mgmt_vc_fqdn),CONCATENATE(sample_wld_vc_fqdn))</f>
        <v>lax-w01-vc01.lax.rainpole.io</v>
      </c>
      <c r="D39" s="51" t="str">
        <f>dri_vcenter_fqdn</f>
        <v>Value Missing</v>
      </c>
      <c r="E39" s="366"/>
      <c r="F39" s="114"/>
      <c r="G39" s="114"/>
      <c r="H39" s="114"/>
      <c r="I39" s="114"/>
      <c r="J39" s="114"/>
      <c r="K39" s="114"/>
      <c r="L39" s="114"/>
      <c r="M39" s="114"/>
      <c r="N39" s="114"/>
      <c r="O39" s="114"/>
      <c r="P39" s="114"/>
      <c r="Q39" s="114"/>
      <c r="R39" s="114"/>
      <c r="S39" s="114"/>
      <c r="T39" s="114"/>
      <c r="U39" s="114"/>
      <c r="V39" s="114"/>
      <c r="W39" s="114"/>
      <c r="X39" s="114"/>
      <c r="Y39" s="114"/>
      <c r="Z39" s="114"/>
    </row>
    <row r="40" ht="19.5" customHeight="1">
      <c r="A40" s="114"/>
      <c r="B40" s="365" t="s">
        <v>3808</v>
      </c>
      <c r="C40" s="111" t="str">
        <f>sample_sddc_mgr_fqdn</f>
        <v>lax-vcf01.lax.rainpole.io</v>
      </c>
      <c r="D40" s="51" t="str">
        <f>sddc_mgr_fqdn</f>
        <v>Value Missing</v>
      </c>
      <c r="E40" s="366"/>
      <c r="F40" s="114"/>
      <c r="G40" s="114"/>
      <c r="H40" s="114"/>
      <c r="I40" s="114"/>
      <c r="J40" s="114"/>
      <c r="K40" s="114"/>
      <c r="L40" s="114"/>
      <c r="M40" s="114"/>
      <c r="N40" s="114"/>
      <c r="O40" s="114"/>
      <c r="P40" s="114"/>
      <c r="Q40" s="114"/>
      <c r="R40" s="114"/>
      <c r="S40" s="114"/>
      <c r="T40" s="114"/>
      <c r="U40" s="114"/>
      <c r="V40" s="114"/>
      <c r="W40" s="114"/>
      <c r="X40" s="114"/>
      <c r="Y40" s="114"/>
      <c r="Z40" s="114"/>
    </row>
    <row r="41" ht="15.75" customHeight="1">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c r="Y41" s="114"/>
      <c r="Z41" s="114"/>
    </row>
    <row r="42" ht="33.75" customHeight="1">
      <c r="A42" s="114"/>
      <c r="B42" s="197" t="s">
        <v>3809</v>
      </c>
      <c r="C42" s="13"/>
      <c r="D42" s="13"/>
      <c r="E42" s="14"/>
      <c r="F42" s="114"/>
      <c r="G42" s="114"/>
      <c r="H42" s="114"/>
      <c r="I42" s="114"/>
      <c r="J42" s="114"/>
      <c r="K42" s="114"/>
      <c r="L42" s="114"/>
      <c r="M42" s="114"/>
      <c r="N42" s="114"/>
      <c r="O42" s="114"/>
      <c r="P42" s="114"/>
      <c r="Q42" s="114"/>
      <c r="R42" s="114"/>
      <c r="S42" s="114"/>
      <c r="T42" s="114"/>
      <c r="U42" s="114"/>
      <c r="V42" s="114"/>
      <c r="W42" s="114"/>
      <c r="X42" s="114"/>
      <c r="Y42" s="114"/>
      <c r="Z42" s="114"/>
    </row>
    <row r="43" ht="19.5" customHeight="1">
      <c r="A43" s="114"/>
      <c r="B43" s="15" t="s">
        <v>256</v>
      </c>
      <c r="C43" s="15" t="s">
        <v>722</v>
      </c>
      <c r="D43" s="15" t="s">
        <v>274</v>
      </c>
      <c r="E43" s="15" t="s">
        <v>5</v>
      </c>
      <c r="F43" s="114"/>
      <c r="G43" s="114"/>
      <c r="H43" s="114"/>
      <c r="I43" s="114"/>
      <c r="J43" s="114"/>
      <c r="K43" s="114"/>
      <c r="L43" s="114"/>
      <c r="M43" s="114"/>
      <c r="N43" s="114"/>
      <c r="O43" s="114"/>
      <c r="P43" s="114"/>
      <c r="Q43" s="114"/>
      <c r="R43" s="114"/>
      <c r="S43" s="114"/>
      <c r="T43" s="114"/>
      <c r="U43" s="114"/>
      <c r="V43" s="114"/>
      <c r="W43" s="114"/>
      <c r="X43" s="114"/>
      <c r="Y43" s="114"/>
      <c r="Z43" s="114"/>
    </row>
    <row r="44" ht="19.5" customHeight="1">
      <c r="A44" s="114"/>
      <c r="B44" s="365" t="s">
        <v>826</v>
      </c>
      <c r="C44" s="111" t="str">
        <f>IF(mgmt_consolidated_result="Included",CONCATENATE(sample_mgmt_vc_fqdn),CONCATENATE(sample_wld_vc_fqdn))</f>
        <v>lax-w01-vc01.lax.rainpole.io</v>
      </c>
      <c r="D44" s="51" t="str">
        <f>dri_vcenter_fqdn</f>
        <v>Value Missing</v>
      </c>
      <c r="E44" s="366"/>
      <c r="F44" s="114"/>
      <c r="G44" s="114"/>
      <c r="H44" s="114"/>
      <c r="I44" s="114"/>
      <c r="J44" s="114"/>
      <c r="K44" s="114"/>
      <c r="L44" s="114"/>
      <c r="M44" s="114"/>
      <c r="N44" s="114"/>
      <c r="O44" s="114"/>
      <c r="P44" s="114"/>
      <c r="Q44" s="114"/>
      <c r="R44" s="114"/>
      <c r="S44" s="114"/>
      <c r="T44" s="114"/>
      <c r="U44" s="114"/>
      <c r="V44" s="114"/>
      <c r="W44" s="114"/>
      <c r="X44" s="114"/>
      <c r="Y44" s="114"/>
      <c r="Z44" s="114"/>
    </row>
    <row r="45" ht="19.5" customHeight="1">
      <c r="A45" s="114"/>
      <c r="B45" s="243" t="s">
        <v>1178</v>
      </c>
      <c r="C45" s="110" t="str">
        <f>IF(mgmt_consolidated_result="Included",sample_mgmt_cl01_cluster,sample_mgmt_cl01_cluster)</f>
        <v>lax-m01-cl01</v>
      </c>
      <c r="D45" s="51" t="str">
        <f>dri_vcenter_cluster</f>
        <v>Value Missing</v>
      </c>
      <c r="E45" s="366"/>
      <c r="F45" s="114"/>
      <c r="G45" s="114"/>
      <c r="H45" s="114"/>
      <c r="I45" s="114"/>
      <c r="J45" s="114"/>
      <c r="K45" s="114"/>
      <c r="L45" s="114"/>
      <c r="M45" s="114"/>
      <c r="N45" s="114"/>
      <c r="O45" s="114"/>
      <c r="P45" s="114"/>
      <c r="Q45" s="114"/>
      <c r="R45" s="114"/>
      <c r="S45" s="114"/>
      <c r="T45" s="114"/>
      <c r="U45" s="114"/>
      <c r="V45" s="114"/>
      <c r="W45" s="114"/>
      <c r="X45" s="114"/>
      <c r="Y45" s="114"/>
      <c r="Z45" s="114"/>
    </row>
    <row r="46" ht="15.75" customHeight="1">
      <c r="A46" s="114"/>
      <c r="B46" s="243" t="s">
        <v>256</v>
      </c>
      <c r="C46" s="203" t="str">
        <f>CONCATENATE(this_instance,"-w0",wld_domain_number_chosen,"-tkc01")</f>
        <v>lax-w01-tkc01</v>
      </c>
      <c r="D46" s="18"/>
      <c r="E46" s="366"/>
      <c r="F46" s="114"/>
      <c r="G46" s="114"/>
      <c r="H46" s="114"/>
      <c r="I46" s="114"/>
      <c r="J46" s="114"/>
      <c r="K46" s="114"/>
      <c r="L46" s="114"/>
      <c r="M46" s="114"/>
      <c r="N46" s="114"/>
      <c r="O46" s="114"/>
      <c r="P46" s="114"/>
      <c r="Q46" s="114"/>
      <c r="R46" s="114"/>
      <c r="S46" s="114"/>
      <c r="T46" s="114"/>
      <c r="U46" s="114"/>
      <c r="V46" s="114"/>
      <c r="W46" s="114"/>
      <c r="X46" s="114"/>
      <c r="Y46" s="114"/>
      <c r="Z46" s="114"/>
    </row>
    <row r="47" ht="19.5" customHeight="1">
      <c r="A47" s="114"/>
      <c r="B47" s="243" t="s">
        <v>2461</v>
      </c>
      <c r="C47" s="203" t="s">
        <v>3810</v>
      </c>
      <c r="D47" s="18"/>
      <c r="E47" s="366"/>
      <c r="F47" s="114"/>
      <c r="G47" s="114"/>
      <c r="H47" s="114"/>
      <c r="I47" s="114"/>
      <c r="J47" s="114"/>
      <c r="K47" s="114"/>
      <c r="L47" s="114"/>
      <c r="M47" s="114"/>
      <c r="N47" s="114"/>
      <c r="O47" s="114"/>
      <c r="P47" s="114"/>
      <c r="Q47" s="114"/>
      <c r="R47" s="114"/>
      <c r="S47" s="114"/>
      <c r="T47" s="114"/>
      <c r="U47" s="114"/>
      <c r="V47" s="114"/>
      <c r="W47" s="114"/>
      <c r="X47" s="114"/>
      <c r="Y47" s="114"/>
      <c r="Z47" s="114"/>
    </row>
    <row r="48" ht="15.75" customHeight="1">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row>
    <row r="49" ht="33.75" customHeight="1">
      <c r="A49" s="114"/>
      <c r="B49" s="197" t="s">
        <v>3811</v>
      </c>
      <c r="C49" s="13"/>
      <c r="D49" s="13"/>
      <c r="E49" s="14"/>
      <c r="F49" s="114"/>
      <c r="G49" s="114"/>
      <c r="H49" s="114"/>
      <c r="I49" s="114"/>
      <c r="J49" s="114"/>
      <c r="K49" s="114"/>
      <c r="L49" s="114"/>
      <c r="M49" s="114"/>
      <c r="N49" s="114"/>
      <c r="O49" s="114"/>
      <c r="P49" s="114"/>
      <c r="Q49" s="114"/>
      <c r="R49" s="114"/>
      <c r="S49" s="114"/>
      <c r="T49" s="114"/>
      <c r="U49" s="114"/>
      <c r="V49" s="114"/>
      <c r="W49" s="114"/>
      <c r="X49" s="114"/>
      <c r="Y49" s="114"/>
      <c r="Z49" s="114"/>
    </row>
    <row r="50" ht="19.5" customHeight="1">
      <c r="A50" s="114"/>
      <c r="B50" s="15" t="s">
        <v>256</v>
      </c>
      <c r="C50" s="15" t="s">
        <v>722</v>
      </c>
      <c r="D50" s="15" t="s">
        <v>274</v>
      </c>
      <c r="E50" s="15" t="s">
        <v>5</v>
      </c>
      <c r="F50" s="114"/>
      <c r="G50" s="114"/>
      <c r="H50" s="114"/>
      <c r="I50" s="114"/>
      <c r="J50" s="114"/>
      <c r="K50" s="114"/>
      <c r="L50" s="114"/>
      <c r="M50" s="114"/>
      <c r="N50" s="114"/>
      <c r="O50" s="114"/>
      <c r="P50" s="114"/>
      <c r="Q50" s="114"/>
      <c r="R50" s="114"/>
      <c r="S50" s="114"/>
      <c r="T50" s="114"/>
      <c r="U50" s="114"/>
      <c r="V50" s="114"/>
      <c r="W50" s="114"/>
      <c r="X50" s="114"/>
      <c r="Y50" s="114"/>
      <c r="Z50" s="114"/>
    </row>
    <row r="51" ht="19.5" customHeight="1">
      <c r="A51" s="114"/>
      <c r="B51" s="365" t="s">
        <v>826</v>
      </c>
      <c r="C51" s="111" t="str">
        <f>IF(mgmt_consolidated_result="Included",CONCATENATE(sample_mgmt_vc_fqdn),CONCATENATE(sample_wld_vc_fqdn))</f>
        <v>lax-w01-vc01.lax.rainpole.io</v>
      </c>
      <c r="D51" s="51" t="str">
        <f>dri_vcenter_fqdn</f>
        <v>Value Missing</v>
      </c>
      <c r="E51" s="366"/>
      <c r="F51" s="114"/>
      <c r="G51" s="114"/>
      <c r="H51" s="114"/>
      <c r="I51" s="114"/>
      <c r="J51" s="114"/>
      <c r="K51" s="114"/>
      <c r="L51" s="114"/>
      <c r="M51" s="114"/>
      <c r="N51" s="114"/>
      <c r="O51" s="114"/>
      <c r="P51" s="114"/>
      <c r="Q51" s="114"/>
      <c r="R51" s="114"/>
      <c r="S51" s="114"/>
      <c r="T51" s="114"/>
      <c r="U51" s="114"/>
      <c r="V51" s="114"/>
      <c r="W51" s="114"/>
      <c r="X51" s="114"/>
      <c r="Y51" s="114"/>
      <c r="Z51" s="114"/>
    </row>
    <row r="52" ht="19.5" customHeight="1">
      <c r="A52" s="114"/>
      <c r="B52" s="243" t="s">
        <v>3812</v>
      </c>
      <c r="C52" s="110" t="str">
        <f>sample_k8s_cluster_name</f>
        <v>lax-w01-tkc01</v>
      </c>
      <c r="D52" s="51"/>
      <c r="E52" s="366"/>
      <c r="F52" s="114"/>
      <c r="G52" s="114"/>
      <c r="H52" s="114"/>
      <c r="I52" s="114"/>
      <c r="J52" s="114"/>
      <c r="K52" s="114"/>
      <c r="L52" s="114"/>
      <c r="M52" s="114"/>
      <c r="N52" s="114"/>
      <c r="O52" s="114"/>
      <c r="P52" s="114"/>
      <c r="Q52" s="114"/>
      <c r="R52" s="114"/>
      <c r="S52" s="114"/>
      <c r="T52" s="114"/>
      <c r="U52" s="114"/>
      <c r="V52" s="114"/>
      <c r="W52" s="114"/>
      <c r="X52" s="114"/>
      <c r="Y52" s="114"/>
      <c r="Z52" s="114"/>
    </row>
    <row r="53" ht="19.5" customHeight="1">
      <c r="A53" s="114"/>
      <c r="B53" s="243" t="s">
        <v>3813</v>
      </c>
      <c r="C53" s="110" t="str">
        <f>sample_gg_kub_admins_group</f>
        <v>gg-kub-admins</v>
      </c>
      <c r="D53" s="51" t="str">
        <f>group_gg_kub_admins</f>
        <v>Value Missing</v>
      </c>
      <c r="E53" s="366"/>
      <c r="F53" s="114"/>
      <c r="G53" s="114"/>
      <c r="H53" s="114"/>
      <c r="I53" s="114"/>
      <c r="J53" s="114"/>
      <c r="K53" s="114"/>
      <c r="L53" s="114"/>
      <c r="M53" s="114"/>
      <c r="N53" s="114"/>
      <c r="O53" s="114"/>
      <c r="P53" s="114"/>
      <c r="Q53" s="114"/>
      <c r="R53" s="114"/>
      <c r="S53" s="114"/>
      <c r="T53" s="114"/>
      <c r="U53" s="114"/>
      <c r="V53" s="114"/>
      <c r="W53" s="114"/>
      <c r="X53" s="114"/>
      <c r="Y53" s="114"/>
      <c r="Z53" s="114"/>
    </row>
    <row r="54" ht="19.5" customHeight="1">
      <c r="A54" s="114"/>
      <c r="B54" s="243" t="s">
        <v>3814</v>
      </c>
      <c r="C54" s="110" t="str">
        <f>sample_gg_kub_readonly_group</f>
        <v>gg-kub-readonly</v>
      </c>
      <c r="D54" s="51" t="str">
        <f>group_gg_kub_readonly</f>
        <v>Value Missing</v>
      </c>
      <c r="E54" s="366"/>
      <c r="F54" s="114"/>
      <c r="G54" s="114"/>
      <c r="H54" s="114"/>
      <c r="I54" s="114"/>
      <c r="J54" s="114"/>
      <c r="K54" s="114"/>
      <c r="L54" s="114"/>
      <c r="M54" s="114"/>
      <c r="N54" s="114"/>
      <c r="O54" s="114"/>
      <c r="P54" s="114"/>
      <c r="Q54" s="114"/>
      <c r="R54" s="114"/>
      <c r="S54" s="114"/>
      <c r="T54" s="114"/>
      <c r="U54" s="114"/>
      <c r="V54" s="114"/>
      <c r="W54" s="114"/>
      <c r="X54" s="114"/>
      <c r="Y54" s="114"/>
      <c r="Z54" s="114"/>
    </row>
    <row r="55" ht="15.75" customHeight="1">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row>
    <row r="56" ht="33.75" customHeight="1">
      <c r="A56" s="114"/>
      <c r="B56" s="197" t="s">
        <v>3815</v>
      </c>
      <c r="C56" s="13"/>
      <c r="D56" s="13"/>
      <c r="E56" s="14"/>
      <c r="F56" s="114"/>
      <c r="G56" s="114"/>
      <c r="H56" s="114"/>
      <c r="I56" s="114"/>
      <c r="J56" s="114"/>
      <c r="K56" s="114"/>
      <c r="L56" s="114"/>
      <c r="M56" s="114"/>
      <c r="N56" s="114"/>
      <c r="O56" s="114"/>
      <c r="P56" s="114"/>
      <c r="Q56" s="114"/>
      <c r="R56" s="114"/>
      <c r="S56" s="114"/>
      <c r="T56" s="114"/>
      <c r="U56" s="114"/>
      <c r="V56" s="114"/>
      <c r="W56" s="114"/>
      <c r="X56" s="114"/>
      <c r="Y56" s="114"/>
      <c r="Z56" s="114"/>
    </row>
    <row r="57" ht="19.5" customHeight="1">
      <c r="A57" s="114"/>
      <c r="B57" s="15" t="s">
        <v>256</v>
      </c>
      <c r="C57" s="15" t="s">
        <v>722</v>
      </c>
      <c r="D57" s="15" t="s">
        <v>274</v>
      </c>
      <c r="E57" s="15" t="s">
        <v>5</v>
      </c>
      <c r="F57" s="114"/>
      <c r="G57" s="114"/>
      <c r="H57" s="114"/>
      <c r="I57" s="114"/>
      <c r="J57" s="114"/>
      <c r="K57" s="114"/>
      <c r="L57" s="114"/>
      <c r="M57" s="114"/>
      <c r="N57" s="114"/>
      <c r="O57" s="114"/>
      <c r="P57" s="114"/>
      <c r="Q57" s="114"/>
      <c r="R57" s="114"/>
      <c r="S57" s="114"/>
      <c r="T57" s="114"/>
      <c r="U57" s="114"/>
      <c r="V57" s="114"/>
      <c r="W57" s="114"/>
      <c r="X57" s="114"/>
      <c r="Y57" s="114"/>
      <c r="Z57" s="114"/>
    </row>
    <row r="58" ht="19.5" customHeight="1">
      <c r="A58" s="114"/>
      <c r="B58" s="365" t="s">
        <v>826</v>
      </c>
      <c r="C58" s="111" t="str">
        <f>IF(mgmt_consolidated_result="Included",CONCATENATE(sample_mgmt_vc_fqdn),CONCATENATE(sample_wld_vc_fqdn))</f>
        <v>lax-w01-vc01.lax.rainpole.io</v>
      </c>
      <c r="D58" s="51" t="str">
        <f>dri_vcenter_fqdn</f>
        <v>Value Missing</v>
      </c>
      <c r="E58" s="366"/>
      <c r="F58" s="114"/>
      <c r="G58" s="114"/>
      <c r="H58" s="114"/>
      <c r="I58" s="114"/>
      <c r="J58" s="114"/>
      <c r="K58" s="114"/>
      <c r="L58" s="114"/>
      <c r="M58" s="114"/>
      <c r="N58" s="114"/>
      <c r="O58" s="114"/>
      <c r="P58" s="114"/>
      <c r="Q58" s="114"/>
      <c r="R58" s="114"/>
      <c r="S58" s="114"/>
      <c r="T58" s="114"/>
      <c r="U58" s="114"/>
      <c r="V58" s="114"/>
      <c r="W58" s="114"/>
      <c r="X58" s="114"/>
      <c r="Y58" s="114"/>
      <c r="Z58" s="114"/>
    </row>
    <row r="59" ht="19.5" customHeight="1">
      <c r="A59" s="114"/>
      <c r="B59" s="243" t="s">
        <v>2239</v>
      </c>
      <c r="C59" s="110" t="s">
        <v>3816</v>
      </c>
      <c r="D59" s="18"/>
      <c r="E59" s="366"/>
      <c r="F59" s="114"/>
      <c r="G59" s="114"/>
      <c r="H59" s="114"/>
      <c r="I59" s="114"/>
      <c r="J59" s="114"/>
      <c r="K59" s="114"/>
      <c r="L59" s="114"/>
      <c r="M59" s="114"/>
      <c r="N59" s="114"/>
      <c r="O59" s="114"/>
      <c r="P59" s="114"/>
      <c r="Q59" s="114"/>
      <c r="R59" s="114"/>
      <c r="S59" s="114"/>
      <c r="T59" s="114"/>
      <c r="U59" s="114"/>
      <c r="V59" s="114"/>
      <c r="W59" s="114"/>
      <c r="X59" s="114"/>
      <c r="Y59" s="114"/>
      <c r="Z59" s="114"/>
    </row>
    <row r="60" ht="19.5" customHeight="1">
      <c r="A60" s="114"/>
      <c r="B60" s="243" t="s">
        <v>3817</v>
      </c>
      <c r="C60" s="110">
        <v>16.0</v>
      </c>
      <c r="D60" s="51">
        <f t="shared" ref="D60:D61" si="1">C60</f>
        <v>16</v>
      </c>
      <c r="E60" s="366"/>
      <c r="F60" s="114"/>
      <c r="G60" s="114"/>
      <c r="H60" s="114"/>
      <c r="I60" s="114"/>
      <c r="J60" s="114"/>
      <c r="K60" s="114"/>
      <c r="L60" s="114"/>
      <c r="M60" s="114"/>
      <c r="N60" s="114"/>
      <c r="O60" s="114"/>
      <c r="P60" s="114"/>
      <c r="Q60" s="114"/>
      <c r="R60" s="114"/>
      <c r="S60" s="114"/>
      <c r="T60" s="114"/>
      <c r="U60" s="114"/>
      <c r="V60" s="114"/>
      <c r="W60" s="114"/>
      <c r="X60" s="114"/>
      <c r="Y60" s="114"/>
      <c r="Z60" s="114"/>
    </row>
    <row r="61" ht="19.5" customHeight="1">
      <c r="A61" s="114"/>
      <c r="B61" s="243" t="s">
        <v>3818</v>
      </c>
      <c r="C61" s="110">
        <v>64.0</v>
      </c>
      <c r="D61" s="51">
        <f t="shared" si="1"/>
        <v>64</v>
      </c>
      <c r="E61" s="366"/>
      <c r="F61" s="114"/>
      <c r="G61" s="114"/>
      <c r="H61" s="114"/>
      <c r="I61" s="114"/>
      <c r="J61" s="114"/>
      <c r="K61" s="114"/>
      <c r="L61" s="114"/>
      <c r="M61" s="114"/>
      <c r="N61" s="114"/>
      <c r="O61" s="114"/>
      <c r="P61" s="114"/>
      <c r="Q61" s="114"/>
      <c r="R61" s="114"/>
      <c r="S61" s="114"/>
      <c r="T61" s="114"/>
      <c r="U61" s="114"/>
      <c r="V61" s="114"/>
      <c r="W61" s="114"/>
      <c r="X61" s="114"/>
      <c r="Y61" s="114"/>
      <c r="Z61" s="114"/>
    </row>
    <row r="62" ht="15.75" customHeight="1">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ht="33.75" customHeight="1">
      <c r="A63" s="114"/>
      <c r="B63" s="375" t="s">
        <v>3819</v>
      </c>
      <c r="C63" s="13"/>
      <c r="D63" s="13"/>
      <c r="E63" s="14"/>
      <c r="F63" s="114"/>
      <c r="G63" s="114"/>
      <c r="H63" s="114"/>
      <c r="I63" s="114"/>
      <c r="J63" s="114"/>
      <c r="K63" s="114"/>
      <c r="L63" s="114"/>
      <c r="M63" s="114"/>
      <c r="N63" s="114"/>
      <c r="O63" s="114"/>
      <c r="P63" s="114"/>
      <c r="Q63" s="114"/>
      <c r="R63" s="114"/>
      <c r="S63" s="114"/>
      <c r="T63" s="114"/>
      <c r="U63" s="114"/>
      <c r="V63" s="114"/>
      <c r="W63" s="114"/>
      <c r="X63" s="114"/>
      <c r="Y63" s="114"/>
      <c r="Z63" s="114"/>
    </row>
    <row r="64" ht="19.5" customHeight="1">
      <c r="A64" s="114"/>
      <c r="B64" s="15" t="s">
        <v>256</v>
      </c>
      <c r="C64" s="15" t="s">
        <v>722</v>
      </c>
      <c r="D64" s="15" t="s">
        <v>274</v>
      </c>
      <c r="E64" s="15" t="s">
        <v>5</v>
      </c>
      <c r="F64" s="114"/>
      <c r="G64" s="114"/>
      <c r="H64" s="114"/>
      <c r="I64" s="114"/>
      <c r="J64" s="114"/>
      <c r="K64" s="114"/>
      <c r="L64" s="114"/>
      <c r="M64" s="114"/>
      <c r="N64" s="114"/>
      <c r="O64" s="114"/>
      <c r="P64" s="114"/>
      <c r="Q64" s="114"/>
      <c r="R64" s="114"/>
      <c r="S64" s="114"/>
      <c r="T64" s="114"/>
      <c r="U64" s="114"/>
      <c r="V64" s="114"/>
      <c r="W64" s="114"/>
      <c r="X64" s="114"/>
      <c r="Y64" s="114"/>
      <c r="Z64" s="114"/>
    </row>
    <row r="65" ht="19.5" customHeight="1">
      <c r="A65" s="114"/>
      <c r="B65" s="365" t="s">
        <v>3820</v>
      </c>
      <c r="C65" s="110" t="str">
        <f>CONCATENATE(prefix_wld_k8s_cidr,1+(wld_domain_number_chosen -1)*3,".1")</f>
        <v>192.168.41.1</v>
      </c>
      <c r="D65" s="51" t="str">
        <f>dri_k8s_server_address</f>
        <v/>
      </c>
      <c r="E65" s="412"/>
      <c r="F65" s="114"/>
      <c r="G65" s="114"/>
      <c r="H65" s="114"/>
      <c r="I65" s="114"/>
      <c r="J65" s="114"/>
      <c r="K65" s="114"/>
      <c r="L65" s="114"/>
      <c r="M65" s="114"/>
      <c r="N65" s="114"/>
      <c r="O65" s="114"/>
      <c r="P65" s="114"/>
      <c r="Q65" s="114"/>
      <c r="R65" s="114"/>
      <c r="S65" s="114"/>
      <c r="T65" s="114"/>
      <c r="U65" s="114"/>
      <c r="V65" s="114"/>
      <c r="W65" s="114"/>
      <c r="X65" s="114"/>
      <c r="Y65" s="114"/>
      <c r="Z65" s="114"/>
    </row>
    <row r="66" ht="19.5" customHeight="1">
      <c r="A66" s="114"/>
      <c r="B66" s="365" t="s">
        <v>3812</v>
      </c>
      <c r="C66" s="110" t="str">
        <f>sample_k8s_cluster_name</f>
        <v>lax-w01-tkc01</v>
      </c>
      <c r="D66" s="51"/>
      <c r="E66" s="366"/>
      <c r="F66" s="114"/>
      <c r="G66" s="114"/>
      <c r="H66" s="114"/>
      <c r="I66" s="114"/>
      <c r="J66" s="114"/>
      <c r="K66" s="114"/>
      <c r="L66" s="114"/>
      <c r="M66" s="114"/>
      <c r="N66" s="114"/>
      <c r="O66" s="114"/>
      <c r="P66" s="114"/>
      <c r="Q66" s="114"/>
      <c r="R66" s="114"/>
      <c r="S66" s="114"/>
      <c r="T66" s="114"/>
      <c r="U66" s="114"/>
      <c r="V66" s="114"/>
      <c r="W66" s="114"/>
      <c r="X66" s="114"/>
      <c r="Y66" s="114"/>
      <c r="Z66" s="114"/>
    </row>
    <row r="67" ht="19.5" customHeight="1">
      <c r="A67" s="114"/>
      <c r="B67" s="243" t="s">
        <v>1384</v>
      </c>
      <c r="C67" s="110" t="str">
        <f>sample_k8s_cluster_name</f>
        <v>lax-w01-tkc01</v>
      </c>
      <c r="D67" s="51"/>
      <c r="E67" s="366"/>
      <c r="F67" s="114"/>
      <c r="G67" s="114"/>
      <c r="H67" s="114"/>
      <c r="I67" s="114"/>
      <c r="J67" s="114"/>
      <c r="K67" s="114"/>
      <c r="L67" s="114"/>
      <c r="M67" s="114"/>
      <c r="N67" s="114"/>
      <c r="O67" s="114"/>
      <c r="P67" s="114"/>
      <c r="Q67" s="114"/>
      <c r="R67" s="114"/>
      <c r="S67" s="114"/>
      <c r="T67" s="114"/>
      <c r="U67" s="114"/>
      <c r="V67" s="114"/>
      <c r="W67" s="114"/>
      <c r="X67" s="114"/>
      <c r="Y67" s="114"/>
      <c r="Z67" s="114"/>
    </row>
    <row r="68" ht="19.5" customHeight="1">
      <c r="A68" s="114"/>
      <c r="B68" s="243" t="s">
        <v>3821</v>
      </c>
      <c r="C68" s="110" t="str">
        <f>sample_k8s_cluster_name</f>
        <v>lax-w01-tkc01</v>
      </c>
      <c r="D68" s="51"/>
      <c r="E68" s="366"/>
      <c r="F68" s="114"/>
      <c r="G68" s="114"/>
      <c r="H68" s="114"/>
      <c r="I68" s="114"/>
      <c r="J68" s="114"/>
      <c r="K68" s="114"/>
      <c r="L68" s="114"/>
      <c r="M68" s="114"/>
      <c r="N68" s="114"/>
      <c r="O68" s="114"/>
      <c r="P68" s="114"/>
      <c r="Q68" s="114"/>
      <c r="R68" s="114"/>
      <c r="S68" s="114"/>
      <c r="T68" s="114"/>
      <c r="U68" s="114"/>
      <c r="V68" s="114"/>
      <c r="W68" s="114"/>
      <c r="X68" s="114"/>
      <c r="Y68" s="114"/>
      <c r="Z68" s="114"/>
    </row>
    <row r="69" ht="19.5" customHeight="1">
      <c r="A69" s="114"/>
      <c r="B69" s="243" t="s">
        <v>3822</v>
      </c>
      <c r="C69" s="110" t="str">
        <f>sample_k8s_vcenter_storage_policy</f>
        <v>vsphere-with-tanzu-storage-policy</v>
      </c>
      <c r="D69" s="51" t="str">
        <f>k8s_vcenter_storage_policy</f>
        <v>Value Missing</v>
      </c>
      <c r="E69" s="366"/>
      <c r="F69" s="114"/>
      <c r="G69" s="114"/>
      <c r="H69" s="114"/>
      <c r="I69" s="114"/>
      <c r="J69" s="114"/>
      <c r="K69" s="114"/>
      <c r="L69" s="114"/>
      <c r="M69" s="114"/>
      <c r="N69" s="114"/>
      <c r="O69" s="114"/>
      <c r="P69" s="114"/>
      <c r="Q69" s="114"/>
      <c r="R69" s="114"/>
      <c r="S69" s="114"/>
      <c r="T69" s="114"/>
      <c r="U69" s="114"/>
      <c r="V69" s="114"/>
      <c r="W69" s="114"/>
      <c r="X69" s="114"/>
      <c r="Y69" s="114"/>
      <c r="Z69" s="114"/>
    </row>
    <row r="70" ht="19.5" customHeight="1">
      <c r="A70" s="114"/>
      <c r="B70" s="243" t="s">
        <v>3823</v>
      </c>
      <c r="C70" s="110" t="str">
        <f>sample_k8s_vm_class</f>
        <v>guaranteed-small</v>
      </c>
      <c r="D70" s="51" t="str">
        <f>k8s_vm_class</f>
        <v>Value Missing</v>
      </c>
      <c r="E70" s="366"/>
      <c r="F70" s="114"/>
      <c r="G70" s="114"/>
      <c r="H70" s="114"/>
      <c r="I70" s="114"/>
      <c r="J70" s="114"/>
      <c r="K70" s="114"/>
      <c r="L70" s="114"/>
      <c r="M70" s="114"/>
      <c r="N70" s="114"/>
      <c r="O70" s="114"/>
      <c r="P70" s="114"/>
      <c r="Q70" s="114"/>
      <c r="R70" s="114"/>
      <c r="S70" s="114"/>
      <c r="T70" s="114"/>
      <c r="U70" s="114"/>
      <c r="V70" s="114"/>
      <c r="W70" s="114"/>
      <c r="X70" s="114"/>
      <c r="Y70" s="114"/>
      <c r="Z70" s="114"/>
    </row>
    <row r="71" ht="19.5" customHeight="1">
      <c r="A71" s="114"/>
      <c r="B71" s="243" t="s">
        <v>3824</v>
      </c>
      <c r="C71" s="110" t="s">
        <v>3825</v>
      </c>
      <c r="D71" s="18"/>
      <c r="E71" s="412"/>
      <c r="F71" s="114"/>
      <c r="G71" s="114"/>
      <c r="H71" s="114"/>
      <c r="I71" s="114"/>
      <c r="J71" s="114"/>
      <c r="K71" s="114"/>
      <c r="L71" s="114"/>
      <c r="M71" s="114"/>
      <c r="N71" s="114"/>
      <c r="O71" s="114"/>
      <c r="P71" s="114"/>
      <c r="Q71" s="114"/>
      <c r="R71" s="114"/>
      <c r="S71" s="114"/>
      <c r="T71" s="114"/>
      <c r="U71" s="114"/>
      <c r="V71" s="114"/>
      <c r="W71" s="114"/>
      <c r="X71" s="114"/>
      <c r="Y71" s="114"/>
      <c r="Z71" s="114"/>
    </row>
    <row r="72" ht="19.5" customHeight="1">
      <c r="A72" s="114"/>
      <c r="B72" s="243" t="s">
        <v>3826</v>
      </c>
      <c r="C72" s="110" t="s">
        <v>3827</v>
      </c>
      <c r="D72" s="18"/>
      <c r="E72" s="412"/>
      <c r="F72" s="114"/>
      <c r="G72" s="114"/>
      <c r="H72" s="114"/>
      <c r="I72" s="114"/>
      <c r="J72" s="114"/>
      <c r="K72" s="114"/>
      <c r="L72" s="114"/>
      <c r="M72" s="114"/>
      <c r="N72" s="114"/>
      <c r="O72" s="114"/>
      <c r="P72" s="114"/>
      <c r="Q72" s="114"/>
      <c r="R72" s="114"/>
      <c r="S72" s="114"/>
      <c r="T72" s="114"/>
      <c r="U72" s="114"/>
      <c r="V72" s="114"/>
      <c r="W72" s="114"/>
      <c r="X72" s="114"/>
      <c r="Y72" s="114"/>
      <c r="Z72" s="114"/>
    </row>
    <row r="73" ht="15.75" customHeight="1">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ht="33.75" customHeight="1">
      <c r="A74" s="114"/>
      <c r="B74" s="197" t="s">
        <v>3828</v>
      </c>
      <c r="C74" s="13"/>
      <c r="D74" s="13"/>
      <c r="E74" s="14"/>
      <c r="F74" s="114"/>
      <c r="G74" s="114"/>
      <c r="H74" s="114"/>
      <c r="I74" s="114"/>
      <c r="J74" s="114"/>
      <c r="K74" s="114"/>
      <c r="L74" s="114"/>
      <c r="M74" s="114"/>
      <c r="N74" s="114"/>
      <c r="O74" s="114"/>
      <c r="P74" s="114"/>
      <c r="Q74" s="114"/>
      <c r="R74" s="114"/>
      <c r="S74" s="114"/>
      <c r="T74" s="114"/>
      <c r="U74" s="114"/>
      <c r="V74" s="114"/>
      <c r="W74" s="114"/>
      <c r="X74" s="114"/>
      <c r="Y74" s="114"/>
      <c r="Z74" s="114"/>
    </row>
    <row r="75" ht="19.5" customHeight="1">
      <c r="A75" s="114"/>
      <c r="B75" s="15" t="s">
        <v>256</v>
      </c>
      <c r="C75" s="15" t="s">
        <v>722</v>
      </c>
      <c r="D75" s="15" t="s">
        <v>274</v>
      </c>
      <c r="E75" s="15" t="s">
        <v>5</v>
      </c>
      <c r="F75" s="114"/>
      <c r="G75" s="114"/>
      <c r="H75" s="114"/>
      <c r="I75" s="114"/>
      <c r="J75" s="114"/>
      <c r="K75" s="114"/>
      <c r="L75" s="114"/>
      <c r="M75" s="114"/>
      <c r="N75" s="114"/>
      <c r="O75" s="114"/>
      <c r="P75" s="114"/>
      <c r="Q75" s="114"/>
      <c r="R75" s="114"/>
      <c r="S75" s="114"/>
      <c r="T75" s="114"/>
      <c r="U75" s="114"/>
      <c r="V75" s="114"/>
      <c r="W75" s="114"/>
      <c r="X75" s="114"/>
      <c r="Y75" s="114"/>
      <c r="Z75" s="114"/>
    </row>
    <row r="76" ht="19.5" customHeight="1">
      <c r="A76" s="114"/>
      <c r="B76" s="365" t="s">
        <v>826</v>
      </c>
      <c r="C76" s="111" t="str">
        <f>IF(mgmt_consolidated_result="Included",CONCATENATE(sample_mgmt_vc_fqdn),CONCATENATE(sample_wld_vc_fqdn))</f>
        <v>lax-w01-vc01.lax.rainpole.io</v>
      </c>
      <c r="D76" s="51" t="str">
        <f>dri_vcenter_fqdn</f>
        <v>Value Missing</v>
      </c>
      <c r="E76" s="366"/>
      <c r="F76" s="114"/>
      <c r="G76" s="114"/>
      <c r="H76" s="114"/>
      <c r="I76" s="114"/>
      <c r="J76" s="114"/>
      <c r="K76" s="114"/>
      <c r="L76" s="114"/>
      <c r="M76" s="114"/>
      <c r="N76" s="114"/>
      <c r="O76" s="114"/>
      <c r="P76" s="114"/>
      <c r="Q76" s="114"/>
      <c r="R76" s="114"/>
      <c r="S76" s="114"/>
      <c r="T76" s="114"/>
      <c r="U76" s="114"/>
      <c r="V76" s="114"/>
      <c r="W76" s="114"/>
      <c r="X76" s="114"/>
      <c r="Y76" s="114"/>
      <c r="Z76" s="114"/>
    </row>
    <row r="77" ht="19.5" customHeight="1">
      <c r="A77" s="114"/>
      <c r="B77" s="243" t="s">
        <v>2244</v>
      </c>
      <c r="C77" s="110" t="s">
        <v>3829</v>
      </c>
      <c r="D77" s="18"/>
      <c r="E77" s="366"/>
      <c r="F77" s="114"/>
      <c r="G77" s="114"/>
      <c r="H77" s="114"/>
      <c r="I77" s="114"/>
      <c r="J77" s="114"/>
      <c r="K77" s="114"/>
      <c r="L77" s="114"/>
      <c r="M77" s="114"/>
      <c r="N77" s="114"/>
      <c r="O77" s="114"/>
      <c r="P77" s="114"/>
      <c r="Q77" s="114"/>
      <c r="R77" s="114"/>
      <c r="S77" s="114"/>
      <c r="T77" s="114"/>
      <c r="U77" s="114"/>
      <c r="V77" s="114"/>
      <c r="W77" s="114"/>
      <c r="X77" s="114"/>
      <c r="Y77" s="114"/>
      <c r="Z77" s="114"/>
    </row>
    <row r="78" ht="19.5" customHeight="1">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ht="33.75" customHeight="1">
      <c r="A79" s="114"/>
      <c r="B79" s="197" t="s">
        <v>3830</v>
      </c>
      <c r="C79" s="13"/>
      <c r="D79" s="13"/>
      <c r="E79" s="14"/>
      <c r="F79" s="114"/>
      <c r="G79" s="114"/>
      <c r="H79" s="114"/>
      <c r="I79" s="114"/>
      <c r="J79" s="114"/>
      <c r="K79" s="114"/>
      <c r="L79" s="114"/>
      <c r="M79" s="114"/>
      <c r="N79" s="114"/>
      <c r="O79" s="114"/>
      <c r="P79" s="114"/>
      <c r="Q79" s="114"/>
      <c r="R79" s="114"/>
      <c r="S79" s="114"/>
      <c r="T79" s="114"/>
      <c r="U79" s="114"/>
      <c r="V79" s="114"/>
      <c r="W79" s="114"/>
      <c r="X79" s="114"/>
      <c r="Y79" s="114"/>
      <c r="Z79" s="114"/>
    </row>
    <row r="80" ht="19.5" customHeight="1">
      <c r="A80" s="114"/>
      <c r="B80" s="15" t="s">
        <v>256</v>
      </c>
      <c r="C80" s="15" t="s">
        <v>722</v>
      </c>
      <c r="D80" s="15" t="s">
        <v>274</v>
      </c>
      <c r="E80" s="15" t="s">
        <v>5</v>
      </c>
      <c r="F80" s="114"/>
      <c r="G80" s="114"/>
      <c r="H80" s="114"/>
      <c r="I80" s="114"/>
      <c r="J80" s="114"/>
      <c r="K80" s="114"/>
      <c r="L80" s="114"/>
      <c r="M80" s="114"/>
      <c r="N80" s="114"/>
      <c r="O80" s="114"/>
      <c r="P80" s="114"/>
      <c r="Q80" s="114"/>
      <c r="R80" s="114"/>
      <c r="S80" s="114"/>
      <c r="T80" s="114"/>
      <c r="U80" s="114"/>
      <c r="V80" s="114"/>
      <c r="W80" s="114"/>
      <c r="X80" s="114"/>
      <c r="Y80" s="114"/>
      <c r="Z80" s="114"/>
    </row>
    <row r="81" ht="19.5" customHeight="1">
      <c r="A81" s="114"/>
      <c r="B81" s="365" t="s">
        <v>826</v>
      </c>
      <c r="C81" s="111" t="str">
        <f>IF(mgmt_consolidated_result="Included",CONCATENATE(sample_mgmt_vc_fqdn),CONCATENATE(sample_wld_vc_fqdn))</f>
        <v>lax-w01-vc01.lax.rainpole.io</v>
      </c>
      <c r="D81" s="51" t="str">
        <f>dri_vcenter_fqdn</f>
        <v>Value Missing</v>
      </c>
      <c r="E81" s="366"/>
      <c r="F81" s="114"/>
      <c r="G81" s="114"/>
      <c r="H81" s="114"/>
      <c r="I81" s="114"/>
      <c r="J81" s="114"/>
      <c r="K81" s="114"/>
      <c r="L81" s="114"/>
      <c r="M81" s="114"/>
      <c r="N81" s="114"/>
      <c r="O81" s="114"/>
      <c r="P81" s="114"/>
      <c r="Q81" s="114"/>
      <c r="R81" s="114"/>
      <c r="S81" s="114"/>
      <c r="T81" s="114"/>
      <c r="U81" s="114"/>
      <c r="V81" s="114"/>
      <c r="W81" s="114"/>
      <c r="X81" s="114"/>
      <c r="Y81" s="114"/>
      <c r="Z81" s="114"/>
    </row>
    <row r="82" ht="19.5" customHeight="1">
      <c r="A82" s="114"/>
      <c r="B82" s="243" t="s">
        <v>3831</v>
      </c>
      <c r="C82" s="110" t="s">
        <v>3832</v>
      </c>
      <c r="D82" s="18"/>
      <c r="E82" s="366"/>
      <c r="F82" s="114"/>
      <c r="G82" s="114"/>
      <c r="H82" s="114"/>
      <c r="I82" s="114"/>
      <c r="J82" s="114"/>
      <c r="K82" s="114"/>
      <c r="L82" s="114"/>
      <c r="M82" s="114"/>
      <c r="N82" s="114"/>
      <c r="O82" s="114"/>
      <c r="P82" s="114"/>
      <c r="Q82" s="114"/>
      <c r="R82" s="114"/>
      <c r="S82" s="114"/>
      <c r="T82" s="114"/>
      <c r="U82" s="114"/>
      <c r="V82" s="114"/>
      <c r="W82" s="114"/>
      <c r="X82" s="114"/>
      <c r="Y82" s="114"/>
      <c r="Z82" s="114"/>
    </row>
    <row r="83" ht="15.75"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ht="33.75" customHeight="1">
      <c r="A84" s="114"/>
      <c r="B84" s="197" t="s">
        <v>3833</v>
      </c>
      <c r="C84" s="13"/>
      <c r="D84" s="13"/>
      <c r="E84" s="14"/>
      <c r="F84" s="114"/>
      <c r="G84" s="114"/>
      <c r="H84" s="114"/>
      <c r="I84" s="114"/>
      <c r="J84" s="114"/>
      <c r="K84" s="114"/>
      <c r="L84" s="114"/>
      <c r="M84" s="114"/>
      <c r="N84" s="114"/>
      <c r="O84" s="114"/>
      <c r="P84" s="114"/>
      <c r="Q84" s="114"/>
      <c r="R84" s="114"/>
      <c r="S84" s="114"/>
      <c r="T84" s="114"/>
      <c r="U84" s="114"/>
      <c r="V84" s="114"/>
      <c r="W84" s="114"/>
      <c r="X84" s="114"/>
      <c r="Y84" s="114"/>
      <c r="Z84" s="114"/>
    </row>
    <row r="85" ht="19.5" customHeight="1">
      <c r="A85" s="114"/>
      <c r="B85" s="15" t="s">
        <v>256</v>
      </c>
      <c r="C85" s="15" t="s">
        <v>722</v>
      </c>
      <c r="D85" s="15" t="s">
        <v>274</v>
      </c>
      <c r="E85" s="15" t="s">
        <v>5</v>
      </c>
      <c r="F85" s="114"/>
      <c r="G85" s="114"/>
      <c r="H85" s="114"/>
      <c r="I85" s="114"/>
      <c r="J85" s="114"/>
      <c r="K85" s="114"/>
      <c r="L85" s="114"/>
      <c r="M85" s="114"/>
      <c r="N85" s="114"/>
      <c r="O85" s="114"/>
      <c r="P85" s="114"/>
      <c r="Q85" s="114"/>
      <c r="R85" s="114"/>
      <c r="S85" s="114"/>
      <c r="T85" s="114"/>
      <c r="U85" s="114"/>
      <c r="V85" s="114"/>
      <c r="W85" s="114"/>
      <c r="X85" s="114"/>
      <c r="Y85" s="114"/>
      <c r="Z85" s="114"/>
    </row>
    <row r="86" ht="19.5" customHeight="1">
      <c r="A86" s="114"/>
      <c r="B86" s="365" t="s">
        <v>3834</v>
      </c>
      <c r="C86" s="110" t="str">
        <f>CONCATENATE(sample_xreg_vrslcm_hostname,".",sample_parent_dns_zone)</f>
        <v>#NAME?</v>
      </c>
      <c r="D86" s="51" t="str">
        <f>xreg_vrslcm_fqdn</f>
        <v>Value Missing</v>
      </c>
      <c r="E86" s="366"/>
      <c r="F86" s="114"/>
      <c r="G86" s="114"/>
      <c r="H86" s="114"/>
      <c r="I86" s="114"/>
      <c r="J86" s="114"/>
      <c r="K86" s="114"/>
      <c r="L86" s="114"/>
      <c r="M86" s="114"/>
      <c r="N86" s="114"/>
      <c r="O86" s="114"/>
      <c r="P86" s="114"/>
      <c r="Q86" s="114"/>
      <c r="R86" s="114"/>
      <c r="S86" s="114"/>
      <c r="T86" s="114"/>
      <c r="U86" s="114"/>
      <c r="V86" s="114"/>
      <c r="W86" s="114"/>
      <c r="X86" s="114"/>
      <c r="Y86" s="114"/>
      <c r="Z86" s="114"/>
    </row>
    <row r="87" ht="15.75" customHeight="1">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ht="33.75" customHeight="1">
      <c r="A88" s="114"/>
      <c r="B88" s="197" t="s">
        <v>3835</v>
      </c>
      <c r="C88" s="13"/>
      <c r="D88" s="13"/>
      <c r="E88" s="14"/>
      <c r="F88" s="114"/>
      <c r="G88" s="114"/>
      <c r="H88" s="114"/>
      <c r="I88" s="114"/>
      <c r="J88" s="114"/>
      <c r="K88" s="114"/>
      <c r="L88" s="114"/>
      <c r="M88" s="114"/>
      <c r="N88" s="114"/>
      <c r="O88" s="114"/>
      <c r="P88" s="114"/>
      <c r="Q88" s="114"/>
      <c r="R88" s="114"/>
      <c r="S88" s="114"/>
      <c r="T88" s="114"/>
      <c r="U88" s="114"/>
      <c r="V88" s="114"/>
      <c r="W88" s="114"/>
      <c r="X88" s="114"/>
      <c r="Y88" s="114"/>
      <c r="Z88" s="114"/>
    </row>
    <row r="89" ht="19.5" customHeight="1">
      <c r="A89" s="114"/>
      <c r="B89" s="15" t="s">
        <v>256</v>
      </c>
      <c r="C89" s="15" t="s">
        <v>722</v>
      </c>
      <c r="D89" s="15" t="s">
        <v>274</v>
      </c>
      <c r="E89" s="15" t="s">
        <v>5</v>
      </c>
      <c r="F89" s="114"/>
      <c r="G89" s="114"/>
      <c r="H89" s="114"/>
      <c r="I89" s="114"/>
      <c r="J89" s="114"/>
      <c r="K89" s="114"/>
      <c r="L89" s="114"/>
      <c r="M89" s="114"/>
      <c r="N89" s="114"/>
      <c r="O89" s="114"/>
      <c r="P89" s="114"/>
      <c r="Q89" s="114"/>
      <c r="R89" s="114"/>
      <c r="S89" s="114"/>
      <c r="T89" s="114"/>
      <c r="U89" s="114"/>
      <c r="V89" s="114"/>
      <c r="W89" s="114"/>
      <c r="X89" s="114"/>
      <c r="Y89" s="114"/>
      <c r="Z89" s="114"/>
    </row>
    <row r="90" ht="19.5" customHeight="1">
      <c r="A90" s="114"/>
      <c r="B90" s="365" t="s">
        <v>826</v>
      </c>
      <c r="C90" s="111" t="str">
        <f>IF(mgmt_consolidated_result="Included",CONCATENATE(sample_mgmt_vc_fqdn),CONCATENATE(sample_wld_vc_fqdn))</f>
        <v>lax-w01-vc01.lax.rainpole.io</v>
      </c>
      <c r="D90" s="51" t="str">
        <f>dri_vcenter_fqdn</f>
        <v>Value Missing</v>
      </c>
      <c r="E90" s="366"/>
      <c r="F90" s="114"/>
      <c r="G90" s="114"/>
      <c r="H90" s="114"/>
      <c r="I90" s="114"/>
      <c r="J90" s="114"/>
      <c r="K90" s="114"/>
      <c r="L90" s="114"/>
      <c r="M90" s="114"/>
      <c r="N90" s="114"/>
      <c r="O90" s="114"/>
      <c r="P90" s="114"/>
      <c r="Q90" s="114"/>
      <c r="R90" s="114"/>
      <c r="S90" s="114"/>
      <c r="T90" s="114"/>
      <c r="U90" s="114"/>
      <c r="V90" s="114"/>
      <c r="W90" s="114"/>
      <c r="X90" s="114"/>
      <c r="Y90" s="114"/>
      <c r="Z90" s="114"/>
    </row>
    <row r="91" ht="15.75" customHeight="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ht="33.75" customHeight="1">
      <c r="A92" s="114"/>
      <c r="B92" s="197" t="s">
        <v>3836</v>
      </c>
      <c r="C92" s="13"/>
      <c r="D92" s="13"/>
      <c r="E92" s="14"/>
      <c r="F92" s="114"/>
      <c r="G92" s="114"/>
      <c r="H92" s="114"/>
      <c r="I92" s="114"/>
      <c r="J92" s="114"/>
      <c r="K92" s="114"/>
      <c r="L92" s="114"/>
      <c r="M92" s="114"/>
      <c r="N92" s="114"/>
      <c r="O92" s="114"/>
      <c r="P92" s="114"/>
      <c r="Q92" s="114"/>
      <c r="R92" s="114"/>
      <c r="S92" s="114"/>
      <c r="T92" s="114"/>
      <c r="U92" s="114"/>
      <c r="V92" s="114"/>
      <c r="W92" s="114"/>
      <c r="X92" s="114"/>
      <c r="Y92" s="114"/>
      <c r="Z92" s="114"/>
    </row>
    <row r="93" ht="19.5" customHeight="1">
      <c r="A93" s="114"/>
      <c r="B93" s="15" t="s">
        <v>256</v>
      </c>
      <c r="C93" s="15" t="s">
        <v>722</v>
      </c>
      <c r="D93" s="15" t="s">
        <v>274</v>
      </c>
      <c r="E93" s="15" t="s">
        <v>5</v>
      </c>
      <c r="F93" s="114"/>
      <c r="G93" s="114"/>
      <c r="H93" s="114"/>
      <c r="I93" s="114"/>
      <c r="J93" s="114"/>
      <c r="K93" s="114"/>
      <c r="L93" s="114"/>
      <c r="M93" s="114"/>
      <c r="N93" s="114"/>
      <c r="O93" s="114"/>
      <c r="P93" s="114"/>
      <c r="Q93" s="114"/>
      <c r="R93" s="114"/>
      <c r="S93" s="114"/>
      <c r="T93" s="114"/>
      <c r="U93" s="114"/>
      <c r="V93" s="114"/>
      <c r="W93" s="114"/>
      <c r="X93" s="114"/>
      <c r="Y93" s="114"/>
      <c r="Z93" s="114"/>
    </row>
    <row r="94" ht="33.75" customHeight="1">
      <c r="A94" s="114"/>
      <c r="B94" s="365" t="s">
        <v>826</v>
      </c>
      <c r="C94" s="111" t="str">
        <f>IF(mgmt_consolidated_result="Included",CONCATENATE(sample_mgmt_vc_fqdn),CONCATENATE(sample_wld_vc_fqdn))</f>
        <v>lax-w01-vc01.lax.rainpole.io</v>
      </c>
      <c r="D94" s="51" t="str">
        <f>dri_vcenter_fqdn</f>
        <v>Value Missing</v>
      </c>
      <c r="E94" s="366"/>
      <c r="F94" s="114"/>
      <c r="G94" s="114"/>
      <c r="H94" s="114"/>
      <c r="I94" s="114"/>
      <c r="J94" s="114"/>
      <c r="K94" s="114"/>
      <c r="L94" s="114"/>
      <c r="M94" s="114"/>
      <c r="N94" s="114"/>
      <c r="O94" s="114"/>
      <c r="P94" s="114"/>
      <c r="Q94" s="114"/>
      <c r="R94" s="114"/>
      <c r="S94" s="114"/>
      <c r="T94" s="114"/>
      <c r="U94" s="114"/>
      <c r="V94" s="114"/>
      <c r="W94" s="114"/>
      <c r="X94" s="114"/>
      <c r="Y94" s="114"/>
      <c r="Z94" s="114"/>
    </row>
    <row r="95" ht="19.5" customHeight="1">
      <c r="A95" s="114"/>
      <c r="B95" s="243" t="s">
        <v>3837</v>
      </c>
      <c r="C95" s="203" t="s">
        <v>3796</v>
      </c>
      <c r="D95" s="18"/>
      <c r="E95" s="366"/>
      <c r="F95" s="114"/>
      <c r="G95" s="114"/>
      <c r="H95" s="114"/>
      <c r="I95" s="114"/>
      <c r="J95" s="114"/>
      <c r="K95" s="114"/>
      <c r="L95" s="114"/>
      <c r="M95" s="114"/>
      <c r="N95" s="114"/>
      <c r="O95" s="114"/>
      <c r="P95" s="114"/>
      <c r="Q95" s="114"/>
      <c r="R95" s="114"/>
      <c r="S95" s="114"/>
      <c r="T95" s="114"/>
      <c r="U95" s="114"/>
      <c r="V95" s="114"/>
      <c r="W95" s="114"/>
      <c r="X95" s="114"/>
      <c r="Y95" s="114"/>
      <c r="Z95" s="114"/>
    </row>
    <row r="96" ht="19.5" customHeight="1">
      <c r="A96" s="114"/>
      <c r="B96" s="243" t="s">
        <v>3838</v>
      </c>
      <c r="C96" s="110" t="str">
        <f>IF(mgmt_consolidated_result="Included",sample_mgmt_cl01_vsan_datastore,sample_wld_cl01_vsan_datastore)</f>
        <v>lax-w01-lax-w01-cl01-vsan01</v>
      </c>
      <c r="D96" s="51" t="str">
        <f>dri_vcenter_vsan_datastore</f>
        <v>Value Missing</v>
      </c>
      <c r="E96" s="366"/>
      <c r="F96" s="114"/>
      <c r="G96" s="114"/>
      <c r="H96" s="114"/>
      <c r="I96" s="114"/>
      <c r="J96" s="114"/>
      <c r="K96" s="114"/>
      <c r="L96" s="114"/>
      <c r="M96" s="114"/>
      <c r="N96" s="114"/>
      <c r="O96" s="114"/>
      <c r="P96" s="114"/>
      <c r="Q96" s="114"/>
      <c r="R96" s="114"/>
      <c r="S96" s="114"/>
      <c r="T96" s="114"/>
      <c r="U96" s="114"/>
      <c r="V96" s="114"/>
      <c r="W96" s="114"/>
      <c r="X96" s="114"/>
      <c r="Y96" s="114"/>
      <c r="Z96" s="114"/>
    </row>
    <row r="97" ht="15.75"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ht="33.75" customHeight="1">
      <c r="A98" s="114"/>
      <c r="B98" s="197" t="s">
        <v>3839</v>
      </c>
      <c r="C98" s="13"/>
      <c r="D98" s="13"/>
      <c r="E98" s="14"/>
      <c r="F98" s="114"/>
      <c r="G98" s="114"/>
      <c r="H98" s="114"/>
      <c r="I98" s="114"/>
      <c r="J98" s="114"/>
      <c r="K98" s="114"/>
      <c r="L98" s="114"/>
      <c r="M98" s="114"/>
      <c r="N98" s="114"/>
      <c r="O98" s="114"/>
      <c r="P98" s="114"/>
      <c r="Q98" s="114"/>
      <c r="R98" s="114"/>
      <c r="S98" s="114"/>
      <c r="T98" s="114"/>
      <c r="U98" s="114"/>
      <c r="V98" s="114"/>
      <c r="W98" s="114"/>
      <c r="X98" s="114"/>
      <c r="Y98" s="114"/>
      <c r="Z98" s="114"/>
    </row>
    <row r="99" ht="19.5" customHeight="1">
      <c r="A99" s="114"/>
      <c r="B99" s="15" t="s">
        <v>256</v>
      </c>
      <c r="C99" s="15" t="s">
        <v>722</v>
      </c>
      <c r="D99" s="15" t="s">
        <v>274</v>
      </c>
      <c r="E99" s="15" t="s">
        <v>5</v>
      </c>
      <c r="F99" s="114"/>
      <c r="G99" s="114"/>
      <c r="H99" s="114"/>
      <c r="I99" s="114"/>
      <c r="J99" s="114"/>
      <c r="K99" s="114"/>
      <c r="L99" s="114"/>
      <c r="M99" s="114"/>
      <c r="N99" s="114"/>
      <c r="O99" s="114"/>
      <c r="P99" s="114"/>
      <c r="Q99" s="114"/>
      <c r="R99" s="114"/>
      <c r="S99" s="114"/>
      <c r="T99" s="114"/>
      <c r="U99" s="114"/>
      <c r="V99" s="114"/>
      <c r="W99" s="114"/>
      <c r="X99" s="114"/>
      <c r="Y99" s="114"/>
      <c r="Z99" s="114"/>
    </row>
    <row r="100" ht="19.5" customHeight="1">
      <c r="A100" s="114"/>
      <c r="B100" s="365" t="s">
        <v>3834</v>
      </c>
      <c r="C100" s="110" t="str">
        <f>CONCATENATE(sample_xreg_vrslcm_hostname,".",sample_parent_dns_zone)</f>
        <v>#NAME?</v>
      </c>
      <c r="D100" s="51" t="str">
        <f>xreg_vrslcm_fqdn</f>
        <v>Value Missing</v>
      </c>
      <c r="E100" s="366"/>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ht="15.7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ht="33.75" customHeight="1">
      <c r="A102" s="114"/>
      <c r="B102" s="197" t="s">
        <v>3840</v>
      </c>
      <c r="C102" s="13"/>
      <c r="D102" s="13"/>
      <c r="E102" s="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ht="19.5" customHeight="1">
      <c r="A103" s="114"/>
      <c r="B103" s="15" t="s">
        <v>256</v>
      </c>
      <c r="C103" s="15" t="s">
        <v>722</v>
      </c>
      <c r="D103" s="15" t="s">
        <v>274</v>
      </c>
      <c r="E103" s="15" t="s">
        <v>5</v>
      </c>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9.5" customHeight="1">
      <c r="A104" s="114"/>
      <c r="B104" s="365" t="s">
        <v>3834</v>
      </c>
      <c r="C104" s="110" t="str">
        <f>CONCATENATE(sample_xreg_vrslcm_hostname,".",sample_parent_dns_zone)</f>
        <v>#NAME?</v>
      </c>
      <c r="D104" s="51" t="str">
        <f>xreg_vrslcm_fqdn</f>
        <v>Value Missing</v>
      </c>
      <c r="E104" s="366"/>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5.7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33.75" customHeight="1">
      <c r="A106" s="114"/>
      <c r="B106" s="197" t="s">
        <v>3841</v>
      </c>
      <c r="C106" s="13"/>
      <c r="D106" s="13"/>
      <c r="E106" s="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9.5" customHeight="1">
      <c r="A107" s="114"/>
      <c r="B107" s="15" t="s">
        <v>256</v>
      </c>
      <c r="C107" s="15" t="s">
        <v>722</v>
      </c>
      <c r="D107" s="15" t="s">
        <v>274</v>
      </c>
      <c r="E107" s="15" t="s">
        <v>5</v>
      </c>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9.5" customHeight="1">
      <c r="A108" s="114"/>
      <c r="B108" s="365" t="s">
        <v>3834</v>
      </c>
      <c r="C108" s="110" t="str">
        <f>CONCATENATE(sample_xreg_vrslcm_hostname,".",sample_parent_dns_zone)</f>
        <v>#NAME?</v>
      </c>
      <c r="D108" s="51" t="str">
        <f>xreg_vrslcm_fqdn</f>
        <v>Value Missing</v>
      </c>
      <c r="E108" s="366"/>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5.7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33.75" customHeight="1">
      <c r="A110" s="114"/>
      <c r="B110" s="197" t="s">
        <v>3842</v>
      </c>
      <c r="C110" s="13"/>
      <c r="D110" s="13"/>
      <c r="E110" s="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9.5" customHeight="1">
      <c r="A111" s="114"/>
      <c r="B111" s="15" t="s">
        <v>256</v>
      </c>
      <c r="C111" s="15" t="s">
        <v>722</v>
      </c>
      <c r="D111" s="15" t="s">
        <v>274</v>
      </c>
      <c r="E111" s="15" t="s">
        <v>5</v>
      </c>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9.5" customHeight="1">
      <c r="A112" s="114"/>
      <c r="B112" s="365" t="s">
        <v>3834</v>
      </c>
      <c r="C112" s="110" t="str">
        <f>CONCATENATE(sample_xreg_vrslcm_hostname,".",sample_parent_dns_zone)</f>
        <v>#NAME?</v>
      </c>
      <c r="D112" s="51" t="str">
        <f>xreg_vrslcm_fqdn</f>
        <v>Value Missing</v>
      </c>
      <c r="E112" s="366"/>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5.7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5.7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5.7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5.7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5.7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5.7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5.7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ht="15.7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ht="15.7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ht="15.7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5.7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5.7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5.7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5.7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5.7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5.7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5.7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5.7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15.7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5.7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5.7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5.7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5.7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15.7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5.7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15.7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5.7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5.7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5.7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15.7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5.7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5.7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5.7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15.7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5.7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5.7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5.7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5.7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15.7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15.7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5.7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5.7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5.7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5.7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5.7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5.7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5.7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5.7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5.7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5.7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5.7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5.7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5.7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5.7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5.7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5.7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5.7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5.7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5.7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5.7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5.7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5.7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20">
    <mergeCell ref="B2:E2"/>
    <mergeCell ref="B3:E3"/>
    <mergeCell ref="B7:E7"/>
    <mergeCell ref="B13:E13"/>
    <mergeCell ref="B17:E17"/>
    <mergeCell ref="B33:E33"/>
    <mergeCell ref="B37:E37"/>
    <mergeCell ref="B88:E88"/>
    <mergeCell ref="B92:E92"/>
    <mergeCell ref="B98:E98"/>
    <mergeCell ref="B102:E102"/>
    <mergeCell ref="B106:E106"/>
    <mergeCell ref="B110:E110"/>
    <mergeCell ref="B42:E42"/>
    <mergeCell ref="B49:E49"/>
    <mergeCell ref="B56:E56"/>
    <mergeCell ref="B63:E63"/>
    <mergeCell ref="B74:E74"/>
    <mergeCell ref="B79:E79"/>
    <mergeCell ref="B84:E84"/>
  </mergeCells>
  <conditionalFormatting sqref="D35 D39:D40 D44:D47 D51:D54 D58:D61 D65:D72 D76:D77 D81:D82 D86 D90 D94:D96 D100 D104 D108 D112">
    <cfRule type="expression" dxfId="3" priority="1">
      <formula>air_result="Excluded"</formula>
    </cfRule>
  </conditionalFormatting>
  <conditionalFormatting sqref="D35 D39:D40 D44:D47 D51:D54 D58:D61 D65:D72 D76:D77 D81:D82 D86 D90 D94:D96 D100 D104 D108 D112">
    <cfRule type="containsBlanks" dxfId="10" priority="2">
      <formula>LEN(TRIM(D35))=0</formula>
    </cfRule>
  </conditionalFormatting>
  <conditionalFormatting sqref="D35 D39:D40 D44:D47 D51:D54 D58:D61 D65:D72 D76:D77 D81:D82 D86 D90 D94:D96 D100 D104 D108 D112">
    <cfRule type="notContainsBlanks" dxfId="5" priority="3">
      <formula>LEN(TRIM(D35))&gt;0</formula>
    </cfRule>
  </conditionalFormatting>
  <dataValidations>
    <dataValidation type="list" allowBlank="1" showErrorMessage="1" sqref="D27">
      <formula1>"guaranteed-small,guaranteed-medium,guaranteed-large"</formula1>
    </dataValidation>
    <dataValidation type="list" allowBlank="1" showErrorMessage="1" sqref="C8:D8 C18:D18">
      <formula1>"Standard,Consolidated"</formula1>
    </dataValidation>
  </dataValidations>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2.78"/>
    <col customWidth="1" min="2" max="2" width="63.78"/>
    <col customWidth="1" min="3" max="3" width="78.78"/>
    <col customWidth="1" min="4" max="4" width="84.78"/>
    <col customWidth="1" min="5" max="5" width="60.78"/>
    <col customWidth="1" min="6" max="26" width="11.0"/>
  </cols>
  <sheetData>
    <row r="1" ht="15.75" customHeight="1">
      <c r="A1" s="413"/>
      <c r="B1" s="413"/>
      <c r="C1" s="413"/>
      <c r="D1" s="413"/>
      <c r="E1" s="413"/>
      <c r="F1" s="413"/>
      <c r="G1" s="114"/>
      <c r="H1" s="114"/>
      <c r="I1" s="114"/>
      <c r="J1" s="114"/>
      <c r="K1" s="114"/>
      <c r="L1" s="114"/>
      <c r="M1" s="114"/>
      <c r="N1" s="114"/>
      <c r="O1" s="114"/>
      <c r="P1" s="114"/>
      <c r="Q1" s="114"/>
      <c r="R1" s="114"/>
      <c r="S1" s="114"/>
      <c r="T1" s="114"/>
      <c r="U1" s="114"/>
      <c r="V1" s="114"/>
      <c r="W1" s="114"/>
      <c r="X1" s="114"/>
      <c r="Y1" s="114"/>
      <c r="Z1" s="114"/>
    </row>
    <row r="2" ht="54.0" customHeight="1">
      <c r="A2" s="413"/>
      <c r="B2" s="414" t="s">
        <v>3843</v>
      </c>
      <c r="C2" s="13"/>
      <c r="D2" s="13"/>
      <c r="E2" s="38"/>
      <c r="F2" s="413"/>
      <c r="G2" s="114"/>
      <c r="H2" s="114"/>
      <c r="I2" s="114"/>
      <c r="J2" s="114"/>
      <c r="K2" s="114"/>
      <c r="L2" s="114"/>
      <c r="M2" s="114"/>
      <c r="N2" s="114"/>
      <c r="O2" s="114"/>
      <c r="P2" s="114"/>
      <c r="Q2" s="114"/>
      <c r="R2" s="114"/>
      <c r="S2" s="114"/>
      <c r="T2" s="41"/>
      <c r="U2" s="41"/>
      <c r="V2" s="41"/>
      <c r="W2" s="41"/>
      <c r="X2" s="41"/>
      <c r="Y2" s="41"/>
      <c r="Z2" s="41"/>
    </row>
    <row r="3" ht="15.75" customHeight="1">
      <c r="A3" s="413"/>
      <c r="B3" s="415" t="s">
        <v>3844</v>
      </c>
      <c r="C3" s="13"/>
      <c r="D3" s="13"/>
      <c r="E3" s="38"/>
      <c r="F3" s="413"/>
      <c r="G3" s="114"/>
      <c r="H3" s="114"/>
      <c r="I3" s="114"/>
      <c r="J3" s="114"/>
      <c r="K3" s="114"/>
      <c r="L3" s="114"/>
      <c r="M3" s="114"/>
      <c r="N3" s="114"/>
      <c r="O3" s="114"/>
      <c r="P3" s="114"/>
      <c r="Q3" s="114"/>
      <c r="R3" s="114"/>
      <c r="S3" s="114"/>
      <c r="T3" s="41"/>
      <c r="U3" s="41"/>
      <c r="V3" s="41"/>
      <c r="W3" s="41"/>
      <c r="X3" s="41"/>
      <c r="Y3" s="41"/>
      <c r="Z3" s="41"/>
    </row>
    <row r="4" ht="15.75" customHeight="1">
      <c r="A4" s="416"/>
      <c r="B4" s="416"/>
      <c r="C4" s="416"/>
      <c r="D4" s="416"/>
      <c r="E4" s="416"/>
      <c r="F4" s="416"/>
      <c r="G4" s="114"/>
      <c r="H4" s="114"/>
      <c r="I4" s="114"/>
      <c r="J4" s="114"/>
      <c r="K4" s="114"/>
      <c r="L4" s="114"/>
      <c r="M4" s="114"/>
      <c r="N4" s="114"/>
      <c r="O4" s="114"/>
      <c r="P4" s="114"/>
      <c r="Q4" s="114"/>
      <c r="R4" s="114"/>
      <c r="S4" s="114"/>
      <c r="T4" s="41"/>
      <c r="U4" s="41"/>
      <c r="V4" s="41"/>
      <c r="W4" s="41"/>
      <c r="X4" s="41"/>
      <c r="Y4" s="41"/>
      <c r="Z4" s="41"/>
    </row>
    <row r="5" ht="33.75" customHeight="1">
      <c r="A5" s="416"/>
      <c r="B5" s="417" t="s">
        <v>3845</v>
      </c>
      <c r="C5" s="417" t="s">
        <v>1027</v>
      </c>
      <c r="D5" s="418" t="s">
        <v>3405</v>
      </c>
      <c r="E5" s="419"/>
      <c r="F5" s="420"/>
      <c r="G5" s="114"/>
      <c r="H5" s="114"/>
      <c r="I5" s="114"/>
      <c r="J5" s="114"/>
      <c r="K5" s="114"/>
      <c r="L5" s="114"/>
      <c r="M5" s="114"/>
      <c r="N5" s="114"/>
      <c r="O5" s="114"/>
      <c r="P5" s="114"/>
      <c r="Q5" s="114"/>
      <c r="R5" s="114"/>
      <c r="S5" s="114"/>
      <c r="T5" s="41"/>
      <c r="U5" s="41"/>
      <c r="V5" s="41"/>
      <c r="W5" s="41"/>
      <c r="X5" s="41"/>
      <c r="Y5" s="41"/>
      <c r="Z5" s="41"/>
    </row>
    <row r="6" ht="19.5" customHeight="1">
      <c r="A6" s="413"/>
      <c r="B6" s="413"/>
      <c r="C6" s="413"/>
      <c r="D6" s="421"/>
      <c r="E6" s="422"/>
      <c r="F6" s="422"/>
      <c r="G6" s="114"/>
      <c r="H6" s="114"/>
      <c r="I6" s="114"/>
      <c r="J6" s="114"/>
      <c r="K6" s="114"/>
      <c r="L6" s="114"/>
      <c r="M6" s="114"/>
      <c r="N6" s="114"/>
      <c r="O6" s="114"/>
      <c r="P6" s="114"/>
      <c r="Q6" s="114"/>
      <c r="R6" s="114"/>
      <c r="S6" s="114"/>
      <c r="T6" s="41"/>
      <c r="U6" s="41"/>
      <c r="V6" s="41"/>
      <c r="W6" s="41"/>
      <c r="X6" s="41"/>
      <c r="Y6" s="41"/>
      <c r="Z6" s="41"/>
    </row>
    <row r="7" ht="33.75" customHeight="1">
      <c r="A7" s="41"/>
      <c r="B7" s="12" t="s">
        <v>3846</v>
      </c>
      <c r="C7" s="13"/>
      <c r="D7" s="13"/>
      <c r="E7" s="13"/>
      <c r="F7" s="13"/>
      <c r="G7" s="13"/>
      <c r="H7" s="13"/>
      <c r="I7" s="13"/>
      <c r="J7" s="14"/>
      <c r="K7" s="41"/>
      <c r="L7" s="41"/>
      <c r="M7" s="41"/>
      <c r="N7" s="41"/>
      <c r="O7" s="41"/>
      <c r="P7" s="41"/>
      <c r="Q7" s="41"/>
      <c r="R7" s="41"/>
      <c r="S7" s="41"/>
      <c r="T7" s="41"/>
      <c r="U7" s="41"/>
      <c r="V7" s="41"/>
      <c r="W7" s="41"/>
      <c r="X7" s="41"/>
      <c r="Y7" s="41"/>
      <c r="Z7" s="41"/>
    </row>
    <row r="8" ht="19.5" customHeight="1">
      <c r="A8" s="41"/>
      <c r="B8" s="49" t="s">
        <v>3127</v>
      </c>
      <c r="C8" s="49" t="s">
        <v>200</v>
      </c>
      <c r="D8" s="49" t="s">
        <v>3128</v>
      </c>
      <c r="E8" s="49" t="s">
        <v>3129</v>
      </c>
      <c r="F8" s="49" t="s">
        <v>475</v>
      </c>
      <c r="G8" s="49" t="s">
        <v>476</v>
      </c>
      <c r="H8" s="43" t="s">
        <v>5</v>
      </c>
      <c r="I8" s="13"/>
      <c r="J8" s="14"/>
      <c r="K8" s="41"/>
      <c r="L8" s="41"/>
      <c r="M8" s="41"/>
      <c r="N8" s="41"/>
      <c r="O8" s="41"/>
      <c r="P8" s="41"/>
      <c r="Q8" s="41"/>
      <c r="R8" s="41"/>
      <c r="S8" s="41"/>
      <c r="T8" s="41"/>
      <c r="U8" s="41"/>
      <c r="V8" s="41"/>
      <c r="W8" s="41"/>
      <c r="X8" s="41"/>
      <c r="Y8" s="41"/>
      <c r="Z8" s="41"/>
    </row>
    <row r="9" ht="19.5" customHeight="1">
      <c r="A9" s="41"/>
      <c r="B9" s="84" t="s">
        <v>3847</v>
      </c>
      <c r="C9" s="196" t="s">
        <v>2326</v>
      </c>
      <c r="D9" s="156" t="str">
        <f>CONCATENATE(this_instance,"-cbr-cdp01a")</f>
        <v>lax-cbr-cdp01a</v>
      </c>
      <c r="E9" s="18"/>
      <c r="F9" s="156" t="str">
        <f>IF(mgmt_dpg_reuse_result="Included",CONCATENATE(prefix_mgmt_az1_cidr,"10.44"),CONCATENATE(prefix_mgmt_az1_cidr,"11.44"))</f>
        <v>10.21.10.44</v>
      </c>
      <c r="G9" s="18"/>
      <c r="H9" s="409"/>
      <c r="I9" s="13"/>
      <c r="J9" s="14"/>
      <c r="K9" s="41"/>
      <c r="L9" s="41"/>
      <c r="M9" s="41"/>
      <c r="N9" s="41"/>
      <c r="O9" s="41"/>
      <c r="P9" s="41"/>
      <c r="Q9" s="41"/>
      <c r="R9" s="41"/>
      <c r="S9" s="41"/>
      <c r="T9" s="41"/>
      <c r="U9" s="41"/>
      <c r="V9" s="41"/>
      <c r="W9" s="41"/>
      <c r="X9" s="41"/>
      <c r="Y9" s="41"/>
      <c r="Z9" s="41"/>
    </row>
    <row r="10" ht="19.5" customHeight="1">
      <c r="A10" s="41"/>
      <c r="B10" s="84"/>
      <c r="C10" s="196" t="s">
        <v>3848</v>
      </c>
      <c r="D10" s="156" t="str">
        <f>CONCATENATE(this_instance,"-cbr-cdp01b")</f>
        <v>lax-cbr-cdp01b</v>
      </c>
      <c r="E10" s="18"/>
      <c r="F10" s="156" t="str">
        <f>IF(mgmt_dpg_reuse_result="Included",CONCATENATE(prefix_mgmt_az1_cidr,"10.45"),CONCATENATE(prefix_mgmt_az1_cidr,"11.45"))</f>
        <v>10.21.10.45</v>
      </c>
      <c r="G10" s="18"/>
      <c r="H10" s="409"/>
      <c r="I10" s="13"/>
      <c r="J10" s="14"/>
      <c r="K10" s="41"/>
      <c r="L10" s="41"/>
      <c r="M10" s="41"/>
      <c r="N10" s="41"/>
      <c r="O10" s="41"/>
      <c r="P10" s="41"/>
      <c r="Q10" s="41"/>
      <c r="R10" s="41"/>
      <c r="S10" s="41"/>
      <c r="T10" s="41"/>
      <c r="U10" s="41"/>
      <c r="V10" s="41"/>
      <c r="W10" s="41"/>
      <c r="X10" s="41"/>
      <c r="Y10" s="41"/>
      <c r="Z10" s="41"/>
    </row>
    <row r="11" ht="15.75" customHeight="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ht="30.0" customHeight="1">
      <c r="A12" s="423"/>
      <c r="B12" s="332" t="s">
        <v>3849</v>
      </c>
      <c r="C12" s="13"/>
      <c r="D12" s="13"/>
      <c r="E12" s="14"/>
      <c r="F12" s="423"/>
      <c r="G12" s="423"/>
      <c r="H12" s="423"/>
      <c r="I12" s="423"/>
      <c r="J12" s="423"/>
      <c r="K12" s="423"/>
      <c r="L12" s="423"/>
      <c r="M12" s="423"/>
      <c r="N12" s="423"/>
      <c r="O12" s="423"/>
      <c r="P12" s="423"/>
      <c r="Q12" s="423"/>
      <c r="R12" s="423"/>
      <c r="S12" s="423"/>
      <c r="T12" s="423"/>
      <c r="U12" s="423"/>
      <c r="V12" s="423"/>
      <c r="W12" s="423"/>
      <c r="X12" s="423"/>
      <c r="Y12" s="423"/>
      <c r="Z12" s="423"/>
    </row>
    <row r="13" ht="19.5" customHeight="1">
      <c r="A13" s="423"/>
      <c r="B13" s="337" t="s">
        <v>256</v>
      </c>
      <c r="C13" s="337" t="s">
        <v>722</v>
      </c>
      <c r="D13" s="338" t="s">
        <v>274</v>
      </c>
      <c r="E13" s="337" t="s">
        <v>5</v>
      </c>
      <c r="F13" s="423"/>
      <c r="G13" s="423"/>
      <c r="H13" s="423"/>
      <c r="I13" s="423"/>
      <c r="J13" s="423"/>
      <c r="K13" s="423"/>
      <c r="L13" s="423"/>
      <c r="M13" s="423"/>
      <c r="N13" s="423"/>
      <c r="O13" s="423"/>
      <c r="P13" s="423"/>
      <c r="Q13" s="423"/>
      <c r="R13" s="423"/>
      <c r="S13" s="423"/>
      <c r="T13" s="423"/>
      <c r="U13" s="423"/>
      <c r="V13" s="423"/>
      <c r="W13" s="423"/>
      <c r="X13" s="423"/>
      <c r="Y13" s="423"/>
      <c r="Z13" s="423"/>
    </row>
    <row r="14" ht="19.5" customHeight="1">
      <c r="A14" s="1"/>
      <c r="B14" s="84" t="s">
        <v>3850</v>
      </c>
      <c r="C14" s="196" t="s">
        <v>3851</v>
      </c>
      <c r="D14" s="21"/>
      <c r="E14" s="21"/>
      <c r="F14" s="1"/>
      <c r="G14" s="1"/>
      <c r="H14" s="1"/>
      <c r="I14" s="1"/>
      <c r="J14" s="1"/>
      <c r="K14" s="1"/>
      <c r="L14" s="1"/>
      <c r="M14" s="1"/>
      <c r="N14" s="1"/>
      <c r="O14" s="1"/>
      <c r="P14" s="1"/>
      <c r="Q14" s="1"/>
      <c r="R14" s="1"/>
      <c r="S14" s="1"/>
      <c r="T14" s="1"/>
      <c r="U14" s="1"/>
      <c r="V14" s="1"/>
      <c r="W14" s="1"/>
      <c r="X14" s="1"/>
      <c r="Y14" s="1"/>
      <c r="Z14" s="1"/>
    </row>
    <row r="15" ht="19.5" customHeight="1">
      <c r="A15" s="1"/>
      <c r="B15" s="84" t="s">
        <v>2554</v>
      </c>
      <c r="C15" s="196" t="s">
        <v>3852</v>
      </c>
      <c r="D15" s="21"/>
      <c r="E15" s="21"/>
      <c r="F15" s="1"/>
      <c r="G15" s="1"/>
      <c r="H15" s="1"/>
      <c r="I15" s="1"/>
      <c r="J15" s="1"/>
      <c r="K15" s="1"/>
      <c r="L15" s="1"/>
      <c r="M15" s="1"/>
      <c r="N15" s="1"/>
      <c r="O15" s="1"/>
      <c r="P15" s="1"/>
      <c r="Q15" s="1"/>
      <c r="R15" s="1"/>
      <c r="S15" s="1"/>
      <c r="T15" s="1"/>
      <c r="U15" s="1"/>
      <c r="V15" s="1"/>
      <c r="W15" s="1"/>
      <c r="X15" s="1"/>
      <c r="Y15" s="1"/>
      <c r="Z15" s="1"/>
    </row>
    <row r="16" ht="19.5" customHeight="1">
      <c r="A16" s="1"/>
      <c r="B16" s="84" t="s">
        <v>2558</v>
      </c>
      <c r="C16" s="196" t="s">
        <v>382</v>
      </c>
      <c r="D16" s="21"/>
      <c r="E16" s="21"/>
      <c r="F16" s="1"/>
      <c r="G16" s="1"/>
      <c r="H16" s="1"/>
      <c r="I16" s="1"/>
      <c r="J16" s="1"/>
      <c r="K16" s="1"/>
      <c r="L16" s="1"/>
      <c r="M16" s="1"/>
      <c r="N16" s="1"/>
      <c r="O16" s="1"/>
      <c r="P16" s="1"/>
      <c r="Q16" s="1"/>
      <c r="R16" s="1"/>
      <c r="S16" s="1"/>
      <c r="T16" s="1"/>
      <c r="U16" s="1"/>
      <c r="V16" s="1"/>
      <c r="W16" s="1"/>
      <c r="X16" s="1"/>
      <c r="Y16" s="1"/>
      <c r="Z16" s="1"/>
    </row>
    <row r="17" ht="19.5" customHeight="1">
      <c r="A17" s="1"/>
      <c r="B17" s="84" t="s">
        <v>3853</v>
      </c>
      <c r="C17" s="196" t="str">
        <f>CONCATENATE(this_instance,"-m01-fd-cbr")</f>
        <v>lax-m01-fd-cbr</v>
      </c>
      <c r="D17" s="21"/>
      <c r="E17" s="21"/>
      <c r="F17" s="1"/>
      <c r="G17" s="1"/>
      <c r="H17" s="1"/>
      <c r="I17" s="1"/>
      <c r="J17" s="1"/>
      <c r="K17" s="1"/>
      <c r="L17" s="1"/>
      <c r="M17" s="1"/>
      <c r="N17" s="1"/>
      <c r="O17" s="1"/>
      <c r="P17" s="1"/>
      <c r="Q17" s="1"/>
      <c r="R17" s="1"/>
      <c r="S17" s="1"/>
      <c r="T17" s="1"/>
      <c r="U17" s="1"/>
      <c r="V17" s="1"/>
      <c r="W17" s="1"/>
      <c r="X17" s="1"/>
      <c r="Y17" s="1"/>
      <c r="Z17" s="1"/>
    </row>
    <row r="18" ht="19.5" customHeight="1">
      <c r="A18" s="1"/>
      <c r="B18" s="84" t="s">
        <v>2564</v>
      </c>
      <c r="C18" s="196" t="s">
        <v>3854</v>
      </c>
      <c r="D18" s="21"/>
      <c r="E18" s="21"/>
      <c r="F18" s="1"/>
      <c r="G18" s="1"/>
      <c r="H18" s="1"/>
      <c r="I18" s="1"/>
      <c r="J18" s="1"/>
      <c r="K18" s="1"/>
      <c r="L18" s="1"/>
      <c r="M18" s="1"/>
      <c r="N18" s="1"/>
      <c r="O18" s="1"/>
      <c r="P18" s="1"/>
      <c r="Q18" s="1"/>
      <c r="R18" s="1"/>
      <c r="S18" s="1"/>
      <c r="T18" s="1"/>
      <c r="U18" s="1"/>
      <c r="V18" s="1"/>
      <c r="W18" s="1"/>
      <c r="X18" s="1"/>
      <c r="Y18" s="1"/>
      <c r="Z18" s="1"/>
    </row>
    <row r="19" ht="19.5" customHeight="1">
      <c r="A19" s="1"/>
      <c r="B19" s="84" t="s">
        <v>2568</v>
      </c>
      <c r="C19" s="196" t="s">
        <v>3087</v>
      </c>
      <c r="D19" s="21"/>
      <c r="E19" s="21"/>
      <c r="F19" s="1"/>
      <c r="G19" s="1"/>
      <c r="H19" s="1"/>
      <c r="I19" s="1"/>
      <c r="J19" s="1"/>
      <c r="K19" s="1"/>
      <c r="L19" s="1"/>
      <c r="M19" s="1"/>
      <c r="N19" s="1"/>
      <c r="O19" s="1"/>
      <c r="P19" s="1"/>
      <c r="Q19" s="1"/>
      <c r="R19" s="1"/>
      <c r="S19" s="1"/>
      <c r="T19" s="1"/>
      <c r="U19" s="1"/>
      <c r="V19" s="1"/>
      <c r="W19" s="1"/>
      <c r="X19" s="1"/>
      <c r="Y19" s="1"/>
      <c r="Z19" s="1"/>
    </row>
    <row r="20" ht="19.5" customHeight="1">
      <c r="A20" s="1"/>
      <c r="B20" s="84" t="s">
        <v>2571</v>
      </c>
      <c r="C20" s="196" t="s">
        <v>3855</v>
      </c>
      <c r="D20" s="21"/>
      <c r="E20" s="21"/>
      <c r="F20" s="1"/>
      <c r="G20" s="1"/>
      <c r="H20" s="1"/>
      <c r="I20" s="1"/>
      <c r="J20" s="1"/>
      <c r="K20" s="1"/>
      <c r="L20" s="1"/>
      <c r="M20" s="1"/>
      <c r="N20" s="1"/>
      <c r="O20" s="1"/>
      <c r="P20" s="1"/>
      <c r="Q20" s="1"/>
      <c r="R20" s="1"/>
      <c r="S20" s="1"/>
      <c r="T20" s="1"/>
      <c r="U20" s="1"/>
      <c r="V20" s="1"/>
      <c r="W20" s="1"/>
      <c r="X20" s="1"/>
      <c r="Y20" s="1"/>
      <c r="Z20" s="1"/>
    </row>
    <row r="21" ht="19.5" customHeight="1">
      <c r="A21" s="1"/>
      <c r="B21" s="84" t="s">
        <v>143</v>
      </c>
      <c r="C21" s="196">
        <v>2.0</v>
      </c>
      <c r="D21" s="21"/>
      <c r="E21" s="21"/>
      <c r="F21" s="1"/>
      <c r="G21" s="1"/>
      <c r="H21" s="1"/>
      <c r="I21" s="1"/>
      <c r="J21" s="1"/>
      <c r="K21" s="1"/>
      <c r="L21" s="1"/>
      <c r="M21" s="1"/>
      <c r="N21" s="1"/>
      <c r="O21" s="1"/>
      <c r="P21" s="1"/>
      <c r="Q21" s="1"/>
      <c r="R21" s="1"/>
      <c r="S21" s="1"/>
      <c r="T21" s="1"/>
      <c r="U21" s="1"/>
      <c r="V21" s="1"/>
      <c r="W21" s="1"/>
      <c r="X21" s="1"/>
      <c r="Y21" s="1"/>
      <c r="Z21" s="1"/>
    </row>
    <row r="22" ht="19.5" customHeight="1">
      <c r="A22" s="1"/>
      <c r="B22" s="84" t="s">
        <v>2579</v>
      </c>
      <c r="C22" s="196" t="s">
        <v>3856</v>
      </c>
      <c r="D22" s="21"/>
      <c r="E22" s="21"/>
      <c r="F22" s="1"/>
      <c r="G22" s="1"/>
      <c r="H22" s="1"/>
      <c r="I22" s="1"/>
      <c r="J22" s="1"/>
      <c r="K22" s="1"/>
      <c r="L22" s="1"/>
      <c r="M22" s="1"/>
      <c r="N22" s="1"/>
      <c r="O22" s="1"/>
      <c r="P22" s="1"/>
      <c r="Q22" s="1"/>
      <c r="R22" s="1"/>
      <c r="S22" s="1"/>
      <c r="T22" s="1"/>
      <c r="U22" s="1"/>
      <c r="V22" s="1"/>
      <c r="W22" s="1"/>
      <c r="X22" s="1"/>
      <c r="Y22" s="1"/>
      <c r="Z22" s="1"/>
    </row>
    <row r="23" ht="19.5" customHeight="1">
      <c r="A23" s="1"/>
      <c r="B23" s="84" t="s">
        <v>2583</v>
      </c>
      <c r="C23" s="196" t="s">
        <v>3856</v>
      </c>
      <c r="D23" s="21"/>
      <c r="E23" s="21"/>
      <c r="F23" s="1"/>
      <c r="G23" s="1"/>
      <c r="H23" s="1"/>
      <c r="I23" s="1"/>
      <c r="J23" s="1"/>
      <c r="K23" s="1"/>
      <c r="L23" s="1"/>
      <c r="M23" s="1"/>
      <c r="N23" s="1"/>
      <c r="O23" s="1"/>
      <c r="P23" s="1"/>
      <c r="Q23" s="1"/>
      <c r="R23" s="1"/>
      <c r="S23" s="1"/>
      <c r="T23" s="1"/>
      <c r="U23" s="1"/>
      <c r="V23" s="1"/>
      <c r="W23" s="1"/>
      <c r="X23" s="1"/>
      <c r="Y23" s="1"/>
      <c r="Z23" s="1"/>
    </row>
    <row r="24" ht="19.5" customHeight="1">
      <c r="A24" s="1"/>
      <c r="B24" s="84" t="s">
        <v>2588</v>
      </c>
      <c r="C24" s="196" t="s">
        <v>3857</v>
      </c>
      <c r="D24" s="21"/>
      <c r="E24" s="21"/>
      <c r="F24" s="1"/>
      <c r="G24" s="1"/>
      <c r="H24" s="1"/>
      <c r="I24" s="1"/>
      <c r="J24" s="1"/>
      <c r="K24" s="1"/>
      <c r="L24" s="1"/>
      <c r="M24" s="1"/>
      <c r="N24" s="1"/>
      <c r="O24" s="1"/>
      <c r="P24" s="1"/>
      <c r="Q24" s="1"/>
      <c r="R24" s="1"/>
      <c r="S24" s="1"/>
      <c r="T24" s="1"/>
      <c r="U24" s="1"/>
      <c r="V24" s="1"/>
      <c r="W24" s="1"/>
      <c r="X24" s="1"/>
      <c r="Y24" s="1"/>
      <c r="Z24" s="1"/>
    </row>
    <row r="25" ht="19.5" customHeight="1">
      <c r="A25" s="1"/>
      <c r="B25" s="84" t="s">
        <v>3858</v>
      </c>
      <c r="C25" s="196" t="s">
        <v>3859</v>
      </c>
      <c r="D25" s="21"/>
      <c r="E25" s="21"/>
      <c r="F25" s="1"/>
      <c r="G25" s="1"/>
      <c r="H25" s="1"/>
      <c r="I25" s="1"/>
      <c r="J25" s="1"/>
      <c r="K25" s="1"/>
      <c r="L25" s="1"/>
      <c r="M25" s="1"/>
      <c r="N25" s="1"/>
      <c r="O25" s="1"/>
      <c r="P25" s="1"/>
      <c r="Q25" s="1"/>
      <c r="R25" s="1"/>
      <c r="S25" s="1"/>
      <c r="T25" s="1"/>
      <c r="U25" s="1"/>
      <c r="V25" s="1"/>
      <c r="W25" s="1"/>
      <c r="X25" s="1"/>
      <c r="Y25" s="1"/>
      <c r="Z25" s="1"/>
    </row>
    <row r="26" ht="19.5" customHeight="1">
      <c r="A26" s="1"/>
      <c r="B26" s="84" t="s">
        <v>3860</v>
      </c>
      <c r="C26" s="196" t="s">
        <v>3861</v>
      </c>
      <c r="D26" s="21"/>
      <c r="E26" s="21"/>
      <c r="F26" s="1"/>
      <c r="G26" s="1"/>
      <c r="H26" s="1"/>
      <c r="I26" s="1"/>
      <c r="J26" s="1"/>
      <c r="K26" s="1"/>
      <c r="L26" s="1"/>
      <c r="M26" s="1"/>
      <c r="N26" s="1"/>
      <c r="O26" s="1"/>
      <c r="P26" s="1"/>
      <c r="Q26" s="1"/>
      <c r="R26" s="1"/>
      <c r="S26" s="1"/>
      <c r="T26" s="1"/>
      <c r="U26" s="1"/>
      <c r="V26" s="1"/>
      <c r="W26" s="1"/>
      <c r="X26" s="1"/>
      <c r="Y26" s="1"/>
      <c r="Z26" s="1"/>
    </row>
    <row r="27" ht="19.5" customHeight="1">
      <c r="A27" s="1"/>
      <c r="B27" s="84" t="s">
        <v>3862</v>
      </c>
      <c r="C27" s="196" t="s">
        <v>3863</v>
      </c>
      <c r="D27" s="21"/>
      <c r="E27" s="21"/>
      <c r="F27" s="1"/>
      <c r="G27" s="1"/>
      <c r="H27" s="1"/>
      <c r="I27" s="1"/>
      <c r="J27" s="1"/>
      <c r="K27" s="1"/>
      <c r="L27" s="1"/>
      <c r="M27" s="1"/>
      <c r="N27" s="1"/>
      <c r="O27" s="1"/>
      <c r="P27" s="1"/>
      <c r="Q27" s="1"/>
      <c r="R27" s="1"/>
      <c r="S27" s="1"/>
      <c r="T27" s="1"/>
      <c r="U27" s="1"/>
      <c r="V27" s="1"/>
      <c r="W27" s="1"/>
      <c r="X27" s="1"/>
      <c r="Y27" s="1"/>
      <c r="Z27" s="1"/>
    </row>
    <row r="28" ht="19.5" customHeight="1">
      <c r="A28" s="1"/>
      <c r="B28" s="84" t="s">
        <v>3864</v>
      </c>
      <c r="C28" s="196" t="s">
        <v>3865</v>
      </c>
      <c r="D28" s="21"/>
      <c r="E28" s="21"/>
      <c r="F28" s="1"/>
      <c r="G28" s="1"/>
      <c r="H28" s="1"/>
      <c r="I28" s="1"/>
      <c r="J28" s="1"/>
      <c r="K28" s="1"/>
      <c r="L28" s="1"/>
      <c r="M28" s="1"/>
      <c r="N28" s="1"/>
      <c r="O28" s="1"/>
      <c r="P28" s="1"/>
      <c r="Q28" s="1"/>
      <c r="R28" s="1"/>
      <c r="S28" s="1"/>
      <c r="T28" s="1"/>
      <c r="U28" s="1"/>
      <c r="V28" s="1"/>
      <c r="W28" s="1"/>
      <c r="X28" s="1"/>
      <c r="Y28" s="1"/>
      <c r="Z28" s="1"/>
    </row>
    <row r="29" ht="19.5" customHeight="1">
      <c r="A29" s="1"/>
      <c r="B29" s="84" t="s">
        <v>3866</v>
      </c>
      <c r="C29" s="196" t="str">
        <f>CONCATENATE(this_instance,"-vcf01-instance")</f>
        <v>lax-vcf01-instance</v>
      </c>
      <c r="D29" s="21"/>
      <c r="E29" s="21"/>
      <c r="F29" s="1"/>
      <c r="G29" s="1"/>
      <c r="H29" s="1"/>
      <c r="I29" s="1"/>
      <c r="J29" s="1"/>
      <c r="K29" s="1"/>
      <c r="L29" s="1"/>
      <c r="M29" s="1"/>
      <c r="N29" s="1"/>
      <c r="O29" s="1"/>
      <c r="P29" s="1"/>
      <c r="Q29" s="1"/>
      <c r="R29" s="1"/>
      <c r="S29" s="1"/>
      <c r="T29" s="1"/>
      <c r="U29" s="1"/>
      <c r="V29" s="1"/>
      <c r="W29" s="1"/>
      <c r="X29" s="1"/>
      <c r="Y29" s="1"/>
      <c r="Z29" s="1"/>
    </row>
    <row r="30" ht="19.5" customHeight="1">
      <c r="A30" s="1"/>
      <c r="B30" s="84" t="s">
        <v>3867</v>
      </c>
      <c r="C30" s="196" t="s">
        <v>3868</v>
      </c>
      <c r="D30" s="21"/>
      <c r="E30" s="21"/>
      <c r="F30" s="1"/>
      <c r="G30" s="1"/>
      <c r="H30" s="1"/>
      <c r="I30" s="1"/>
      <c r="J30" s="1"/>
      <c r="K30" s="1"/>
      <c r="L30" s="1"/>
      <c r="M30" s="1"/>
      <c r="N30" s="1"/>
      <c r="O30" s="1"/>
      <c r="P30" s="1"/>
      <c r="Q30" s="1"/>
      <c r="R30" s="1"/>
      <c r="S30" s="1"/>
      <c r="T30" s="1"/>
      <c r="U30" s="1"/>
      <c r="V30" s="1"/>
      <c r="W30" s="1"/>
      <c r="X30" s="1"/>
      <c r="Y30" s="1"/>
      <c r="Z30" s="1"/>
    </row>
    <row r="31" ht="19.5" customHeight="1">
      <c r="A31" s="1"/>
      <c r="B31" s="84" t="s">
        <v>2617</v>
      </c>
      <c r="C31" s="196" t="s">
        <v>3869</v>
      </c>
      <c r="D31" s="21"/>
      <c r="E31" s="21"/>
      <c r="F31" s="1"/>
      <c r="G31" s="1"/>
      <c r="H31" s="1"/>
      <c r="I31" s="1"/>
      <c r="J31" s="1"/>
      <c r="K31" s="1"/>
      <c r="L31" s="1"/>
      <c r="M31" s="1"/>
      <c r="N31" s="1"/>
      <c r="O31" s="1"/>
      <c r="P31" s="1"/>
      <c r="Q31" s="1"/>
      <c r="R31" s="1"/>
      <c r="S31" s="1"/>
      <c r="T31" s="1"/>
      <c r="U31" s="1"/>
      <c r="V31" s="1"/>
      <c r="W31" s="1"/>
      <c r="X31" s="1"/>
      <c r="Y31" s="1"/>
      <c r="Z31" s="1"/>
    </row>
    <row r="32" ht="19.5" customHeight="1">
      <c r="A32" s="1"/>
      <c r="B32" s="84" t="s">
        <v>2621</v>
      </c>
      <c r="C32" s="196" t="s">
        <v>3870</v>
      </c>
      <c r="D32" s="21"/>
      <c r="E32" s="21"/>
      <c r="F32" s="1"/>
      <c r="G32" s="1"/>
      <c r="H32" s="1"/>
      <c r="I32" s="1"/>
      <c r="J32" s="1"/>
      <c r="K32" s="1"/>
      <c r="L32" s="1"/>
      <c r="M32" s="1"/>
      <c r="N32" s="1"/>
      <c r="O32" s="1"/>
      <c r="P32" s="1"/>
      <c r="Q32" s="1"/>
      <c r="R32" s="1"/>
      <c r="S32" s="1"/>
      <c r="T32" s="1"/>
      <c r="U32" s="1"/>
      <c r="V32" s="1"/>
      <c r="W32" s="1"/>
      <c r="X32" s="1"/>
      <c r="Y32" s="1"/>
      <c r="Z32" s="1"/>
    </row>
    <row r="33" ht="19.5" customHeight="1">
      <c r="A33" s="1"/>
      <c r="B33" s="84" t="s">
        <v>2625</v>
      </c>
      <c r="C33" s="196" t="s">
        <v>3856</v>
      </c>
      <c r="D33" s="21"/>
      <c r="E33" s="21"/>
      <c r="F33" s="1"/>
      <c r="G33" s="1"/>
      <c r="H33" s="1"/>
      <c r="I33" s="1"/>
      <c r="J33" s="1"/>
      <c r="K33" s="1"/>
      <c r="L33" s="1"/>
      <c r="M33" s="1"/>
      <c r="N33" s="1"/>
      <c r="O33" s="1"/>
      <c r="P33" s="1"/>
      <c r="Q33" s="1"/>
      <c r="R33" s="1"/>
      <c r="S33" s="1"/>
      <c r="T33" s="1"/>
      <c r="U33" s="1"/>
      <c r="V33" s="1"/>
      <c r="W33" s="1"/>
      <c r="X33" s="1"/>
      <c r="Y33" s="1"/>
      <c r="Z33" s="1"/>
    </row>
    <row r="34" ht="19.5" customHeight="1">
      <c r="A34" s="1"/>
      <c r="B34" s="84" t="s">
        <v>2629</v>
      </c>
      <c r="C34" s="196" t="str">
        <f>CONCATENATE(this_instance,"-cbr-cdp01")</f>
        <v>lax-cbr-cdp01</v>
      </c>
      <c r="D34" s="21"/>
      <c r="E34" s="21"/>
      <c r="F34" s="1"/>
      <c r="G34" s="1"/>
      <c r="H34" s="1"/>
      <c r="I34" s="1"/>
      <c r="J34" s="1"/>
      <c r="K34" s="1"/>
      <c r="L34" s="1"/>
      <c r="M34" s="1"/>
      <c r="N34" s="1"/>
      <c r="O34" s="1"/>
      <c r="P34" s="1"/>
      <c r="Q34" s="1"/>
      <c r="R34" s="1"/>
      <c r="S34" s="1"/>
      <c r="T34" s="1"/>
      <c r="U34" s="1"/>
      <c r="V34" s="1"/>
      <c r="W34" s="1"/>
      <c r="X34" s="1"/>
      <c r="Y34" s="1"/>
      <c r="Z34" s="1"/>
    </row>
    <row r="35" ht="19.5" customHeight="1">
      <c r="A35" s="1"/>
      <c r="B35" s="84" t="s">
        <v>3871</v>
      </c>
      <c r="C35" s="196" t="str">
        <f>CONCATENATE(sample_mgmt_sddc_domain,"anti-affinity-rule-cbr")</f>
        <v>lax-m01anti-affinity-rule-cbr</v>
      </c>
      <c r="D35" s="21"/>
      <c r="E35" s="21"/>
      <c r="F35" s="1"/>
      <c r="G35" s="1"/>
      <c r="H35" s="1"/>
      <c r="I35" s="1"/>
      <c r="J35" s="1"/>
      <c r="K35" s="1"/>
      <c r="L35" s="1"/>
      <c r="M35" s="1"/>
      <c r="N35" s="1"/>
      <c r="O35" s="1"/>
      <c r="P35" s="1"/>
      <c r="Q35" s="1"/>
      <c r="R35" s="1"/>
      <c r="S35" s="1"/>
      <c r="T35" s="1"/>
      <c r="U35" s="1"/>
      <c r="V35" s="1"/>
      <c r="W35" s="1"/>
      <c r="X35" s="1"/>
      <c r="Y35" s="1"/>
      <c r="Z35" s="1"/>
    </row>
    <row r="36" ht="19.5" customHeight="1">
      <c r="A36" s="1"/>
      <c r="B36" s="84" t="s">
        <v>2636</v>
      </c>
      <c r="C36" s="196" t="s">
        <v>3872</v>
      </c>
      <c r="D36" s="21"/>
      <c r="E36" s="21"/>
      <c r="F36" s="1"/>
      <c r="G36" s="1"/>
      <c r="H36" s="1"/>
      <c r="I36" s="1"/>
      <c r="J36" s="1"/>
      <c r="K36" s="1"/>
      <c r="L36" s="1"/>
      <c r="M36" s="1"/>
      <c r="N36" s="1"/>
      <c r="O36" s="1"/>
      <c r="P36" s="1"/>
      <c r="Q36" s="1"/>
      <c r="R36" s="1"/>
      <c r="S36" s="1"/>
      <c r="T36" s="1"/>
      <c r="U36" s="1"/>
      <c r="V36" s="1"/>
      <c r="W36" s="1"/>
      <c r="X36" s="1"/>
      <c r="Y36" s="1"/>
      <c r="Z36" s="1"/>
    </row>
    <row r="37" ht="19.5" customHeight="1">
      <c r="A37" s="1"/>
      <c r="B37" s="84" t="s">
        <v>2640</v>
      </c>
      <c r="C37" s="196" t="s">
        <v>566</v>
      </c>
      <c r="D37" s="21"/>
      <c r="E37" s="21"/>
      <c r="F37" s="1"/>
      <c r="G37" s="1"/>
      <c r="H37" s="1"/>
      <c r="I37" s="1"/>
      <c r="J37" s="1"/>
      <c r="K37" s="1"/>
      <c r="L37" s="1"/>
      <c r="M37" s="1"/>
      <c r="N37" s="1"/>
      <c r="O37" s="1"/>
      <c r="P37" s="1"/>
      <c r="Q37" s="1"/>
      <c r="R37" s="1"/>
      <c r="S37" s="1"/>
      <c r="T37" s="1"/>
      <c r="U37" s="1"/>
      <c r="V37" s="1"/>
      <c r="W37" s="1"/>
      <c r="X37" s="1"/>
      <c r="Y37" s="1"/>
      <c r="Z37" s="1"/>
    </row>
    <row r="38" ht="19.5" customHeight="1">
      <c r="A38" s="1"/>
      <c r="B38" s="84" t="s">
        <v>2644</v>
      </c>
      <c r="C38" s="196" t="s">
        <v>3856</v>
      </c>
      <c r="D38" s="21"/>
      <c r="E38" s="21"/>
      <c r="F38" s="1"/>
      <c r="G38" s="1"/>
      <c r="H38" s="1"/>
      <c r="I38" s="1"/>
      <c r="J38" s="1"/>
      <c r="K38" s="1"/>
      <c r="L38" s="1"/>
      <c r="M38" s="1"/>
      <c r="N38" s="1"/>
      <c r="O38" s="1"/>
      <c r="P38" s="1"/>
      <c r="Q38" s="1"/>
      <c r="R38" s="1"/>
      <c r="S38" s="1"/>
      <c r="T38" s="1"/>
      <c r="U38" s="1"/>
      <c r="V38" s="1"/>
      <c r="W38" s="1"/>
      <c r="X38" s="1"/>
      <c r="Y38" s="1"/>
      <c r="Z38" s="1"/>
    </row>
    <row r="39" ht="19.5" customHeight="1">
      <c r="A39" s="1"/>
      <c r="B39" s="84" t="s">
        <v>2648</v>
      </c>
      <c r="C39" s="196" t="s">
        <v>3856</v>
      </c>
      <c r="D39" s="21"/>
      <c r="E39" s="2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416"/>
      <c r="B41" s="416"/>
      <c r="C41" s="416"/>
      <c r="D41" s="416"/>
      <c r="E41" s="416"/>
      <c r="F41" s="416"/>
      <c r="G41" s="114"/>
      <c r="H41" s="114"/>
      <c r="I41" s="114"/>
      <c r="J41" s="114"/>
      <c r="K41" s="114"/>
      <c r="L41" s="114"/>
      <c r="M41" s="114"/>
      <c r="N41" s="114"/>
      <c r="O41" s="114"/>
      <c r="P41" s="114"/>
      <c r="Q41" s="114"/>
      <c r="R41" s="114"/>
      <c r="S41" s="114"/>
      <c r="T41" s="41"/>
      <c r="U41" s="41"/>
      <c r="V41" s="41"/>
      <c r="W41" s="41"/>
      <c r="X41" s="41"/>
      <c r="Y41" s="41"/>
      <c r="Z41" s="41"/>
    </row>
    <row r="42" ht="33.75" customHeight="1">
      <c r="A42" s="416"/>
      <c r="B42" s="424" t="s">
        <v>1027</v>
      </c>
      <c r="C42" s="13"/>
      <c r="D42" s="13"/>
      <c r="E42" s="38"/>
      <c r="F42" s="416"/>
      <c r="G42" s="114"/>
      <c r="H42" s="114"/>
      <c r="I42" s="114"/>
      <c r="J42" s="114"/>
      <c r="K42" s="114"/>
      <c r="L42" s="114"/>
      <c r="M42" s="114"/>
      <c r="N42" s="114"/>
      <c r="O42" s="114"/>
      <c r="P42" s="114"/>
      <c r="Q42" s="114"/>
      <c r="R42" s="114"/>
      <c r="S42" s="114"/>
      <c r="T42" s="41"/>
      <c r="U42" s="41"/>
      <c r="V42" s="41"/>
      <c r="W42" s="41"/>
      <c r="X42" s="41"/>
      <c r="Y42" s="41"/>
      <c r="Z42" s="41"/>
    </row>
    <row r="43" ht="15.75" customHeight="1">
      <c r="A43" s="416"/>
      <c r="B43" s="416"/>
      <c r="C43" s="416"/>
      <c r="D43" s="416"/>
      <c r="E43" s="416"/>
      <c r="F43" s="416"/>
      <c r="G43" s="114"/>
      <c r="H43" s="114"/>
      <c r="I43" s="114"/>
      <c r="J43" s="114"/>
      <c r="K43" s="114"/>
      <c r="L43" s="114"/>
      <c r="M43" s="114"/>
      <c r="N43" s="114"/>
      <c r="O43" s="114"/>
      <c r="P43" s="114"/>
      <c r="Q43" s="114"/>
      <c r="R43" s="114"/>
      <c r="S43" s="114"/>
      <c r="T43" s="114"/>
      <c r="U43" s="114"/>
      <c r="V43" s="114"/>
      <c r="W43" s="114"/>
      <c r="X43" s="114"/>
      <c r="Y43" s="114"/>
      <c r="Z43" s="114"/>
    </row>
    <row r="44" ht="33.75" customHeight="1">
      <c r="A44" s="425"/>
      <c r="B44" s="12" t="s">
        <v>3873</v>
      </c>
      <c r="C44" s="13"/>
      <c r="D44" s="13"/>
      <c r="E44" s="14"/>
      <c r="F44" s="114"/>
      <c r="G44" s="114"/>
      <c r="H44" s="114"/>
      <c r="I44" s="114"/>
      <c r="J44" s="114"/>
      <c r="K44" s="114"/>
      <c r="L44" s="114"/>
      <c r="M44" s="114"/>
      <c r="N44" s="114"/>
      <c r="O44" s="114"/>
      <c r="P44" s="114"/>
      <c r="Q44" s="114"/>
      <c r="R44" s="114"/>
      <c r="S44" s="114"/>
      <c r="T44" s="114"/>
      <c r="U44" s="114"/>
      <c r="V44" s="114"/>
      <c r="W44" s="114"/>
      <c r="X44" s="114"/>
      <c r="Y44" s="114"/>
      <c r="Z44" s="114"/>
    </row>
    <row r="45" ht="19.5" customHeight="1">
      <c r="A45" s="425"/>
      <c r="B45" s="108" t="s">
        <v>256</v>
      </c>
      <c r="C45" s="108" t="s">
        <v>722</v>
      </c>
      <c r="D45" s="108" t="s">
        <v>274</v>
      </c>
      <c r="E45" s="108" t="s">
        <v>5</v>
      </c>
      <c r="F45" s="114"/>
      <c r="G45" s="114"/>
      <c r="H45" s="114"/>
      <c r="I45" s="114"/>
      <c r="J45" s="114"/>
      <c r="K45" s="114"/>
      <c r="L45" s="114"/>
      <c r="M45" s="114"/>
      <c r="N45" s="114"/>
      <c r="O45" s="114"/>
      <c r="P45" s="114"/>
      <c r="Q45" s="114"/>
      <c r="R45" s="114"/>
      <c r="S45" s="114"/>
      <c r="T45" s="114"/>
      <c r="U45" s="114"/>
      <c r="V45" s="114"/>
      <c r="W45" s="114"/>
      <c r="X45" s="114"/>
      <c r="Y45" s="114"/>
      <c r="Z45" s="114"/>
    </row>
    <row r="46" ht="19.5" customHeight="1">
      <c r="A46" s="425"/>
      <c r="B46" s="84" t="s">
        <v>3331</v>
      </c>
      <c r="C46" s="111" t="str">
        <f>sample_mgmt_vc_fqdn</f>
        <v>lax-m01-vc01.lax.rainpole.io</v>
      </c>
      <c r="D46" s="18" t="str">
        <f>mgmt_vc_fqdn</f>
        <v>Value Missing</v>
      </c>
      <c r="E46" s="426"/>
      <c r="F46" s="114"/>
      <c r="G46" s="114"/>
      <c r="H46" s="114"/>
      <c r="I46" s="114"/>
      <c r="J46" s="114"/>
      <c r="K46" s="114"/>
      <c r="L46" s="114"/>
      <c r="M46" s="114"/>
      <c r="N46" s="114"/>
      <c r="O46" s="114"/>
      <c r="P46" s="114"/>
      <c r="Q46" s="114"/>
      <c r="R46" s="114"/>
      <c r="S46" s="114"/>
      <c r="T46" s="114"/>
      <c r="U46" s="114"/>
      <c r="V46" s="114"/>
      <c r="W46" s="114"/>
      <c r="X46" s="114"/>
      <c r="Y46" s="114"/>
      <c r="Z46" s="114"/>
    </row>
    <row r="47" ht="19.5" customHeight="1">
      <c r="A47" s="425"/>
      <c r="B47" s="84" t="s">
        <v>759</v>
      </c>
      <c r="C47" s="110" t="str">
        <f>sample_mgmt_datacenter</f>
        <v>lax-m01-dc01</v>
      </c>
      <c r="D47" s="18" t="str">
        <f>mgmt_datacenter</f>
        <v>Value Missing</v>
      </c>
      <c r="E47" s="426"/>
      <c r="F47" s="114"/>
      <c r="G47" s="114"/>
      <c r="H47" s="114"/>
      <c r="I47" s="114"/>
      <c r="J47" s="114"/>
      <c r="K47" s="114"/>
      <c r="L47" s="114"/>
      <c r="M47" s="114"/>
      <c r="N47" s="114"/>
      <c r="O47" s="114"/>
      <c r="P47" s="114"/>
      <c r="Q47" s="114"/>
      <c r="R47" s="114"/>
      <c r="S47" s="114"/>
      <c r="T47" s="114"/>
      <c r="U47" s="114"/>
      <c r="V47" s="114"/>
      <c r="W47" s="114"/>
      <c r="X47" s="114"/>
      <c r="Y47" s="114"/>
      <c r="Z47" s="114"/>
    </row>
    <row r="48" ht="19.5" customHeight="1">
      <c r="A48" s="425"/>
      <c r="B48" s="267" t="s">
        <v>3874</v>
      </c>
      <c r="C48" s="110" t="str">
        <f t="array" ref="C48">sample_cbr_vm_folder</f>
        <v>lax-m01-fd-cbr</v>
      </c>
      <c r="D48" s="18" t="str">
        <f t="array" ref="D48">cbr_vm_folder</f>
        <v>Value Missing</v>
      </c>
      <c r="E48" s="426"/>
      <c r="F48" s="114"/>
      <c r="G48" s="114"/>
      <c r="H48" s="114"/>
      <c r="I48" s="114"/>
      <c r="J48" s="114"/>
      <c r="K48" s="114"/>
      <c r="L48" s="114"/>
      <c r="M48" s="114"/>
      <c r="N48" s="114"/>
      <c r="O48" s="114"/>
      <c r="P48" s="114"/>
      <c r="Q48" s="114"/>
      <c r="R48" s="114"/>
      <c r="S48" s="114"/>
      <c r="T48" s="114"/>
      <c r="U48" s="114"/>
      <c r="V48" s="114"/>
      <c r="W48" s="114"/>
      <c r="X48" s="114"/>
      <c r="Y48" s="114"/>
      <c r="Z48" s="114"/>
    </row>
    <row r="49" ht="19.5" customHeight="1">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row>
    <row r="50" ht="33.75" customHeight="1">
      <c r="A50" s="114"/>
      <c r="B50" s="12" t="s">
        <v>3875</v>
      </c>
      <c r="C50" s="13"/>
      <c r="D50" s="13"/>
      <c r="E50" s="14"/>
      <c r="F50" s="114"/>
      <c r="G50" s="114"/>
      <c r="H50" s="114"/>
      <c r="I50" s="114"/>
      <c r="J50" s="114"/>
      <c r="K50" s="114"/>
      <c r="L50" s="114"/>
      <c r="M50" s="114"/>
      <c r="N50" s="114"/>
      <c r="O50" s="114"/>
      <c r="P50" s="114"/>
      <c r="Q50" s="114"/>
      <c r="R50" s="114"/>
      <c r="S50" s="114"/>
      <c r="T50" s="114"/>
      <c r="U50" s="114"/>
      <c r="V50" s="114"/>
      <c r="W50" s="114"/>
      <c r="X50" s="114"/>
      <c r="Y50" s="114"/>
      <c r="Z50" s="114"/>
    </row>
    <row r="51" ht="19.5" customHeight="1">
      <c r="A51" s="114"/>
      <c r="B51" s="108" t="s">
        <v>256</v>
      </c>
      <c r="C51" s="108" t="s">
        <v>722</v>
      </c>
      <c r="D51" s="108" t="s">
        <v>274</v>
      </c>
      <c r="E51" s="108" t="s">
        <v>5</v>
      </c>
      <c r="F51" s="114"/>
      <c r="G51" s="114"/>
      <c r="H51" s="114"/>
      <c r="I51" s="114"/>
      <c r="J51" s="114"/>
      <c r="K51" s="114"/>
      <c r="L51" s="114"/>
      <c r="M51" s="114"/>
      <c r="N51" s="114"/>
      <c r="O51" s="114"/>
      <c r="P51" s="114"/>
      <c r="Q51" s="114"/>
      <c r="R51" s="114"/>
      <c r="S51" s="114"/>
      <c r="T51" s="114"/>
      <c r="U51" s="114"/>
      <c r="V51" s="114"/>
      <c r="W51" s="114"/>
      <c r="X51" s="114"/>
      <c r="Y51" s="114"/>
      <c r="Z51" s="114"/>
    </row>
    <row r="52" ht="19.5" customHeight="1">
      <c r="A52" s="114"/>
      <c r="B52" s="84" t="s">
        <v>3876</v>
      </c>
      <c r="C52" s="110" t="s">
        <v>3877</v>
      </c>
      <c r="D52" s="186" t="str">
        <f>C52</f>
        <v>console.cloud.vmware.com</v>
      </c>
      <c r="E52" s="426"/>
      <c r="F52" s="114"/>
      <c r="G52" s="114"/>
      <c r="H52" s="114"/>
      <c r="I52" s="114"/>
      <c r="J52" s="114"/>
      <c r="K52" s="114"/>
      <c r="L52" s="114"/>
      <c r="M52" s="114"/>
      <c r="N52" s="114"/>
      <c r="O52" s="114"/>
      <c r="P52" s="114"/>
      <c r="Q52" s="114"/>
      <c r="R52" s="114"/>
      <c r="S52" s="114"/>
      <c r="T52" s="114"/>
      <c r="U52" s="114"/>
      <c r="V52" s="114"/>
      <c r="W52" s="114"/>
      <c r="X52" s="114"/>
      <c r="Y52" s="114"/>
      <c r="Z52" s="114"/>
    </row>
    <row r="53" ht="19.5" customHeight="1">
      <c r="A53" s="114"/>
      <c r="B53" s="84" t="s">
        <v>3878</v>
      </c>
      <c r="C53" s="110" t="str">
        <f t="array" ref="C53">sample_cbr_recovery_sddc_name</f>
        <v>aws-recovery-sddc</v>
      </c>
      <c r="D53" s="18" t="str">
        <f>cbr_recovery_sddc_name</f>
        <v>Value Missing</v>
      </c>
      <c r="E53" s="426"/>
      <c r="F53" s="114"/>
      <c r="G53" s="114"/>
      <c r="H53" s="114"/>
      <c r="I53" s="114"/>
      <c r="J53" s="114"/>
      <c r="K53" s="114"/>
      <c r="L53" s="114"/>
      <c r="M53" s="114"/>
      <c r="N53" s="114"/>
      <c r="O53" s="114"/>
      <c r="P53" s="114"/>
      <c r="Q53" s="114"/>
      <c r="R53" s="114"/>
      <c r="S53" s="114"/>
      <c r="T53" s="114"/>
      <c r="U53" s="114"/>
      <c r="V53" s="114"/>
      <c r="W53" s="114"/>
      <c r="X53" s="114"/>
      <c r="Y53" s="114"/>
      <c r="Z53" s="114"/>
    </row>
    <row r="54" ht="19.5" customHeight="1">
      <c r="A54" s="114"/>
      <c r="B54" s="84" t="s">
        <v>2568</v>
      </c>
      <c r="C54" s="110" t="str">
        <f t="array" ref="C54">sample_cbr_recovery_region</f>
        <v>Europe (Ireland)</v>
      </c>
      <c r="D54" s="18" t="str">
        <f>cbr_recovery_region</f>
        <v>Value Missing</v>
      </c>
      <c r="E54" s="426"/>
      <c r="F54" s="114"/>
      <c r="G54" s="114"/>
      <c r="H54" s="114"/>
      <c r="I54" s="114"/>
      <c r="J54" s="114"/>
      <c r="K54" s="114"/>
      <c r="L54" s="114"/>
      <c r="M54" s="114"/>
      <c r="N54" s="114"/>
      <c r="O54" s="114"/>
      <c r="P54" s="114"/>
      <c r="Q54" s="114"/>
      <c r="R54" s="114"/>
      <c r="S54" s="114"/>
      <c r="T54" s="114"/>
      <c r="U54" s="114"/>
      <c r="V54" s="114"/>
      <c r="W54" s="114"/>
      <c r="X54" s="114"/>
      <c r="Y54" s="114"/>
      <c r="Z54" s="114"/>
    </row>
    <row r="55" ht="19.5" customHeight="1">
      <c r="A55" s="114"/>
      <c r="B55" s="84" t="s">
        <v>2571</v>
      </c>
      <c r="C55" s="110" t="str">
        <f t="array" ref="C55">sample_cbr_recovery_host_type</f>
        <v>I4i (Local SSD)</v>
      </c>
      <c r="D55" s="18" t="str">
        <f>cbr_recovery_host_type</f>
        <v>Value Missing</v>
      </c>
      <c r="E55" s="426"/>
      <c r="F55" s="114"/>
      <c r="G55" s="114"/>
      <c r="H55" s="114"/>
      <c r="I55" s="114"/>
      <c r="J55" s="114"/>
      <c r="K55" s="114"/>
      <c r="L55" s="114"/>
      <c r="M55" s="114"/>
      <c r="N55" s="114"/>
      <c r="O55" s="114"/>
      <c r="P55" s="114"/>
      <c r="Q55" s="114"/>
      <c r="R55" s="114"/>
      <c r="S55" s="114"/>
      <c r="T55" s="114"/>
      <c r="U55" s="114"/>
      <c r="V55" s="114"/>
      <c r="W55" s="114"/>
      <c r="X55" s="114"/>
      <c r="Y55" s="114"/>
      <c r="Z55" s="114"/>
    </row>
    <row r="56" ht="19.5" customHeight="1">
      <c r="A56" s="114"/>
      <c r="B56" s="84" t="s">
        <v>143</v>
      </c>
      <c r="C56" s="110">
        <f t="array" ref="C56">sample_cbr_recovery_host_count</f>
        <v>2</v>
      </c>
      <c r="D56" s="18" t="str">
        <f>cbr_recovery_host_count</f>
        <v>Value Missing</v>
      </c>
      <c r="E56" s="426"/>
      <c r="F56" s="114"/>
      <c r="G56" s="114"/>
      <c r="H56" s="114"/>
      <c r="I56" s="114"/>
      <c r="J56" s="114"/>
      <c r="K56" s="114"/>
      <c r="L56" s="114"/>
      <c r="M56" s="114"/>
      <c r="N56" s="114"/>
      <c r="O56" s="114"/>
      <c r="P56" s="114"/>
      <c r="Q56" s="114"/>
      <c r="R56" s="114"/>
      <c r="S56" s="114"/>
      <c r="T56" s="114"/>
      <c r="U56" s="114"/>
      <c r="V56" s="114"/>
      <c r="W56" s="114"/>
      <c r="X56" s="114"/>
      <c r="Y56" s="114"/>
      <c r="Z56" s="114"/>
    </row>
    <row r="57" ht="19.5" customHeight="1">
      <c r="A57" s="114"/>
      <c r="B57" s="84" t="s">
        <v>2579</v>
      </c>
      <c r="C57" s="110" t="str">
        <f t="array" ref="C57">sample_cbr_recovery_vpc</f>
        <v>&lt;generated&gt;</v>
      </c>
      <c r="D57" s="18" t="str">
        <f>cbr_recovery_vpc</f>
        <v>Value Missing</v>
      </c>
      <c r="E57" s="426"/>
      <c r="F57" s="114"/>
      <c r="G57" s="114"/>
      <c r="H57" s="114"/>
      <c r="I57" s="114"/>
      <c r="J57" s="114"/>
      <c r="K57" s="114"/>
      <c r="L57" s="114"/>
      <c r="M57" s="114"/>
      <c r="N57" s="114"/>
      <c r="O57" s="114"/>
      <c r="P57" s="114"/>
      <c r="Q57" s="114"/>
      <c r="R57" s="114"/>
      <c r="S57" s="114"/>
      <c r="T57" s="114"/>
      <c r="U57" s="114"/>
      <c r="V57" s="114"/>
      <c r="W57" s="114"/>
      <c r="X57" s="114"/>
      <c r="Y57" s="114"/>
      <c r="Z57" s="114"/>
    </row>
    <row r="58" ht="19.5" customHeight="1">
      <c r="A58" s="114"/>
      <c r="B58" s="84" t="s">
        <v>2583</v>
      </c>
      <c r="C58" s="110" t="str">
        <f t="array" ref="C58">sample_cbr_recovery_subnet</f>
        <v>&lt;generated&gt;</v>
      </c>
      <c r="D58" s="18" t="str">
        <f t="array" ref="D58">cbr_recovery_subnet</f>
        <v>Value Missing</v>
      </c>
      <c r="E58" s="426"/>
      <c r="F58" s="114"/>
      <c r="G58" s="114"/>
      <c r="H58" s="114"/>
      <c r="I58" s="114"/>
      <c r="J58" s="114"/>
      <c r="K58" s="114"/>
      <c r="L58" s="114"/>
      <c r="M58" s="114"/>
      <c r="N58" s="114"/>
      <c r="O58" s="114"/>
      <c r="P58" s="114"/>
      <c r="Q58" s="114"/>
      <c r="R58" s="114"/>
      <c r="S58" s="114"/>
      <c r="T58" s="114"/>
      <c r="U58" s="114"/>
      <c r="V58" s="114"/>
      <c r="W58" s="114"/>
      <c r="X58" s="114"/>
      <c r="Y58" s="114"/>
      <c r="Z58" s="114"/>
    </row>
    <row r="59" ht="19.5" customHeight="1">
      <c r="A59" s="114"/>
      <c r="B59" s="84" t="s">
        <v>2588</v>
      </c>
      <c r="C59" s="110" t="str">
        <f t="array" ref="C59">sample_cbr_recovery_management_subnet</f>
        <v>10.2.0.0/16</v>
      </c>
      <c r="D59" s="18" t="str">
        <f>cbr_recovery_management_subnet</f>
        <v>Value Missing</v>
      </c>
      <c r="E59" s="426"/>
      <c r="F59" s="114"/>
      <c r="G59" s="114"/>
      <c r="H59" s="114"/>
      <c r="I59" s="114"/>
      <c r="J59" s="114"/>
      <c r="K59" s="114"/>
      <c r="L59" s="114"/>
      <c r="M59" s="114"/>
      <c r="N59" s="114"/>
      <c r="O59" s="114"/>
      <c r="P59" s="114"/>
      <c r="Q59" s="114"/>
      <c r="R59" s="114"/>
      <c r="S59" s="114"/>
      <c r="T59" s="114"/>
      <c r="U59" s="114"/>
      <c r="V59" s="114"/>
      <c r="W59" s="114"/>
      <c r="X59" s="114"/>
      <c r="Y59" s="114"/>
      <c r="Z59" s="114"/>
    </row>
    <row r="60" ht="19.5" customHeight="1">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ht="33.75" customHeight="1">
      <c r="A61" s="114"/>
      <c r="B61" s="12" t="s">
        <v>3879</v>
      </c>
      <c r="C61" s="13"/>
      <c r="D61" s="13"/>
      <c r="E61" s="14"/>
      <c r="F61" s="114"/>
      <c r="G61" s="114"/>
      <c r="H61" s="114"/>
      <c r="I61" s="114"/>
      <c r="J61" s="114"/>
      <c r="K61" s="114"/>
      <c r="L61" s="114"/>
      <c r="M61" s="114"/>
      <c r="N61" s="114"/>
      <c r="O61" s="114"/>
      <c r="P61" s="114"/>
      <c r="Q61" s="114"/>
      <c r="R61" s="114"/>
      <c r="S61" s="114"/>
      <c r="T61" s="114"/>
      <c r="U61" s="114"/>
      <c r="V61" s="114"/>
      <c r="W61" s="114"/>
      <c r="X61" s="114"/>
      <c r="Y61" s="114"/>
      <c r="Z61" s="114"/>
    </row>
    <row r="62" ht="19.5" customHeight="1">
      <c r="A62" s="114"/>
      <c r="B62" s="108" t="s">
        <v>256</v>
      </c>
      <c r="C62" s="108" t="s">
        <v>722</v>
      </c>
      <c r="D62" s="108" t="s">
        <v>274</v>
      </c>
      <c r="E62" s="108" t="s">
        <v>5</v>
      </c>
      <c r="F62" s="114"/>
      <c r="G62" s="114"/>
      <c r="H62" s="114"/>
      <c r="I62" s="114"/>
      <c r="J62" s="114"/>
      <c r="K62" s="114"/>
      <c r="L62" s="114"/>
      <c r="M62" s="114"/>
      <c r="N62" s="114"/>
      <c r="O62" s="114"/>
      <c r="P62" s="114"/>
      <c r="Q62" s="114"/>
      <c r="R62" s="114"/>
      <c r="S62" s="114"/>
      <c r="T62" s="114"/>
      <c r="U62" s="114"/>
      <c r="V62" s="114"/>
      <c r="W62" s="114"/>
      <c r="X62" s="114"/>
      <c r="Y62" s="114"/>
      <c r="Z62" s="114"/>
    </row>
    <row r="63" ht="19.5" customHeight="1">
      <c r="A63" s="114"/>
      <c r="B63" s="84" t="s">
        <v>3876</v>
      </c>
      <c r="C63" s="110" t="s">
        <v>3877</v>
      </c>
      <c r="D63" s="18" t="s">
        <v>3877</v>
      </c>
      <c r="E63" s="426"/>
      <c r="F63" s="114"/>
      <c r="G63" s="114"/>
      <c r="H63" s="114"/>
      <c r="I63" s="114"/>
      <c r="J63" s="114"/>
      <c r="K63" s="114"/>
      <c r="L63" s="114"/>
      <c r="M63" s="114"/>
      <c r="N63" s="114"/>
      <c r="O63" s="114"/>
      <c r="P63" s="114"/>
      <c r="Q63" s="114"/>
      <c r="R63" s="114"/>
      <c r="S63" s="114"/>
      <c r="T63" s="114"/>
      <c r="U63" s="114"/>
      <c r="V63" s="114"/>
      <c r="W63" s="114"/>
      <c r="X63" s="114"/>
      <c r="Y63" s="114"/>
      <c r="Z63" s="114"/>
    </row>
    <row r="64" ht="19.5" customHeight="1">
      <c r="A64" s="114"/>
      <c r="B64" s="84" t="s">
        <v>3880</v>
      </c>
      <c r="C64" s="110" t="str">
        <f t="array" ref="C64">sample_cbr_firewall_rule_vcenter</f>
        <v>vCenter Inbound Rule</v>
      </c>
      <c r="D64" s="18" t="str">
        <f t="array" ref="D64">cbr_firewall_rule_vcenter</f>
        <v>Value Missing</v>
      </c>
      <c r="E64" s="426"/>
      <c r="F64" s="114"/>
      <c r="G64" s="114"/>
      <c r="H64" s="114"/>
      <c r="I64" s="114"/>
      <c r="J64" s="114"/>
      <c r="K64" s="114"/>
      <c r="L64" s="114"/>
      <c r="M64" s="114"/>
      <c r="N64" s="114"/>
      <c r="O64" s="114"/>
      <c r="P64" s="114"/>
      <c r="Q64" s="114"/>
      <c r="R64" s="114"/>
      <c r="S64" s="114"/>
      <c r="T64" s="114"/>
      <c r="U64" s="114"/>
      <c r="V64" s="114"/>
      <c r="W64" s="114"/>
      <c r="X64" s="114"/>
      <c r="Y64" s="114"/>
      <c r="Z64" s="114"/>
    </row>
    <row r="65" ht="19.5" customHeight="1">
      <c r="A65" s="114"/>
      <c r="B65" s="84" t="s">
        <v>3881</v>
      </c>
      <c r="C65" s="110" t="str">
        <f t="array" ref="C65">sample_cbr_firewall_group</f>
        <v>External-Access</v>
      </c>
      <c r="D65" s="18"/>
      <c r="E65" s="426"/>
      <c r="F65" s="114"/>
      <c r="G65" s="114"/>
      <c r="H65" s="114"/>
      <c r="I65" s="114"/>
      <c r="J65" s="114"/>
      <c r="K65" s="114"/>
      <c r="L65" s="114"/>
      <c r="M65" s="114"/>
      <c r="N65" s="114"/>
      <c r="O65" s="114"/>
      <c r="P65" s="114"/>
      <c r="Q65" s="114"/>
      <c r="R65" s="114"/>
      <c r="S65" s="114"/>
      <c r="T65" s="114"/>
      <c r="U65" s="114"/>
      <c r="V65" s="114"/>
      <c r="W65" s="114"/>
      <c r="X65" s="114"/>
      <c r="Y65" s="114"/>
      <c r="Z65" s="114"/>
    </row>
    <row r="66" ht="19.5" customHeight="1">
      <c r="A66" s="114"/>
      <c r="B66" s="84" t="s">
        <v>3882</v>
      </c>
      <c r="C66" s="110" t="s">
        <v>299</v>
      </c>
      <c r="D66" s="18" t="str">
        <f t="shared" ref="D66:D68" si="1">C66</f>
        <v>vCenter</v>
      </c>
      <c r="E66" s="426"/>
      <c r="F66" s="114"/>
      <c r="G66" s="114"/>
      <c r="H66" s="114"/>
      <c r="I66" s="114"/>
      <c r="J66" s="114"/>
      <c r="K66" s="114"/>
      <c r="L66" s="114"/>
      <c r="M66" s="114"/>
      <c r="N66" s="114"/>
      <c r="O66" s="114"/>
      <c r="P66" s="114"/>
      <c r="Q66" s="114"/>
      <c r="R66" s="114"/>
      <c r="S66" s="114"/>
      <c r="T66" s="114"/>
      <c r="U66" s="114"/>
      <c r="V66" s="114"/>
      <c r="W66" s="114"/>
      <c r="X66" s="114"/>
      <c r="Y66" s="114"/>
      <c r="Z66" s="114"/>
    </row>
    <row r="67" ht="19.5" customHeight="1">
      <c r="A67" s="114"/>
      <c r="B67" s="84" t="s">
        <v>3883</v>
      </c>
      <c r="C67" s="110" t="s">
        <v>3884</v>
      </c>
      <c r="D67" s="18" t="str">
        <f t="shared" si="1"/>
        <v>HTTPS (TCP 443)</v>
      </c>
      <c r="E67" s="426"/>
      <c r="F67" s="114"/>
      <c r="G67" s="114"/>
      <c r="H67" s="114"/>
      <c r="I67" s="114"/>
      <c r="J67" s="114"/>
      <c r="K67" s="114"/>
      <c r="L67" s="114"/>
      <c r="M67" s="114"/>
      <c r="N67" s="114"/>
      <c r="O67" s="114"/>
      <c r="P67" s="114"/>
      <c r="Q67" s="114"/>
      <c r="R67" s="114"/>
      <c r="S67" s="114"/>
      <c r="T67" s="114"/>
      <c r="U67" s="114"/>
      <c r="V67" s="114"/>
      <c r="W67" s="114"/>
      <c r="X67" s="114"/>
      <c r="Y67" s="114"/>
      <c r="Z67" s="114"/>
    </row>
    <row r="68" ht="19.5" customHeight="1">
      <c r="A68" s="114"/>
      <c r="B68" s="84" t="s">
        <v>3883</v>
      </c>
      <c r="C68" s="110" t="s">
        <v>3885</v>
      </c>
      <c r="D68" s="18" t="str">
        <f t="shared" si="1"/>
        <v>SSO (TCP 7444)</v>
      </c>
      <c r="E68" s="426"/>
      <c r="F68" s="114"/>
      <c r="G68" s="114"/>
      <c r="H68" s="114"/>
      <c r="I68" s="114"/>
      <c r="J68" s="114"/>
      <c r="K68" s="114"/>
      <c r="L68" s="114"/>
      <c r="M68" s="114"/>
      <c r="N68" s="114"/>
      <c r="O68" s="114"/>
      <c r="P68" s="114"/>
      <c r="Q68" s="114"/>
      <c r="R68" s="114"/>
      <c r="S68" s="114"/>
      <c r="T68" s="114"/>
      <c r="U68" s="114"/>
      <c r="V68" s="114"/>
      <c r="W68" s="114"/>
      <c r="X68" s="114"/>
      <c r="Y68" s="114"/>
      <c r="Z68" s="114"/>
    </row>
    <row r="69" ht="19.5" customHeight="1">
      <c r="A69" s="114"/>
      <c r="B69" s="84" t="s">
        <v>3886</v>
      </c>
      <c r="C69" s="110" t="str">
        <f t="array" ref="C69">sample_cbr_firewall_ip_addresses</f>
        <v>69.34.34.11</v>
      </c>
      <c r="D69" s="18"/>
      <c r="E69" s="426"/>
      <c r="F69" s="114"/>
      <c r="G69" s="114"/>
      <c r="H69" s="114"/>
      <c r="I69" s="114"/>
      <c r="J69" s="114"/>
      <c r="K69" s="114"/>
      <c r="L69" s="114"/>
      <c r="M69" s="114"/>
      <c r="N69" s="114"/>
      <c r="O69" s="114"/>
      <c r="P69" s="114"/>
      <c r="Q69" s="114"/>
      <c r="R69" s="114"/>
      <c r="S69" s="114"/>
      <c r="T69" s="114"/>
      <c r="U69" s="114"/>
      <c r="V69" s="114"/>
      <c r="W69" s="114"/>
      <c r="X69" s="114"/>
      <c r="Y69" s="114"/>
      <c r="Z69" s="114"/>
    </row>
    <row r="70" ht="19.5" customHeight="1">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ht="33.75" customHeight="1">
      <c r="A71" s="114"/>
      <c r="B71" s="12" t="s">
        <v>3887</v>
      </c>
      <c r="C71" s="13"/>
      <c r="D71" s="13"/>
      <c r="E71" s="14"/>
      <c r="F71" s="114"/>
      <c r="G71" s="114"/>
      <c r="H71" s="114"/>
      <c r="I71" s="114"/>
      <c r="J71" s="114"/>
      <c r="K71" s="114"/>
      <c r="L71" s="114"/>
      <c r="M71" s="114"/>
      <c r="N71" s="114"/>
      <c r="O71" s="114"/>
      <c r="P71" s="114"/>
      <c r="Q71" s="114"/>
      <c r="R71" s="114"/>
      <c r="S71" s="114"/>
      <c r="T71" s="114"/>
      <c r="U71" s="114"/>
      <c r="V71" s="114"/>
      <c r="W71" s="114"/>
      <c r="X71" s="114"/>
      <c r="Y71" s="114"/>
      <c r="Z71" s="114"/>
    </row>
    <row r="72" ht="19.5" customHeight="1">
      <c r="A72" s="114"/>
      <c r="B72" s="108" t="s">
        <v>256</v>
      </c>
      <c r="C72" s="108" t="s">
        <v>722</v>
      </c>
      <c r="D72" s="108" t="s">
        <v>274</v>
      </c>
      <c r="E72" s="108" t="s">
        <v>5</v>
      </c>
      <c r="F72" s="114"/>
      <c r="G72" s="114"/>
      <c r="H72" s="114"/>
      <c r="I72" s="114"/>
      <c r="J72" s="114"/>
      <c r="K72" s="114"/>
      <c r="L72" s="114"/>
      <c r="M72" s="114"/>
      <c r="N72" s="114"/>
      <c r="O72" s="114"/>
      <c r="P72" s="114"/>
      <c r="Q72" s="114"/>
      <c r="R72" s="114"/>
      <c r="S72" s="114"/>
      <c r="T72" s="114"/>
      <c r="U72" s="114"/>
      <c r="V72" s="114"/>
      <c r="W72" s="114"/>
      <c r="X72" s="114"/>
      <c r="Y72" s="114"/>
      <c r="Z72" s="114"/>
    </row>
    <row r="73" ht="19.5" customHeight="1">
      <c r="A73" s="114"/>
      <c r="B73" s="84" t="s">
        <v>3876</v>
      </c>
      <c r="C73" s="110" t="s">
        <v>3877</v>
      </c>
      <c r="D73" s="18" t="s">
        <v>3877</v>
      </c>
      <c r="E73" s="426"/>
      <c r="F73" s="114"/>
      <c r="G73" s="114"/>
      <c r="H73" s="114"/>
      <c r="I73" s="114"/>
      <c r="J73" s="114"/>
      <c r="K73" s="114"/>
      <c r="L73" s="114"/>
      <c r="M73" s="114"/>
      <c r="N73" s="114"/>
      <c r="O73" s="114"/>
      <c r="P73" s="114"/>
      <c r="Q73" s="114"/>
      <c r="R73" s="114"/>
      <c r="S73" s="114"/>
      <c r="T73" s="114"/>
      <c r="U73" s="114"/>
      <c r="V73" s="114"/>
      <c r="W73" s="114"/>
      <c r="X73" s="114"/>
      <c r="Y73" s="114"/>
      <c r="Z73" s="114"/>
    </row>
    <row r="74" ht="19.5" customHeight="1">
      <c r="A74" s="114"/>
      <c r="B74" s="84" t="s">
        <v>2568</v>
      </c>
      <c r="C74" s="110" t="str">
        <f>sample_cbr_recovery_region</f>
        <v>Europe (Ireland)</v>
      </c>
      <c r="D74" s="18" t="str">
        <f>cbr_recovery_region</f>
        <v>Value Missing</v>
      </c>
      <c r="E74" s="426"/>
      <c r="F74" s="114"/>
      <c r="G74" s="114"/>
      <c r="H74" s="114"/>
      <c r="I74" s="114"/>
      <c r="J74" s="114"/>
      <c r="K74" s="114"/>
      <c r="L74" s="114"/>
      <c r="M74" s="114"/>
      <c r="N74" s="114"/>
      <c r="O74" s="114"/>
      <c r="P74" s="114"/>
      <c r="Q74" s="114"/>
      <c r="R74" s="114"/>
      <c r="S74" s="114"/>
      <c r="T74" s="114"/>
      <c r="U74" s="114"/>
      <c r="V74" s="114"/>
      <c r="W74" s="114"/>
      <c r="X74" s="114"/>
      <c r="Y74" s="114"/>
      <c r="Z74" s="114"/>
    </row>
    <row r="75" ht="19.5" customHeight="1">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ht="33.75" customHeight="1">
      <c r="A76" s="114"/>
      <c r="B76" s="12" t="s">
        <v>3888</v>
      </c>
      <c r="C76" s="13"/>
      <c r="D76" s="13"/>
      <c r="E76" s="14"/>
      <c r="F76" s="114"/>
      <c r="G76" s="114"/>
      <c r="H76" s="114"/>
      <c r="I76" s="114"/>
      <c r="J76" s="114"/>
      <c r="K76" s="114"/>
      <c r="L76" s="114"/>
      <c r="M76" s="114"/>
      <c r="N76" s="114"/>
      <c r="O76" s="114"/>
      <c r="P76" s="114"/>
      <c r="Q76" s="114"/>
      <c r="R76" s="114"/>
      <c r="S76" s="114"/>
      <c r="T76" s="114"/>
      <c r="U76" s="114"/>
      <c r="V76" s="114"/>
      <c r="W76" s="114"/>
      <c r="X76" s="114"/>
      <c r="Y76" s="114"/>
      <c r="Z76" s="114"/>
    </row>
    <row r="77" ht="19.5" customHeight="1">
      <c r="A77" s="114"/>
      <c r="B77" s="108" t="s">
        <v>256</v>
      </c>
      <c r="C77" s="108" t="s">
        <v>722</v>
      </c>
      <c r="D77" s="108" t="s">
        <v>274</v>
      </c>
      <c r="E77" s="108" t="s">
        <v>5</v>
      </c>
      <c r="F77" s="114"/>
      <c r="G77" s="114"/>
      <c r="H77" s="114"/>
      <c r="I77" s="114"/>
      <c r="J77" s="114"/>
      <c r="K77" s="114"/>
      <c r="L77" s="114"/>
      <c r="M77" s="114"/>
      <c r="N77" s="114"/>
      <c r="O77" s="114"/>
      <c r="P77" s="114"/>
      <c r="Q77" s="114"/>
      <c r="R77" s="114"/>
      <c r="S77" s="114"/>
      <c r="T77" s="114"/>
      <c r="U77" s="114"/>
      <c r="V77" s="114"/>
      <c r="W77" s="114"/>
      <c r="X77" s="114"/>
      <c r="Y77" s="114"/>
      <c r="Z77" s="114"/>
    </row>
    <row r="78" ht="19.5" customHeight="1">
      <c r="A78" s="114"/>
      <c r="B78" s="84" t="s">
        <v>3876</v>
      </c>
      <c r="C78" s="110" t="s">
        <v>3877</v>
      </c>
      <c r="D78" s="18" t="s">
        <v>3877</v>
      </c>
      <c r="E78" s="426"/>
      <c r="F78" s="114"/>
      <c r="G78" s="114"/>
      <c r="H78" s="114"/>
      <c r="I78" s="114"/>
      <c r="J78" s="114"/>
      <c r="K78" s="114"/>
      <c r="L78" s="114"/>
      <c r="M78" s="114"/>
      <c r="N78" s="114"/>
      <c r="O78" s="114"/>
      <c r="P78" s="114"/>
      <c r="Q78" s="114"/>
      <c r="R78" s="114"/>
      <c r="S78" s="114"/>
      <c r="T78" s="114"/>
      <c r="U78" s="114"/>
      <c r="V78" s="114"/>
      <c r="W78" s="114"/>
      <c r="X78" s="114"/>
      <c r="Y78" s="114"/>
      <c r="Z78" s="114"/>
    </row>
    <row r="79" ht="19.5" customHeight="1">
      <c r="A79" s="114"/>
      <c r="B79" s="84" t="s">
        <v>3889</v>
      </c>
      <c r="C79" s="110" t="str">
        <f>sample_cbr_recovery_region</f>
        <v>Europe (Ireland)</v>
      </c>
      <c r="D79" s="18" t="str">
        <f>cbr_recovery_region</f>
        <v>Value Missing</v>
      </c>
      <c r="E79" s="426"/>
      <c r="F79" s="114"/>
      <c r="G79" s="114"/>
      <c r="H79" s="114"/>
      <c r="I79" s="114"/>
      <c r="J79" s="114"/>
      <c r="K79" s="114"/>
      <c r="L79" s="114"/>
      <c r="M79" s="114"/>
      <c r="N79" s="114"/>
      <c r="O79" s="114"/>
      <c r="P79" s="114"/>
      <c r="Q79" s="114"/>
      <c r="R79" s="114"/>
      <c r="S79" s="114"/>
      <c r="T79" s="114"/>
      <c r="U79" s="114"/>
      <c r="V79" s="114"/>
      <c r="W79" s="114"/>
      <c r="X79" s="114"/>
      <c r="Y79" s="114"/>
      <c r="Z79" s="114"/>
    </row>
    <row r="80" ht="19.5" customHeight="1">
      <c r="A80" s="114"/>
      <c r="B80" s="84" t="s">
        <v>3890</v>
      </c>
      <c r="C80" s="110" t="str">
        <f t="array" ref="C80">sample_cbr_vcdr_cloud_file_system</f>
        <v>usw2-az2-cfs01</v>
      </c>
      <c r="D80" s="18"/>
      <c r="E80" s="426"/>
      <c r="F80" s="114"/>
      <c r="G80" s="114"/>
      <c r="H80" s="114"/>
      <c r="I80" s="114"/>
      <c r="J80" s="114"/>
      <c r="K80" s="114"/>
      <c r="L80" s="114"/>
      <c r="M80" s="114"/>
      <c r="N80" s="114"/>
      <c r="O80" s="114"/>
      <c r="P80" s="114"/>
      <c r="Q80" s="114"/>
      <c r="R80" s="114"/>
      <c r="S80" s="114"/>
      <c r="T80" s="114"/>
      <c r="U80" s="114"/>
      <c r="V80" s="114"/>
      <c r="W80" s="114"/>
      <c r="X80" s="114"/>
      <c r="Y80" s="114"/>
      <c r="Z80" s="114"/>
    </row>
    <row r="81" ht="19.5" customHeight="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ht="33.75" customHeight="1">
      <c r="A82" s="114"/>
      <c r="B82" s="12" t="s">
        <v>3891</v>
      </c>
      <c r="C82" s="13"/>
      <c r="D82" s="13"/>
      <c r="E82" s="14"/>
      <c r="F82" s="114"/>
      <c r="G82" s="114"/>
      <c r="H82" s="114"/>
      <c r="I82" s="114"/>
      <c r="J82" s="114"/>
      <c r="K82" s="114"/>
      <c r="L82" s="114"/>
      <c r="M82" s="114"/>
      <c r="N82" s="114"/>
      <c r="O82" s="114"/>
      <c r="P82" s="114"/>
      <c r="Q82" s="114"/>
      <c r="R82" s="114"/>
      <c r="S82" s="114"/>
      <c r="T82" s="114"/>
      <c r="U82" s="114"/>
      <c r="V82" s="114"/>
      <c r="W82" s="114"/>
      <c r="X82" s="114"/>
      <c r="Y82" s="114"/>
      <c r="Z82" s="114"/>
    </row>
    <row r="83" ht="19.5" customHeight="1">
      <c r="A83" s="114"/>
      <c r="B83" s="108" t="s">
        <v>256</v>
      </c>
      <c r="C83" s="108" t="s">
        <v>722</v>
      </c>
      <c r="D83" s="108" t="s">
        <v>274</v>
      </c>
      <c r="E83" s="108" t="s">
        <v>5</v>
      </c>
      <c r="F83" s="114"/>
      <c r="G83" s="114"/>
      <c r="H83" s="114"/>
      <c r="I83" s="114"/>
      <c r="J83" s="114"/>
      <c r="K83" s="114"/>
      <c r="L83" s="114"/>
      <c r="M83" s="114"/>
      <c r="N83" s="114"/>
      <c r="O83" s="114"/>
      <c r="P83" s="114"/>
      <c r="Q83" s="114"/>
      <c r="R83" s="114"/>
      <c r="S83" s="114"/>
      <c r="T83" s="114"/>
      <c r="U83" s="114"/>
      <c r="V83" s="114"/>
      <c r="W83" s="114"/>
      <c r="X83" s="114"/>
      <c r="Y83" s="114"/>
      <c r="Z83" s="114"/>
    </row>
    <row r="84" ht="19.5" customHeight="1">
      <c r="A84" s="114"/>
      <c r="B84" s="84" t="s">
        <v>3876</v>
      </c>
      <c r="C84" s="110" t="s">
        <v>3877</v>
      </c>
      <c r="D84" s="18" t="s">
        <v>3877</v>
      </c>
      <c r="E84" s="426"/>
      <c r="F84" s="114"/>
      <c r="G84" s="114"/>
      <c r="H84" s="114"/>
      <c r="I84" s="114"/>
      <c r="J84" s="114"/>
      <c r="K84" s="114"/>
      <c r="L84" s="114"/>
      <c r="M84" s="114"/>
      <c r="N84" s="114"/>
      <c r="O84" s="114"/>
      <c r="P84" s="114"/>
      <c r="Q84" s="114"/>
      <c r="R84" s="114"/>
      <c r="S84" s="114"/>
      <c r="T84" s="114"/>
      <c r="U84" s="114"/>
      <c r="V84" s="114"/>
      <c r="W84" s="114"/>
      <c r="X84" s="114"/>
      <c r="Y84" s="114"/>
      <c r="Z84" s="114"/>
    </row>
    <row r="85" ht="19.5" customHeight="1">
      <c r="A85" s="114"/>
      <c r="B85" s="84" t="s">
        <v>3892</v>
      </c>
      <c r="C85" s="110" t="str">
        <f>sample_cbr_vcdr_cloud_file_system</f>
        <v>usw2-az2-cfs01</v>
      </c>
      <c r="D85" s="18"/>
      <c r="E85" s="426"/>
      <c r="F85" s="114"/>
      <c r="G85" s="114"/>
      <c r="H85" s="114"/>
      <c r="I85" s="114"/>
      <c r="J85" s="114"/>
      <c r="K85" s="114"/>
      <c r="L85" s="114"/>
      <c r="M85" s="114"/>
      <c r="N85" s="114"/>
      <c r="O85" s="114"/>
      <c r="P85" s="114"/>
      <c r="Q85" s="114"/>
      <c r="R85" s="114"/>
      <c r="S85" s="114"/>
      <c r="T85" s="114"/>
      <c r="U85" s="114"/>
      <c r="V85" s="114"/>
      <c r="W85" s="114"/>
      <c r="X85" s="114"/>
      <c r="Y85" s="114"/>
      <c r="Z85" s="114"/>
    </row>
    <row r="86" ht="19.5" customHeight="1">
      <c r="A86" s="114"/>
      <c r="B86" s="84" t="s">
        <v>3893</v>
      </c>
      <c r="C86" s="110" t="str">
        <f t="array" ref="C86">sample_cbr_vcdr_timezone</f>
        <v>UTC</v>
      </c>
      <c r="D86" s="18" t="str">
        <f t="array" ref="D86">cbr_vcdr_timezone</f>
        <v>Value Missing</v>
      </c>
      <c r="E86" s="426"/>
      <c r="F86" s="114"/>
      <c r="G86" s="114"/>
      <c r="H86" s="114"/>
      <c r="I86" s="114"/>
      <c r="J86" s="114"/>
      <c r="K86" s="114"/>
      <c r="L86" s="114"/>
      <c r="M86" s="114"/>
      <c r="N86" s="114"/>
      <c r="O86" s="114"/>
      <c r="P86" s="114"/>
      <c r="Q86" s="114"/>
      <c r="R86" s="114"/>
      <c r="S86" s="114"/>
      <c r="T86" s="114"/>
      <c r="U86" s="114"/>
      <c r="V86" s="114"/>
      <c r="W86" s="114"/>
      <c r="X86" s="114"/>
      <c r="Y86" s="114"/>
      <c r="Z86" s="114"/>
    </row>
    <row r="87" ht="19.5" customHeight="1">
      <c r="A87" s="114"/>
      <c r="B87" s="84" t="s">
        <v>3894</v>
      </c>
      <c r="C87" s="110" t="str">
        <f t="array" ref="C87">sample_cbr_vcdr_site_name</f>
        <v>lax-vcf01-instance</v>
      </c>
      <c r="D87" s="18" t="str">
        <f t="array" ref="D87">cbr_vcdr_site_name</f>
        <v>Value Missing</v>
      </c>
      <c r="E87" s="426"/>
      <c r="F87" s="114"/>
      <c r="G87" s="114"/>
      <c r="H87" s="114"/>
      <c r="I87" s="114"/>
      <c r="J87" s="114"/>
      <c r="K87" s="114"/>
      <c r="L87" s="114"/>
      <c r="M87" s="114"/>
      <c r="N87" s="114"/>
      <c r="O87" s="114"/>
      <c r="P87" s="114"/>
      <c r="Q87" s="114"/>
      <c r="R87" s="114"/>
      <c r="S87" s="114"/>
      <c r="T87" s="114"/>
      <c r="U87" s="114"/>
      <c r="V87" s="114"/>
      <c r="W87" s="114"/>
      <c r="X87" s="114"/>
      <c r="Y87" s="114"/>
      <c r="Z87" s="114"/>
    </row>
    <row r="88" ht="19.5" customHeight="1">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ht="33.75" customHeight="1">
      <c r="A89" s="114"/>
      <c r="B89" s="12" t="s">
        <v>3895</v>
      </c>
      <c r="C89" s="13"/>
      <c r="D89" s="13"/>
      <c r="E89" s="14"/>
      <c r="F89" s="114"/>
      <c r="G89" s="114"/>
      <c r="H89" s="114"/>
      <c r="I89" s="114"/>
      <c r="J89" s="114"/>
      <c r="K89" s="114"/>
      <c r="L89" s="114"/>
      <c r="M89" s="114"/>
      <c r="N89" s="114"/>
      <c r="O89" s="114"/>
      <c r="P89" s="114"/>
      <c r="Q89" s="114"/>
      <c r="R89" s="114"/>
      <c r="S89" s="114"/>
      <c r="T89" s="114"/>
      <c r="U89" s="114"/>
      <c r="V89" s="114"/>
      <c r="W89" s="114"/>
      <c r="X89" s="114"/>
      <c r="Y89" s="114"/>
      <c r="Z89" s="114"/>
    </row>
    <row r="90" ht="19.5" customHeight="1">
      <c r="A90" s="114"/>
      <c r="B90" s="108" t="s">
        <v>256</v>
      </c>
      <c r="C90" s="108" t="s">
        <v>722</v>
      </c>
      <c r="D90" s="108" t="s">
        <v>274</v>
      </c>
      <c r="E90" s="108" t="s">
        <v>5</v>
      </c>
      <c r="F90" s="114"/>
      <c r="G90" s="114"/>
      <c r="H90" s="114"/>
      <c r="I90" s="114"/>
      <c r="J90" s="114"/>
      <c r="K90" s="114"/>
      <c r="L90" s="114"/>
      <c r="M90" s="114"/>
      <c r="N90" s="114"/>
      <c r="O90" s="114"/>
      <c r="P90" s="114"/>
      <c r="Q90" s="114"/>
      <c r="R90" s="114"/>
      <c r="S90" s="114"/>
      <c r="T90" s="114"/>
      <c r="U90" s="114"/>
      <c r="V90" s="114"/>
      <c r="W90" s="114"/>
      <c r="X90" s="114"/>
      <c r="Y90" s="114"/>
      <c r="Z90" s="114"/>
    </row>
    <row r="91" ht="19.5" customHeight="1">
      <c r="A91" s="114"/>
      <c r="B91" s="84" t="s">
        <v>3876</v>
      </c>
      <c r="C91" s="110" t="s">
        <v>3877</v>
      </c>
      <c r="D91" s="18" t="s">
        <v>3877</v>
      </c>
      <c r="E91" s="426"/>
      <c r="F91" s="114"/>
      <c r="G91" s="114"/>
      <c r="H91" s="114"/>
      <c r="I91" s="114"/>
      <c r="J91" s="114"/>
      <c r="K91" s="114"/>
      <c r="L91" s="114"/>
      <c r="M91" s="114"/>
      <c r="N91" s="114"/>
      <c r="O91" s="114"/>
      <c r="P91" s="114"/>
      <c r="Q91" s="114"/>
      <c r="R91" s="114"/>
      <c r="S91" s="114"/>
      <c r="T91" s="114"/>
      <c r="U91" s="114"/>
      <c r="V91" s="114"/>
      <c r="W91" s="114"/>
      <c r="X91" s="114"/>
      <c r="Y91" s="114"/>
      <c r="Z91" s="114"/>
    </row>
    <row r="92" ht="19.5" customHeight="1">
      <c r="A92" s="114"/>
      <c r="B92" s="84" t="s">
        <v>3896</v>
      </c>
      <c r="C92" s="110" t="str">
        <f>sample_cbr_vcdr_site_name</f>
        <v>lax-vcf01-instance</v>
      </c>
      <c r="D92" s="18" t="str">
        <f>cbr_vcdr_site_name</f>
        <v>Value Missing</v>
      </c>
      <c r="E92" s="426"/>
      <c r="F92" s="114"/>
      <c r="G92" s="114"/>
      <c r="H92" s="114"/>
      <c r="I92" s="114"/>
      <c r="J92" s="114"/>
      <c r="K92" s="114"/>
      <c r="L92" s="114"/>
      <c r="M92" s="114"/>
      <c r="N92" s="114"/>
      <c r="O92" s="114"/>
      <c r="P92" s="114"/>
      <c r="Q92" s="114"/>
      <c r="R92" s="114"/>
      <c r="S92" s="114"/>
      <c r="T92" s="114"/>
      <c r="U92" s="114"/>
      <c r="V92" s="114"/>
      <c r="W92" s="114"/>
      <c r="X92" s="114"/>
      <c r="Y92" s="114"/>
      <c r="Z92" s="114"/>
    </row>
    <row r="93" ht="19.5" customHeight="1">
      <c r="A93" s="114"/>
      <c r="B93" s="84" t="s">
        <v>3897</v>
      </c>
      <c r="C93" s="111" t="str">
        <f t="array" ref="C93">sample_cbr_vcdr_ova</f>
        <v>https://vcdr-34-212-247-60.app.vcdr.vmware.com:443/vmware-cloud-connector.ova</v>
      </c>
      <c r="D93" s="18" t="str">
        <f t="array" ref="D93">cbr_vcdr_ova</f>
        <v>Value Missing</v>
      </c>
      <c r="E93" s="426"/>
      <c r="F93" s="114"/>
      <c r="G93" s="114"/>
      <c r="H93" s="114"/>
      <c r="I93" s="114"/>
      <c r="J93" s="114"/>
      <c r="K93" s="114"/>
      <c r="L93" s="114"/>
      <c r="M93" s="114"/>
      <c r="N93" s="114"/>
      <c r="O93" s="114"/>
      <c r="P93" s="114"/>
      <c r="Q93" s="114"/>
      <c r="R93" s="114"/>
      <c r="S93" s="114"/>
      <c r="T93" s="114"/>
      <c r="U93" s="114"/>
      <c r="V93" s="114"/>
      <c r="W93" s="114"/>
      <c r="X93" s="114"/>
      <c r="Y93" s="114"/>
      <c r="Z93" s="114"/>
    </row>
    <row r="94" ht="19.5" customHeight="1">
      <c r="A94" s="114"/>
      <c r="B94" s="84" t="s">
        <v>3331</v>
      </c>
      <c r="C94" s="111" t="str">
        <f>sample_mgmt_vc_fqdn</f>
        <v>lax-m01-vc01.lax.rainpole.io</v>
      </c>
      <c r="D94" s="18" t="str">
        <f>mgmt_vc_fqdn</f>
        <v>Value Missing</v>
      </c>
      <c r="E94" s="426"/>
      <c r="F94" s="114"/>
      <c r="G94" s="114"/>
      <c r="H94" s="114"/>
      <c r="I94" s="114"/>
      <c r="J94" s="114"/>
      <c r="K94" s="114"/>
      <c r="L94" s="114"/>
      <c r="M94" s="114"/>
      <c r="N94" s="114"/>
      <c r="O94" s="114"/>
      <c r="P94" s="114"/>
      <c r="Q94" s="114"/>
      <c r="R94" s="114"/>
      <c r="S94" s="114"/>
      <c r="T94" s="114"/>
      <c r="U94" s="114"/>
      <c r="V94" s="114"/>
      <c r="W94" s="114"/>
      <c r="X94" s="114"/>
      <c r="Y94" s="114"/>
      <c r="Z94" s="114"/>
    </row>
    <row r="95" ht="19.5" customHeight="1">
      <c r="A95" s="114"/>
      <c r="B95" s="84" t="s">
        <v>3163</v>
      </c>
      <c r="C95" s="110" t="str">
        <f>sample_cbr_vm_folder</f>
        <v>lax-m01-fd-cbr</v>
      </c>
      <c r="D95" s="18" t="str">
        <f>cbr_vm_folder</f>
        <v>Value Missing</v>
      </c>
      <c r="E95" s="426"/>
      <c r="F95" s="114"/>
      <c r="G95" s="114"/>
      <c r="H95" s="114"/>
      <c r="I95" s="114"/>
      <c r="J95" s="114"/>
      <c r="K95" s="114"/>
      <c r="L95" s="114"/>
      <c r="M95" s="114"/>
      <c r="N95" s="114"/>
      <c r="O95" s="114"/>
      <c r="P95" s="114"/>
      <c r="Q95" s="114"/>
      <c r="R95" s="114"/>
      <c r="S95" s="114"/>
      <c r="T95" s="114"/>
      <c r="U95" s="114"/>
      <c r="V95" s="114"/>
      <c r="W95" s="114"/>
      <c r="X95" s="114"/>
      <c r="Y95" s="114"/>
      <c r="Z95" s="114"/>
    </row>
    <row r="96" ht="19.5" customHeight="1">
      <c r="A96" s="114"/>
      <c r="B96" s="84" t="s">
        <v>3254</v>
      </c>
      <c r="C96" s="110" t="str">
        <f t="array" ref="C96">sample_cbr_vcdr_cdp1_hostname</f>
        <v>lax-cbr-cdp01a</v>
      </c>
      <c r="D96" s="18" t="str">
        <f t="array" ref="D96">cbr_vcdr_cdp1_hostname</f>
        <v>Value Missing</v>
      </c>
      <c r="E96" s="426"/>
      <c r="F96" s="114"/>
      <c r="G96" s="114"/>
      <c r="H96" s="114"/>
      <c r="I96" s="114"/>
      <c r="J96" s="114"/>
      <c r="K96" s="114"/>
      <c r="L96" s="114"/>
      <c r="M96" s="114"/>
      <c r="N96" s="114"/>
      <c r="O96" s="114"/>
      <c r="P96" s="114"/>
      <c r="Q96" s="114"/>
      <c r="R96" s="114"/>
      <c r="S96" s="114"/>
      <c r="T96" s="114"/>
      <c r="U96" s="114"/>
      <c r="V96" s="114"/>
      <c r="W96" s="114"/>
      <c r="X96" s="114"/>
      <c r="Y96" s="114"/>
      <c r="Z96" s="114"/>
    </row>
    <row r="97" ht="19.5" customHeight="1">
      <c r="A97" s="114"/>
      <c r="B97" s="84" t="s">
        <v>3256</v>
      </c>
      <c r="C97" s="110" t="str">
        <f>sample_mgmt_cl01_cluster</f>
        <v>lax-m01-cl01</v>
      </c>
      <c r="D97" s="18" t="str">
        <f>mgmt_cl01_cluster</f>
        <v>Value Missing</v>
      </c>
      <c r="E97" s="426"/>
      <c r="F97" s="114"/>
      <c r="G97" s="114"/>
      <c r="H97" s="114"/>
      <c r="I97" s="114"/>
      <c r="J97" s="114"/>
      <c r="K97" s="114"/>
      <c r="L97" s="114"/>
      <c r="M97" s="114"/>
      <c r="N97" s="114"/>
      <c r="O97" s="114"/>
      <c r="P97" s="114"/>
      <c r="Q97" s="114"/>
      <c r="R97" s="114"/>
      <c r="S97" s="114"/>
      <c r="T97" s="114"/>
      <c r="U97" s="114"/>
      <c r="V97" s="114"/>
      <c r="W97" s="114"/>
      <c r="X97" s="114"/>
      <c r="Y97" s="114"/>
      <c r="Z97" s="114"/>
    </row>
    <row r="98" ht="19.5" customHeight="1">
      <c r="A98" s="114"/>
      <c r="B98" s="84" t="s">
        <v>3898</v>
      </c>
      <c r="C98" s="110" t="str">
        <f>sample_mgmt_cl01_vsan_datastore</f>
        <v>lax-m01-cl01-ds-nfs01</v>
      </c>
      <c r="D98" s="18" t="str">
        <f>mgmt_cl01_vsan_datastore</f>
        <v>Value Missing</v>
      </c>
      <c r="E98" s="426"/>
      <c r="F98" s="114"/>
      <c r="G98" s="114"/>
      <c r="H98" s="114"/>
      <c r="I98" s="114"/>
      <c r="J98" s="114"/>
      <c r="K98" s="114"/>
      <c r="L98" s="114"/>
      <c r="M98" s="114"/>
      <c r="N98" s="114"/>
      <c r="O98" s="114"/>
      <c r="P98" s="114"/>
      <c r="Q98" s="114"/>
      <c r="R98" s="114"/>
      <c r="S98" s="114"/>
      <c r="T98" s="114"/>
      <c r="U98" s="114"/>
      <c r="V98" s="114"/>
      <c r="W98" s="114"/>
      <c r="X98" s="114"/>
      <c r="Y98" s="114"/>
      <c r="Z98" s="114"/>
    </row>
    <row r="99" ht="19.5" customHeight="1">
      <c r="A99" s="114"/>
      <c r="B99" s="84" t="s">
        <v>717</v>
      </c>
      <c r="C99" s="110" t="str">
        <f>sample_mgmt_cl01_az1_mgmt_pg</f>
        <v>lax-m01-cl01-vds01-pg-mgmt</v>
      </c>
      <c r="D99" s="18" t="str">
        <f>mgmt_cl01_az1_mgmt_pg</f>
        <v>Value Missing</v>
      </c>
      <c r="E99" s="426"/>
      <c r="F99" s="114"/>
      <c r="G99" s="114"/>
      <c r="H99" s="114"/>
      <c r="I99" s="114"/>
      <c r="J99" s="114"/>
      <c r="K99" s="114"/>
      <c r="L99" s="114"/>
      <c r="M99" s="114"/>
      <c r="N99" s="114"/>
      <c r="O99" s="114"/>
      <c r="P99" s="114"/>
      <c r="Q99" s="114"/>
      <c r="R99" s="114"/>
      <c r="S99" s="114"/>
      <c r="T99" s="114"/>
      <c r="U99" s="114"/>
      <c r="V99" s="114"/>
      <c r="W99" s="114"/>
      <c r="X99" s="114"/>
      <c r="Y99" s="114"/>
      <c r="Z99" s="114"/>
    </row>
    <row r="100" ht="19.5" customHeight="1">
      <c r="A100" s="114"/>
      <c r="B100" s="84" t="s">
        <v>3899</v>
      </c>
      <c r="C100" s="110" t="s">
        <v>889</v>
      </c>
      <c r="D100" s="18" t="str">
        <f>C100</f>
        <v>admin</v>
      </c>
      <c r="E100" s="426"/>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ht="19.5" customHeight="1">
      <c r="A101" s="114"/>
      <c r="B101" s="84" t="s">
        <v>1192</v>
      </c>
      <c r="C101" s="110"/>
      <c r="D101" s="18"/>
      <c r="E101" s="426"/>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ht="19.5" customHeight="1">
      <c r="A102" s="114"/>
      <c r="B102" s="84" t="s">
        <v>3900</v>
      </c>
      <c r="C102" s="110" t="s">
        <v>599</v>
      </c>
      <c r="D102" s="18" t="str">
        <f>C102</f>
        <v>Static</v>
      </c>
      <c r="E102" s="426"/>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ht="19.5" customHeight="1">
      <c r="A103" s="114"/>
      <c r="B103" s="84" t="s">
        <v>741</v>
      </c>
      <c r="C103" s="110" t="str">
        <f t="array" ref="C103">sample_cbr_vcdr_cdp1_ip</f>
        <v>10.21.10.44</v>
      </c>
      <c r="D103" s="18" t="str">
        <f t="array" ref="D103">cbr_vcdr_cdp1_ip</f>
        <v>Value Missing</v>
      </c>
      <c r="E103" s="426"/>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9.5" customHeight="1">
      <c r="A104" s="114"/>
      <c r="B104" s="84" t="s">
        <v>3901</v>
      </c>
      <c r="C104" s="298" t="str">
        <f>VLOOKUP(INT(RIGHT(sample_mgmt_az1_mgmt_cidr,LEN(sample_mgmt_az1_mgmt_cidr)-FIND("/",sample_mgmt_az1_mgmt_cidr))),table_cidr_to_mask,2,FALSE)</f>
        <v>255.255.255.0</v>
      </c>
      <c r="D104" s="18" t="str">
        <f>mgmt_az1_mgmt_mask</f>
        <v>Value Missing</v>
      </c>
      <c r="E104" s="426"/>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9.5" customHeight="1">
      <c r="A105" s="114"/>
      <c r="B105" s="84" t="s">
        <v>402</v>
      </c>
      <c r="C105" s="110" t="str">
        <f>sample_mgmt_az1_mgmt_gateway_ip</f>
        <v>10.21.11.1</v>
      </c>
      <c r="D105" s="18" t="str">
        <f>mgmt_az1_mgmt_gateway_ip</f>
        <v>Value Missing</v>
      </c>
      <c r="E105" s="426"/>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9.5" customHeight="1">
      <c r="A106" s="114"/>
      <c r="B106" s="84" t="s">
        <v>1056</v>
      </c>
      <c r="C106" s="110" t="str">
        <f>CONCATENATE(sample_region_dns1_ip," ",sample_region_dns2_ip)</f>
        <v>10.21.10.4 10.21.10.5</v>
      </c>
      <c r="D106" s="18" t="str">
        <f>CONCATENATE(region_dns1_ip," ",region_dns2_ip)</f>
        <v>Value Missing Value Missing</v>
      </c>
      <c r="E106" s="426"/>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9.5" customHeight="1">
      <c r="A107" s="114"/>
      <c r="B107" s="84" t="s">
        <v>2621</v>
      </c>
      <c r="C107" s="111" t="str">
        <f t="array" ref="C107">sample_cbr_vcdr_orchestrator_fqdn</f>
        <v>vcdr-34-212-247-60.app.vcdr.vmware.com</v>
      </c>
      <c r="D107" s="18" t="str">
        <f t="array" ref="D107">cbr_vcdr_orchestrator_fqdn</f>
        <v>Value Missing</v>
      </c>
      <c r="E107" s="426"/>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9.5" customHeight="1">
      <c r="A108" s="114"/>
      <c r="B108" s="84" t="s">
        <v>2625</v>
      </c>
      <c r="C108" s="110" t="str">
        <f t="array" ref="C108">sample_cbr_vcdr_passcode</f>
        <v>&lt;generated&gt;</v>
      </c>
      <c r="D108" s="18" t="str">
        <f t="array" ref="D108">cbr_vcdr_passcode</f>
        <v>Value Missing</v>
      </c>
      <c r="E108" s="426"/>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9.5" customHeight="1">
      <c r="A109" s="114"/>
      <c r="B109" s="84" t="s">
        <v>2629</v>
      </c>
      <c r="C109" s="110" t="str">
        <f t="array" ref="C109">sample_cbr_vcdr_label</f>
        <v>lax-cbr-cdp01</v>
      </c>
      <c r="D109" s="18" t="str">
        <f t="array" ref="D109">cbr_vcdr_label</f>
        <v>Value Missing</v>
      </c>
      <c r="E109" s="426"/>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9.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33.75" customHeight="1">
      <c r="A111" s="425"/>
      <c r="B111" s="12" t="s">
        <v>3902</v>
      </c>
      <c r="C111" s="13"/>
      <c r="D111" s="13"/>
      <c r="E111" s="14"/>
      <c r="F111" s="114"/>
      <c r="G111" s="114"/>
      <c r="H111" s="114"/>
      <c r="I111" s="114"/>
      <c r="J111" s="114"/>
      <c r="K111" s="114"/>
      <c r="L111" s="114"/>
      <c r="M111" s="114"/>
      <c r="N111" s="114"/>
      <c r="O111" s="114"/>
      <c r="P111" s="114"/>
      <c r="Q111" s="114"/>
      <c r="R111" s="114"/>
      <c r="S111" s="114"/>
      <c r="T111" s="41"/>
      <c r="U111" s="41"/>
      <c r="V111" s="41"/>
      <c r="W111" s="41"/>
      <c r="X111" s="41"/>
      <c r="Y111" s="41"/>
      <c r="Z111" s="41"/>
    </row>
    <row r="112" ht="19.5" customHeight="1">
      <c r="A112" s="425"/>
      <c r="B112" s="108" t="s">
        <v>256</v>
      </c>
      <c r="C112" s="108" t="s">
        <v>722</v>
      </c>
      <c r="D112" s="108" t="s">
        <v>274</v>
      </c>
      <c r="E112" s="108" t="s">
        <v>5</v>
      </c>
      <c r="F112" s="114"/>
      <c r="G112" s="114"/>
      <c r="H112" s="114"/>
      <c r="I112" s="114"/>
      <c r="J112" s="114"/>
      <c r="K112" s="114"/>
      <c r="L112" s="114"/>
      <c r="M112" s="114"/>
      <c r="N112" s="114"/>
      <c r="O112" s="114"/>
      <c r="P112" s="114"/>
      <c r="Q112" s="114"/>
      <c r="R112" s="114"/>
      <c r="S112" s="114"/>
      <c r="T112" s="41"/>
      <c r="U112" s="41"/>
      <c r="V112" s="41"/>
      <c r="W112" s="41"/>
      <c r="X112" s="41"/>
      <c r="Y112" s="41"/>
      <c r="Z112" s="41"/>
    </row>
    <row r="113" ht="19.5" customHeight="1">
      <c r="A113" s="425"/>
      <c r="B113" s="84" t="s">
        <v>3876</v>
      </c>
      <c r="C113" s="110" t="s">
        <v>3877</v>
      </c>
      <c r="D113" s="186" t="str">
        <f>C113</f>
        <v>console.cloud.vmware.com</v>
      </c>
      <c r="E113" s="426"/>
      <c r="F113" s="114"/>
      <c r="G113" s="114"/>
      <c r="H113" s="114"/>
      <c r="I113" s="114"/>
      <c r="J113" s="114"/>
      <c r="K113" s="114"/>
      <c r="L113" s="114"/>
      <c r="M113" s="114"/>
      <c r="N113" s="114"/>
      <c r="O113" s="114"/>
      <c r="P113" s="114"/>
      <c r="Q113" s="114"/>
      <c r="R113" s="114"/>
      <c r="S113" s="114"/>
      <c r="T113" s="41"/>
      <c r="U113" s="41"/>
      <c r="V113" s="41"/>
      <c r="W113" s="41"/>
      <c r="X113" s="41"/>
      <c r="Y113" s="41"/>
      <c r="Z113" s="41"/>
    </row>
    <row r="114" ht="19.5" customHeight="1">
      <c r="A114" s="425"/>
      <c r="B114" s="84" t="s">
        <v>3896</v>
      </c>
      <c r="C114" s="110" t="str">
        <f>sample_cbr_vcdr_site_name</f>
        <v>lax-vcf01-instance</v>
      </c>
      <c r="D114" s="18" t="str">
        <f>cbr_vcdr_site_name</f>
        <v>Value Missing</v>
      </c>
      <c r="E114" s="426"/>
      <c r="F114" s="114"/>
      <c r="G114" s="114"/>
      <c r="H114" s="114"/>
      <c r="I114" s="114"/>
      <c r="J114" s="114"/>
      <c r="K114" s="114"/>
      <c r="L114" s="114"/>
      <c r="M114" s="114"/>
      <c r="N114" s="114"/>
      <c r="O114" s="114"/>
      <c r="P114" s="114"/>
      <c r="Q114" s="114"/>
      <c r="R114" s="114"/>
      <c r="S114" s="114"/>
      <c r="T114" s="41"/>
      <c r="U114" s="41"/>
      <c r="V114" s="41"/>
      <c r="W114" s="41"/>
      <c r="X114" s="41"/>
      <c r="Y114" s="41"/>
      <c r="Z114" s="41"/>
    </row>
    <row r="115" ht="19.5" customHeight="1">
      <c r="A115" s="425"/>
      <c r="B115" s="84" t="s">
        <v>3903</v>
      </c>
      <c r="C115" s="110" t="str">
        <f>sample_wld_vc_ip</f>
        <v>10.21.10.130</v>
      </c>
      <c r="D115" s="18" t="str">
        <f>wld_vc_ip</f>
        <v>Value Missing</v>
      </c>
      <c r="E115" s="426"/>
      <c r="F115" s="114"/>
      <c r="G115" s="114"/>
      <c r="H115" s="114"/>
      <c r="I115" s="114"/>
      <c r="J115" s="114"/>
      <c r="K115" s="114"/>
      <c r="L115" s="114"/>
      <c r="M115" s="114"/>
      <c r="N115" s="114"/>
      <c r="O115" s="114"/>
      <c r="P115" s="114"/>
      <c r="Q115" s="114"/>
      <c r="R115" s="114"/>
      <c r="S115" s="114"/>
      <c r="T115" s="41"/>
      <c r="U115" s="41"/>
      <c r="V115" s="41"/>
      <c r="W115" s="41"/>
      <c r="X115" s="41"/>
      <c r="Y115" s="41"/>
      <c r="Z115" s="41"/>
    </row>
    <row r="116" ht="19.5" customHeight="1">
      <c r="A116" s="425"/>
      <c r="B116" s="84" t="s">
        <v>3904</v>
      </c>
      <c r="C116" s="111" t="str">
        <f>sso_default_admin</f>
        <v>administrator@vsphere.local</v>
      </c>
      <c r="D116" s="186" t="str">
        <f>sso_default_admin</f>
        <v>administrator@vsphere.local</v>
      </c>
      <c r="E116" s="426"/>
      <c r="F116" s="114"/>
      <c r="G116" s="114"/>
      <c r="H116" s="114"/>
      <c r="I116" s="114"/>
      <c r="J116" s="114"/>
      <c r="K116" s="114"/>
      <c r="L116" s="114"/>
      <c r="M116" s="114"/>
      <c r="N116" s="114"/>
      <c r="O116" s="114"/>
      <c r="P116" s="114"/>
      <c r="Q116" s="114"/>
      <c r="R116" s="114"/>
      <c r="S116" s="114"/>
      <c r="T116" s="41"/>
      <c r="U116" s="41"/>
      <c r="V116" s="41"/>
      <c r="W116" s="41"/>
      <c r="X116" s="41"/>
      <c r="Y116" s="41"/>
      <c r="Z116" s="41"/>
    </row>
    <row r="117" ht="19.5" customHeight="1">
      <c r="A117" s="425"/>
      <c r="B117" s="84" t="s">
        <v>3905</v>
      </c>
      <c r="C117" s="110" t="str">
        <f>sample_administrator_vsphere_local_password</f>
        <v>VMw@re1!VMw@re1!</v>
      </c>
      <c r="D117" s="18" t="str">
        <f>administrator_vsphere_local_password</f>
        <v>Value Missing</v>
      </c>
      <c r="E117" s="426"/>
      <c r="F117" s="114"/>
      <c r="G117" s="114"/>
      <c r="H117" s="114"/>
      <c r="I117" s="114"/>
      <c r="J117" s="114"/>
      <c r="K117" s="114"/>
      <c r="L117" s="114"/>
      <c r="M117" s="114"/>
      <c r="N117" s="114"/>
      <c r="O117" s="114"/>
      <c r="P117" s="114"/>
      <c r="Q117" s="114"/>
      <c r="R117" s="114"/>
      <c r="S117" s="114"/>
      <c r="T117" s="41"/>
      <c r="U117" s="41"/>
      <c r="V117" s="41"/>
      <c r="W117" s="41"/>
      <c r="X117" s="41"/>
      <c r="Y117" s="41"/>
      <c r="Z117" s="41"/>
    </row>
    <row r="118" ht="19.5" customHeight="1">
      <c r="A118" s="425"/>
      <c r="B118" s="84" t="s">
        <v>3906</v>
      </c>
      <c r="C118" s="110" t="str">
        <f>CONCATENATE(sample_svc_cbr_vcdr_vsphere_user,"@vsphere.local")</f>
        <v>svc-vlcr-vsphere@vsphere.local</v>
      </c>
      <c r="D118" s="18" t="str">
        <f>CONCATENATE(svc_cbr_vcdr_vsphere_user,"@vsphere.local")</f>
        <v>Value Missing@vsphere.local</v>
      </c>
      <c r="E118" s="426"/>
      <c r="F118" s="114"/>
      <c r="G118" s="114"/>
      <c r="H118" s="114"/>
      <c r="I118" s="114"/>
      <c r="J118" s="114"/>
      <c r="K118" s="114"/>
      <c r="L118" s="114"/>
      <c r="M118" s="114"/>
      <c r="N118" s="114"/>
      <c r="O118" s="114"/>
      <c r="P118" s="114"/>
      <c r="Q118" s="114"/>
      <c r="R118" s="114"/>
      <c r="S118" s="114"/>
      <c r="T118" s="41"/>
      <c r="U118" s="41"/>
      <c r="V118" s="41"/>
      <c r="W118" s="41"/>
      <c r="X118" s="41"/>
      <c r="Y118" s="41"/>
      <c r="Z118" s="41"/>
    </row>
    <row r="119" ht="19.5" customHeight="1">
      <c r="A119" s="425"/>
      <c r="B119" s="84" t="s">
        <v>3907</v>
      </c>
      <c r="C119" s="110" t="str">
        <f>sample_svc_cbr_vcdr_vsphere_password</f>
        <v>VMw@re1!</v>
      </c>
      <c r="D119" s="18" t="str">
        <f t="array" ref="D119">svc_cbr_vcdr_vsphere_password</f>
        <v>Value Missing</v>
      </c>
      <c r="E119" s="426"/>
      <c r="F119" s="114"/>
      <c r="G119" s="114"/>
      <c r="H119" s="114"/>
      <c r="I119" s="114"/>
      <c r="J119" s="114"/>
      <c r="K119" s="114"/>
      <c r="L119" s="114"/>
      <c r="M119" s="114"/>
      <c r="N119" s="114"/>
      <c r="O119" s="114"/>
      <c r="P119" s="114"/>
      <c r="Q119" s="114"/>
      <c r="R119" s="114"/>
      <c r="S119" s="114"/>
      <c r="T119" s="41"/>
      <c r="U119" s="41"/>
      <c r="V119" s="41"/>
      <c r="W119" s="41"/>
      <c r="X119" s="41"/>
      <c r="Y119" s="41"/>
      <c r="Z119" s="41"/>
    </row>
    <row r="120" ht="19.5" customHeight="1">
      <c r="A120" s="425"/>
      <c r="B120" s="173" t="s">
        <v>3908</v>
      </c>
      <c r="C120" s="110" t="str">
        <f>sample_cbr_vcdr_vsphere_role</f>
        <v>VMware Live Cyber Recovery to vSphere Integration</v>
      </c>
      <c r="D120" s="18" t="str">
        <f>cbr_vcdr_vsphere_role</f>
        <v>Value Missing</v>
      </c>
      <c r="E120" s="426"/>
      <c r="F120" s="114"/>
      <c r="G120" s="114"/>
      <c r="H120" s="114"/>
      <c r="I120" s="114"/>
      <c r="J120" s="114"/>
      <c r="K120" s="114"/>
      <c r="L120" s="114"/>
      <c r="M120" s="114"/>
      <c r="N120" s="114"/>
      <c r="O120" s="114"/>
      <c r="P120" s="114"/>
      <c r="Q120" s="114"/>
      <c r="R120" s="114"/>
      <c r="S120" s="114"/>
      <c r="T120" s="41"/>
      <c r="U120" s="41"/>
      <c r="V120" s="41"/>
      <c r="W120" s="41"/>
      <c r="X120" s="41"/>
      <c r="Y120" s="41"/>
      <c r="Z120" s="41"/>
    </row>
    <row r="121" ht="19.5" customHeight="1">
      <c r="A121" s="425"/>
      <c r="B121" s="323"/>
      <c r="C121" s="35"/>
      <c r="D121" s="35"/>
      <c r="E121" s="425"/>
      <c r="F121" s="114"/>
      <c r="G121" s="114"/>
      <c r="H121" s="114"/>
      <c r="I121" s="114"/>
      <c r="J121" s="114"/>
      <c r="K121" s="114"/>
      <c r="L121" s="114"/>
      <c r="M121" s="114"/>
      <c r="N121" s="114"/>
      <c r="O121" s="114"/>
      <c r="P121" s="114"/>
      <c r="Q121" s="114"/>
      <c r="R121" s="114"/>
      <c r="S121" s="114"/>
      <c r="T121" s="41"/>
      <c r="U121" s="41"/>
      <c r="V121" s="41"/>
      <c r="W121" s="41"/>
      <c r="X121" s="41"/>
      <c r="Y121" s="41"/>
      <c r="Z121" s="41"/>
    </row>
    <row r="122" ht="33.75" customHeight="1">
      <c r="A122" s="114"/>
      <c r="B122" s="12" t="s">
        <v>3909</v>
      </c>
      <c r="C122" s="13"/>
      <c r="D122" s="13"/>
      <c r="E122" s="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9.5" customHeight="1">
      <c r="A123" s="114"/>
      <c r="B123" s="108" t="s">
        <v>256</v>
      </c>
      <c r="C123" s="108" t="s">
        <v>722</v>
      </c>
      <c r="D123" s="108" t="s">
        <v>274</v>
      </c>
      <c r="E123" s="108" t="s">
        <v>5</v>
      </c>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9.5" customHeight="1">
      <c r="A124" s="114"/>
      <c r="B124" s="84" t="s">
        <v>3331</v>
      </c>
      <c r="C124" s="111" t="str">
        <f>sample_mgmt_vc_fqdn</f>
        <v>lax-m01-vc01.lax.rainpole.io</v>
      </c>
      <c r="D124" s="18" t="str">
        <f>mgmt_vc_fqdn</f>
        <v>Value Missing</v>
      </c>
      <c r="E124" s="426"/>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9.5" customHeight="1">
      <c r="A125" s="114"/>
      <c r="B125" s="84" t="s">
        <v>759</v>
      </c>
      <c r="C125" s="110" t="str">
        <f>sample_mgmt_datacenter</f>
        <v>lax-m01-dc01</v>
      </c>
      <c r="D125" s="18" t="str">
        <f>mgmt_datacenter</f>
        <v>Value Missing</v>
      </c>
      <c r="E125" s="426"/>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9.5" customHeight="1">
      <c r="A126" s="114"/>
      <c r="B126" s="84" t="s">
        <v>1178</v>
      </c>
      <c r="C126" s="110" t="str">
        <f>sample_mgmt_cl01_cluster</f>
        <v>lax-m01-cl01</v>
      </c>
      <c r="D126" s="18" t="str">
        <f>mgmt_cl01_cluster</f>
        <v>Value Missing</v>
      </c>
      <c r="E126" s="426"/>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9.5" customHeight="1">
      <c r="A127" s="114"/>
      <c r="B127" s="84" t="s">
        <v>256</v>
      </c>
      <c r="C127" s="110" t="str">
        <f>sample_cbr_vcdr_anti_affinity</f>
        <v>lax-m01anti-affinity-rule-cbr</v>
      </c>
      <c r="D127" s="18" t="str">
        <f>cbr_vcdr_anti_affinity</f>
        <v>Value Missing</v>
      </c>
      <c r="E127" s="426"/>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9.5" customHeight="1">
      <c r="A128" s="114"/>
      <c r="B128" s="84" t="s">
        <v>3910</v>
      </c>
      <c r="C128" s="110" t="str">
        <f>sample_cbr_vcdr_cdp1_hostname</f>
        <v>lax-cbr-cdp01a</v>
      </c>
      <c r="D128" s="18" t="str">
        <f>cbr_vcdr_cdp1_hostname</f>
        <v>Value Missing</v>
      </c>
      <c r="E128" s="426"/>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9.5" customHeight="1">
      <c r="A129" s="114"/>
      <c r="B129" s="71" t="s">
        <v>3911</v>
      </c>
      <c r="C129" s="185" t="str">
        <f>sample_cbr_vcdr_cdp2_hostname</f>
        <v>lax-cbr-cdp01b</v>
      </c>
      <c r="D129" s="32" t="str">
        <f>cbr_vcdr_cdp2_hostname</f>
        <v>Value Missing</v>
      </c>
      <c r="E129" s="426"/>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9.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33.75" customHeight="1">
      <c r="A131" s="114"/>
      <c r="B131" s="12" t="s">
        <v>3912</v>
      </c>
      <c r="C131" s="13"/>
      <c r="D131" s="13"/>
      <c r="E131" s="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9.5" customHeight="1">
      <c r="A132" s="114"/>
      <c r="B132" s="108" t="s">
        <v>256</v>
      </c>
      <c r="C132" s="108" t="s">
        <v>722</v>
      </c>
      <c r="D132" s="108" t="s">
        <v>274</v>
      </c>
      <c r="E132" s="108" t="s">
        <v>5</v>
      </c>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9.5" customHeight="1">
      <c r="A133" s="114"/>
      <c r="B133" s="84" t="s">
        <v>3331</v>
      </c>
      <c r="C133" s="111" t="str">
        <f>sample_mgmt_vc_fqdn</f>
        <v>lax-m01-vc01.lax.rainpole.io</v>
      </c>
      <c r="D133" s="18" t="str">
        <f>mgmt_vc_fqdn</f>
        <v>Value Missing</v>
      </c>
      <c r="E133" s="426"/>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9.5" customHeight="1">
      <c r="A134" s="114"/>
      <c r="B134" s="84" t="s">
        <v>256</v>
      </c>
      <c r="C134" s="110" t="str">
        <f>CONCATENATE(sample_mgmt_cl01_cluster,"_primary-az-vmgroup")</f>
        <v>lax-m01-cl01_primary-az-vmgroup</v>
      </c>
      <c r="D134" s="18" t="str">
        <f>CONCATENATE(mgmt_cl01_cluster,"_primary-az-vmgroup")</f>
        <v>Value Missing_primary-az-vmgroup</v>
      </c>
      <c r="E134" s="426"/>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9.5" customHeight="1">
      <c r="A135" s="114"/>
      <c r="B135" s="84" t="s">
        <v>3913</v>
      </c>
      <c r="C135" s="110" t="str">
        <f>sample_cbr_vcdr_cdp1_hostname</f>
        <v>lax-cbr-cdp01a</v>
      </c>
      <c r="D135" s="18" t="str">
        <f>cbr_vcdr_cdp1_hostname</f>
        <v>Value Missing</v>
      </c>
      <c r="E135" s="426"/>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19.5" customHeight="1">
      <c r="A136" s="114"/>
      <c r="B136" s="71" t="s">
        <v>3914</v>
      </c>
      <c r="C136" s="185" t="str">
        <f>sample_cbr_vcdr_cdp2_hostname</f>
        <v>lax-cbr-cdp01b</v>
      </c>
      <c r="D136" s="32" t="str">
        <f>cbr_vcdr_cdp2_hostname</f>
        <v>Value Missing</v>
      </c>
      <c r="E136" s="426"/>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9.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33.75" customHeight="1">
      <c r="A138" s="114"/>
      <c r="B138" s="12" t="s">
        <v>3915</v>
      </c>
      <c r="C138" s="13"/>
      <c r="D138" s="13"/>
      <c r="E138" s="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9.5" customHeight="1">
      <c r="A139" s="114"/>
      <c r="B139" s="108" t="s">
        <v>256</v>
      </c>
      <c r="C139" s="108" t="s">
        <v>722</v>
      </c>
      <c r="D139" s="108" t="s">
        <v>274</v>
      </c>
      <c r="E139" s="108" t="s">
        <v>5</v>
      </c>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9.5" customHeight="1">
      <c r="A140" s="114"/>
      <c r="B140" s="84" t="s">
        <v>3876</v>
      </c>
      <c r="C140" s="110" t="s">
        <v>3877</v>
      </c>
      <c r="D140" s="186" t="str">
        <f>C140</f>
        <v>console.cloud.vmware.com</v>
      </c>
      <c r="E140" s="426"/>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9.5" customHeight="1">
      <c r="A141" s="114"/>
      <c r="B141" s="84" t="s">
        <v>3896</v>
      </c>
      <c r="C141" s="110" t="str">
        <f>sample_cbr_vcdr_site_name</f>
        <v>lax-vcf01-instance</v>
      </c>
      <c r="D141" s="18" t="str">
        <f>cbr_vcdr_site_name</f>
        <v>Value Missing</v>
      </c>
      <c r="E141" s="426"/>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19.5" customHeight="1">
      <c r="A142" s="114"/>
      <c r="B142" s="84" t="s">
        <v>3916</v>
      </c>
      <c r="C142" s="110" t="str">
        <f>sample_wld_vc_ip</f>
        <v>10.21.10.130</v>
      </c>
      <c r="D142" s="18" t="str">
        <f>wld_vc_ip</f>
        <v>Value Missing</v>
      </c>
      <c r="E142" s="426"/>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9.5" customHeight="1">
      <c r="A143" s="114"/>
      <c r="B143" s="84" t="s">
        <v>3917</v>
      </c>
      <c r="C143" s="110" t="str">
        <f>CONCATENATE(sample_svc_cbr_vcdr_vsphere_user,"@vsphere.local")</f>
        <v>svc-vlcr-vsphere@vsphere.local</v>
      </c>
      <c r="D143" s="18" t="str">
        <f>CONCATENATE(svc_cbr_vcdr_vsphere_user,"@vsphere.local")</f>
        <v>Value Missing@vsphere.local</v>
      </c>
      <c r="E143" s="426"/>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9.5" customHeight="1">
      <c r="A144" s="114"/>
      <c r="B144" s="84" t="s">
        <v>296</v>
      </c>
      <c r="C144" s="110" t="str">
        <f>sample_svc_cbr_vcdr_vsphere_password</f>
        <v>VMw@re1!</v>
      </c>
      <c r="D144" s="18" t="str">
        <f>svc_cbr_vcdr_vsphere_password</f>
        <v>Value Missing</v>
      </c>
      <c r="E144" s="426"/>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9.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33.75" customHeight="1">
      <c r="A146" s="114"/>
      <c r="B146" s="12" t="s">
        <v>3918</v>
      </c>
      <c r="C146" s="13"/>
      <c r="D146" s="13"/>
      <c r="E146" s="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9.5" customHeight="1">
      <c r="A147" s="114"/>
      <c r="B147" s="108" t="s">
        <v>256</v>
      </c>
      <c r="C147" s="108" t="s">
        <v>722</v>
      </c>
      <c r="D147" s="108" t="s">
        <v>274</v>
      </c>
      <c r="E147" s="108" t="s">
        <v>5</v>
      </c>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9.5" customHeight="1">
      <c r="A148" s="114"/>
      <c r="B148" s="84" t="s">
        <v>3876</v>
      </c>
      <c r="C148" s="110" t="s">
        <v>3877</v>
      </c>
      <c r="D148" s="186" t="str">
        <f>C148</f>
        <v>console.cloud.vmware.com</v>
      </c>
      <c r="E148" s="426"/>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9.5" customHeight="1">
      <c r="A149" s="114"/>
      <c r="B149" s="84" t="s">
        <v>3896</v>
      </c>
      <c r="C149" s="110" t="str">
        <f>sample_cbr_vcdr_site_name</f>
        <v>lax-vcf01-instance</v>
      </c>
      <c r="D149" s="18" t="str">
        <f>cbr_vcdr_site_name</f>
        <v>Value Missing</v>
      </c>
      <c r="E149" s="426"/>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9.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33.75" customHeight="1">
      <c r="A151" s="114"/>
      <c r="B151" s="12" t="s">
        <v>3919</v>
      </c>
      <c r="C151" s="13"/>
      <c r="D151" s="13"/>
      <c r="E151" s="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19.5" customHeight="1">
      <c r="A152" s="114"/>
      <c r="B152" s="108" t="s">
        <v>256</v>
      </c>
      <c r="C152" s="108" t="s">
        <v>722</v>
      </c>
      <c r="D152" s="108" t="s">
        <v>274</v>
      </c>
      <c r="E152" s="108" t="s">
        <v>5</v>
      </c>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9.5" customHeight="1">
      <c r="A153" s="114"/>
      <c r="B153" s="84" t="s">
        <v>3876</v>
      </c>
      <c r="C153" s="110" t="s">
        <v>3877</v>
      </c>
      <c r="D153" s="186" t="str">
        <f>C153</f>
        <v>console.cloud.vmware.com</v>
      </c>
      <c r="E153" s="426"/>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9.5" customHeight="1">
      <c r="A154" s="114"/>
      <c r="B154" s="84" t="s">
        <v>2636</v>
      </c>
      <c r="C154" s="110" t="str">
        <f>sample_cbr_vcdr_email_recipient</f>
        <v>cloudadmins@rainpole.io</v>
      </c>
      <c r="D154" s="18" t="str">
        <f>cbr_vcdr_email_recipient</f>
        <v>Value Missing</v>
      </c>
      <c r="E154" s="426"/>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9.5" customHeight="1">
      <c r="A155" s="114"/>
      <c r="B155" s="84" t="s">
        <v>2640</v>
      </c>
      <c r="C155" s="110" t="str">
        <f>sample_cbr_vcdr_email_sender</f>
        <v>administrator@rainpole.io</v>
      </c>
      <c r="D155" s="18" t="str">
        <f>cbr_vcdr_email_sender</f>
        <v>Value Missing</v>
      </c>
      <c r="E155" s="426"/>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9.5" customHeight="1">
      <c r="A156" s="114"/>
      <c r="B156" s="84" t="s">
        <v>3920</v>
      </c>
      <c r="C156" s="110" t="s">
        <v>3921</v>
      </c>
      <c r="D156" s="18" t="str">
        <f>C156</f>
        <v>no-reply-vlcr</v>
      </c>
      <c r="E156" s="426"/>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9.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33.75" customHeight="1">
      <c r="A158" s="416"/>
      <c r="B158" s="424" t="s">
        <v>3405</v>
      </c>
      <c r="C158" s="13"/>
      <c r="D158" s="13"/>
      <c r="E158" s="38"/>
      <c r="F158" s="416"/>
      <c r="G158" s="114"/>
      <c r="H158" s="114"/>
      <c r="I158" s="114"/>
      <c r="J158" s="114"/>
      <c r="K158" s="114"/>
      <c r="L158" s="114"/>
      <c r="M158" s="114"/>
      <c r="N158" s="114"/>
      <c r="O158" s="114"/>
      <c r="P158" s="114"/>
      <c r="Q158" s="114"/>
      <c r="R158" s="114"/>
      <c r="S158" s="114"/>
      <c r="T158" s="114"/>
      <c r="U158" s="114"/>
      <c r="V158" s="114"/>
      <c r="W158" s="114"/>
      <c r="X158" s="114"/>
      <c r="Y158" s="114"/>
      <c r="Z158" s="114"/>
    </row>
    <row r="159" ht="19.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33.75" customHeight="1">
      <c r="A160" s="114"/>
      <c r="B160" s="12" t="s">
        <v>3922</v>
      </c>
      <c r="C160" s="13"/>
      <c r="D160" s="13"/>
      <c r="E160" s="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9.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33.75" customHeight="1">
      <c r="A162" s="114"/>
      <c r="B162" s="12" t="s">
        <v>3923</v>
      </c>
      <c r="C162" s="13"/>
      <c r="D162" s="13"/>
      <c r="E162" s="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9.5" customHeight="1">
      <c r="A163" s="114"/>
      <c r="B163" s="108" t="s">
        <v>256</v>
      </c>
      <c r="C163" s="108" t="s">
        <v>722</v>
      </c>
      <c r="D163" s="108" t="s">
        <v>274</v>
      </c>
      <c r="E163" s="108" t="s">
        <v>5</v>
      </c>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9.5" customHeight="1">
      <c r="A164" s="114"/>
      <c r="B164" s="84" t="s">
        <v>3574</v>
      </c>
      <c r="C164" s="111" t="str">
        <f>sample_xreg_vrops_virtual_fqdn</f>
        <v>flt-ops01.rainpole.io</v>
      </c>
      <c r="D164" s="18" t="str">
        <f>xreg_vrops_virtual_fqdn</f>
        <v>Value Missing</v>
      </c>
      <c r="E164" s="426"/>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9.5" customHeight="1">
      <c r="A165" s="114"/>
      <c r="B165" s="84" t="s">
        <v>256</v>
      </c>
      <c r="C165" s="110" t="str">
        <f>"ransomware-recovery-proxies"</f>
        <v>ransomware-recovery-proxies</v>
      </c>
      <c r="D165" s="18" t="str">
        <f t="shared" ref="D165:D166" si="2">C165</f>
        <v>ransomware-recovery-proxies</v>
      </c>
      <c r="E165" s="426"/>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9.5" customHeight="1">
      <c r="A166" s="114"/>
      <c r="B166" s="84" t="s">
        <v>3924</v>
      </c>
      <c r="C166" s="110" t="str">
        <f>C165</f>
        <v>ransomware-recovery-proxies</v>
      </c>
      <c r="D166" s="18" t="str">
        <f t="shared" si="2"/>
        <v>ransomware-recovery-proxies</v>
      </c>
      <c r="E166" s="426"/>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9.5" customHeight="1">
      <c r="A167" s="114"/>
      <c r="B167" s="84" t="s">
        <v>3925</v>
      </c>
      <c r="C167" s="110" t="str">
        <f>CONCATENATE(sample_cbr_vcdr_cdp1_ip,",",sample_cbr_vcdr_cdp2_ip)</f>
        <v>10.21.10.44,10.21.10.45</v>
      </c>
      <c r="D167" s="18" t="str">
        <f>CONCATENATE(cbr_vcdr_cdp1_ip,",",cbr_vcdr_cdp2_ip)</f>
        <v>Value Missing,Value Missing</v>
      </c>
      <c r="E167" s="426"/>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9.5" customHeight="1">
      <c r="A168" s="114"/>
      <c r="B168" s="84" t="s">
        <v>3926</v>
      </c>
      <c r="C168" s="110" t="str">
        <f>CONCATENATE(sample_mgmt_sddc_domain,"-collector-group")</f>
        <v>lax-m01-collector-group</v>
      </c>
      <c r="D168" s="18" t="str">
        <f>CONCATENATE(mgmt_sddc_domain,"-collector-group")</f>
        <v>Value Missing-collector-group</v>
      </c>
      <c r="E168" s="426"/>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9.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5.75" customHeight="1">
      <c r="A938" s="114"/>
      <c r="B938" s="41"/>
      <c r="C938" s="41"/>
      <c r="D938" s="41"/>
      <c r="E938" s="41"/>
      <c r="F938" s="114"/>
      <c r="G938" s="114"/>
      <c r="H938" s="114"/>
      <c r="I938" s="114"/>
      <c r="J938" s="114"/>
      <c r="K938" s="114"/>
      <c r="L938" s="114"/>
      <c r="M938" s="114"/>
      <c r="N938" s="114"/>
      <c r="O938" s="114"/>
      <c r="P938" s="114"/>
      <c r="Q938" s="114"/>
      <c r="R938" s="114"/>
      <c r="S938" s="114"/>
      <c r="T938" s="41"/>
      <c r="U938" s="41"/>
      <c r="V938" s="41"/>
      <c r="W938" s="41"/>
      <c r="X938" s="41"/>
      <c r="Y938" s="41"/>
      <c r="Z938" s="41"/>
    </row>
    <row r="939" ht="15.75" customHeight="1">
      <c r="A939" s="114"/>
      <c r="B939" s="41"/>
      <c r="C939" s="41"/>
      <c r="D939" s="41"/>
      <c r="E939" s="41"/>
      <c r="F939" s="114"/>
      <c r="G939" s="114"/>
      <c r="H939" s="114"/>
      <c r="I939" s="114"/>
      <c r="J939" s="114"/>
      <c r="K939" s="114"/>
      <c r="L939" s="114"/>
      <c r="M939" s="114"/>
      <c r="N939" s="114"/>
      <c r="O939" s="114"/>
      <c r="P939" s="114"/>
      <c r="Q939" s="114"/>
      <c r="R939" s="114"/>
      <c r="S939" s="114"/>
      <c r="T939" s="41"/>
      <c r="U939" s="41"/>
      <c r="V939" s="41"/>
      <c r="W939" s="41"/>
      <c r="X939" s="41"/>
      <c r="Y939" s="41"/>
      <c r="Z939" s="41"/>
    </row>
    <row r="940" ht="15.75" customHeight="1">
      <c r="A940" s="114"/>
      <c r="B940" s="41"/>
      <c r="C940" s="41"/>
      <c r="D940" s="41"/>
      <c r="E940" s="41"/>
      <c r="F940" s="114"/>
      <c r="G940" s="114"/>
      <c r="H940" s="114"/>
      <c r="I940" s="114"/>
      <c r="J940" s="114"/>
      <c r="K940" s="114"/>
      <c r="L940" s="114"/>
      <c r="M940" s="114"/>
      <c r="N940" s="114"/>
      <c r="O940" s="114"/>
      <c r="P940" s="114"/>
      <c r="Q940" s="114"/>
      <c r="R940" s="114"/>
      <c r="S940" s="114"/>
      <c r="T940" s="41"/>
      <c r="U940" s="41"/>
      <c r="V940" s="41"/>
      <c r="W940" s="41"/>
      <c r="X940" s="41"/>
      <c r="Y940" s="41"/>
      <c r="Z940" s="41"/>
    </row>
    <row r="941" ht="15.75" customHeight="1">
      <c r="A941" s="114"/>
      <c r="B941" s="41"/>
      <c r="C941" s="41"/>
      <c r="D941" s="41"/>
      <c r="E941" s="41"/>
      <c r="F941" s="114"/>
      <c r="G941" s="114"/>
      <c r="H941" s="114"/>
      <c r="I941" s="114"/>
      <c r="J941" s="114"/>
      <c r="K941" s="114"/>
      <c r="L941" s="114"/>
      <c r="M941" s="114"/>
      <c r="N941" s="114"/>
      <c r="O941" s="114"/>
      <c r="P941" s="114"/>
      <c r="Q941" s="114"/>
      <c r="R941" s="114"/>
      <c r="S941" s="114"/>
      <c r="T941" s="41"/>
      <c r="U941" s="41"/>
      <c r="V941" s="41"/>
      <c r="W941" s="41"/>
      <c r="X941" s="41"/>
      <c r="Y941" s="41"/>
      <c r="Z941" s="41"/>
    </row>
    <row r="942" ht="15.75" customHeight="1">
      <c r="A942" s="114"/>
      <c r="B942" s="41"/>
      <c r="C942" s="41"/>
      <c r="D942" s="41"/>
      <c r="E942" s="41"/>
      <c r="F942" s="114"/>
      <c r="G942" s="114"/>
      <c r="H942" s="114"/>
      <c r="I942" s="114"/>
      <c r="J942" s="114"/>
      <c r="K942" s="114"/>
      <c r="L942" s="114"/>
      <c r="M942" s="114"/>
      <c r="N942" s="114"/>
      <c r="O942" s="114"/>
      <c r="P942" s="114"/>
      <c r="Q942" s="114"/>
      <c r="R942" s="114"/>
      <c r="S942" s="114"/>
      <c r="T942" s="41"/>
      <c r="U942" s="41"/>
      <c r="V942" s="41"/>
      <c r="W942" s="41"/>
      <c r="X942" s="41"/>
      <c r="Y942" s="41"/>
      <c r="Z942" s="41"/>
    </row>
    <row r="943" ht="15.75" customHeight="1">
      <c r="A943" s="114"/>
      <c r="B943" s="41"/>
      <c r="C943" s="41"/>
      <c r="D943" s="41"/>
      <c r="E943" s="41"/>
      <c r="F943" s="114"/>
      <c r="G943" s="114"/>
      <c r="H943" s="114"/>
      <c r="I943" s="114"/>
      <c r="J943" s="114"/>
      <c r="K943" s="114"/>
      <c r="L943" s="114"/>
      <c r="M943" s="114"/>
      <c r="N943" s="114"/>
      <c r="O943" s="114"/>
      <c r="P943" s="114"/>
      <c r="Q943" s="114"/>
      <c r="R943" s="114"/>
      <c r="S943" s="114"/>
      <c r="T943" s="41"/>
      <c r="U943" s="41"/>
      <c r="V943" s="41"/>
      <c r="W943" s="41"/>
      <c r="X943" s="41"/>
      <c r="Y943" s="41"/>
      <c r="Z943" s="41"/>
    </row>
    <row r="944" ht="15.75" customHeight="1">
      <c r="A944" s="114"/>
      <c r="B944" s="41"/>
      <c r="C944" s="41"/>
      <c r="D944" s="41"/>
      <c r="E944" s="41"/>
      <c r="F944" s="114"/>
      <c r="G944" s="114"/>
      <c r="H944" s="114"/>
      <c r="I944" s="114"/>
      <c r="J944" s="114"/>
      <c r="K944" s="114"/>
      <c r="L944" s="114"/>
      <c r="M944" s="114"/>
      <c r="N944" s="114"/>
      <c r="O944" s="114"/>
      <c r="P944" s="114"/>
      <c r="Q944" s="114"/>
      <c r="R944" s="114"/>
      <c r="S944" s="114"/>
      <c r="T944" s="41"/>
      <c r="U944" s="41"/>
      <c r="V944" s="41"/>
      <c r="W944" s="41"/>
      <c r="X944" s="41"/>
      <c r="Y944" s="41"/>
      <c r="Z944" s="41"/>
    </row>
    <row r="945" ht="15.75" customHeight="1">
      <c r="A945" s="114"/>
      <c r="B945" s="41"/>
      <c r="C945" s="41"/>
      <c r="D945" s="41"/>
      <c r="E945" s="41"/>
      <c r="F945" s="114"/>
      <c r="G945" s="114"/>
      <c r="H945" s="114"/>
      <c r="I945" s="114"/>
      <c r="J945" s="114"/>
      <c r="K945" s="114"/>
      <c r="L945" s="114"/>
      <c r="M945" s="114"/>
      <c r="N945" s="114"/>
      <c r="O945" s="114"/>
      <c r="P945" s="114"/>
      <c r="Q945" s="114"/>
      <c r="R945" s="114"/>
      <c r="S945" s="114"/>
      <c r="T945" s="41"/>
      <c r="U945" s="41"/>
      <c r="V945" s="41"/>
      <c r="W945" s="41"/>
      <c r="X945" s="41"/>
      <c r="Y945" s="41"/>
      <c r="Z945" s="41"/>
    </row>
    <row r="946" ht="15.75" customHeight="1">
      <c r="A946" s="114"/>
      <c r="B946" s="41"/>
      <c r="C946" s="41"/>
      <c r="D946" s="41"/>
      <c r="E946" s="41"/>
      <c r="F946" s="114"/>
      <c r="G946" s="114"/>
      <c r="H946" s="114"/>
      <c r="I946" s="114"/>
      <c r="J946" s="114"/>
      <c r="K946" s="114"/>
      <c r="L946" s="114"/>
      <c r="M946" s="114"/>
      <c r="N946" s="114"/>
      <c r="O946" s="114"/>
      <c r="P946" s="114"/>
      <c r="Q946" s="114"/>
      <c r="R946" s="114"/>
      <c r="S946" s="114"/>
      <c r="T946" s="41"/>
      <c r="U946" s="41"/>
      <c r="V946" s="41"/>
      <c r="W946" s="41"/>
      <c r="X946" s="41"/>
      <c r="Y946" s="41"/>
      <c r="Z946" s="41"/>
    </row>
    <row r="947" ht="15.75" customHeight="1">
      <c r="A947" s="114"/>
      <c r="B947" s="41"/>
      <c r="C947" s="41"/>
      <c r="D947" s="41"/>
      <c r="E947" s="41"/>
      <c r="F947" s="114"/>
      <c r="G947" s="114"/>
      <c r="H947" s="114"/>
      <c r="I947" s="114"/>
      <c r="J947" s="114"/>
      <c r="K947" s="114"/>
      <c r="L947" s="114"/>
      <c r="M947" s="114"/>
      <c r="N947" s="114"/>
      <c r="O947" s="114"/>
      <c r="P947" s="114"/>
      <c r="Q947" s="114"/>
      <c r="R947" s="114"/>
      <c r="S947" s="114"/>
      <c r="T947" s="41"/>
      <c r="U947" s="41"/>
      <c r="V947" s="41"/>
      <c r="W947" s="41"/>
      <c r="X947" s="41"/>
      <c r="Y947" s="41"/>
      <c r="Z947" s="41"/>
    </row>
    <row r="948" ht="15.75" customHeight="1">
      <c r="A948" s="114"/>
      <c r="B948" s="41"/>
      <c r="C948" s="41"/>
      <c r="D948" s="41"/>
      <c r="E948" s="41"/>
      <c r="F948" s="114"/>
      <c r="G948" s="114"/>
      <c r="H948" s="114"/>
      <c r="I948" s="114"/>
      <c r="J948" s="114"/>
      <c r="K948" s="114"/>
      <c r="L948" s="114"/>
      <c r="M948" s="114"/>
      <c r="N948" s="114"/>
      <c r="O948" s="114"/>
      <c r="P948" s="114"/>
      <c r="Q948" s="114"/>
      <c r="R948" s="114"/>
      <c r="S948" s="114"/>
      <c r="T948" s="41"/>
      <c r="U948" s="41"/>
      <c r="V948" s="41"/>
      <c r="W948" s="41"/>
      <c r="X948" s="41"/>
      <c r="Y948" s="41"/>
      <c r="Z948" s="41"/>
    </row>
    <row r="949" ht="15.75" customHeight="1">
      <c r="A949" s="114"/>
      <c r="B949" s="41"/>
      <c r="C949" s="41"/>
      <c r="D949" s="41"/>
      <c r="E949" s="41"/>
      <c r="F949" s="114"/>
      <c r="G949" s="114"/>
      <c r="H949" s="114"/>
      <c r="I949" s="114"/>
      <c r="J949" s="114"/>
      <c r="K949" s="114"/>
      <c r="L949" s="114"/>
      <c r="M949" s="114"/>
      <c r="N949" s="114"/>
      <c r="O949" s="114"/>
      <c r="P949" s="114"/>
      <c r="Q949" s="114"/>
      <c r="R949" s="114"/>
      <c r="S949" s="114"/>
      <c r="T949" s="41"/>
      <c r="U949" s="41"/>
      <c r="V949" s="41"/>
      <c r="W949" s="41"/>
      <c r="X949" s="41"/>
      <c r="Y949" s="41"/>
      <c r="Z949" s="41"/>
    </row>
    <row r="950" ht="15.75" customHeight="1">
      <c r="A950" s="114"/>
      <c r="B950" s="41"/>
      <c r="C950" s="41"/>
      <c r="D950" s="41"/>
      <c r="E950" s="41"/>
      <c r="F950" s="114"/>
      <c r="G950" s="114"/>
      <c r="H950" s="114"/>
      <c r="I950" s="114"/>
      <c r="J950" s="114"/>
      <c r="K950" s="114"/>
      <c r="L950" s="114"/>
      <c r="M950" s="114"/>
      <c r="N950" s="114"/>
      <c r="O950" s="114"/>
      <c r="P950" s="114"/>
      <c r="Q950" s="114"/>
      <c r="R950" s="114"/>
      <c r="S950" s="114"/>
      <c r="T950" s="41"/>
      <c r="U950" s="41"/>
      <c r="V950" s="41"/>
      <c r="W950" s="41"/>
      <c r="X950" s="41"/>
      <c r="Y950" s="41"/>
      <c r="Z950" s="41"/>
    </row>
    <row r="951" ht="15.75" customHeight="1">
      <c r="A951" s="114"/>
      <c r="B951" s="41"/>
      <c r="C951" s="41"/>
      <c r="D951" s="41"/>
      <c r="E951" s="41"/>
      <c r="F951" s="114"/>
      <c r="G951" s="114"/>
      <c r="H951" s="114"/>
      <c r="I951" s="114"/>
      <c r="J951" s="114"/>
      <c r="K951" s="114"/>
      <c r="L951" s="114"/>
      <c r="M951" s="114"/>
      <c r="N951" s="114"/>
      <c r="O951" s="114"/>
      <c r="P951" s="114"/>
      <c r="Q951" s="114"/>
      <c r="R951" s="114"/>
      <c r="S951" s="114"/>
      <c r="T951" s="41"/>
      <c r="U951" s="41"/>
      <c r="V951" s="41"/>
      <c r="W951" s="41"/>
      <c r="X951" s="41"/>
      <c r="Y951" s="41"/>
      <c r="Z951" s="41"/>
    </row>
    <row r="952" ht="15.75" customHeight="1">
      <c r="A952" s="114"/>
      <c r="B952" s="41"/>
      <c r="C952" s="41"/>
      <c r="D952" s="41"/>
      <c r="E952" s="41"/>
      <c r="F952" s="114"/>
      <c r="G952" s="114"/>
      <c r="H952" s="114"/>
      <c r="I952" s="114"/>
      <c r="J952" s="114"/>
      <c r="K952" s="114"/>
      <c r="L952" s="114"/>
      <c r="M952" s="114"/>
      <c r="N952" s="114"/>
      <c r="O952" s="114"/>
      <c r="P952" s="114"/>
      <c r="Q952" s="114"/>
      <c r="R952" s="114"/>
      <c r="S952" s="114"/>
      <c r="T952" s="41"/>
      <c r="U952" s="41"/>
      <c r="V952" s="41"/>
      <c r="W952" s="41"/>
      <c r="X952" s="41"/>
      <c r="Y952" s="41"/>
      <c r="Z952" s="41"/>
    </row>
    <row r="953" ht="15.75" customHeight="1">
      <c r="A953" s="114"/>
      <c r="B953" s="41"/>
      <c r="C953" s="41"/>
      <c r="D953" s="41"/>
      <c r="E953" s="41"/>
      <c r="F953" s="114"/>
      <c r="G953" s="114"/>
      <c r="H953" s="114"/>
      <c r="I953" s="114"/>
      <c r="J953" s="114"/>
      <c r="K953" s="114"/>
      <c r="L953" s="114"/>
      <c r="M953" s="114"/>
      <c r="N953" s="114"/>
      <c r="O953" s="114"/>
      <c r="P953" s="114"/>
      <c r="Q953" s="114"/>
      <c r="R953" s="114"/>
      <c r="S953" s="114"/>
      <c r="T953" s="41"/>
      <c r="U953" s="41"/>
      <c r="V953" s="41"/>
      <c r="W953" s="41"/>
      <c r="X953" s="41"/>
      <c r="Y953" s="41"/>
      <c r="Z953" s="41"/>
    </row>
    <row r="954" ht="15.75" customHeight="1">
      <c r="A954" s="114"/>
      <c r="B954" s="41"/>
      <c r="C954" s="41"/>
      <c r="D954" s="41"/>
      <c r="E954" s="41"/>
      <c r="F954" s="114"/>
      <c r="G954" s="114"/>
      <c r="H954" s="114"/>
      <c r="I954" s="114"/>
      <c r="J954" s="114"/>
      <c r="K954" s="114"/>
      <c r="L954" s="114"/>
      <c r="M954" s="114"/>
      <c r="N954" s="114"/>
      <c r="O954" s="114"/>
      <c r="P954" s="114"/>
      <c r="Q954" s="114"/>
      <c r="R954" s="114"/>
      <c r="S954" s="114"/>
      <c r="T954" s="41"/>
      <c r="U954" s="41"/>
      <c r="V954" s="41"/>
      <c r="W954" s="41"/>
      <c r="X954" s="41"/>
      <c r="Y954" s="41"/>
      <c r="Z954" s="41"/>
    </row>
    <row r="955" ht="15.75" customHeight="1">
      <c r="A955" s="114"/>
      <c r="B955" s="41"/>
      <c r="C955" s="41"/>
      <c r="D955" s="41"/>
      <c r="E955" s="41"/>
      <c r="F955" s="114"/>
      <c r="G955" s="114"/>
      <c r="H955" s="114"/>
      <c r="I955" s="114"/>
      <c r="J955" s="114"/>
      <c r="K955" s="114"/>
      <c r="L955" s="114"/>
      <c r="M955" s="114"/>
      <c r="N955" s="114"/>
      <c r="O955" s="114"/>
      <c r="P955" s="114"/>
      <c r="Q955" s="114"/>
      <c r="R955" s="114"/>
      <c r="S955" s="114"/>
      <c r="T955" s="41"/>
      <c r="U955" s="41"/>
      <c r="V955" s="41"/>
      <c r="W955" s="41"/>
      <c r="X955" s="41"/>
      <c r="Y955" s="41"/>
      <c r="Z955" s="41"/>
    </row>
    <row r="956" ht="15.75" customHeight="1">
      <c r="A956" s="114"/>
      <c r="B956" s="41"/>
      <c r="C956" s="41"/>
      <c r="D956" s="41"/>
      <c r="E956" s="41"/>
      <c r="F956" s="114"/>
      <c r="G956" s="114"/>
      <c r="H956" s="114"/>
      <c r="I956" s="114"/>
      <c r="J956" s="114"/>
      <c r="K956" s="114"/>
      <c r="L956" s="114"/>
      <c r="M956" s="114"/>
      <c r="N956" s="114"/>
      <c r="O956" s="114"/>
      <c r="P956" s="114"/>
      <c r="Q956" s="114"/>
      <c r="R956" s="114"/>
      <c r="S956" s="114"/>
      <c r="T956" s="41"/>
      <c r="U956" s="41"/>
      <c r="V956" s="41"/>
      <c r="W956" s="41"/>
      <c r="X956" s="41"/>
      <c r="Y956" s="41"/>
      <c r="Z956" s="41"/>
    </row>
    <row r="957" ht="15.75" customHeight="1">
      <c r="A957" s="114"/>
      <c r="B957" s="41"/>
      <c r="C957" s="41"/>
      <c r="D957" s="41"/>
      <c r="E957" s="41"/>
      <c r="F957" s="114"/>
      <c r="G957" s="114"/>
      <c r="H957" s="114"/>
      <c r="I957" s="114"/>
      <c r="J957" s="114"/>
      <c r="K957" s="114"/>
      <c r="L957" s="114"/>
      <c r="M957" s="114"/>
      <c r="N957" s="114"/>
      <c r="O957" s="114"/>
      <c r="P957" s="114"/>
      <c r="Q957" s="114"/>
      <c r="R957" s="114"/>
      <c r="S957" s="114"/>
      <c r="T957" s="41"/>
      <c r="U957" s="41"/>
      <c r="V957" s="41"/>
      <c r="W957" s="41"/>
      <c r="X957" s="41"/>
      <c r="Y957" s="41"/>
      <c r="Z957" s="41"/>
    </row>
    <row r="958" ht="15.75" customHeight="1">
      <c r="A958" s="114"/>
      <c r="B958" s="41"/>
      <c r="C958" s="41"/>
      <c r="D958" s="41"/>
      <c r="E958" s="41"/>
      <c r="F958" s="114"/>
      <c r="G958" s="114"/>
      <c r="H958" s="114"/>
      <c r="I958" s="114"/>
      <c r="J958" s="114"/>
      <c r="K958" s="114"/>
      <c r="L958" s="114"/>
      <c r="M958" s="114"/>
      <c r="N958" s="114"/>
      <c r="O958" s="114"/>
      <c r="P958" s="114"/>
      <c r="Q958" s="114"/>
      <c r="R958" s="114"/>
      <c r="S958" s="114"/>
      <c r="T958" s="41"/>
      <c r="U958" s="41"/>
      <c r="V958" s="41"/>
      <c r="W958" s="41"/>
      <c r="X958" s="41"/>
      <c r="Y958" s="41"/>
      <c r="Z958" s="41"/>
    </row>
    <row r="959" ht="15.75" customHeight="1">
      <c r="A959" s="114"/>
      <c r="B959" s="41"/>
      <c r="C959" s="41"/>
      <c r="D959" s="41"/>
      <c r="E959" s="41"/>
      <c r="F959" s="114"/>
      <c r="G959" s="114"/>
      <c r="H959" s="114"/>
      <c r="I959" s="114"/>
      <c r="J959" s="114"/>
      <c r="K959" s="114"/>
      <c r="L959" s="114"/>
      <c r="M959" s="114"/>
      <c r="N959" s="114"/>
      <c r="O959" s="114"/>
      <c r="P959" s="114"/>
      <c r="Q959" s="114"/>
      <c r="R959" s="114"/>
      <c r="S959" s="114"/>
      <c r="T959" s="41"/>
      <c r="U959" s="41"/>
      <c r="V959" s="41"/>
      <c r="W959" s="41"/>
      <c r="X959" s="41"/>
      <c r="Y959" s="41"/>
      <c r="Z959" s="41"/>
    </row>
    <row r="960" ht="15.75" customHeight="1">
      <c r="A960" s="114"/>
      <c r="B960" s="41"/>
      <c r="C960" s="41"/>
      <c r="D960" s="41"/>
      <c r="E960" s="41"/>
      <c r="F960" s="114"/>
      <c r="G960" s="114"/>
      <c r="H960" s="114"/>
      <c r="I960" s="114"/>
      <c r="J960" s="114"/>
      <c r="K960" s="114"/>
      <c r="L960" s="114"/>
      <c r="M960" s="114"/>
      <c r="N960" s="114"/>
      <c r="O960" s="114"/>
      <c r="P960" s="114"/>
      <c r="Q960" s="114"/>
      <c r="R960" s="114"/>
      <c r="S960" s="114"/>
      <c r="T960" s="41"/>
      <c r="U960" s="41"/>
      <c r="V960" s="41"/>
      <c r="W960" s="41"/>
      <c r="X960" s="41"/>
      <c r="Y960" s="41"/>
      <c r="Z960" s="41"/>
    </row>
    <row r="961" ht="15.75" customHeight="1">
      <c r="A961" s="114"/>
      <c r="B961" s="41"/>
      <c r="C961" s="41"/>
      <c r="D961" s="41"/>
      <c r="E961" s="41"/>
      <c r="F961" s="114"/>
      <c r="G961" s="114"/>
      <c r="H961" s="114"/>
      <c r="I961" s="114"/>
      <c r="J961" s="114"/>
      <c r="K961" s="114"/>
      <c r="L961" s="114"/>
      <c r="M961" s="114"/>
      <c r="N961" s="114"/>
      <c r="O961" s="114"/>
      <c r="P961" s="114"/>
      <c r="Q961" s="114"/>
      <c r="R961" s="114"/>
      <c r="S961" s="114"/>
      <c r="T961" s="41"/>
      <c r="U961" s="41"/>
      <c r="V961" s="41"/>
      <c r="W961" s="41"/>
      <c r="X961" s="41"/>
      <c r="Y961" s="41"/>
      <c r="Z961" s="41"/>
    </row>
    <row r="962" ht="15.75" customHeight="1">
      <c r="A962" s="114"/>
      <c r="B962" s="41"/>
      <c r="C962" s="41"/>
      <c r="D962" s="41"/>
      <c r="E962" s="41"/>
      <c r="F962" s="114"/>
      <c r="G962" s="114"/>
      <c r="H962" s="114"/>
      <c r="I962" s="114"/>
      <c r="J962" s="114"/>
      <c r="K962" s="114"/>
      <c r="L962" s="114"/>
      <c r="M962" s="114"/>
      <c r="N962" s="114"/>
      <c r="O962" s="114"/>
      <c r="P962" s="114"/>
      <c r="Q962" s="114"/>
      <c r="R962" s="114"/>
      <c r="S962" s="114"/>
      <c r="T962" s="41"/>
      <c r="U962" s="41"/>
      <c r="V962" s="41"/>
      <c r="W962" s="41"/>
      <c r="X962" s="41"/>
      <c r="Y962" s="41"/>
      <c r="Z962" s="41"/>
    </row>
    <row r="963" ht="15.75" customHeight="1">
      <c r="A963" s="114"/>
      <c r="B963" s="41"/>
      <c r="C963" s="41"/>
      <c r="D963" s="41"/>
      <c r="E963" s="41"/>
      <c r="F963" s="114"/>
      <c r="G963" s="114"/>
      <c r="H963" s="114"/>
      <c r="I963" s="114"/>
      <c r="J963" s="114"/>
      <c r="K963" s="114"/>
      <c r="L963" s="114"/>
      <c r="M963" s="114"/>
      <c r="N963" s="114"/>
      <c r="O963" s="114"/>
      <c r="P963" s="114"/>
      <c r="Q963" s="114"/>
      <c r="R963" s="114"/>
      <c r="S963" s="114"/>
      <c r="T963" s="41"/>
      <c r="U963" s="41"/>
      <c r="V963" s="41"/>
      <c r="W963" s="41"/>
      <c r="X963" s="41"/>
      <c r="Y963" s="41"/>
      <c r="Z963" s="41"/>
    </row>
    <row r="964" ht="15.75" customHeight="1">
      <c r="A964" s="114"/>
      <c r="B964" s="41"/>
      <c r="C964" s="41"/>
      <c r="D964" s="41"/>
      <c r="E964" s="41"/>
      <c r="F964" s="114"/>
      <c r="G964" s="114"/>
      <c r="H964" s="114"/>
      <c r="I964" s="114"/>
      <c r="J964" s="114"/>
      <c r="K964" s="114"/>
      <c r="L964" s="114"/>
      <c r="M964" s="114"/>
      <c r="N964" s="114"/>
      <c r="O964" s="114"/>
      <c r="P964" s="114"/>
      <c r="Q964" s="114"/>
      <c r="R964" s="114"/>
      <c r="S964" s="114"/>
      <c r="T964" s="41"/>
      <c r="U964" s="41"/>
      <c r="V964" s="41"/>
      <c r="W964" s="41"/>
      <c r="X964" s="41"/>
      <c r="Y964" s="41"/>
      <c r="Z964" s="41"/>
    </row>
    <row r="965" ht="15.75" customHeight="1">
      <c r="A965" s="114"/>
      <c r="B965" s="41"/>
      <c r="C965" s="41"/>
      <c r="D965" s="41"/>
      <c r="E965" s="41"/>
      <c r="F965" s="114"/>
      <c r="G965" s="114"/>
      <c r="H965" s="114"/>
      <c r="I965" s="114"/>
      <c r="J965" s="114"/>
      <c r="K965" s="114"/>
      <c r="L965" s="114"/>
      <c r="M965" s="114"/>
      <c r="N965" s="114"/>
      <c r="O965" s="114"/>
      <c r="P965" s="114"/>
      <c r="Q965" s="114"/>
      <c r="R965" s="114"/>
      <c r="S965" s="114"/>
      <c r="T965" s="41"/>
      <c r="U965" s="41"/>
      <c r="V965" s="41"/>
      <c r="W965" s="41"/>
      <c r="X965" s="41"/>
      <c r="Y965" s="41"/>
      <c r="Z965" s="41"/>
    </row>
    <row r="966" ht="15.75" customHeight="1">
      <c r="A966" s="114"/>
      <c r="B966" s="41"/>
      <c r="C966" s="41"/>
      <c r="D966" s="41"/>
      <c r="E966" s="41"/>
      <c r="F966" s="114"/>
      <c r="G966" s="114"/>
      <c r="H966" s="114"/>
      <c r="I966" s="114"/>
      <c r="J966" s="114"/>
      <c r="K966" s="114"/>
      <c r="L966" s="114"/>
      <c r="M966" s="114"/>
      <c r="N966" s="114"/>
      <c r="O966" s="114"/>
      <c r="P966" s="114"/>
      <c r="Q966" s="114"/>
      <c r="R966" s="114"/>
      <c r="S966" s="114"/>
      <c r="T966" s="41"/>
      <c r="U966" s="41"/>
      <c r="V966" s="41"/>
      <c r="W966" s="41"/>
      <c r="X966" s="41"/>
      <c r="Y966" s="41"/>
      <c r="Z966" s="41"/>
    </row>
    <row r="967" ht="15.75" customHeight="1">
      <c r="A967" s="114"/>
      <c r="B967" s="41"/>
      <c r="C967" s="41"/>
      <c r="D967" s="41"/>
      <c r="E967" s="41"/>
      <c r="F967" s="114"/>
      <c r="G967" s="114"/>
      <c r="H967" s="114"/>
      <c r="I967" s="114"/>
      <c r="J967" s="114"/>
      <c r="K967" s="114"/>
      <c r="L967" s="114"/>
      <c r="M967" s="114"/>
      <c r="N967" s="114"/>
      <c r="O967" s="114"/>
      <c r="P967" s="114"/>
      <c r="Q967" s="114"/>
      <c r="R967" s="114"/>
      <c r="S967" s="114"/>
      <c r="T967" s="41"/>
      <c r="U967" s="41"/>
      <c r="V967" s="41"/>
      <c r="W967" s="41"/>
      <c r="X967" s="41"/>
      <c r="Y967" s="41"/>
      <c r="Z967" s="41"/>
    </row>
    <row r="968" ht="15.75" customHeight="1">
      <c r="A968" s="114"/>
      <c r="B968" s="41"/>
      <c r="C968" s="41"/>
      <c r="D968" s="41"/>
      <c r="E968" s="41"/>
      <c r="F968" s="114"/>
      <c r="G968" s="114"/>
      <c r="H968" s="114"/>
      <c r="I968" s="114"/>
      <c r="J968" s="114"/>
      <c r="K968" s="114"/>
      <c r="L968" s="114"/>
      <c r="M968" s="114"/>
      <c r="N968" s="114"/>
      <c r="O968" s="114"/>
      <c r="P968" s="114"/>
      <c r="Q968" s="114"/>
      <c r="R968" s="114"/>
      <c r="S968" s="114"/>
      <c r="T968" s="41"/>
      <c r="U968" s="41"/>
      <c r="V968" s="41"/>
      <c r="W968" s="41"/>
      <c r="X968" s="41"/>
      <c r="Y968" s="41"/>
      <c r="Z968" s="41"/>
    </row>
    <row r="969" ht="15.75" customHeight="1">
      <c r="A969" s="114"/>
      <c r="B969" s="41"/>
      <c r="C969" s="41"/>
      <c r="D969" s="41"/>
      <c r="E969" s="41"/>
      <c r="F969" s="114"/>
      <c r="G969" s="114"/>
      <c r="H969" s="114"/>
      <c r="I969" s="114"/>
      <c r="J969" s="114"/>
      <c r="K969" s="114"/>
      <c r="L969" s="114"/>
      <c r="M969" s="114"/>
      <c r="N969" s="114"/>
      <c r="O969" s="114"/>
      <c r="P969" s="114"/>
      <c r="Q969" s="114"/>
      <c r="R969" s="114"/>
      <c r="S969" s="114"/>
      <c r="T969" s="41"/>
      <c r="U969" s="41"/>
      <c r="V969" s="41"/>
      <c r="W969" s="41"/>
      <c r="X969" s="41"/>
      <c r="Y969" s="41"/>
      <c r="Z969" s="41"/>
    </row>
    <row r="970" ht="15.75" customHeight="1">
      <c r="A970" s="114"/>
      <c r="B970" s="41"/>
      <c r="C970" s="41"/>
      <c r="D970" s="41"/>
      <c r="E970" s="41"/>
      <c r="F970" s="114"/>
      <c r="G970" s="114"/>
      <c r="H970" s="114"/>
      <c r="I970" s="114"/>
      <c r="J970" s="114"/>
      <c r="K970" s="114"/>
      <c r="L970" s="114"/>
      <c r="M970" s="114"/>
      <c r="N970" s="114"/>
      <c r="O970" s="114"/>
      <c r="P970" s="114"/>
      <c r="Q970" s="114"/>
      <c r="R970" s="114"/>
      <c r="S970" s="114"/>
      <c r="T970" s="41"/>
      <c r="U970" s="41"/>
      <c r="V970" s="41"/>
      <c r="W970" s="41"/>
      <c r="X970" s="41"/>
      <c r="Y970" s="41"/>
      <c r="Z970" s="41"/>
    </row>
    <row r="971" ht="15.75" customHeight="1">
      <c r="A971" s="114"/>
      <c r="B971" s="41"/>
      <c r="C971" s="41"/>
      <c r="D971" s="41"/>
      <c r="E971" s="41"/>
      <c r="F971" s="114"/>
      <c r="G971" s="114"/>
      <c r="H971" s="114"/>
      <c r="I971" s="114"/>
      <c r="J971" s="114"/>
      <c r="K971" s="114"/>
      <c r="L971" s="114"/>
      <c r="M971" s="114"/>
      <c r="N971" s="114"/>
      <c r="O971" s="114"/>
      <c r="P971" s="114"/>
      <c r="Q971" s="114"/>
      <c r="R971" s="114"/>
      <c r="S971" s="114"/>
      <c r="T971" s="41"/>
      <c r="U971" s="41"/>
      <c r="V971" s="41"/>
      <c r="W971" s="41"/>
      <c r="X971" s="41"/>
      <c r="Y971" s="41"/>
      <c r="Z971" s="41"/>
    </row>
    <row r="972" ht="15.75" customHeight="1">
      <c r="A972" s="114"/>
      <c r="B972" s="41"/>
      <c r="C972" s="41"/>
      <c r="D972" s="41"/>
      <c r="E972" s="41"/>
      <c r="F972" s="114"/>
      <c r="G972" s="114"/>
      <c r="H972" s="114"/>
      <c r="I972" s="114"/>
      <c r="J972" s="114"/>
      <c r="K972" s="114"/>
      <c r="L972" s="114"/>
      <c r="M972" s="114"/>
      <c r="N972" s="114"/>
      <c r="O972" s="114"/>
      <c r="P972" s="114"/>
      <c r="Q972" s="114"/>
      <c r="R972" s="114"/>
      <c r="S972" s="114"/>
      <c r="T972" s="41"/>
      <c r="U972" s="41"/>
      <c r="V972" s="41"/>
      <c r="W972" s="41"/>
      <c r="X972" s="41"/>
      <c r="Y972" s="41"/>
      <c r="Z972" s="41"/>
    </row>
    <row r="973" ht="15.75" customHeight="1">
      <c r="A973" s="114"/>
      <c r="B973" s="41"/>
      <c r="C973" s="41"/>
      <c r="D973" s="41"/>
      <c r="E973" s="41"/>
      <c r="F973" s="114"/>
      <c r="G973" s="114"/>
      <c r="H973" s="114"/>
      <c r="I973" s="114"/>
      <c r="J973" s="114"/>
      <c r="K973" s="114"/>
      <c r="L973" s="114"/>
      <c r="M973" s="114"/>
      <c r="N973" s="114"/>
      <c r="O973" s="114"/>
      <c r="P973" s="114"/>
      <c r="Q973" s="114"/>
      <c r="R973" s="114"/>
      <c r="S973" s="114"/>
      <c r="T973" s="41"/>
      <c r="U973" s="41"/>
      <c r="V973" s="41"/>
      <c r="W973" s="41"/>
      <c r="X973" s="41"/>
      <c r="Y973" s="41"/>
      <c r="Z973" s="41"/>
    </row>
    <row r="974" ht="15.75" customHeight="1">
      <c r="A974" s="114"/>
      <c r="B974" s="41"/>
      <c r="C974" s="41"/>
      <c r="D974" s="41"/>
      <c r="E974" s="41"/>
      <c r="F974" s="114"/>
      <c r="G974" s="114"/>
      <c r="H974" s="114"/>
      <c r="I974" s="114"/>
      <c r="J974" s="114"/>
      <c r="K974" s="114"/>
      <c r="L974" s="114"/>
      <c r="M974" s="114"/>
      <c r="N974" s="114"/>
      <c r="O974" s="114"/>
      <c r="P974" s="114"/>
      <c r="Q974" s="114"/>
      <c r="R974" s="114"/>
      <c r="S974" s="114"/>
      <c r="T974" s="41"/>
      <c r="U974" s="41"/>
      <c r="V974" s="41"/>
      <c r="W974" s="41"/>
      <c r="X974" s="41"/>
      <c r="Y974" s="41"/>
      <c r="Z974" s="41"/>
    </row>
    <row r="975" ht="15.75" customHeight="1">
      <c r="A975" s="114"/>
      <c r="B975" s="41"/>
      <c r="C975" s="41"/>
      <c r="D975" s="41"/>
      <c r="E975" s="41"/>
      <c r="F975" s="114"/>
      <c r="G975" s="114"/>
      <c r="H975" s="114"/>
      <c r="I975" s="114"/>
      <c r="J975" s="114"/>
      <c r="K975" s="114"/>
      <c r="L975" s="114"/>
      <c r="M975" s="114"/>
      <c r="N975" s="114"/>
      <c r="O975" s="114"/>
      <c r="P975" s="114"/>
      <c r="Q975" s="114"/>
      <c r="R975" s="114"/>
      <c r="S975" s="114"/>
      <c r="T975" s="41"/>
      <c r="U975" s="41"/>
      <c r="V975" s="41"/>
      <c r="W975" s="41"/>
      <c r="X975" s="41"/>
      <c r="Y975" s="41"/>
      <c r="Z975" s="41"/>
    </row>
    <row r="976" ht="15.75" customHeight="1">
      <c r="A976" s="114"/>
      <c r="B976" s="41"/>
      <c r="C976" s="41"/>
      <c r="D976" s="41"/>
      <c r="E976" s="41"/>
      <c r="F976" s="114"/>
      <c r="G976" s="114"/>
      <c r="H976" s="114"/>
      <c r="I976" s="114"/>
      <c r="J976" s="114"/>
      <c r="K976" s="114"/>
      <c r="L976" s="114"/>
      <c r="M976" s="114"/>
      <c r="N976" s="114"/>
      <c r="O976" s="114"/>
      <c r="P976" s="114"/>
      <c r="Q976" s="114"/>
      <c r="R976" s="114"/>
      <c r="S976" s="114"/>
      <c r="T976" s="41"/>
      <c r="U976" s="41"/>
      <c r="V976" s="41"/>
      <c r="W976" s="41"/>
      <c r="X976" s="41"/>
      <c r="Y976" s="41"/>
      <c r="Z976" s="41"/>
    </row>
    <row r="977" ht="15.75" customHeight="1">
      <c r="A977" s="114"/>
      <c r="B977" s="41"/>
      <c r="C977" s="41"/>
      <c r="D977" s="41"/>
      <c r="E977" s="41"/>
      <c r="F977" s="114"/>
      <c r="G977" s="114"/>
      <c r="H977" s="114"/>
      <c r="I977" s="114"/>
      <c r="J977" s="114"/>
      <c r="K977" s="114"/>
      <c r="L977" s="114"/>
      <c r="M977" s="114"/>
      <c r="N977" s="114"/>
      <c r="O977" s="114"/>
      <c r="P977" s="114"/>
      <c r="Q977" s="114"/>
      <c r="R977" s="114"/>
      <c r="S977" s="114"/>
      <c r="T977" s="41"/>
      <c r="U977" s="41"/>
      <c r="V977" s="41"/>
      <c r="W977" s="41"/>
      <c r="X977" s="41"/>
      <c r="Y977" s="41"/>
      <c r="Z977" s="41"/>
    </row>
    <row r="978" ht="15.75" customHeight="1">
      <c r="A978" s="114"/>
      <c r="B978" s="41"/>
      <c r="C978" s="41"/>
      <c r="D978" s="41"/>
      <c r="E978" s="41"/>
      <c r="F978" s="114"/>
      <c r="G978" s="114"/>
      <c r="H978" s="114"/>
      <c r="I978" s="114"/>
      <c r="J978" s="114"/>
      <c r="K978" s="114"/>
      <c r="L978" s="114"/>
      <c r="M978" s="114"/>
      <c r="N978" s="114"/>
      <c r="O978" s="114"/>
      <c r="P978" s="114"/>
      <c r="Q978" s="114"/>
      <c r="R978" s="114"/>
      <c r="S978" s="114"/>
      <c r="T978" s="41"/>
      <c r="U978" s="41"/>
      <c r="V978" s="41"/>
      <c r="W978" s="41"/>
      <c r="X978" s="41"/>
      <c r="Y978" s="41"/>
      <c r="Z978" s="41"/>
    </row>
    <row r="979" ht="15.75" customHeight="1">
      <c r="A979" s="114"/>
      <c r="B979" s="41"/>
      <c r="C979" s="41"/>
      <c r="D979" s="41"/>
      <c r="E979" s="41"/>
      <c r="F979" s="114"/>
      <c r="G979" s="114"/>
      <c r="H979" s="114"/>
      <c r="I979" s="114"/>
      <c r="J979" s="114"/>
      <c r="K979" s="114"/>
      <c r="L979" s="114"/>
      <c r="M979" s="114"/>
      <c r="N979" s="114"/>
      <c r="O979" s="114"/>
      <c r="P979" s="114"/>
      <c r="Q979" s="114"/>
      <c r="R979" s="114"/>
      <c r="S979" s="114"/>
      <c r="T979" s="41"/>
      <c r="U979" s="41"/>
      <c r="V979" s="41"/>
      <c r="W979" s="41"/>
      <c r="X979" s="41"/>
      <c r="Y979" s="41"/>
      <c r="Z979" s="41"/>
    </row>
    <row r="980" ht="15.75" customHeight="1">
      <c r="A980" s="114"/>
      <c r="B980" s="41"/>
      <c r="C980" s="41"/>
      <c r="D980" s="41"/>
      <c r="E980" s="41"/>
      <c r="F980" s="114"/>
      <c r="G980" s="114"/>
      <c r="H980" s="114"/>
      <c r="I980" s="114"/>
      <c r="J980" s="114"/>
      <c r="K980" s="114"/>
      <c r="L980" s="114"/>
      <c r="M980" s="114"/>
      <c r="N980" s="114"/>
      <c r="O980" s="114"/>
      <c r="P980" s="114"/>
      <c r="Q980" s="114"/>
      <c r="R980" s="114"/>
      <c r="S980" s="114"/>
      <c r="T980" s="41"/>
      <c r="U980" s="41"/>
      <c r="V980" s="41"/>
      <c r="W980" s="41"/>
      <c r="X980" s="41"/>
      <c r="Y980" s="41"/>
      <c r="Z980" s="41"/>
    </row>
    <row r="981" ht="15.75" customHeight="1">
      <c r="A981" s="114"/>
      <c r="B981" s="41"/>
      <c r="C981" s="41"/>
      <c r="D981" s="41"/>
      <c r="E981" s="41"/>
      <c r="F981" s="114"/>
      <c r="G981" s="114"/>
      <c r="H981" s="114"/>
      <c r="I981" s="114"/>
      <c r="J981" s="114"/>
      <c r="K981" s="114"/>
      <c r="L981" s="114"/>
      <c r="M981" s="114"/>
      <c r="N981" s="114"/>
      <c r="O981" s="114"/>
      <c r="P981" s="114"/>
      <c r="Q981" s="114"/>
      <c r="R981" s="114"/>
      <c r="S981" s="114"/>
      <c r="T981" s="41"/>
      <c r="U981" s="41"/>
      <c r="V981" s="41"/>
      <c r="W981" s="41"/>
      <c r="X981" s="41"/>
      <c r="Y981" s="41"/>
      <c r="Z981" s="41"/>
    </row>
    <row r="982" ht="15.75" customHeight="1">
      <c r="A982" s="114"/>
      <c r="B982" s="41"/>
      <c r="C982" s="41"/>
      <c r="D982" s="41"/>
      <c r="E982" s="41"/>
      <c r="F982" s="114"/>
      <c r="G982" s="114"/>
      <c r="H982" s="114"/>
      <c r="I982" s="114"/>
      <c r="J982" s="114"/>
      <c r="K982" s="114"/>
      <c r="L982" s="114"/>
      <c r="M982" s="114"/>
      <c r="N982" s="114"/>
      <c r="O982" s="114"/>
      <c r="P982" s="114"/>
      <c r="Q982" s="114"/>
      <c r="R982" s="114"/>
      <c r="S982" s="114"/>
      <c r="T982" s="41"/>
      <c r="U982" s="41"/>
      <c r="V982" s="41"/>
      <c r="W982" s="41"/>
      <c r="X982" s="41"/>
      <c r="Y982" s="41"/>
      <c r="Z982" s="41"/>
    </row>
    <row r="983" ht="15.75" customHeight="1">
      <c r="A983" s="114"/>
      <c r="B983" s="41"/>
      <c r="C983" s="41"/>
      <c r="D983" s="41"/>
      <c r="E983" s="41"/>
      <c r="F983" s="114"/>
      <c r="G983" s="114"/>
      <c r="H983" s="114"/>
      <c r="I983" s="114"/>
      <c r="J983" s="114"/>
      <c r="K983" s="114"/>
      <c r="L983" s="114"/>
      <c r="M983" s="114"/>
      <c r="N983" s="114"/>
      <c r="O983" s="114"/>
      <c r="P983" s="114"/>
      <c r="Q983" s="114"/>
      <c r="R983" s="114"/>
      <c r="S983" s="114"/>
      <c r="T983" s="41"/>
      <c r="U983" s="41"/>
      <c r="V983" s="41"/>
      <c r="W983" s="41"/>
      <c r="X983" s="41"/>
      <c r="Y983" s="41"/>
      <c r="Z983" s="41"/>
    </row>
    <row r="984" ht="15.75" customHeight="1">
      <c r="A984" s="114"/>
      <c r="B984" s="41"/>
      <c r="C984" s="41"/>
      <c r="D984" s="41"/>
      <c r="E984" s="41"/>
      <c r="F984" s="114"/>
      <c r="G984" s="114"/>
      <c r="H984" s="114"/>
      <c r="I984" s="114"/>
      <c r="J984" s="114"/>
      <c r="K984" s="114"/>
      <c r="L984" s="114"/>
      <c r="M984" s="114"/>
      <c r="N984" s="114"/>
      <c r="O984" s="114"/>
      <c r="P984" s="114"/>
      <c r="Q984" s="114"/>
      <c r="R984" s="114"/>
      <c r="S984" s="114"/>
      <c r="T984" s="41"/>
      <c r="U984" s="41"/>
      <c r="V984" s="41"/>
      <c r="W984" s="41"/>
      <c r="X984" s="41"/>
      <c r="Y984" s="41"/>
      <c r="Z984" s="41"/>
    </row>
    <row r="985" ht="15.75" customHeight="1">
      <c r="A985" s="114"/>
      <c r="B985" s="41"/>
      <c r="C985" s="41"/>
      <c r="D985" s="41"/>
      <c r="E985" s="41"/>
      <c r="F985" s="114"/>
      <c r="G985" s="114"/>
      <c r="H985" s="114"/>
      <c r="I985" s="114"/>
      <c r="J985" s="114"/>
      <c r="K985" s="114"/>
      <c r="L985" s="114"/>
      <c r="M985" s="114"/>
      <c r="N985" s="114"/>
      <c r="O985" s="114"/>
      <c r="P985" s="114"/>
      <c r="Q985" s="114"/>
      <c r="R985" s="114"/>
      <c r="S985" s="114"/>
      <c r="T985" s="41"/>
      <c r="U985" s="41"/>
      <c r="V985" s="41"/>
      <c r="W985" s="41"/>
      <c r="X985" s="41"/>
      <c r="Y985" s="41"/>
      <c r="Z985" s="41"/>
    </row>
    <row r="986" ht="15.75" customHeight="1">
      <c r="A986" s="114"/>
      <c r="B986" s="41"/>
      <c r="C986" s="41"/>
      <c r="D986" s="41"/>
      <c r="E986" s="41"/>
      <c r="F986" s="114"/>
      <c r="G986" s="114"/>
      <c r="H986" s="114"/>
      <c r="I986" s="114"/>
      <c r="J986" s="114"/>
      <c r="K986" s="114"/>
      <c r="L986" s="114"/>
      <c r="M986" s="114"/>
      <c r="N986" s="114"/>
      <c r="O986" s="114"/>
      <c r="P986" s="114"/>
      <c r="Q986" s="114"/>
      <c r="R986" s="114"/>
      <c r="S986" s="114"/>
      <c r="T986" s="41"/>
      <c r="U986" s="41"/>
      <c r="V986" s="41"/>
      <c r="W986" s="41"/>
      <c r="X986" s="41"/>
      <c r="Y986" s="41"/>
      <c r="Z986" s="41"/>
    </row>
    <row r="987" ht="15.75" customHeight="1">
      <c r="A987" s="114"/>
      <c r="B987" s="41"/>
      <c r="C987" s="41"/>
      <c r="D987" s="41"/>
      <c r="E987" s="41"/>
      <c r="F987" s="114"/>
      <c r="G987" s="114"/>
      <c r="H987" s="114"/>
      <c r="I987" s="114"/>
      <c r="J987" s="114"/>
      <c r="K987" s="114"/>
      <c r="L987" s="114"/>
      <c r="M987" s="114"/>
      <c r="N987" s="114"/>
      <c r="O987" s="114"/>
      <c r="P987" s="114"/>
      <c r="Q987" s="114"/>
      <c r="R987" s="114"/>
      <c r="S987" s="114"/>
      <c r="T987" s="41"/>
      <c r="U987" s="41"/>
      <c r="V987" s="41"/>
      <c r="W987" s="41"/>
      <c r="X987" s="41"/>
      <c r="Y987" s="41"/>
      <c r="Z987" s="41"/>
    </row>
    <row r="988" ht="15.75" customHeight="1">
      <c r="A988" s="114"/>
      <c r="B988" s="41"/>
      <c r="C988" s="41"/>
      <c r="D988" s="41"/>
      <c r="E988" s="41"/>
      <c r="F988" s="114"/>
      <c r="G988" s="114"/>
      <c r="H988" s="114"/>
      <c r="I988" s="114"/>
      <c r="J988" s="114"/>
      <c r="K988" s="114"/>
      <c r="L988" s="114"/>
      <c r="M988" s="114"/>
      <c r="N988" s="114"/>
      <c r="O988" s="114"/>
      <c r="P988" s="114"/>
      <c r="Q988" s="114"/>
      <c r="R988" s="114"/>
      <c r="S988" s="114"/>
      <c r="T988" s="41"/>
      <c r="U988" s="41"/>
      <c r="V988" s="41"/>
      <c r="W988" s="41"/>
      <c r="X988" s="41"/>
      <c r="Y988" s="41"/>
      <c r="Z988" s="41"/>
    </row>
    <row r="989" ht="15.75" customHeight="1">
      <c r="A989" s="114"/>
      <c r="B989" s="41"/>
      <c r="C989" s="41"/>
      <c r="D989" s="41"/>
      <c r="E989" s="41"/>
      <c r="F989" s="114"/>
      <c r="G989" s="114"/>
      <c r="H989" s="114"/>
      <c r="I989" s="114"/>
      <c r="J989" s="114"/>
      <c r="K989" s="114"/>
      <c r="L989" s="114"/>
      <c r="M989" s="114"/>
      <c r="N989" s="114"/>
      <c r="O989" s="114"/>
      <c r="P989" s="114"/>
      <c r="Q989" s="114"/>
      <c r="R989" s="114"/>
      <c r="S989" s="114"/>
      <c r="T989" s="41"/>
      <c r="U989" s="41"/>
      <c r="V989" s="41"/>
      <c r="W989" s="41"/>
      <c r="X989" s="41"/>
      <c r="Y989" s="41"/>
      <c r="Z989" s="41"/>
    </row>
    <row r="990" ht="15.75" customHeight="1">
      <c r="A990" s="114"/>
      <c r="B990" s="41"/>
      <c r="C990" s="41"/>
      <c r="D990" s="41"/>
      <c r="E990" s="41"/>
      <c r="F990" s="114"/>
      <c r="G990" s="114"/>
      <c r="H990" s="114"/>
      <c r="I990" s="114"/>
      <c r="J990" s="114"/>
      <c r="K990" s="114"/>
      <c r="L990" s="114"/>
      <c r="M990" s="114"/>
      <c r="N990" s="114"/>
      <c r="O990" s="114"/>
      <c r="P990" s="114"/>
      <c r="Q990" s="114"/>
      <c r="R990" s="114"/>
      <c r="S990" s="114"/>
      <c r="T990" s="41"/>
      <c r="U990" s="41"/>
      <c r="V990" s="41"/>
      <c r="W990" s="41"/>
      <c r="X990" s="41"/>
      <c r="Y990" s="41"/>
      <c r="Z990" s="41"/>
    </row>
    <row r="991" ht="15.75" customHeight="1">
      <c r="A991" s="114"/>
      <c r="B991" s="41"/>
      <c r="C991" s="41"/>
      <c r="D991" s="41"/>
      <c r="E991" s="41"/>
      <c r="F991" s="114"/>
      <c r="G991" s="114"/>
      <c r="H991" s="114"/>
      <c r="I991" s="114"/>
      <c r="J991" s="114"/>
      <c r="K991" s="114"/>
      <c r="L991" s="114"/>
      <c r="M991" s="114"/>
      <c r="N991" s="114"/>
      <c r="O991" s="114"/>
      <c r="P991" s="114"/>
      <c r="Q991" s="114"/>
      <c r="R991" s="114"/>
      <c r="S991" s="114"/>
      <c r="T991" s="41"/>
      <c r="U991" s="41"/>
      <c r="V991" s="41"/>
      <c r="W991" s="41"/>
      <c r="X991" s="41"/>
      <c r="Y991" s="41"/>
      <c r="Z991" s="41"/>
    </row>
    <row r="992" ht="15.75" customHeight="1">
      <c r="A992" s="114"/>
      <c r="B992" s="41"/>
      <c r="C992" s="41"/>
      <c r="D992" s="41"/>
      <c r="E992" s="41"/>
      <c r="F992" s="114"/>
      <c r="G992" s="114"/>
      <c r="H992" s="114"/>
      <c r="I992" s="114"/>
      <c r="J992" s="114"/>
      <c r="K992" s="114"/>
      <c r="L992" s="114"/>
      <c r="M992" s="114"/>
      <c r="N992" s="114"/>
      <c r="O992" s="114"/>
      <c r="P992" s="114"/>
      <c r="Q992" s="114"/>
      <c r="R992" s="114"/>
      <c r="S992" s="114"/>
      <c r="T992" s="41"/>
      <c r="U992" s="41"/>
      <c r="V992" s="41"/>
      <c r="W992" s="41"/>
      <c r="X992" s="41"/>
      <c r="Y992" s="41"/>
      <c r="Z992" s="41"/>
    </row>
    <row r="993" ht="15.75" customHeight="1">
      <c r="A993" s="114"/>
      <c r="B993" s="41"/>
      <c r="C993" s="41"/>
      <c r="D993" s="41"/>
      <c r="E993" s="41"/>
      <c r="F993" s="114"/>
      <c r="G993" s="114"/>
      <c r="H993" s="114"/>
      <c r="I993" s="114"/>
      <c r="J993" s="114"/>
      <c r="K993" s="114"/>
      <c r="L993" s="114"/>
      <c r="M993" s="114"/>
      <c r="N993" s="114"/>
      <c r="O993" s="114"/>
      <c r="P993" s="114"/>
      <c r="Q993" s="114"/>
      <c r="R993" s="114"/>
      <c r="S993" s="114"/>
      <c r="T993" s="41"/>
      <c r="U993" s="41"/>
      <c r="V993" s="41"/>
      <c r="W993" s="41"/>
      <c r="X993" s="41"/>
      <c r="Y993" s="41"/>
      <c r="Z993" s="41"/>
    </row>
    <row r="994" ht="15.75" customHeight="1">
      <c r="A994" s="114"/>
      <c r="B994" s="41"/>
      <c r="C994" s="41"/>
      <c r="D994" s="41"/>
      <c r="E994" s="41"/>
      <c r="F994" s="114"/>
      <c r="G994" s="114"/>
      <c r="H994" s="114"/>
      <c r="I994" s="114"/>
      <c r="J994" s="114"/>
      <c r="K994" s="114"/>
      <c r="L994" s="114"/>
      <c r="M994" s="114"/>
      <c r="N994" s="114"/>
      <c r="O994" s="114"/>
      <c r="P994" s="114"/>
      <c r="Q994" s="114"/>
      <c r="R994" s="114"/>
      <c r="S994" s="114"/>
      <c r="T994" s="41"/>
      <c r="U994" s="41"/>
      <c r="V994" s="41"/>
      <c r="W994" s="41"/>
      <c r="X994" s="41"/>
      <c r="Y994" s="41"/>
      <c r="Z994" s="41"/>
    </row>
    <row r="995" ht="15.75" customHeight="1">
      <c r="A995" s="114"/>
      <c r="B995" s="41"/>
      <c r="C995" s="41"/>
      <c r="D995" s="41"/>
      <c r="E995" s="41"/>
      <c r="F995" s="114"/>
      <c r="G995" s="114"/>
      <c r="H995" s="114"/>
      <c r="I995" s="114"/>
      <c r="J995" s="114"/>
      <c r="K995" s="114"/>
      <c r="L995" s="114"/>
      <c r="M995" s="114"/>
      <c r="N995" s="114"/>
      <c r="O995" s="114"/>
      <c r="P995" s="114"/>
      <c r="Q995" s="114"/>
      <c r="R995" s="114"/>
      <c r="S995" s="114"/>
      <c r="T995" s="41"/>
      <c r="U995" s="41"/>
      <c r="V995" s="41"/>
      <c r="W995" s="41"/>
      <c r="X995" s="41"/>
      <c r="Y995" s="41"/>
      <c r="Z995" s="41"/>
    </row>
    <row r="996" ht="15.75" customHeight="1">
      <c r="A996" s="114"/>
      <c r="B996" s="41"/>
      <c r="C996" s="41"/>
      <c r="D996" s="41"/>
      <c r="E996" s="41"/>
      <c r="F996" s="114"/>
      <c r="G996" s="114"/>
      <c r="H996" s="114"/>
      <c r="I996" s="114"/>
      <c r="J996" s="114"/>
      <c r="K996" s="114"/>
      <c r="L996" s="114"/>
      <c r="M996" s="114"/>
      <c r="N996" s="114"/>
      <c r="O996" s="114"/>
      <c r="P996" s="114"/>
      <c r="Q996" s="114"/>
      <c r="R996" s="114"/>
      <c r="S996" s="114"/>
      <c r="T996" s="41"/>
      <c r="U996" s="41"/>
      <c r="V996" s="41"/>
      <c r="W996" s="41"/>
      <c r="X996" s="41"/>
      <c r="Y996" s="41"/>
      <c r="Z996" s="41"/>
    </row>
    <row r="997" ht="15.75" customHeight="1">
      <c r="A997" s="114"/>
      <c r="B997" s="41"/>
      <c r="C997" s="41"/>
      <c r="D997" s="41"/>
      <c r="E997" s="41"/>
      <c r="F997" s="114"/>
      <c r="G997" s="114"/>
      <c r="H997" s="114"/>
      <c r="I997" s="114"/>
      <c r="J997" s="114"/>
      <c r="K997" s="114"/>
      <c r="L997" s="114"/>
      <c r="M997" s="114"/>
      <c r="N997" s="114"/>
      <c r="O997" s="114"/>
      <c r="P997" s="114"/>
      <c r="Q997" s="114"/>
      <c r="R997" s="114"/>
      <c r="S997" s="114"/>
      <c r="T997" s="41"/>
      <c r="U997" s="41"/>
      <c r="V997" s="41"/>
      <c r="W997" s="41"/>
      <c r="X997" s="41"/>
      <c r="Y997" s="41"/>
      <c r="Z997" s="41"/>
    </row>
    <row r="998" ht="15.75" customHeight="1">
      <c r="A998" s="114"/>
      <c r="B998" s="41"/>
      <c r="C998" s="41"/>
      <c r="D998" s="41"/>
      <c r="E998" s="41"/>
      <c r="F998" s="114"/>
      <c r="G998" s="114"/>
      <c r="H998" s="114"/>
      <c r="I998" s="114"/>
      <c r="J998" s="114"/>
      <c r="K998" s="114"/>
      <c r="L998" s="114"/>
      <c r="M998" s="114"/>
      <c r="N998" s="114"/>
      <c r="O998" s="114"/>
      <c r="P998" s="114"/>
      <c r="Q998" s="114"/>
      <c r="R998" s="114"/>
      <c r="S998" s="114"/>
      <c r="T998" s="41"/>
      <c r="U998" s="41"/>
      <c r="V998" s="41"/>
      <c r="W998" s="41"/>
      <c r="X998" s="41"/>
      <c r="Y998" s="41"/>
      <c r="Z998" s="41"/>
    </row>
    <row r="999" ht="15.75" customHeight="1">
      <c r="A999" s="114"/>
      <c r="B999" s="41"/>
      <c r="C999" s="41"/>
      <c r="D999" s="41"/>
      <c r="E999" s="41"/>
      <c r="F999" s="114"/>
      <c r="G999" s="114"/>
      <c r="H999" s="114"/>
      <c r="I999" s="114"/>
      <c r="J999" s="114"/>
      <c r="K999" s="114"/>
      <c r="L999" s="114"/>
      <c r="M999" s="114"/>
      <c r="N999" s="114"/>
      <c r="O999" s="114"/>
      <c r="P999" s="114"/>
      <c r="Q999" s="114"/>
      <c r="R999" s="114"/>
      <c r="S999" s="114"/>
      <c r="T999" s="41"/>
      <c r="U999" s="41"/>
      <c r="V999" s="41"/>
      <c r="W999" s="41"/>
      <c r="X999" s="41"/>
      <c r="Y999" s="41"/>
      <c r="Z999" s="41"/>
    </row>
    <row r="1000" ht="15.75" customHeight="1">
      <c r="A1000" s="114"/>
      <c r="B1000" s="41"/>
      <c r="C1000" s="41"/>
      <c r="D1000" s="41"/>
      <c r="E1000" s="41"/>
      <c r="F1000" s="114"/>
      <c r="G1000" s="114"/>
      <c r="H1000" s="114"/>
      <c r="I1000" s="114"/>
      <c r="J1000" s="114"/>
      <c r="K1000" s="114"/>
      <c r="L1000" s="114"/>
      <c r="M1000" s="114"/>
      <c r="N1000" s="114"/>
      <c r="O1000" s="114"/>
      <c r="P1000" s="114"/>
      <c r="Q1000" s="114"/>
      <c r="R1000" s="114"/>
      <c r="S1000" s="114"/>
      <c r="T1000" s="41"/>
      <c r="U1000" s="41"/>
      <c r="V1000" s="41"/>
      <c r="W1000" s="41"/>
      <c r="X1000" s="41"/>
      <c r="Y1000" s="41"/>
      <c r="Z1000" s="41"/>
    </row>
  </sheetData>
  <mergeCells count="24">
    <mergeCell ref="B2:E2"/>
    <mergeCell ref="B3:E3"/>
    <mergeCell ref="B7:J7"/>
    <mergeCell ref="H8:J8"/>
    <mergeCell ref="H9:J9"/>
    <mergeCell ref="H10:J10"/>
    <mergeCell ref="B12:E12"/>
    <mergeCell ref="B42:E42"/>
    <mergeCell ref="B44:E44"/>
    <mergeCell ref="B50:E50"/>
    <mergeCell ref="B61:E61"/>
    <mergeCell ref="B71:E71"/>
    <mergeCell ref="B76:E76"/>
    <mergeCell ref="B82:E82"/>
    <mergeCell ref="B158:E158"/>
    <mergeCell ref="B160:E160"/>
    <mergeCell ref="B162:E162"/>
    <mergeCell ref="B89:E89"/>
    <mergeCell ref="B111:E111"/>
    <mergeCell ref="B122:E122"/>
    <mergeCell ref="B131:E131"/>
    <mergeCell ref="B138:E138"/>
    <mergeCell ref="B146:E146"/>
    <mergeCell ref="B151:E151"/>
  </mergeCells>
  <conditionalFormatting sqref="D14:D39">
    <cfRule type="notContainsBlanks" dxfId="26" priority="1">
      <formula>LEN(TRIM(D14))&gt;0</formula>
    </cfRule>
  </conditionalFormatting>
  <conditionalFormatting sqref="D14:D39">
    <cfRule type="containsBlanks" dxfId="1" priority="2">
      <formula>LEN(TRIM(D14))=0</formula>
    </cfRule>
  </conditionalFormatting>
  <conditionalFormatting sqref="D44 D46:D48 D50 D52:D59 D61 D63:D69 D71 D73:D74 D76 D78:D80 D82 D84:D87 D89 D91:D109 D111 D113:D120 D122 D124:D129 D131 D133:D136 D138 D140:D144 D146 D148:D149 D151 D153:D156">
    <cfRule type="notContainsBlanks" dxfId="10" priority="3">
      <formula>LEN(TRIM(D44))&gt;0</formula>
    </cfRule>
  </conditionalFormatting>
  <conditionalFormatting sqref="E9:E10">
    <cfRule type="notContainsBlanks" dxfId="26" priority="4">
      <formula>LEN(TRIM(E9))&gt;0</formula>
    </cfRule>
  </conditionalFormatting>
  <conditionalFormatting sqref="E9:E10">
    <cfRule type="containsBlanks" dxfId="1" priority="5">
      <formula>LEN(TRIM(E9))=0</formula>
    </cfRule>
  </conditionalFormatting>
  <conditionalFormatting sqref="G9:G10">
    <cfRule type="notContainsBlanks" dxfId="26" priority="6">
      <formula>LEN(TRIM(G9))&gt;0</formula>
    </cfRule>
  </conditionalFormatting>
  <conditionalFormatting sqref="G9:G10">
    <cfRule type="containsBlanks" dxfId="1" priority="7">
      <formula>LEN(TRIM(G9))=0</formula>
    </cfRule>
  </conditionalFormatting>
  <dataValidations>
    <dataValidation type="list" allowBlank="1" showErrorMessage="1" sqref="C13:D13">
      <formula1>"Standard,Consolidated"</formula1>
    </dataValidation>
    <dataValidation type="list" allowBlank="1" showErrorMessage="1" sqref="C19:D19">
      <formula1>aws_regions</formula1>
    </dataValidation>
  </dataValidations>
  <hyperlinks>
    <hyperlink display="Section Navigation (Click to Navigate)" location="null!H50" ref="B5"/>
    <hyperlink display="Deployment" location="'Cloud-Based Ransomware Recovery'!B8" ref="C5"/>
    <hyperlink display="Solution Interoperability" location="'Cloud-Based Ransomware Recovery'!B130" ref="D5"/>
  </hyperlink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2.78"/>
    <col customWidth="1" min="2" max="2" width="63.78"/>
    <col customWidth="1" min="3" max="3" width="78.78"/>
    <col customWidth="1" min="4" max="4" width="84.78"/>
    <col customWidth="1" min="5" max="5" width="60.78"/>
    <col customWidth="1" min="6" max="26" width="11.0"/>
  </cols>
  <sheetData>
    <row r="1" ht="15.75" customHeight="1">
      <c r="A1" s="413"/>
      <c r="B1" s="413"/>
      <c r="C1" s="413"/>
      <c r="D1" s="413"/>
      <c r="E1" s="413"/>
      <c r="F1" s="413"/>
      <c r="G1" s="114"/>
      <c r="H1" s="114"/>
      <c r="I1" s="114"/>
      <c r="J1" s="114"/>
      <c r="K1" s="114"/>
      <c r="L1" s="114"/>
      <c r="M1" s="114"/>
      <c r="N1" s="114"/>
      <c r="O1" s="114"/>
      <c r="P1" s="114"/>
      <c r="Q1" s="114"/>
      <c r="R1" s="114"/>
      <c r="S1" s="114"/>
      <c r="T1" s="114"/>
      <c r="U1" s="114"/>
      <c r="V1" s="114"/>
      <c r="W1" s="114"/>
      <c r="X1" s="114"/>
      <c r="Y1" s="114"/>
      <c r="Z1" s="114"/>
    </row>
    <row r="2" ht="54.0" customHeight="1">
      <c r="A2" s="413"/>
      <c r="B2" s="414" t="s">
        <v>3927</v>
      </c>
      <c r="C2" s="13"/>
      <c r="D2" s="13"/>
      <c r="E2" s="14"/>
      <c r="F2" s="413"/>
      <c r="G2" s="114"/>
      <c r="H2" s="114"/>
      <c r="I2" s="114"/>
      <c r="J2" s="114"/>
      <c r="K2" s="114"/>
      <c r="L2" s="114"/>
      <c r="M2" s="114"/>
      <c r="N2" s="114"/>
      <c r="O2" s="114"/>
      <c r="P2" s="114"/>
      <c r="Q2" s="114"/>
      <c r="R2" s="114"/>
      <c r="S2" s="114"/>
      <c r="T2" s="41"/>
      <c r="U2" s="41"/>
      <c r="V2" s="41"/>
      <c r="W2" s="41"/>
      <c r="X2" s="41"/>
      <c r="Y2" s="41"/>
      <c r="Z2" s="41"/>
    </row>
    <row r="3" ht="15.75" customHeight="1">
      <c r="A3" s="413"/>
      <c r="B3" s="415" t="s">
        <v>3928</v>
      </c>
      <c r="C3" s="13"/>
      <c r="D3" s="13"/>
      <c r="E3" s="14"/>
      <c r="F3" s="413"/>
      <c r="G3" s="114"/>
      <c r="H3" s="114"/>
      <c r="I3" s="114"/>
      <c r="J3" s="114"/>
      <c r="K3" s="114"/>
      <c r="L3" s="114"/>
      <c r="M3" s="114"/>
      <c r="N3" s="114"/>
      <c r="O3" s="114"/>
      <c r="P3" s="114"/>
      <c r="Q3" s="114"/>
      <c r="R3" s="114"/>
      <c r="S3" s="114"/>
      <c r="T3" s="41"/>
      <c r="U3" s="41"/>
      <c r="V3" s="41"/>
      <c r="W3" s="41"/>
      <c r="X3" s="41"/>
      <c r="Y3" s="41"/>
      <c r="Z3" s="41"/>
    </row>
    <row r="4" ht="15.75" customHeight="1">
      <c r="A4" s="416"/>
      <c r="B4" s="416"/>
      <c r="C4" s="416"/>
      <c r="D4" s="416"/>
      <c r="E4" s="416"/>
      <c r="F4" s="416"/>
      <c r="G4" s="114"/>
      <c r="H4" s="114"/>
      <c r="I4" s="114"/>
      <c r="J4" s="114"/>
      <c r="K4" s="114"/>
      <c r="L4" s="114"/>
      <c r="M4" s="114"/>
      <c r="N4" s="114"/>
      <c r="O4" s="114"/>
      <c r="P4" s="114"/>
      <c r="Q4" s="114"/>
      <c r="R4" s="114"/>
      <c r="S4" s="114"/>
      <c r="T4" s="41"/>
      <c r="U4" s="41"/>
      <c r="V4" s="41"/>
      <c r="W4" s="41"/>
      <c r="X4" s="41"/>
      <c r="Y4" s="41"/>
      <c r="Z4" s="41"/>
    </row>
    <row r="5" ht="33.75" customHeight="1">
      <c r="A5" s="416"/>
      <c r="B5" s="417" t="s">
        <v>3845</v>
      </c>
      <c r="C5" s="417" t="s">
        <v>1027</v>
      </c>
      <c r="D5" s="427" t="s">
        <v>3405</v>
      </c>
      <c r="E5" s="428"/>
      <c r="F5" s="420"/>
      <c r="G5" s="114"/>
      <c r="H5" s="114"/>
      <c r="I5" s="114"/>
      <c r="J5" s="114"/>
      <c r="K5" s="114"/>
      <c r="L5" s="114"/>
      <c r="M5" s="114"/>
      <c r="N5" s="114"/>
      <c r="O5" s="114"/>
      <c r="P5" s="114"/>
      <c r="Q5" s="114"/>
      <c r="R5" s="114"/>
      <c r="S5" s="114"/>
      <c r="T5" s="41"/>
      <c r="U5" s="41"/>
      <c r="V5" s="41"/>
      <c r="W5" s="41"/>
      <c r="X5" s="41"/>
      <c r="Y5" s="41"/>
      <c r="Z5" s="41"/>
    </row>
    <row r="6" ht="19.5" customHeight="1">
      <c r="A6" s="413"/>
      <c r="B6" s="413"/>
      <c r="C6" s="413"/>
      <c r="D6" s="421"/>
      <c r="E6" s="422"/>
      <c r="F6" s="422"/>
      <c r="G6" s="114"/>
      <c r="H6" s="114"/>
      <c r="I6" s="114"/>
      <c r="J6" s="114"/>
      <c r="K6" s="114"/>
      <c r="L6" s="114"/>
      <c r="M6" s="114"/>
      <c r="N6" s="114"/>
      <c r="O6" s="114"/>
      <c r="P6" s="114"/>
      <c r="Q6" s="114"/>
      <c r="R6" s="114"/>
      <c r="S6" s="114"/>
      <c r="T6" s="41"/>
      <c r="U6" s="41"/>
      <c r="V6" s="41"/>
      <c r="W6" s="41"/>
      <c r="X6" s="41"/>
      <c r="Y6" s="41"/>
      <c r="Z6" s="41"/>
    </row>
    <row r="7" ht="33.75" customHeight="1">
      <c r="A7" s="41"/>
      <c r="B7" s="12" t="s">
        <v>3929</v>
      </c>
      <c r="C7" s="13"/>
      <c r="D7" s="13"/>
      <c r="E7" s="13"/>
      <c r="F7" s="13"/>
      <c r="G7" s="13"/>
      <c r="H7" s="13"/>
      <c r="I7" s="13"/>
      <c r="J7" s="14"/>
      <c r="K7" s="41"/>
      <c r="L7" s="41"/>
      <c r="M7" s="41"/>
      <c r="N7" s="41"/>
      <c r="O7" s="41"/>
      <c r="P7" s="41"/>
      <c r="Q7" s="41"/>
      <c r="R7" s="41"/>
      <c r="S7" s="41"/>
      <c r="T7" s="41"/>
      <c r="U7" s="41"/>
      <c r="V7" s="41"/>
      <c r="W7" s="41"/>
      <c r="X7" s="41"/>
      <c r="Y7" s="41"/>
      <c r="Z7" s="41"/>
    </row>
    <row r="8" ht="19.5" customHeight="1">
      <c r="A8" s="41"/>
      <c r="B8" s="49" t="s">
        <v>3127</v>
      </c>
      <c r="C8" s="49" t="s">
        <v>200</v>
      </c>
      <c r="D8" s="49" t="s">
        <v>3128</v>
      </c>
      <c r="E8" s="49" t="s">
        <v>3129</v>
      </c>
      <c r="F8" s="49" t="s">
        <v>475</v>
      </c>
      <c r="G8" s="49" t="s">
        <v>476</v>
      </c>
      <c r="H8" s="43" t="s">
        <v>5</v>
      </c>
      <c r="I8" s="13"/>
      <c r="J8" s="14"/>
      <c r="K8" s="41"/>
      <c r="L8" s="41"/>
      <c r="M8" s="41"/>
      <c r="N8" s="41"/>
      <c r="O8" s="41"/>
      <c r="P8" s="41"/>
      <c r="Q8" s="41"/>
      <c r="R8" s="41"/>
      <c r="S8" s="41"/>
      <c r="T8" s="41"/>
      <c r="U8" s="41"/>
      <c r="V8" s="41"/>
      <c r="W8" s="41"/>
      <c r="X8" s="41"/>
      <c r="Y8" s="41"/>
      <c r="Z8" s="41"/>
    </row>
    <row r="9" ht="19.5" customHeight="1">
      <c r="A9" s="41"/>
      <c r="B9" s="84" t="s">
        <v>3930</v>
      </c>
      <c r="C9" s="196" t="s">
        <v>2326</v>
      </c>
      <c r="D9" s="156" t="str">
        <f>CONCATENATE(this_instance,"-ccm-hcx01")</f>
        <v>lax-ccm-hcx01</v>
      </c>
      <c r="E9" s="18"/>
      <c r="F9" s="156" t="str">
        <f>IF(mgmt_dpg_reuse_result="Included",CONCATENATE(prefix_mgmt_az1_cidr,"10.46"),CONCATENATE(prefix_mgmt_az1_cidr,"11.46"))</f>
        <v>10.21.10.46</v>
      </c>
      <c r="G9" s="18"/>
      <c r="H9" s="409" t="s">
        <v>3930</v>
      </c>
      <c r="I9" s="13"/>
      <c r="J9" s="14"/>
      <c r="K9" s="41"/>
      <c r="L9" s="41"/>
      <c r="M9" s="41"/>
      <c r="N9" s="41"/>
      <c r="O9" s="41"/>
      <c r="P9" s="41"/>
      <c r="Q9" s="41"/>
      <c r="R9" s="41"/>
      <c r="S9" s="41"/>
      <c r="T9" s="41"/>
      <c r="U9" s="41"/>
      <c r="V9" s="41"/>
      <c r="W9" s="41"/>
      <c r="X9" s="41"/>
      <c r="Y9" s="41"/>
      <c r="Z9" s="41"/>
    </row>
    <row r="10" ht="19.5" customHeight="1">
      <c r="A10" s="41"/>
      <c r="B10" s="429" t="s">
        <v>3931</v>
      </c>
      <c r="C10" s="14"/>
      <c r="D10" s="429" t="s">
        <v>3932</v>
      </c>
      <c r="E10" s="14"/>
      <c r="F10" s="429" t="s">
        <v>3933</v>
      </c>
      <c r="G10" s="14"/>
      <c r="H10" s="430"/>
      <c r="I10" s="13"/>
      <c r="J10" s="14"/>
      <c r="K10" s="41"/>
      <c r="L10" s="41"/>
      <c r="M10" s="41"/>
      <c r="N10" s="41"/>
      <c r="O10" s="41"/>
      <c r="P10" s="41"/>
      <c r="Q10" s="41"/>
      <c r="R10" s="41"/>
      <c r="S10" s="41"/>
      <c r="T10" s="41"/>
      <c r="U10" s="41"/>
      <c r="V10" s="41"/>
      <c r="W10" s="41"/>
      <c r="X10" s="41"/>
      <c r="Y10" s="41"/>
      <c r="Z10" s="41"/>
    </row>
    <row r="11" ht="19.5" customHeight="1">
      <c r="A11" s="41"/>
      <c r="B11" s="71" t="s">
        <v>2545</v>
      </c>
      <c r="C11" s="14"/>
      <c r="D11" s="431" t="str">
        <f>IF(mgmt_dpg_reuse_result="Included",CONCATENATE(prefix_wld_az1_cidr,"10.221-",prefix_wld_az1_cidr,"10.225"),CONCATENATE(prefix_wld_az1_cidr,"11.221-",prefix_wld_az1_cidr,"11.225"))</f>
        <v>10.23.10.221-10.23.10.225</v>
      </c>
      <c r="E11" s="14"/>
      <c r="F11" s="432"/>
      <c r="G11" s="14"/>
      <c r="H11" s="409"/>
      <c r="I11" s="13"/>
      <c r="J11" s="14"/>
      <c r="K11" s="41"/>
      <c r="L11" s="41"/>
      <c r="M11" s="41"/>
      <c r="N11" s="41"/>
      <c r="O11" s="41"/>
      <c r="P11" s="41"/>
      <c r="Q11" s="41"/>
      <c r="R11" s="41"/>
      <c r="S11" s="41"/>
      <c r="T11" s="41"/>
      <c r="U11" s="41"/>
      <c r="V11" s="41"/>
      <c r="W11" s="41"/>
      <c r="X11" s="41"/>
      <c r="Y11" s="41"/>
      <c r="Z11" s="41"/>
    </row>
    <row r="12" ht="19.5" customHeight="1">
      <c r="A12" s="41"/>
      <c r="B12" s="71" t="s">
        <v>2095</v>
      </c>
      <c r="C12" s="14"/>
      <c r="D12" s="431" t="str">
        <f>CONCATENATE(prefix_wld_az1_cidr,"12.221-",prefix_wld_az1_cidr,"12.225")</f>
        <v>10.23.12.221-10.23.12.225</v>
      </c>
      <c r="E12" s="14"/>
      <c r="F12" s="432"/>
      <c r="G12" s="14"/>
      <c r="H12" s="409"/>
      <c r="I12" s="13"/>
      <c r="J12" s="14"/>
      <c r="K12" s="41"/>
      <c r="L12" s="41"/>
      <c r="M12" s="41"/>
      <c r="N12" s="41"/>
      <c r="O12" s="41"/>
      <c r="P12" s="41"/>
      <c r="Q12" s="41"/>
      <c r="R12" s="41"/>
      <c r="S12" s="41"/>
      <c r="T12" s="41"/>
      <c r="U12" s="41"/>
      <c r="V12" s="41"/>
      <c r="W12" s="41"/>
      <c r="X12" s="41"/>
      <c r="Y12" s="41"/>
      <c r="Z12" s="41"/>
    </row>
    <row r="13" ht="15.75" customHeight="1">
      <c r="A13" s="41"/>
      <c r="B13" s="1"/>
      <c r="C13" s="1"/>
      <c r="D13" s="1"/>
      <c r="E13" s="1"/>
      <c r="F13" s="1"/>
      <c r="G13" s="1"/>
      <c r="H13" s="1"/>
      <c r="I13" s="1"/>
      <c r="J13" s="10"/>
      <c r="K13" s="41"/>
      <c r="L13" s="41"/>
      <c r="M13" s="41"/>
      <c r="N13" s="41"/>
      <c r="O13" s="41"/>
      <c r="P13" s="41"/>
      <c r="Q13" s="41"/>
      <c r="R13" s="41"/>
      <c r="S13" s="41"/>
      <c r="T13" s="41"/>
      <c r="U13" s="41"/>
      <c r="V13" s="41"/>
      <c r="W13" s="41"/>
      <c r="X13" s="41"/>
      <c r="Y13" s="41"/>
      <c r="Z13" s="41"/>
    </row>
    <row r="14" ht="30.0" customHeight="1">
      <c r="A14" s="1"/>
      <c r="B14" s="332" t="s">
        <v>3929</v>
      </c>
      <c r="C14" s="13"/>
      <c r="D14" s="13"/>
      <c r="E14" s="14"/>
      <c r="F14" s="1"/>
      <c r="G14" s="1"/>
      <c r="H14" s="1"/>
      <c r="I14" s="1"/>
      <c r="J14" s="1"/>
      <c r="K14" s="1"/>
      <c r="L14" s="1"/>
      <c r="M14" s="1"/>
      <c r="N14" s="1"/>
      <c r="O14" s="1"/>
      <c r="P14" s="1"/>
      <c r="Q14" s="1"/>
      <c r="R14" s="1"/>
      <c r="S14" s="1"/>
      <c r="T14" s="1"/>
      <c r="U14" s="1"/>
      <c r="V14" s="1"/>
      <c r="W14" s="1"/>
      <c r="X14" s="1"/>
      <c r="Y14" s="1"/>
      <c r="Z14" s="1"/>
    </row>
    <row r="15" ht="19.5" customHeight="1">
      <c r="A15" s="1"/>
      <c r="B15" s="337" t="s">
        <v>256</v>
      </c>
      <c r="C15" s="337" t="s">
        <v>722</v>
      </c>
      <c r="D15" s="338" t="s">
        <v>274</v>
      </c>
      <c r="E15" s="337" t="s">
        <v>5</v>
      </c>
      <c r="F15" s="1"/>
      <c r="G15" s="1"/>
      <c r="H15" s="1"/>
      <c r="I15" s="1"/>
      <c r="J15" s="1"/>
      <c r="K15" s="1"/>
      <c r="L15" s="1"/>
      <c r="M15" s="1"/>
      <c r="N15" s="1"/>
      <c r="O15" s="1"/>
      <c r="P15" s="1"/>
      <c r="Q15" s="1"/>
      <c r="R15" s="1"/>
      <c r="S15" s="1"/>
      <c r="T15" s="1"/>
      <c r="U15" s="1"/>
      <c r="V15" s="1"/>
      <c r="W15" s="1"/>
      <c r="X15" s="1"/>
      <c r="Y15" s="1"/>
      <c r="Z15" s="1"/>
    </row>
    <row r="16" ht="19.5" customHeight="1">
      <c r="A16" s="1"/>
      <c r="B16" s="84" t="s">
        <v>3934</v>
      </c>
      <c r="C16" s="196" t="s">
        <v>3935</v>
      </c>
      <c r="D16" s="21"/>
      <c r="E16" s="21"/>
      <c r="F16" s="1"/>
      <c r="G16" s="1"/>
      <c r="H16" s="1"/>
      <c r="I16" s="1"/>
      <c r="J16" s="1"/>
      <c r="K16" s="1"/>
      <c r="L16" s="1"/>
      <c r="M16" s="1"/>
      <c r="N16" s="1"/>
      <c r="O16" s="1"/>
      <c r="P16" s="1"/>
      <c r="Q16" s="1"/>
      <c r="R16" s="1"/>
      <c r="S16" s="1"/>
      <c r="T16" s="1"/>
      <c r="U16" s="1"/>
      <c r="V16" s="1"/>
      <c r="W16" s="1"/>
      <c r="X16" s="1"/>
      <c r="Y16" s="1"/>
      <c r="Z16" s="1"/>
    </row>
    <row r="17" ht="19.5" customHeight="1">
      <c r="A17" s="1"/>
      <c r="B17" s="84" t="s">
        <v>3936</v>
      </c>
      <c r="C17" s="196" t="str">
        <f>CONCATENATE(this_instance,"-m01-fd-ccm")</f>
        <v>lax-m01-fd-ccm</v>
      </c>
      <c r="D17" s="21"/>
      <c r="E17" s="21"/>
      <c r="F17" s="1"/>
      <c r="G17" s="1"/>
      <c r="H17" s="1"/>
      <c r="I17" s="1"/>
      <c r="J17" s="1"/>
      <c r="K17" s="1"/>
      <c r="L17" s="1"/>
      <c r="M17" s="1"/>
      <c r="N17" s="1"/>
      <c r="O17" s="1"/>
      <c r="P17" s="1"/>
      <c r="Q17" s="1"/>
      <c r="R17" s="1"/>
      <c r="S17" s="1"/>
      <c r="T17" s="1"/>
      <c r="U17" s="1"/>
      <c r="V17" s="1"/>
      <c r="W17" s="1"/>
      <c r="X17" s="1"/>
      <c r="Y17" s="1"/>
      <c r="Z17" s="1"/>
    </row>
    <row r="18" ht="19.5" customHeight="1">
      <c r="A18" s="1"/>
      <c r="B18" s="84" t="s">
        <v>3937</v>
      </c>
      <c r="C18" s="196" t="str">
        <f>CONCATENATE(this_instance,"-w0",wld_domain_number_chosen,"-fd-hcx")</f>
        <v>lax-w01-fd-hcx</v>
      </c>
      <c r="D18" s="21"/>
      <c r="E18" s="21"/>
      <c r="F18" s="1"/>
      <c r="G18" s="1"/>
      <c r="H18" s="1"/>
      <c r="I18" s="1"/>
      <c r="J18" s="1"/>
      <c r="K18" s="1"/>
      <c r="L18" s="1"/>
      <c r="M18" s="1"/>
      <c r="N18" s="1"/>
      <c r="O18" s="1"/>
      <c r="P18" s="1"/>
      <c r="Q18" s="1"/>
      <c r="R18" s="1"/>
      <c r="S18" s="1"/>
      <c r="T18" s="1"/>
      <c r="U18" s="1"/>
      <c r="V18" s="1"/>
      <c r="W18" s="1"/>
      <c r="X18" s="1"/>
      <c r="Y18" s="1"/>
      <c r="Z18" s="1"/>
    </row>
    <row r="19" ht="19.5" customHeight="1">
      <c r="A19" s="1"/>
      <c r="B19" s="84" t="s">
        <v>3938</v>
      </c>
      <c r="C19" s="196" t="str">
        <f>CONCATENATE(this_instance,"-w0",wld_domain_number_chosen,"-cl01-rp-hcx")</f>
        <v>lax-w01-cl01-rp-hcx</v>
      </c>
      <c r="D19" s="21"/>
      <c r="E19" s="21"/>
      <c r="F19" s="1"/>
      <c r="G19" s="1"/>
      <c r="H19" s="1"/>
      <c r="I19" s="1"/>
      <c r="J19" s="1"/>
      <c r="K19" s="1"/>
      <c r="L19" s="1"/>
      <c r="M19" s="1"/>
      <c r="N19" s="1"/>
      <c r="O19" s="1"/>
      <c r="P19" s="1"/>
      <c r="Q19" s="1"/>
      <c r="R19" s="1"/>
      <c r="S19" s="1"/>
      <c r="T19" s="1"/>
      <c r="U19" s="1"/>
      <c r="V19" s="1"/>
      <c r="W19" s="1"/>
      <c r="X19" s="1"/>
      <c r="Y19" s="1"/>
      <c r="Z19" s="1"/>
    </row>
    <row r="20" ht="19.5" customHeight="1">
      <c r="A20" s="1"/>
      <c r="B20" s="84" t="s">
        <v>2684</v>
      </c>
      <c r="C20" s="196" t="s">
        <v>3939</v>
      </c>
      <c r="D20" s="21"/>
      <c r="E20" s="21"/>
      <c r="F20" s="1"/>
      <c r="G20" s="1"/>
      <c r="H20" s="1"/>
      <c r="I20" s="1"/>
      <c r="J20" s="1"/>
      <c r="K20" s="1"/>
      <c r="L20" s="1"/>
      <c r="M20" s="1"/>
      <c r="N20" s="1"/>
      <c r="O20" s="1"/>
      <c r="P20" s="1"/>
      <c r="Q20" s="1"/>
      <c r="R20" s="1"/>
      <c r="S20" s="1"/>
      <c r="T20" s="1"/>
      <c r="U20" s="1"/>
      <c r="V20" s="1"/>
      <c r="W20" s="1"/>
      <c r="X20" s="1"/>
      <c r="Y20" s="1"/>
      <c r="Z20" s="1"/>
    </row>
    <row r="21" ht="19.5" customHeight="1">
      <c r="A21" s="1"/>
      <c r="B21" s="84" t="s">
        <v>2568</v>
      </c>
      <c r="C21" s="196" t="s">
        <v>3087</v>
      </c>
      <c r="D21" s="21"/>
      <c r="E21" s="21"/>
      <c r="F21" s="1"/>
      <c r="G21" s="1"/>
      <c r="H21" s="1"/>
      <c r="I21" s="1"/>
      <c r="J21" s="1"/>
      <c r="K21" s="1"/>
      <c r="L21" s="1"/>
      <c r="M21" s="1"/>
      <c r="N21" s="1"/>
      <c r="O21" s="1"/>
      <c r="P21" s="1"/>
      <c r="Q21" s="1"/>
      <c r="R21" s="1"/>
      <c r="S21" s="1"/>
      <c r="T21" s="1"/>
      <c r="U21" s="1"/>
      <c r="V21" s="1"/>
      <c r="W21" s="1"/>
      <c r="X21" s="1"/>
      <c r="Y21" s="1"/>
      <c r="Z21" s="1"/>
    </row>
    <row r="22" ht="19.5" customHeight="1">
      <c r="A22" s="1"/>
      <c r="B22" s="84" t="s">
        <v>2571</v>
      </c>
      <c r="C22" s="196" t="s">
        <v>3940</v>
      </c>
      <c r="D22" s="21"/>
      <c r="E22" s="21"/>
      <c r="F22" s="1"/>
      <c r="G22" s="1"/>
      <c r="H22" s="1"/>
      <c r="I22" s="1"/>
      <c r="J22" s="1"/>
      <c r="K22" s="1"/>
      <c r="L22" s="1"/>
      <c r="M22" s="1"/>
      <c r="N22" s="1"/>
      <c r="O22" s="1"/>
      <c r="P22" s="1"/>
      <c r="Q22" s="1"/>
      <c r="R22" s="1"/>
      <c r="S22" s="1"/>
      <c r="T22" s="1"/>
      <c r="U22" s="1"/>
      <c r="V22" s="1"/>
      <c r="W22" s="1"/>
      <c r="X22" s="1"/>
      <c r="Y22" s="1"/>
      <c r="Z22" s="1"/>
    </row>
    <row r="23" ht="19.5" customHeight="1">
      <c r="A23" s="1"/>
      <c r="B23" s="84" t="s">
        <v>143</v>
      </c>
      <c r="C23" s="196">
        <v>2.0</v>
      </c>
      <c r="D23" s="21"/>
      <c r="E23" s="21"/>
      <c r="F23" s="1"/>
      <c r="G23" s="1"/>
      <c r="H23" s="1"/>
      <c r="I23" s="1"/>
      <c r="J23" s="1"/>
      <c r="K23" s="1"/>
      <c r="L23" s="1"/>
      <c r="M23" s="1"/>
      <c r="N23" s="1"/>
      <c r="O23" s="1"/>
      <c r="P23" s="1"/>
      <c r="Q23" s="1"/>
      <c r="R23" s="1"/>
      <c r="S23" s="1"/>
      <c r="T23" s="1"/>
      <c r="U23" s="1"/>
      <c r="V23" s="1"/>
      <c r="W23" s="1"/>
      <c r="X23" s="1"/>
      <c r="Y23" s="1"/>
      <c r="Z23" s="1"/>
    </row>
    <row r="24" ht="19.5" customHeight="1">
      <c r="A24" s="1"/>
      <c r="B24" s="84" t="s">
        <v>2579</v>
      </c>
      <c r="C24" s="196" t="s">
        <v>3856</v>
      </c>
      <c r="D24" s="21"/>
      <c r="E24" s="21"/>
      <c r="F24" s="1"/>
      <c r="G24" s="1"/>
      <c r="H24" s="1"/>
      <c r="I24" s="1"/>
      <c r="J24" s="1"/>
      <c r="K24" s="1"/>
      <c r="L24" s="1"/>
      <c r="M24" s="1"/>
      <c r="N24" s="1"/>
      <c r="O24" s="1"/>
      <c r="P24" s="1"/>
      <c r="Q24" s="1"/>
      <c r="R24" s="1"/>
      <c r="S24" s="1"/>
      <c r="T24" s="1"/>
      <c r="U24" s="1"/>
      <c r="V24" s="1"/>
      <c r="W24" s="1"/>
      <c r="X24" s="1"/>
      <c r="Y24" s="1"/>
      <c r="Z24" s="1"/>
    </row>
    <row r="25" ht="19.5" customHeight="1">
      <c r="A25" s="1"/>
      <c r="B25" s="84" t="s">
        <v>2583</v>
      </c>
      <c r="C25" s="196" t="s">
        <v>3856</v>
      </c>
      <c r="D25" s="21"/>
      <c r="E25" s="21"/>
      <c r="F25" s="1"/>
      <c r="G25" s="1"/>
      <c r="H25" s="1"/>
      <c r="I25" s="1"/>
      <c r="J25" s="1"/>
      <c r="K25" s="1"/>
      <c r="L25" s="1"/>
      <c r="M25" s="1"/>
      <c r="N25" s="1"/>
      <c r="O25" s="1"/>
      <c r="P25" s="1"/>
      <c r="Q25" s="1"/>
      <c r="R25" s="1"/>
      <c r="S25" s="1"/>
      <c r="T25" s="1"/>
      <c r="U25" s="1"/>
      <c r="V25" s="1"/>
      <c r="W25" s="1"/>
      <c r="X25" s="1"/>
      <c r="Y25" s="1"/>
      <c r="Z25" s="1"/>
    </row>
    <row r="26" ht="19.5" customHeight="1">
      <c r="A26" s="1"/>
      <c r="B26" s="84" t="s">
        <v>2588</v>
      </c>
      <c r="C26" s="196" t="s">
        <v>3857</v>
      </c>
      <c r="D26" s="21"/>
      <c r="E26" s="21"/>
      <c r="F26" s="1"/>
      <c r="G26" s="1"/>
      <c r="H26" s="1"/>
      <c r="I26" s="1"/>
      <c r="J26" s="1"/>
      <c r="K26" s="1"/>
      <c r="L26" s="1"/>
      <c r="M26" s="1"/>
      <c r="N26" s="1"/>
      <c r="O26" s="1"/>
      <c r="P26" s="1"/>
      <c r="Q26" s="1"/>
      <c r="R26" s="1"/>
      <c r="S26" s="1"/>
      <c r="T26" s="1"/>
      <c r="U26" s="1"/>
      <c r="V26" s="1"/>
      <c r="W26" s="1"/>
      <c r="X26" s="1"/>
      <c r="Y26" s="1"/>
      <c r="Z26" s="1"/>
    </row>
    <row r="27" ht="19.5" customHeight="1">
      <c r="A27" s="1"/>
      <c r="B27" s="84" t="s">
        <v>3941</v>
      </c>
      <c r="C27" s="196" t="s">
        <v>3859</v>
      </c>
      <c r="D27" s="21"/>
      <c r="E27" s="21"/>
      <c r="F27" s="1"/>
      <c r="G27" s="1"/>
      <c r="H27" s="1"/>
      <c r="I27" s="1"/>
      <c r="J27" s="1"/>
      <c r="K27" s="1"/>
      <c r="L27" s="1"/>
      <c r="M27" s="1"/>
      <c r="N27" s="1"/>
      <c r="O27" s="1"/>
      <c r="P27" s="1"/>
      <c r="Q27" s="1"/>
      <c r="R27" s="1"/>
      <c r="S27" s="1"/>
      <c r="T27" s="1"/>
      <c r="U27" s="1"/>
      <c r="V27" s="1"/>
      <c r="W27" s="1"/>
      <c r="X27" s="1"/>
      <c r="Y27" s="1"/>
      <c r="Z27" s="1"/>
    </row>
    <row r="28" ht="19.5" customHeight="1">
      <c r="A28" s="1"/>
      <c r="B28" s="84" t="s">
        <v>3942</v>
      </c>
      <c r="C28" s="196" t="s">
        <v>3943</v>
      </c>
      <c r="D28" s="21"/>
      <c r="E28" s="21"/>
      <c r="F28" s="1"/>
      <c r="G28" s="1"/>
      <c r="H28" s="1"/>
      <c r="I28" s="1"/>
      <c r="J28" s="1"/>
      <c r="K28" s="1"/>
      <c r="L28" s="1"/>
      <c r="M28" s="1"/>
      <c r="N28" s="1"/>
      <c r="O28" s="1"/>
      <c r="P28" s="1"/>
      <c r="Q28" s="1"/>
      <c r="R28" s="1"/>
      <c r="S28" s="1"/>
      <c r="T28" s="1"/>
      <c r="U28" s="1"/>
      <c r="V28" s="1"/>
      <c r="W28" s="1"/>
      <c r="X28" s="1"/>
      <c r="Y28" s="1"/>
      <c r="Z28" s="1"/>
    </row>
    <row r="29" ht="19.5" customHeight="1">
      <c r="A29" s="1"/>
      <c r="B29" s="84" t="s">
        <v>3944</v>
      </c>
      <c r="C29" s="196" t="s">
        <v>3861</v>
      </c>
      <c r="D29" s="21"/>
      <c r="E29" s="21"/>
      <c r="F29" s="1"/>
      <c r="G29" s="1"/>
      <c r="H29" s="1"/>
      <c r="I29" s="1"/>
      <c r="J29" s="1"/>
      <c r="K29" s="1"/>
      <c r="L29" s="1"/>
      <c r="M29" s="1"/>
      <c r="N29" s="1"/>
      <c r="O29" s="1"/>
      <c r="P29" s="1"/>
      <c r="Q29" s="1"/>
      <c r="R29" s="1"/>
      <c r="S29" s="1"/>
      <c r="T29" s="1"/>
      <c r="U29" s="1"/>
      <c r="V29" s="1"/>
      <c r="W29" s="1"/>
      <c r="X29" s="1"/>
      <c r="Y29" s="1"/>
      <c r="Z29" s="1"/>
    </row>
    <row r="30" ht="19.5" customHeight="1">
      <c r="A30" s="1"/>
      <c r="B30" s="84" t="s">
        <v>3945</v>
      </c>
      <c r="C30" s="196" t="s">
        <v>3863</v>
      </c>
      <c r="D30" s="21"/>
      <c r="E30" s="21"/>
      <c r="F30" s="1"/>
      <c r="G30" s="1"/>
      <c r="H30" s="1"/>
      <c r="I30" s="1"/>
      <c r="J30" s="1"/>
      <c r="K30" s="1"/>
      <c r="L30" s="1"/>
      <c r="M30" s="1"/>
      <c r="N30" s="1"/>
      <c r="O30" s="1"/>
      <c r="P30" s="1"/>
      <c r="Q30" s="1"/>
      <c r="R30" s="1"/>
      <c r="S30" s="1"/>
      <c r="T30" s="1"/>
      <c r="U30" s="1"/>
      <c r="V30" s="1"/>
      <c r="W30" s="1"/>
      <c r="X30" s="1"/>
      <c r="Y30" s="1"/>
      <c r="Z30" s="1"/>
    </row>
    <row r="31" ht="19.5" customHeight="1">
      <c r="A31" s="1"/>
      <c r="B31" s="84" t="s">
        <v>2719</v>
      </c>
      <c r="C31" s="196" t="s">
        <v>3795</v>
      </c>
      <c r="D31" s="21"/>
      <c r="E31" s="21"/>
      <c r="F31" s="1"/>
      <c r="G31" s="1"/>
      <c r="H31" s="1"/>
      <c r="I31" s="1"/>
      <c r="J31" s="1"/>
      <c r="K31" s="1"/>
      <c r="L31" s="1"/>
      <c r="M31" s="1"/>
      <c r="N31" s="1"/>
      <c r="O31" s="1"/>
      <c r="P31" s="1"/>
      <c r="Q31" s="1"/>
      <c r="R31" s="1"/>
      <c r="S31" s="1"/>
      <c r="T31" s="1"/>
      <c r="U31" s="1"/>
      <c r="V31" s="1"/>
      <c r="W31" s="1"/>
      <c r="X31" s="1"/>
      <c r="Y31" s="1"/>
      <c r="Z31" s="1"/>
    </row>
    <row r="32" ht="19.5" customHeight="1">
      <c r="A32" s="1"/>
      <c r="B32" s="84" t="s">
        <v>2723</v>
      </c>
      <c r="C32" s="196" t="s">
        <v>3946</v>
      </c>
      <c r="D32" s="21"/>
      <c r="E32" s="21"/>
      <c r="F32" s="1"/>
      <c r="G32" s="1"/>
      <c r="H32" s="1"/>
      <c r="I32" s="1"/>
      <c r="J32" s="1"/>
      <c r="K32" s="1"/>
      <c r="L32" s="1"/>
      <c r="M32" s="1"/>
      <c r="N32" s="1"/>
      <c r="O32" s="1"/>
      <c r="P32" s="1"/>
      <c r="Q32" s="1"/>
      <c r="R32" s="1"/>
      <c r="S32" s="1"/>
      <c r="T32" s="1"/>
      <c r="U32" s="1"/>
      <c r="V32" s="1"/>
      <c r="W32" s="1"/>
      <c r="X32" s="1"/>
      <c r="Y32" s="1"/>
      <c r="Z32" s="1"/>
    </row>
    <row r="33" ht="19.5" customHeight="1">
      <c r="A33" s="1"/>
      <c r="B33" s="84" t="s">
        <v>3947</v>
      </c>
      <c r="C33" s="196" t="s">
        <v>382</v>
      </c>
      <c r="D33" s="21"/>
      <c r="E33" s="21"/>
      <c r="F33" s="1"/>
      <c r="G33" s="1"/>
      <c r="H33" s="1"/>
      <c r="I33" s="1"/>
      <c r="J33" s="1"/>
      <c r="K33" s="1"/>
      <c r="L33" s="1"/>
      <c r="M33" s="1"/>
      <c r="N33" s="1"/>
      <c r="O33" s="1"/>
      <c r="P33" s="1"/>
      <c r="Q33" s="1"/>
      <c r="R33" s="1"/>
      <c r="S33" s="1"/>
      <c r="T33" s="1"/>
      <c r="U33" s="1"/>
      <c r="V33" s="1"/>
      <c r="W33" s="1"/>
      <c r="X33" s="1"/>
      <c r="Y33" s="1"/>
      <c r="Z33" s="1"/>
    </row>
    <row r="34" ht="19.5" customHeight="1">
      <c r="A34" s="1"/>
      <c r="B34" s="84" t="s">
        <v>3948</v>
      </c>
      <c r="C34" s="196" t="s">
        <v>382</v>
      </c>
      <c r="D34" s="21"/>
      <c r="E34" s="21"/>
      <c r="F34" s="1"/>
      <c r="G34" s="1"/>
      <c r="H34" s="1"/>
      <c r="I34" s="1"/>
      <c r="J34" s="1"/>
      <c r="K34" s="1"/>
      <c r="L34" s="1"/>
      <c r="M34" s="1"/>
      <c r="N34" s="1"/>
      <c r="O34" s="1"/>
      <c r="P34" s="1"/>
      <c r="Q34" s="1"/>
      <c r="R34" s="1"/>
      <c r="S34" s="1"/>
      <c r="T34" s="1"/>
      <c r="U34" s="1"/>
      <c r="V34" s="1"/>
      <c r="W34" s="1"/>
      <c r="X34" s="1"/>
      <c r="Y34" s="1"/>
      <c r="Z34" s="1"/>
    </row>
    <row r="35" ht="19.5" customHeight="1">
      <c r="A35" s="1"/>
      <c r="B35" s="84" t="s">
        <v>2737</v>
      </c>
      <c r="C35" s="196" t="s">
        <v>3949</v>
      </c>
      <c r="D35" s="21"/>
      <c r="E35" s="21"/>
      <c r="F35" s="1"/>
      <c r="G35" s="1"/>
      <c r="H35" s="1"/>
      <c r="I35" s="1"/>
      <c r="J35" s="1"/>
      <c r="K35" s="1"/>
      <c r="L35" s="1"/>
      <c r="M35" s="1"/>
      <c r="N35" s="1"/>
      <c r="O35" s="1"/>
      <c r="P35" s="1"/>
      <c r="Q35" s="1"/>
      <c r="R35" s="1"/>
      <c r="S35" s="1"/>
      <c r="T35" s="1"/>
      <c r="U35" s="1"/>
      <c r="V35" s="1"/>
      <c r="W35" s="1"/>
      <c r="X35" s="1"/>
      <c r="Y35" s="1"/>
      <c r="Z35" s="1"/>
    </row>
    <row r="36" ht="19.5" customHeight="1">
      <c r="A36" s="1"/>
      <c r="B36" s="84" t="s">
        <v>3950</v>
      </c>
      <c r="C36" s="196" t="s">
        <v>3951</v>
      </c>
      <c r="D36" s="21"/>
      <c r="E36" s="21"/>
      <c r="F36" s="1"/>
      <c r="G36" s="1"/>
      <c r="H36" s="1"/>
      <c r="I36" s="1"/>
      <c r="J36" s="1"/>
      <c r="K36" s="1"/>
      <c r="L36" s="1"/>
      <c r="M36" s="1"/>
      <c r="N36" s="1"/>
      <c r="O36" s="1"/>
      <c r="P36" s="1"/>
      <c r="Q36" s="1"/>
      <c r="R36" s="1"/>
      <c r="S36" s="1"/>
      <c r="T36" s="1"/>
      <c r="U36" s="1"/>
      <c r="V36" s="1"/>
      <c r="W36" s="1"/>
      <c r="X36" s="1"/>
      <c r="Y36" s="1"/>
      <c r="Z36" s="1"/>
    </row>
    <row r="37" ht="19.5" customHeight="1">
      <c r="A37" s="1"/>
      <c r="B37" s="84" t="s">
        <v>3952</v>
      </c>
      <c r="C37" s="196" t="s">
        <v>3953</v>
      </c>
      <c r="D37" s="21"/>
      <c r="E37" s="21"/>
      <c r="F37" s="1"/>
      <c r="G37" s="1"/>
      <c r="H37" s="1"/>
      <c r="I37" s="1"/>
      <c r="J37" s="1"/>
      <c r="K37" s="1"/>
      <c r="L37" s="1"/>
      <c r="M37" s="1"/>
      <c r="N37" s="1"/>
      <c r="O37" s="1"/>
      <c r="P37" s="1"/>
      <c r="Q37" s="1"/>
      <c r="R37" s="1"/>
      <c r="S37" s="1"/>
      <c r="T37" s="1"/>
      <c r="U37" s="1"/>
      <c r="V37" s="1"/>
      <c r="W37" s="1"/>
      <c r="X37" s="1"/>
      <c r="Y37" s="1"/>
      <c r="Z37" s="1"/>
    </row>
    <row r="38" ht="19.5" customHeight="1">
      <c r="A38" s="1"/>
      <c r="B38" s="84" t="s">
        <v>2747</v>
      </c>
      <c r="C38" s="196" t="str">
        <f>CONCATENATE(this_instance,"-w0",wld_domain_number_chosen,"-compute-profile")</f>
        <v>lax-w01-compute-profile</v>
      </c>
      <c r="D38" s="21"/>
      <c r="E38" s="21"/>
      <c r="F38" s="1"/>
      <c r="G38" s="1"/>
      <c r="H38" s="1"/>
      <c r="I38" s="1"/>
      <c r="J38" s="1"/>
      <c r="K38" s="1"/>
      <c r="L38" s="1"/>
      <c r="M38" s="1"/>
      <c r="N38" s="1"/>
      <c r="O38" s="1"/>
      <c r="P38" s="1"/>
      <c r="Q38" s="1"/>
      <c r="R38" s="1"/>
      <c r="S38" s="1"/>
      <c r="T38" s="1"/>
      <c r="U38" s="1"/>
      <c r="V38" s="1"/>
      <c r="W38" s="1"/>
      <c r="X38" s="1"/>
      <c r="Y38" s="1"/>
      <c r="Z38" s="1"/>
    </row>
    <row r="39" ht="19.5" customHeight="1">
      <c r="A39" s="1"/>
      <c r="B39" s="84" t="s">
        <v>2749</v>
      </c>
      <c r="C39" s="196" t="str">
        <f>CONCATENATE(this_instance,"-w0",wld_domain_number_chosen,"-service-mesh")</f>
        <v>lax-w01-service-mesh</v>
      </c>
      <c r="D39" s="21"/>
      <c r="E39" s="21"/>
      <c r="F39" s="1"/>
      <c r="G39" s="1"/>
      <c r="H39" s="1"/>
      <c r="I39" s="1"/>
      <c r="J39" s="1"/>
      <c r="K39" s="1"/>
      <c r="L39" s="1"/>
      <c r="M39" s="1"/>
      <c r="N39" s="1"/>
      <c r="O39" s="1"/>
      <c r="P39" s="1"/>
      <c r="Q39" s="1"/>
      <c r="R39" s="1"/>
      <c r="S39" s="1"/>
      <c r="T39" s="1"/>
      <c r="U39" s="1"/>
      <c r="V39" s="1"/>
      <c r="W39" s="1"/>
      <c r="X39" s="1"/>
      <c r="Y39" s="1"/>
      <c r="Z39" s="1"/>
    </row>
    <row r="40" ht="15.75" customHeight="1">
      <c r="A40" s="416"/>
      <c r="B40" s="416"/>
      <c r="C40" s="416"/>
      <c r="D40" s="416"/>
      <c r="E40" s="416"/>
      <c r="F40" s="416"/>
      <c r="G40" s="114"/>
      <c r="H40" s="114"/>
      <c r="I40" s="114"/>
      <c r="J40" s="114"/>
      <c r="K40" s="114"/>
      <c r="L40" s="114"/>
      <c r="M40" s="114"/>
      <c r="N40" s="114"/>
      <c r="O40" s="114"/>
      <c r="P40" s="114"/>
      <c r="Q40" s="114"/>
      <c r="R40" s="114"/>
      <c r="S40" s="114"/>
      <c r="T40" s="41"/>
      <c r="U40" s="41"/>
      <c r="V40" s="41"/>
      <c r="W40" s="41"/>
      <c r="X40" s="41"/>
      <c r="Y40" s="41"/>
      <c r="Z40" s="41"/>
    </row>
    <row r="41" ht="33.75" customHeight="1">
      <c r="A41" s="416"/>
      <c r="B41" s="424" t="s">
        <v>1027</v>
      </c>
      <c r="C41" s="13"/>
      <c r="D41" s="13"/>
      <c r="E41" s="14"/>
      <c r="F41" s="416"/>
      <c r="G41" s="114"/>
      <c r="H41" s="114"/>
      <c r="I41" s="114"/>
      <c r="J41" s="114"/>
      <c r="K41" s="114"/>
      <c r="L41" s="114"/>
      <c r="M41" s="114"/>
      <c r="N41" s="114"/>
      <c r="O41" s="114"/>
      <c r="P41" s="114"/>
      <c r="Q41" s="114"/>
      <c r="R41" s="114"/>
      <c r="S41" s="114"/>
      <c r="T41" s="41"/>
      <c r="U41" s="41"/>
      <c r="V41" s="41"/>
      <c r="W41" s="41"/>
      <c r="X41" s="41"/>
      <c r="Y41" s="41"/>
      <c r="Z41" s="41"/>
    </row>
    <row r="42" ht="15.75" customHeight="1">
      <c r="A42" s="416"/>
      <c r="B42" s="416"/>
      <c r="C42" s="416"/>
      <c r="D42" s="416"/>
      <c r="E42" s="416"/>
      <c r="F42" s="416"/>
      <c r="G42" s="114"/>
      <c r="H42" s="114"/>
      <c r="I42" s="114"/>
      <c r="J42" s="114"/>
      <c r="K42" s="114"/>
      <c r="L42" s="114"/>
      <c r="M42" s="114"/>
      <c r="N42" s="114"/>
      <c r="O42" s="114"/>
      <c r="P42" s="114"/>
      <c r="Q42" s="114"/>
      <c r="R42" s="114"/>
      <c r="S42" s="114"/>
      <c r="T42" s="114"/>
      <c r="U42" s="114"/>
      <c r="V42" s="114"/>
      <c r="W42" s="114"/>
      <c r="X42" s="114"/>
      <c r="Y42" s="114"/>
      <c r="Z42" s="114"/>
    </row>
    <row r="43" ht="33.75" customHeight="1">
      <c r="A43" s="425"/>
      <c r="B43" s="12" t="s">
        <v>3954</v>
      </c>
      <c r="C43" s="13"/>
      <c r="D43" s="13"/>
      <c r="E43" s="14"/>
      <c r="F43" s="114"/>
      <c r="G43" s="114"/>
      <c r="H43" s="114"/>
      <c r="I43" s="114"/>
      <c r="J43" s="114"/>
      <c r="K43" s="114"/>
      <c r="L43" s="114"/>
      <c r="M43" s="114"/>
      <c r="N43" s="114"/>
      <c r="O43" s="114"/>
      <c r="P43" s="114"/>
      <c r="Q43" s="114"/>
      <c r="R43" s="114"/>
      <c r="S43" s="114"/>
      <c r="T43" s="41"/>
      <c r="U43" s="41"/>
      <c r="V43" s="41"/>
      <c r="W43" s="41"/>
      <c r="X43" s="41"/>
      <c r="Y43" s="41"/>
      <c r="Z43" s="41"/>
    </row>
    <row r="44" ht="19.5" customHeight="1">
      <c r="A44" s="425"/>
      <c r="B44" s="108" t="s">
        <v>256</v>
      </c>
      <c r="C44" s="108" t="s">
        <v>722</v>
      </c>
      <c r="D44" s="108" t="s">
        <v>274</v>
      </c>
      <c r="E44" s="108" t="s">
        <v>5</v>
      </c>
      <c r="F44" s="114"/>
      <c r="G44" s="114"/>
      <c r="H44" s="114"/>
      <c r="I44" s="114"/>
      <c r="J44" s="114"/>
      <c r="K44" s="114"/>
      <c r="L44" s="114"/>
      <c r="M44" s="114"/>
      <c r="N44" s="114"/>
      <c r="O44" s="114"/>
      <c r="P44" s="114"/>
      <c r="Q44" s="114"/>
      <c r="R44" s="114"/>
      <c r="S44" s="114"/>
      <c r="T44" s="41"/>
      <c r="U44" s="41"/>
      <c r="V44" s="41"/>
      <c r="W44" s="41"/>
      <c r="X44" s="41"/>
      <c r="Y44" s="41"/>
      <c r="Z44" s="41"/>
    </row>
    <row r="45" ht="19.5" customHeight="1">
      <c r="A45" s="425"/>
      <c r="B45" s="84" t="s">
        <v>3331</v>
      </c>
      <c r="C45" s="111" t="str">
        <f>sample_mgmt_vc_fqdn</f>
        <v>lax-m01-vc01.lax.rainpole.io</v>
      </c>
      <c r="D45" s="18" t="str">
        <f>mgmt_vc_fqdn</f>
        <v>Value Missing</v>
      </c>
      <c r="E45" s="426"/>
      <c r="F45" s="114"/>
      <c r="G45" s="114"/>
      <c r="H45" s="114"/>
      <c r="I45" s="114"/>
      <c r="J45" s="114"/>
      <c r="K45" s="114"/>
      <c r="L45" s="114"/>
      <c r="M45" s="114"/>
      <c r="N45" s="114"/>
      <c r="O45" s="114"/>
      <c r="P45" s="114"/>
      <c r="Q45" s="114"/>
      <c r="R45" s="114"/>
      <c r="S45" s="114"/>
      <c r="T45" s="41"/>
      <c r="U45" s="41"/>
      <c r="V45" s="41"/>
      <c r="W45" s="41"/>
      <c r="X45" s="41"/>
      <c r="Y45" s="41"/>
      <c r="Z45" s="41"/>
    </row>
    <row r="46" ht="19.5" customHeight="1">
      <c r="A46" s="425"/>
      <c r="B46" s="71" t="s">
        <v>3955</v>
      </c>
      <c r="C46" s="185" t="str">
        <f>sample_ccm_hcx_vsphere_role</f>
        <v>VMware HCX to vSphere Integration</v>
      </c>
      <c r="D46" s="32" t="str">
        <f t="array" ref="D46">ccm_hcx_vsphere_role</f>
        <v>Value Missing</v>
      </c>
      <c r="E46" s="426"/>
      <c r="F46" s="114"/>
      <c r="G46" s="114"/>
      <c r="H46" s="114"/>
      <c r="I46" s="114"/>
      <c r="J46" s="114"/>
      <c r="K46" s="114"/>
      <c r="L46" s="114"/>
      <c r="M46" s="114"/>
      <c r="N46" s="114"/>
      <c r="O46" s="114"/>
      <c r="P46" s="114"/>
      <c r="Q46" s="114"/>
      <c r="R46" s="114"/>
      <c r="S46" s="114"/>
      <c r="T46" s="114"/>
      <c r="U46" s="114"/>
      <c r="V46" s="114"/>
      <c r="W46" s="114"/>
      <c r="X46" s="114"/>
      <c r="Y46" s="114"/>
      <c r="Z46" s="114"/>
    </row>
    <row r="47" ht="19.5" customHeight="1">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row>
    <row r="48" ht="33.75" customHeight="1">
      <c r="A48" s="114"/>
      <c r="B48" s="12" t="s">
        <v>3956</v>
      </c>
      <c r="C48" s="13"/>
      <c r="D48" s="13"/>
      <c r="E48" s="14"/>
      <c r="F48" s="114"/>
      <c r="G48" s="114"/>
      <c r="H48" s="114"/>
      <c r="I48" s="114"/>
      <c r="J48" s="114"/>
      <c r="K48" s="114"/>
      <c r="L48" s="114"/>
      <c r="M48" s="114"/>
      <c r="N48" s="114"/>
      <c r="O48" s="114"/>
      <c r="P48" s="114"/>
      <c r="Q48" s="114"/>
      <c r="R48" s="114"/>
      <c r="S48" s="114"/>
      <c r="T48" s="114"/>
      <c r="U48" s="114"/>
      <c r="V48" s="114"/>
      <c r="W48" s="114"/>
      <c r="X48" s="114"/>
      <c r="Y48" s="114"/>
      <c r="Z48" s="114"/>
    </row>
    <row r="49" ht="19.5" customHeight="1">
      <c r="A49" s="114"/>
      <c r="B49" s="108" t="s">
        <v>256</v>
      </c>
      <c r="C49" s="108" t="s">
        <v>722</v>
      </c>
      <c r="D49" s="108" t="s">
        <v>274</v>
      </c>
      <c r="E49" s="108" t="s">
        <v>5</v>
      </c>
      <c r="F49" s="114"/>
      <c r="G49" s="114"/>
      <c r="H49" s="114"/>
      <c r="I49" s="114"/>
      <c r="J49" s="114"/>
      <c r="K49" s="114"/>
      <c r="L49" s="114"/>
      <c r="M49" s="114"/>
      <c r="N49" s="114"/>
      <c r="O49" s="114"/>
      <c r="P49" s="114"/>
      <c r="Q49" s="114"/>
      <c r="R49" s="114"/>
      <c r="S49" s="114"/>
      <c r="T49" s="114"/>
      <c r="U49" s="114"/>
      <c r="V49" s="114"/>
      <c r="W49" s="114"/>
      <c r="X49" s="114"/>
      <c r="Y49" s="114"/>
      <c r="Z49" s="114"/>
    </row>
    <row r="50" ht="19.5" customHeight="1">
      <c r="A50" s="114"/>
      <c r="B50" s="84" t="s">
        <v>3331</v>
      </c>
      <c r="C50" s="111" t="str">
        <f>sample_mgmt_vc_fqdn</f>
        <v>lax-m01-vc01.lax.rainpole.io</v>
      </c>
      <c r="D50" s="18" t="str">
        <f>mgmt_vc_fqdn</f>
        <v>Value Missing</v>
      </c>
      <c r="E50" s="426"/>
      <c r="F50" s="114"/>
      <c r="G50" s="114"/>
      <c r="H50" s="114"/>
      <c r="I50" s="114"/>
      <c r="J50" s="114"/>
      <c r="K50" s="114"/>
      <c r="L50" s="114"/>
      <c r="M50" s="114"/>
      <c r="N50" s="114"/>
      <c r="O50" s="114"/>
      <c r="P50" s="114"/>
      <c r="Q50" s="114"/>
      <c r="R50" s="114"/>
      <c r="S50" s="114"/>
      <c r="T50" s="114"/>
      <c r="U50" s="114"/>
      <c r="V50" s="114"/>
      <c r="W50" s="114"/>
      <c r="X50" s="114"/>
      <c r="Y50" s="114"/>
      <c r="Z50" s="114"/>
    </row>
    <row r="51" ht="19.5" customHeight="1">
      <c r="A51" s="114"/>
      <c r="B51" s="84" t="s">
        <v>3957</v>
      </c>
      <c r="C51" s="111" t="str">
        <f>sample_child_dns_zone</f>
        <v>lax.rainpole.io</v>
      </c>
      <c r="D51" s="18" t="str">
        <f>child_dns_zone</f>
        <v>Value Missing</v>
      </c>
      <c r="E51" s="426"/>
      <c r="F51" s="114"/>
      <c r="G51" s="114"/>
      <c r="H51" s="114"/>
      <c r="I51" s="114"/>
      <c r="J51" s="114"/>
      <c r="K51" s="114"/>
      <c r="L51" s="114"/>
      <c r="M51" s="114"/>
      <c r="N51" s="114"/>
      <c r="O51" s="114"/>
      <c r="P51" s="114"/>
      <c r="Q51" s="114"/>
      <c r="R51" s="114"/>
      <c r="S51" s="114"/>
      <c r="T51" s="114"/>
      <c r="U51" s="114"/>
      <c r="V51" s="114"/>
      <c r="W51" s="114"/>
      <c r="X51" s="114"/>
      <c r="Y51" s="114"/>
      <c r="Z51" s="114"/>
    </row>
    <row r="52" ht="19.5" customHeight="1">
      <c r="A52" s="114"/>
      <c r="B52" s="84" t="s">
        <v>3958</v>
      </c>
      <c r="C52" s="110" t="str">
        <f>sample_svc_ccm_hcx_vsphere_user</f>
        <v>svc-hcx-vsphere</v>
      </c>
      <c r="D52" s="18" t="str">
        <f>ccm_hcx_vsphere_svc_user</f>
        <v>Value Missing</v>
      </c>
      <c r="E52" s="426"/>
      <c r="F52" s="114"/>
      <c r="G52" s="114"/>
      <c r="H52" s="114"/>
      <c r="I52" s="114"/>
      <c r="J52" s="114"/>
      <c r="K52" s="114"/>
      <c r="L52" s="114"/>
      <c r="M52" s="114"/>
      <c r="N52" s="114"/>
      <c r="O52" s="114"/>
      <c r="P52" s="114"/>
      <c r="Q52" s="114"/>
      <c r="R52" s="114"/>
      <c r="S52" s="114"/>
      <c r="T52" s="114"/>
      <c r="U52" s="114"/>
      <c r="V52" s="114"/>
      <c r="W52" s="114"/>
      <c r="X52" s="114"/>
      <c r="Y52" s="114"/>
      <c r="Z52" s="114"/>
    </row>
    <row r="53" ht="19.5" customHeight="1">
      <c r="A53" s="114"/>
      <c r="B53" s="85" t="s">
        <v>3959</v>
      </c>
      <c r="C53" s="110" t="str">
        <f>sample_ccm_hcx_vsphere_role</f>
        <v>VMware HCX to vSphere Integration</v>
      </c>
      <c r="D53" s="18" t="str">
        <f>ccm_hcx_vsphere_role</f>
        <v>Value Missing</v>
      </c>
      <c r="E53" s="426"/>
      <c r="F53" s="114"/>
      <c r="G53" s="114"/>
      <c r="H53" s="114"/>
      <c r="I53" s="114"/>
      <c r="J53" s="114"/>
      <c r="K53" s="114"/>
      <c r="L53" s="114"/>
      <c r="M53" s="114"/>
      <c r="N53" s="114"/>
      <c r="O53" s="114"/>
      <c r="P53" s="114"/>
      <c r="Q53" s="114"/>
      <c r="R53" s="114"/>
      <c r="S53" s="114"/>
      <c r="T53" s="114"/>
      <c r="U53" s="114"/>
      <c r="V53" s="114"/>
      <c r="W53" s="114"/>
      <c r="X53" s="114"/>
      <c r="Y53" s="114"/>
      <c r="Z53" s="114"/>
    </row>
    <row r="54" ht="19.5" customHeight="1">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row>
    <row r="55" ht="33.75" customHeight="1">
      <c r="A55" s="425"/>
      <c r="B55" s="12" t="s">
        <v>3960</v>
      </c>
      <c r="C55" s="13"/>
      <c r="D55" s="13"/>
      <c r="E55" s="14"/>
      <c r="F55" s="114"/>
      <c r="G55" s="114"/>
      <c r="H55" s="114"/>
      <c r="I55" s="114"/>
      <c r="J55" s="114"/>
      <c r="K55" s="114"/>
      <c r="L55" s="114"/>
      <c r="M55" s="114"/>
      <c r="N55" s="114"/>
      <c r="O55" s="114"/>
      <c r="P55" s="114"/>
      <c r="Q55" s="114"/>
      <c r="R55" s="114"/>
      <c r="S55" s="114"/>
      <c r="T55" s="114"/>
      <c r="U55" s="114"/>
      <c r="V55" s="114"/>
      <c r="W55" s="114"/>
      <c r="X55" s="114"/>
      <c r="Y55" s="114"/>
      <c r="Z55" s="114"/>
    </row>
    <row r="56" ht="19.5" customHeight="1">
      <c r="A56" s="425"/>
      <c r="B56" s="108" t="s">
        <v>256</v>
      </c>
      <c r="C56" s="108" t="s">
        <v>722</v>
      </c>
      <c r="D56" s="108" t="s">
        <v>274</v>
      </c>
      <c r="E56" s="108" t="s">
        <v>5</v>
      </c>
      <c r="F56" s="114"/>
      <c r="G56" s="114"/>
      <c r="H56" s="114"/>
      <c r="I56" s="114"/>
      <c r="J56" s="114"/>
      <c r="K56" s="114"/>
      <c r="L56" s="114"/>
      <c r="M56" s="114"/>
      <c r="N56" s="114"/>
      <c r="O56" s="114"/>
      <c r="P56" s="114"/>
      <c r="Q56" s="114"/>
      <c r="R56" s="114"/>
      <c r="S56" s="114"/>
      <c r="T56" s="114"/>
      <c r="U56" s="114"/>
      <c r="V56" s="114"/>
      <c r="W56" s="114"/>
      <c r="X56" s="114"/>
      <c r="Y56" s="114"/>
      <c r="Z56" s="114"/>
    </row>
    <row r="57" ht="19.5" customHeight="1">
      <c r="A57" s="425"/>
      <c r="B57" s="84" t="s">
        <v>3331</v>
      </c>
      <c r="C57" s="111" t="str">
        <f>sample_mgmt_vc_fqdn</f>
        <v>lax-m01-vc01.lax.rainpole.io</v>
      </c>
      <c r="D57" s="18" t="str">
        <f>mgmt_vc_fqdn</f>
        <v>Value Missing</v>
      </c>
      <c r="E57" s="426"/>
      <c r="F57" s="114"/>
      <c r="G57" s="114"/>
      <c r="H57" s="114"/>
      <c r="I57" s="114"/>
      <c r="J57" s="114"/>
      <c r="K57" s="114"/>
      <c r="L57" s="114"/>
      <c r="M57" s="114"/>
      <c r="N57" s="114"/>
      <c r="O57" s="114"/>
      <c r="P57" s="114"/>
      <c r="Q57" s="114"/>
      <c r="R57" s="114"/>
      <c r="S57" s="114"/>
      <c r="T57" s="114"/>
      <c r="U57" s="114"/>
      <c r="V57" s="114"/>
      <c r="W57" s="114"/>
      <c r="X57" s="114"/>
      <c r="Y57" s="114"/>
      <c r="Z57" s="114"/>
    </row>
    <row r="58" ht="19.5" customHeight="1">
      <c r="A58" s="425"/>
      <c r="B58" s="84" t="s">
        <v>759</v>
      </c>
      <c r="C58" s="110" t="str">
        <f>sample_mgmt_datacenter</f>
        <v>lax-m01-dc01</v>
      </c>
      <c r="D58" s="18" t="str">
        <f>mgmt_datacenter</f>
        <v>Value Missing</v>
      </c>
      <c r="E58" s="426"/>
      <c r="F58" s="114"/>
      <c r="G58" s="114"/>
      <c r="H58" s="114"/>
      <c r="I58" s="114"/>
      <c r="J58" s="114"/>
      <c r="K58" s="114"/>
      <c r="L58" s="114"/>
      <c r="M58" s="114"/>
      <c r="N58" s="114"/>
      <c r="O58" s="114"/>
      <c r="P58" s="114"/>
      <c r="Q58" s="114"/>
      <c r="R58" s="114"/>
      <c r="S58" s="114"/>
      <c r="T58" s="114"/>
      <c r="U58" s="114"/>
      <c r="V58" s="114"/>
      <c r="W58" s="114"/>
      <c r="X58" s="114"/>
      <c r="Y58" s="114"/>
      <c r="Z58" s="114"/>
    </row>
    <row r="59" ht="19.5" customHeight="1">
      <c r="A59" s="425"/>
      <c r="B59" s="267" t="s">
        <v>3961</v>
      </c>
      <c r="C59" s="110" t="str">
        <f>sample_ccm_vm_folder</f>
        <v>lax-m01-fd-ccm</v>
      </c>
      <c r="D59" s="18" t="str">
        <f>ccm_vm_folder</f>
        <v>Value Missing</v>
      </c>
      <c r="E59" s="426"/>
      <c r="F59" s="114"/>
      <c r="G59" s="114"/>
      <c r="H59" s="114"/>
      <c r="I59" s="114"/>
      <c r="J59" s="114"/>
      <c r="K59" s="114"/>
      <c r="L59" s="114"/>
      <c r="M59" s="114"/>
      <c r="N59" s="114"/>
      <c r="O59" s="114"/>
      <c r="P59" s="114"/>
      <c r="Q59" s="114"/>
      <c r="R59" s="114"/>
      <c r="S59" s="114"/>
      <c r="T59" s="114"/>
      <c r="U59" s="114"/>
      <c r="V59" s="114"/>
      <c r="W59" s="114"/>
      <c r="X59" s="114"/>
      <c r="Y59" s="114"/>
      <c r="Z59" s="114"/>
    </row>
    <row r="60" ht="19.5" customHeight="1">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ht="33.75" customHeight="1">
      <c r="A61" s="114"/>
      <c r="B61" s="12" t="s">
        <v>3962</v>
      </c>
      <c r="C61" s="13"/>
      <c r="D61" s="13"/>
      <c r="E61" s="14"/>
      <c r="F61" s="114"/>
      <c r="G61" s="114"/>
      <c r="H61" s="114"/>
      <c r="I61" s="114"/>
      <c r="J61" s="114"/>
      <c r="K61" s="114"/>
      <c r="L61" s="114"/>
      <c r="M61" s="114"/>
      <c r="N61" s="114"/>
      <c r="O61" s="114"/>
      <c r="P61" s="114"/>
      <c r="Q61" s="114"/>
      <c r="R61" s="114"/>
      <c r="S61" s="114"/>
      <c r="T61" s="114"/>
      <c r="U61" s="114"/>
      <c r="V61" s="114"/>
      <c r="W61" s="114"/>
      <c r="X61" s="114"/>
      <c r="Y61" s="114"/>
      <c r="Z61" s="114"/>
    </row>
    <row r="62" ht="19.5" customHeight="1">
      <c r="A62" s="114"/>
      <c r="B62" s="108" t="s">
        <v>256</v>
      </c>
      <c r="C62" s="108" t="s">
        <v>722</v>
      </c>
      <c r="D62" s="108" t="s">
        <v>274</v>
      </c>
      <c r="E62" s="108" t="s">
        <v>5</v>
      </c>
      <c r="F62" s="114"/>
      <c r="G62" s="114"/>
      <c r="H62" s="114"/>
      <c r="I62" s="114"/>
      <c r="J62" s="114"/>
      <c r="K62" s="114"/>
      <c r="L62" s="114"/>
      <c r="M62" s="114"/>
      <c r="N62" s="114"/>
      <c r="O62" s="114"/>
      <c r="P62" s="114"/>
      <c r="Q62" s="114"/>
      <c r="R62" s="114"/>
      <c r="S62" s="114"/>
      <c r="T62" s="114"/>
      <c r="U62" s="114"/>
      <c r="V62" s="114"/>
      <c r="W62" s="114"/>
      <c r="X62" s="114"/>
      <c r="Y62" s="114"/>
      <c r="Z62" s="114"/>
    </row>
    <row r="63" ht="19.5" customHeight="1">
      <c r="A63" s="114"/>
      <c r="B63" s="84" t="s">
        <v>3963</v>
      </c>
      <c r="C63" s="111" t="str">
        <f>sample_wld_vc_fqdn</f>
        <v>lax-w01-vc01.lax.rainpole.io</v>
      </c>
      <c r="D63" s="18" t="str">
        <f>wld_vc_fqdn</f>
        <v>Value Missing</v>
      </c>
      <c r="E63" s="426"/>
      <c r="F63" s="114"/>
      <c r="G63" s="114"/>
      <c r="H63" s="114"/>
      <c r="I63" s="114"/>
      <c r="J63" s="114"/>
      <c r="K63" s="114"/>
      <c r="L63" s="114"/>
      <c r="M63" s="114"/>
      <c r="N63" s="114"/>
      <c r="O63" s="114"/>
      <c r="P63" s="114"/>
      <c r="Q63" s="114"/>
      <c r="R63" s="114"/>
      <c r="S63" s="114"/>
      <c r="T63" s="114"/>
      <c r="U63" s="114"/>
      <c r="V63" s="114"/>
      <c r="W63" s="114"/>
      <c r="X63" s="114"/>
      <c r="Y63" s="114"/>
      <c r="Z63" s="114"/>
    </row>
    <row r="64" ht="19.5" customHeight="1">
      <c r="A64" s="114"/>
      <c r="B64" s="84" t="s">
        <v>759</v>
      </c>
      <c r="C64" s="110" t="str">
        <f>sample_wld_datacenter</f>
        <v>lax-w01-dc</v>
      </c>
      <c r="D64" s="18" t="str">
        <f>wld_datacenter</f>
        <v>Value Missing</v>
      </c>
      <c r="E64" s="426"/>
      <c r="F64" s="114"/>
      <c r="G64" s="114"/>
      <c r="H64" s="114"/>
      <c r="I64" s="114"/>
      <c r="J64" s="114"/>
      <c r="K64" s="114"/>
      <c r="L64" s="114"/>
      <c r="M64" s="114"/>
      <c r="N64" s="114"/>
      <c r="O64" s="114"/>
      <c r="P64" s="114"/>
      <c r="Q64" s="114"/>
      <c r="R64" s="114"/>
      <c r="S64" s="114"/>
      <c r="T64" s="114"/>
      <c r="U64" s="114"/>
      <c r="V64" s="114"/>
      <c r="W64" s="114"/>
      <c r="X64" s="114"/>
      <c r="Y64" s="114"/>
      <c r="Z64" s="114"/>
    </row>
    <row r="65" ht="19.5" customHeight="1">
      <c r="A65" s="114"/>
      <c r="B65" s="84" t="s">
        <v>3964</v>
      </c>
      <c r="C65" s="110" t="str">
        <f>sample_ccm_hcx_vm_folder</f>
        <v>lax-w01-fd-hcx</v>
      </c>
      <c r="D65" s="18"/>
      <c r="E65" s="426"/>
      <c r="F65" s="114"/>
      <c r="G65" s="114"/>
      <c r="H65" s="114"/>
      <c r="I65" s="114"/>
      <c r="J65" s="114"/>
      <c r="K65" s="114"/>
      <c r="L65" s="114"/>
      <c r="M65" s="114"/>
      <c r="N65" s="114"/>
      <c r="O65" s="114"/>
      <c r="P65" s="114"/>
      <c r="Q65" s="114"/>
      <c r="R65" s="114"/>
      <c r="S65" s="114"/>
      <c r="T65" s="114"/>
      <c r="U65" s="114"/>
      <c r="V65" s="114"/>
      <c r="W65" s="114"/>
      <c r="X65" s="114"/>
      <c r="Y65" s="114"/>
      <c r="Z65" s="114"/>
    </row>
    <row r="66" ht="19.5" customHeight="1">
      <c r="A66" s="114"/>
      <c r="B66" s="84" t="s">
        <v>3965</v>
      </c>
      <c r="C66" s="110" t="str">
        <f>sample_ccm_hcx_resource_pool</f>
        <v>lax-w01-cl01-rp-hcx</v>
      </c>
      <c r="D66" s="18"/>
      <c r="E66" s="426"/>
      <c r="F66" s="114"/>
      <c r="G66" s="114"/>
      <c r="H66" s="114"/>
      <c r="I66" s="114"/>
      <c r="J66" s="114"/>
      <c r="K66" s="114"/>
      <c r="L66" s="114"/>
      <c r="M66" s="114"/>
      <c r="N66" s="114"/>
      <c r="O66" s="114"/>
      <c r="P66" s="114"/>
      <c r="Q66" s="114"/>
      <c r="R66" s="114"/>
      <c r="S66" s="114"/>
      <c r="T66" s="114"/>
      <c r="U66" s="114"/>
      <c r="V66" s="114"/>
      <c r="W66" s="114"/>
      <c r="X66" s="114"/>
      <c r="Y66" s="114"/>
      <c r="Z66" s="114"/>
    </row>
    <row r="67" ht="19.5" customHeight="1">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ht="33.75" customHeight="1">
      <c r="A68" s="114"/>
      <c r="B68" s="12" t="s">
        <v>3966</v>
      </c>
      <c r="C68" s="13"/>
      <c r="D68" s="13"/>
      <c r="E68" s="14"/>
      <c r="F68" s="114"/>
      <c r="G68" s="114"/>
      <c r="H68" s="114"/>
      <c r="I68" s="114"/>
      <c r="J68" s="114"/>
      <c r="K68" s="114"/>
      <c r="L68" s="114"/>
      <c r="M68" s="114"/>
      <c r="N68" s="114"/>
      <c r="O68" s="114"/>
      <c r="P68" s="114"/>
      <c r="Q68" s="114"/>
      <c r="R68" s="114"/>
      <c r="S68" s="114"/>
      <c r="T68" s="114"/>
      <c r="U68" s="114"/>
      <c r="V68" s="114"/>
      <c r="W68" s="114"/>
      <c r="X68" s="114"/>
      <c r="Y68" s="114"/>
      <c r="Z68" s="114"/>
    </row>
    <row r="69" ht="19.5" customHeight="1">
      <c r="A69" s="114"/>
      <c r="B69" s="108" t="s">
        <v>256</v>
      </c>
      <c r="C69" s="108" t="s">
        <v>722</v>
      </c>
      <c r="D69" s="108" t="s">
        <v>274</v>
      </c>
      <c r="E69" s="108" t="s">
        <v>5</v>
      </c>
      <c r="F69" s="114"/>
      <c r="G69" s="114"/>
      <c r="H69" s="114"/>
      <c r="I69" s="114"/>
      <c r="J69" s="114"/>
      <c r="K69" s="114"/>
      <c r="L69" s="114"/>
      <c r="M69" s="114"/>
      <c r="N69" s="114"/>
      <c r="O69" s="114"/>
      <c r="P69" s="114"/>
      <c r="Q69" s="114"/>
      <c r="R69" s="114"/>
      <c r="S69" s="114"/>
      <c r="T69" s="114"/>
      <c r="U69" s="114"/>
      <c r="V69" s="114"/>
      <c r="W69" s="114"/>
      <c r="X69" s="114"/>
      <c r="Y69" s="114"/>
      <c r="Z69" s="114"/>
    </row>
    <row r="70" ht="19.5" customHeight="1">
      <c r="A70" s="114"/>
      <c r="B70" s="84" t="s">
        <v>3967</v>
      </c>
      <c r="C70" s="111" t="str">
        <f>sample_mgmt_vc_fqdn</f>
        <v>lax-m01-vc01.lax.rainpole.io</v>
      </c>
      <c r="D70" s="18" t="str">
        <f>wld_nsxt_hostname&amp;"."&amp;child_dns_zone</f>
        <v>Value Missing.Value Missing</v>
      </c>
      <c r="E70" s="426"/>
      <c r="F70" s="114"/>
      <c r="G70" s="114"/>
      <c r="H70" s="114"/>
      <c r="I70" s="114"/>
      <c r="J70" s="114"/>
      <c r="K70" s="114"/>
      <c r="L70" s="114"/>
      <c r="M70" s="114"/>
      <c r="N70" s="114"/>
      <c r="O70" s="114"/>
      <c r="P70" s="114"/>
      <c r="Q70" s="114"/>
      <c r="R70" s="114"/>
      <c r="S70" s="114"/>
      <c r="T70" s="114"/>
      <c r="U70" s="114"/>
      <c r="V70" s="114"/>
      <c r="W70" s="114"/>
      <c r="X70" s="114"/>
      <c r="Y70" s="114"/>
      <c r="Z70" s="114"/>
    </row>
    <row r="71" ht="19.5" customHeight="1">
      <c r="A71" s="114"/>
      <c r="B71" s="84" t="s">
        <v>545</v>
      </c>
      <c r="C71" s="110" t="str">
        <f>sample_svc_ccm_hcx_nsx_user&amp;"@"&amp;sample_child_dns_zone</f>
        <v>svc-hcx-nsx@lax.rainpole.io</v>
      </c>
      <c r="D71" s="18" t="str">
        <f>ccm_hcx_nsx_svc_user&amp;"@"&amp;child_dns_zone</f>
        <v>Value Missing@Value Missing</v>
      </c>
      <c r="E71" s="426"/>
      <c r="F71" s="114"/>
      <c r="G71" s="114"/>
      <c r="H71" s="114"/>
      <c r="I71" s="114"/>
      <c r="J71" s="114"/>
      <c r="K71" s="114"/>
      <c r="L71" s="114"/>
      <c r="M71" s="114"/>
      <c r="N71" s="114"/>
      <c r="O71" s="114"/>
      <c r="P71" s="114"/>
      <c r="Q71" s="114"/>
      <c r="R71" s="114"/>
      <c r="S71" s="114"/>
      <c r="T71" s="114"/>
      <c r="U71" s="114"/>
      <c r="V71" s="114"/>
      <c r="W71" s="114"/>
      <c r="X71" s="114"/>
      <c r="Y71" s="114"/>
      <c r="Z71" s="114"/>
    </row>
    <row r="72" ht="19.5" customHeight="1">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ht="33.75" customHeight="1">
      <c r="A73" s="114"/>
      <c r="B73" s="12" t="s">
        <v>3968</v>
      </c>
      <c r="C73" s="13"/>
      <c r="D73" s="13"/>
      <c r="E73" s="14"/>
      <c r="F73" s="114"/>
      <c r="G73" s="114"/>
      <c r="H73" s="114"/>
      <c r="I73" s="114"/>
      <c r="J73" s="114"/>
      <c r="K73" s="114"/>
      <c r="L73" s="114"/>
      <c r="M73" s="114"/>
      <c r="N73" s="114"/>
      <c r="O73" s="114"/>
      <c r="P73" s="114"/>
      <c r="Q73" s="114"/>
      <c r="R73" s="114"/>
      <c r="S73" s="114"/>
      <c r="T73" s="114"/>
      <c r="U73" s="114"/>
      <c r="V73" s="114"/>
      <c r="W73" s="114"/>
      <c r="X73" s="114"/>
      <c r="Y73" s="114"/>
      <c r="Z73" s="114"/>
    </row>
    <row r="74" ht="19.5" customHeight="1">
      <c r="A74" s="114"/>
      <c r="B74" s="108" t="s">
        <v>256</v>
      </c>
      <c r="C74" s="108" t="s">
        <v>722</v>
      </c>
      <c r="D74" s="108" t="s">
        <v>274</v>
      </c>
      <c r="E74" s="108" t="s">
        <v>5</v>
      </c>
      <c r="F74" s="114"/>
      <c r="G74" s="114"/>
      <c r="H74" s="114"/>
      <c r="I74" s="114"/>
      <c r="J74" s="114"/>
      <c r="K74" s="114"/>
      <c r="L74" s="114"/>
      <c r="M74" s="114"/>
      <c r="N74" s="114"/>
      <c r="O74" s="114"/>
      <c r="P74" s="114"/>
      <c r="Q74" s="114"/>
      <c r="R74" s="114"/>
      <c r="S74" s="114"/>
      <c r="T74" s="114"/>
      <c r="U74" s="114"/>
      <c r="V74" s="114"/>
      <c r="W74" s="114"/>
      <c r="X74" s="114"/>
      <c r="Y74" s="114"/>
      <c r="Z74" s="114"/>
    </row>
    <row r="75" ht="19.5" customHeight="1">
      <c r="A75" s="114"/>
      <c r="B75" s="84" t="s">
        <v>3876</v>
      </c>
      <c r="C75" s="110" t="s">
        <v>3877</v>
      </c>
      <c r="D75" s="186" t="str">
        <f>C75</f>
        <v>console.cloud.vmware.com</v>
      </c>
      <c r="E75" s="426"/>
      <c r="F75" s="114"/>
      <c r="G75" s="114"/>
      <c r="H75" s="114"/>
      <c r="I75" s="114"/>
      <c r="J75" s="114"/>
      <c r="K75" s="114"/>
      <c r="L75" s="114"/>
      <c r="M75" s="114"/>
      <c r="N75" s="114"/>
      <c r="O75" s="114"/>
      <c r="P75" s="114"/>
      <c r="Q75" s="114"/>
      <c r="R75" s="114"/>
      <c r="S75" s="114"/>
      <c r="T75" s="114"/>
      <c r="U75" s="114"/>
      <c r="V75" s="114"/>
      <c r="W75" s="114"/>
      <c r="X75" s="114"/>
      <c r="Y75" s="114"/>
      <c r="Z75" s="114"/>
    </row>
    <row r="76" ht="19.5" customHeight="1">
      <c r="A76" s="114"/>
      <c r="B76" s="84" t="s">
        <v>3878</v>
      </c>
      <c r="C76" s="110" t="str">
        <f>sample_ccm_aws_sddc_name</f>
        <v>mobility-sddc</v>
      </c>
      <c r="D76" s="18" t="str">
        <f>ccm_aws_sddc_name</f>
        <v>Value Missing</v>
      </c>
      <c r="E76" s="426"/>
      <c r="F76" s="114"/>
      <c r="G76" s="114"/>
      <c r="H76" s="114"/>
      <c r="I76" s="114"/>
      <c r="J76" s="114"/>
      <c r="K76" s="114"/>
      <c r="L76" s="114"/>
      <c r="M76" s="114"/>
      <c r="N76" s="114"/>
      <c r="O76" s="114"/>
      <c r="P76" s="114"/>
      <c r="Q76" s="114"/>
      <c r="R76" s="114"/>
      <c r="S76" s="114"/>
      <c r="T76" s="114"/>
      <c r="U76" s="114"/>
      <c r="V76" s="114"/>
      <c r="W76" s="114"/>
      <c r="X76" s="114"/>
      <c r="Y76" s="114"/>
      <c r="Z76" s="114"/>
    </row>
    <row r="77" ht="19.5" customHeight="1">
      <c r="A77" s="114"/>
      <c r="B77" s="84" t="s">
        <v>2568</v>
      </c>
      <c r="C77" s="110" t="str">
        <f>sample_ccm_aws_region</f>
        <v>Europe (Ireland)</v>
      </c>
      <c r="D77" s="18" t="str">
        <f>ccm_aws_region</f>
        <v>Value Missing</v>
      </c>
      <c r="E77" s="426"/>
      <c r="F77" s="114"/>
      <c r="G77" s="114"/>
      <c r="H77" s="114"/>
      <c r="I77" s="114"/>
      <c r="J77" s="114"/>
      <c r="K77" s="114"/>
      <c r="L77" s="114"/>
      <c r="M77" s="114"/>
      <c r="N77" s="114"/>
      <c r="O77" s="114"/>
      <c r="P77" s="114"/>
      <c r="Q77" s="114"/>
      <c r="R77" s="114"/>
      <c r="S77" s="114"/>
      <c r="T77" s="114"/>
      <c r="U77" s="114"/>
      <c r="V77" s="114"/>
      <c r="W77" s="114"/>
      <c r="X77" s="114"/>
      <c r="Y77" s="114"/>
      <c r="Z77" s="114"/>
    </row>
    <row r="78" ht="19.5" customHeight="1">
      <c r="A78" s="114"/>
      <c r="B78" s="84" t="s">
        <v>2571</v>
      </c>
      <c r="C78" s="110" t="str">
        <f>sample_ccm_aws_host_type</f>
        <v>I3 (Local SSD)</v>
      </c>
      <c r="D78" s="18" t="str">
        <f>ccm_aws_host_type</f>
        <v>Value Missing</v>
      </c>
      <c r="E78" s="426"/>
      <c r="F78" s="114"/>
      <c r="G78" s="114"/>
      <c r="H78" s="114"/>
      <c r="I78" s="114"/>
      <c r="J78" s="114"/>
      <c r="K78" s="114"/>
      <c r="L78" s="114"/>
      <c r="M78" s="114"/>
      <c r="N78" s="114"/>
      <c r="O78" s="114"/>
      <c r="P78" s="114"/>
      <c r="Q78" s="114"/>
      <c r="R78" s="114"/>
      <c r="S78" s="114"/>
      <c r="T78" s="114"/>
      <c r="U78" s="114"/>
      <c r="V78" s="114"/>
      <c r="W78" s="114"/>
      <c r="X78" s="114"/>
      <c r="Y78" s="114"/>
      <c r="Z78" s="114"/>
    </row>
    <row r="79" ht="19.5" customHeight="1">
      <c r="A79" s="114"/>
      <c r="B79" s="84" t="s">
        <v>143</v>
      </c>
      <c r="C79" s="110">
        <f>sample_ccm_aws_host_count</f>
        <v>2</v>
      </c>
      <c r="D79" s="18" t="str">
        <f>ccm_aws_host_count</f>
        <v>Value Missing</v>
      </c>
      <c r="E79" s="426"/>
      <c r="F79" s="114"/>
      <c r="G79" s="114"/>
      <c r="H79" s="114"/>
      <c r="I79" s="114"/>
      <c r="J79" s="114"/>
      <c r="K79" s="114"/>
      <c r="L79" s="114"/>
      <c r="M79" s="114"/>
      <c r="N79" s="114"/>
      <c r="O79" s="114"/>
      <c r="P79" s="114"/>
      <c r="Q79" s="114"/>
      <c r="R79" s="114"/>
      <c r="S79" s="114"/>
      <c r="T79" s="114"/>
      <c r="U79" s="114"/>
      <c r="V79" s="114"/>
      <c r="W79" s="114"/>
      <c r="X79" s="114"/>
      <c r="Y79" s="114"/>
      <c r="Z79" s="114"/>
    </row>
    <row r="80" ht="19.5" customHeight="1">
      <c r="A80" s="114"/>
      <c r="B80" s="84" t="s">
        <v>2579</v>
      </c>
      <c r="C80" s="110" t="str">
        <f>sample_ccm_aws_vpc</f>
        <v>&lt;generated&gt;</v>
      </c>
      <c r="D80" s="18" t="str">
        <f>ccm_aws_vpc</f>
        <v>Value Missing</v>
      </c>
      <c r="E80" s="426"/>
      <c r="F80" s="114"/>
      <c r="G80" s="114"/>
      <c r="H80" s="114"/>
      <c r="I80" s="114"/>
      <c r="J80" s="114"/>
      <c r="K80" s="114"/>
      <c r="L80" s="114"/>
      <c r="M80" s="114"/>
      <c r="N80" s="114"/>
      <c r="O80" s="114"/>
      <c r="P80" s="114"/>
      <c r="Q80" s="114"/>
      <c r="R80" s="114"/>
      <c r="S80" s="114"/>
      <c r="T80" s="114"/>
      <c r="U80" s="114"/>
      <c r="V80" s="114"/>
      <c r="W80" s="114"/>
      <c r="X80" s="114"/>
      <c r="Y80" s="114"/>
      <c r="Z80" s="114"/>
    </row>
    <row r="81" ht="19.5" customHeight="1">
      <c r="A81" s="114"/>
      <c r="B81" s="84" t="s">
        <v>2583</v>
      </c>
      <c r="C81" s="110" t="str">
        <f>sample_ccm_aws_subnet</f>
        <v>&lt;generated&gt;</v>
      </c>
      <c r="D81" s="18" t="str">
        <f>ccm_aws_subnet</f>
        <v>Value Missing</v>
      </c>
      <c r="E81" s="426"/>
      <c r="F81" s="114"/>
      <c r="G81" s="114"/>
      <c r="H81" s="114"/>
      <c r="I81" s="114"/>
      <c r="J81" s="114"/>
      <c r="K81" s="114"/>
      <c r="L81" s="114"/>
      <c r="M81" s="114"/>
      <c r="N81" s="114"/>
      <c r="O81" s="114"/>
      <c r="P81" s="114"/>
      <c r="Q81" s="114"/>
      <c r="R81" s="114"/>
      <c r="S81" s="114"/>
      <c r="T81" s="114"/>
      <c r="U81" s="114"/>
      <c r="V81" s="114"/>
      <c r="W81" s="114"/>
      <c r="X81" s="114"/>
      <c r="Y81" s="114"/>
      <c r="Z81" s="114"/>
    </row>
    <row r="82" ht="19.5" customHeight="1">
      <c r="A82" s="114"/>
      <c r="B82" s="84" t="s">
        <v>2588</v>
      </c>
      <c r="C82" s="110" t="str">
        <f>sample_ccm_aws_management_subnet</f>
        <v>10.2.0.0/16</v>
      </c>
      <c r="D82" s="18" t="str">
        <f>ccm_aws_management_subnet</f>
        <v>Value Missing</v>
      </c>
      <c r="E82" s="426"/>
      <c r="F82" s="114"/>
      <c r="G82" s="114"/>
      <c r="H82" s="114"/>
      <c r="I82" s="114"/>
      <c r="J82" s="114"/>
      <c r="K82" s="114"/>
      <c r="L82" s="114"/>
      <c r="M82" s="114"/>
      <c r="N82" s="114"/>
      <c r="O82" s="114"/>
      <c r="P82" s="114"/>
      <c r="Q82" s="114"/>
      <c r="R82" s="114"/>
      <c r="S82" s="114"/>
      <c r="T82" s="114"/>
      <c r="U82" s="114"/>
      <c r="V82" s="114"/>
      <c r="W82" s="114"/>
      <c r="X82" s="114"/>
      <c r="Y82" s="114"/>
      <c r="Z82" s="114"/>
    </row>
    <row r="83" ht="19.5"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ht="33.75" customHeight="1">
      <c r="A84" s="114"/>
      <c r="B84" s="12" t="s">
        <v>3969</v>
      </c>
      <c r="C84" s="13"/>
      <c r="D84" s="13"/>
      <c r="E84" s="14"/>
      <c r="F84" s="114"/>
      <c r="G84" s="114"/>
      <c r="H84" s="114"/>
      <c r="I84" s="114"/>
      <c r="J84" s="114"/>
      <c r="K84" s="114"/>
      <c r="L84" s="114"/>
      <c r="M84" s="114"/>
      <c r="N84" s="114"/>
      <c r="O84" s="114"/>
      <c r="P84" s="114"/>
      <c r="Q84" s="114"/>
      <c r="R84" s="114"/>
      <c r="S84" s="114"/>
      <c r="T84" s="114"/>
      <c r="U84" s="114"/>
      <c r="V84" s="114"/>
      <c r="W84" s="114"/>
      <c r="X84" s="114"/>
      <c r="Y84" s="114"/>
      <c r="Z84" s="114"/>
    </row>
    <row r="85" ht="19.5" customHeight="1">
      <c r="A85" s="114"/>
      <c r="B85" s="108" t="s">
        <v>256</v>
      </c>
      <c r="C85" s="108" t="s">
        <v>722</v>
      </c>
      <c r="D85" s="108" t="s">
        <v>274</v>
      </c>
      <c r="E85" s="108" t="s">
        <v>5</v>
      </c>
      <c r="F85" s="114"/>
      <c r="G85" s="114"/>
      <c r="H85" s="114"/>
      <c r="I85" s="114"/>
      <c r="J85" s="114"/>
      <c r="K85" s="114"/>
      <c r="L85" s="114"/>
      <c r="M85" s="114"/>
      <c r="N85" s="114"/>
      <c r="O85" s="114"/>
      <c r="P85" s="114"/>
      <c r="Q85" s="114"/>
      <c r="R85" s="114"/>
      <c r="S85" s="114"/>
      <c r="T85" s="114"/>
      <c r="U85" s="114"/>
      <c r="V85" s="114"/>
      <c r="W85" s="114"/>
      <c r="X85" s="114"/>
      <c r="Y85" s="114"/>
      <c r="Z85" s="114"/>
    </row>
    <row r="86" ht="19.5" customHeight="1">
      <c r="A86" s="114"/>
      <c r="B86" s="84" t="s">
        <v>3876</v>
      </c>
      <c r="C86" s="110" t="s">
        <v>3877</v>
      </c>
      <c r="D86" s="18" t="s">
        <v>3877</v>
      </c>
      <c r="E86" s="426"/>
      <c r="F86" s="114"/>
      <c r="G86" s="114"/>
      <c r="H86" s="114"/>
      <c r="I86" s="114"/>
      <c r="J86" s="114"/>
      <c r="K86" s="114"/>
      <c r="L86" s="114"/>
      <c r="M86" s="114"/>
      <c r="N86" s="114"/>
      <c r="O86" s="114"/>
      <c r="P86" s="114"/>
      <c r="Q86" s="114"/>
      <c r="R86" s="114"/>
      <c r="S86" s="114"/>
      <c r="T86" s="114"/>
      <c r="U86" s="114"/>
      <c r="V86" s="114"/>
      <c r="W86" s="114"/>
      <c r="X86" s="114"/>
      <c r="Y86" s="114"/>
      <c r="Z86" s="114"/>
    </row>
    <row r="87" ht="19.5" customHeight="1">
      <c r="A87" s="114"/>
      <c r="B87" s="84" t="s">
        <v>3970</v>
      </c>
      <c r="C87" s="110" t="str">
        <f>sample_ccm_firewall_rule_vcenter</f>
        <v>vCenter Inbound Rule</v>
      </c>
      <c r="D87" s="18" t="str">
        <f>ccm_firewall_rule_vcenter</f>
        <v>Value Missing</v>
      </c>
      <c r="E87" s="426"/>
      <c r="F87" s="114"/>
      <c r="G87" s="114"/>
      <c r="H87" s="114"/>
      <c r="I87" s="114"/>
      <c r="J87" s="114"/>
      <c r="K87" s="114"/>
      <c r="L87" s="114"/>
      <c r="M87" s="114"/>
      <c r="N87" s="114"/>
      <c r="O87" s="114"/>
      <c r="P87" s="114"/>
      <c r="Q87" s="114"/>
      <c r="R87" s="114"/>
      <c r="S87" s="114"/>
      <c r="T87" s="114"/>
      <c r="U87" s="114"/>
      <c r="V87" s="114"/>
      <c r="W87" s="114"/>
      <c r="X87" s="114"/>
      <c r="Y87" s="114"/>
      <c r="Z87" s="114"/>
    </row>
    <row r="88" ht="19.5" customHeight="1">
      <c r="A88" s="114"/>
      <c r="B88" s="84" t="s">
        <v>3971</v>
      </c>
      <c r="C88" s="110" t="str">
        <f>sample_ccm_firewall_group</f>
        <v>External-Access</v>
      </c>
      <c r="D88" s="18" t="str">
        <f>ccm_firewall_group</f>
        <v>Value Missing</v>
      </c>
      <c r="E88" s="426"/>
      <c r="F88" s="114"/>
      <c r="G88" s="114"/>
      <c r="H88" s="114"/>
      <c r="I88" s="114"/>
      <c r="J88" s="114"/>
      <c r="K88" s="114"/>
      <c r="L88" s="114"/>
      <c r="M88" s="114"/>
      <c r="N88" s="114"/>
      <c r="O88" s="114"/>
      <c r="P88" s="114"/>
      <c r="Q88" s="114"/>
      <c r="R88" s="114"/>
      <c r="S88" s="114"/>
      <c r="T88" s="114"/>
      <c r="U88" s="114"/>
      <c r="V88" s="114"/>
      <c r="W88" s="114"/>
      <c r="X88" s="114"/>
      <c r="Y88" s="114"/>
      <c r="Z88" s="114"/>
    </row>
    <row r="89" ht="19.5" customHeight="1">
      <c r="A89" s="114"/>
      <c r="B89" s="84" t="s">
        <v>3882</v>
      </c>
      <c r="C89" s="110" t="s">
        <v>299</v>
      </c>
      <c r="D89" s="18" t="str">
        <f t="shared" ref="D89:D91" si="1">C89</f>
        <v>vCenter</v>
      </c>
      <c r="E89" s="426"/>
      <c r="F89" s="114"/>
      <c r="G89" s="114"/>
      <c r="H89" s="114"/>
      <c r="I89" s="114"/>
      <c r="J89" s="114"/>
      <c r="K89" s="114"/>
      <c r="L89" s="114"/>
      <c r="M89" s="114"/>
      <c r="N89" s="114"/>
      <c r="O89" s="114"/>
      <c r="P89" s="114"/>
      <c r="Q89" s="114"/>
      <c r="R89" s="114"/>
      <c r="S89" s="114"/>
      <c r="T89" s="114"/>
      <c r="U89" s="114"/>
      <c r="V89" s="114"/>
      <c r="W89" s="114"/>
      <c r="X89" s="114"/>
      <c r="Y89" s="114"/>
      <c r="Z89" s="114"/>
    </row>
    <row r="90" ht="19.5" customHeight="1">
      <c r="A90" s="114"/>
      <c r="B90" s="84" t="s">
        <v>3883</v>
      </c>
      <c r="C90" s="110" t="s">
        <v>3884</v>
      </c>
      <c r="D90" s="18" t="str">
        <f t="shared" si="1"/>
        <v>HTTPS (TCP 443)</v>
      </c>
      <c r="E90" s="426"/>
      <c r="F90" s="114"/>
      <c r="G90" s="114"/>
      <c r="H90" s="114"/>
      <c r="I90" s="114"/>
      <c r="J90" s="114"/>
      <c r="K90" s="114"/>
      <c r="L90" s="114"/>
      <c r="M90" s="114"/>
      <c r="N90" s="114"/>
      <c r="O90" s="114"/>
      <c r="P90" s="114"/>
      <c r="Q90" s="114"/>
      <c r="R90" s="114"/>
      <c r="S90" s="114"/>
      <c r="T90" s="114"/>
      <c r="U90" s="114"/>
      <c r="V90" s="114"/>
      <c r="W90" s="114"/>
      <c r="X90" s="114"/>
      <c r="Y90" s="114"/>
      <c r="Z90" s="114"/>
    </row>
    <row r="91" ht="19.5" customHeight="1">
      <c r="A91" s="114"/>
      <c r="B91" s="84" t="s">
        <v>3883</v>
      </c>
      <c r="C91" s="110" t="s">
        <v>3885</v>
      </c>
      <c r="D91" s="18" t="str">
        <f t="shared" si="1"/>
        <v>SSO (TCP 7444)</v>
      </c>
      <c r="E91" s="426"/>
      <c r="F91" s="114"/>
      <c r="G91" s="114"/>
      <c r="H91" s="114"/>
      <c r="I91" s="114"/>
      <c r="J91" s="114"/>
      <c r="K91" s="114"/>
      <c r="L91" s="114"/>
      <c r="M91" s="114"/>
      <c r="N91" s="114"/>
      <c r="O91" s="114"/>
      <c r="P91" s="114"/>
      <c r="Q91" s="114"/>
      <c r="R91" s="114"/>
      <c r="S91" s="114"/>
      <c r="T91" s="114"/>
      <c r="U91" s="114"/>
      <c r="V91" s="114"/>
      <c r="W91" s="114"/>
      <c r="X91" s="114"/>
      <c r="Y91" s="114"/>
      <c r="Z91" s="114"/>
    </row>
    <row r="92" ht="19.5" customHeight="1">
      <c r="A92" s="114"/>
      <c r="B92" s="84" t="s">
        <v>3886</v>
      </c>
      <c r="C92" s="110" t="str">
        <f>sample_ccm_firewall_ip_addresses</f>
        <v>69.34.34.11</v>
      </c>
      <c r="D92" s="18" t="str">
        <f>ccm_firewall_ip_addresses</f>
        <v>Value Missing</v>
      </c>
      <c r="E92" s="426"/>
      <c r="F92" s="114"/>
      <c r="G92" s="114"/>
      <c r="H92" s="114"/>
      <c r="I92" s="114"/>
      <c r="J92" s="114"/>
      <c r="K92" s="114"/>
      <c r="L92" s="114"/>
      <c r="M92" s="114"/>
      <c r="N92" s="114"/>
      <c r="O92" s="114"/>
      <c r="P92" s="114"/>
      <c r="Q92" s="114"/>
      <c r="R92" s="114"/>
      <c r="S92" s="114"/>
      <c r="T92" s="114"/>
      <c r="U92" s="114"/>
      <c r="V92" s="114"/>
      <c r="W92" s="114"/>
      <c r="X92" s="114"/>
      <c r="Y92" s="114"/>
      <c r="Z92" s="114"/>
    </row>
    <row r="93" ht="19.5" customHeight="1">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ht="33.75" customHeight="1">
      <c r="A94" s="114"/>
      <c r="B94" s="12" t="s">
        <v>3972</v>
      </c>
      <c r="C94" s="13"/>
      <c r="D94" s="13"/>
      <c r="E94" s="14"/>
      <c r="F94" s="114"/>
      <c r="G94" s="114"/>
      <c r="H94" s="114"/>
      <c r="I94" s="114"/>
      <c r="J94" s="114"/>
      <c r="K94" s="114"/>
      <c r="L94" s="114"/>
      <c r="M94" s="114"/>
      <c r="N94" s="114"/>
      <c r="O94" s="114"/>
      <c r="P94" s="114"/>
      <c r="Q94" s="114"/>
      <c r="R94" s="114"/>
      <c r="S94" s="114"/>
      <c r="T94" s="114"/>
      <c r="U94" s="114"/>
      <c r="V94" s="114"/>
      <c r="W94" s="114"/>
      <c r="X94" s="114"/>
      <c r="Y94" s="114"/>
      <c r="Z94" s="114"/>
    </row>
    <row r="95" ht="19.5" customHeight="1">
      <c r="A95" s="114"/>
      <c r="B95" s="108" t="s">
        <v>256</v>
      </c>
      <c r="C95" s="108" t="s">
        <v>722</v>
      </c>
      <c r="D95" s="108" t="s">
        <v>274</v>
      </c>
      <c r="E95" s="108" t="s">
        <v>5</v>
      </c>
      <c r="F95" s="114"/>
      <c r="G95" s="114"/>
      <c r="H95" s="114"/>
      <c r="I95" s="114"/>
      <c r="J95" s="114"/>
      <c r="K95" s="114"/>
      <c r="L95" s="114"/>
      <c r="M95" s="114"/>
      <c r="N95" s="114"/>
      <c r="O95" s="114"/>
      <c r="P95" s="114"/>
      <c r="Q95" s="114"/>
      <c r="R95" s="114"/>
      <c r="S95" s="114"/>
      <c r="T95" s="114"/>
      <c r="U95" s="114"/>
      <c r="V95" s="114"/>
      <c r="W95" s="114"/>
      <c r="X95" s="114"/>
      <c r="Y95" s="114"/>
      <c r="Z95" s="114"/>
    </row>
    <row r="96" ht="19.5" customHeight="1">
      <c r="A96" s="114"/>
      <c r="B96" s="84" t="s">
        <v>3876</v>
      </c>
      <c r="C96" s="110" t="s">
        <v>3877</v>
      </c>
      <c r="D96" s="18" t="s">
        <v>3877</v>
      </c>
      <c r="E96" s="426"/>
      <c r="F96" s="114"/>
      <c r="G96" s="114"/>
      <c r="H96" s="114"/>
      <c r="I96" s="114"/>
      <c r="J96" s="114"/>
      <c r="K96" s="114"/>
      <c r="L96" s="114"/>
      <c r="M96" s="114"/>
      <c r="N96" s="114"/>
      <c r="O96" s="114"/>
      <c r="P96" s="114"/>
      <c r="Q96" s="114"/>
      <c r="R96" s="114"/>
      <c r="S96" s="114"/>
      <c r="T96" s="114"/>
      <c r="U96" s="114"/>
      <c r="V96" s="114"/>
      <c r="W96" s="114"/>
      <c r="X96" s="114"/>
      <c r="Y96" s="114"/>
      <c r="Z96" s="114"/>
    </row>
    <row r="97" ht="19.5" customHeight="1">
      <c r="A97" s="114"/>
      <c r="B97" s="84" t="s">
        <v>2684</v>
      </c>
      <c r="C97" s="110" t="str">
        <f>sample_ccm_aws_sddc_name</f>
        <v>mobility-sddc</v>
      </c>
      <c r="D97" s="18" t="str">
        <f>ccm_aws_sddc_name</f>
        <v>Value Missing</v>
      </c>
      <c r="E97" s="426"/>
      <c r="F97" s="114"/>
      <c r="G97" s="114"/>
      <c r="H97" s="114"/>
      <c r="I97" s="114"/>
      <c r="J97" s="114"/>
      <c r="K97" s="114"/>
      <c r="L97" s="114"/>
      <c r="M97" s="114"/>
      <c r="N97" s="114"/>
      <c r="O97" s="114"/>
      <c r="P97" s="114"/>
      <c r="Q97" s="114"/>
      <c r="R97" s="114"/>
      <c r="S97" s="114"/>
      <c r="T97" s="114"/>
      <c r="U97" s="114"/>
      <c r="V97" s="114"/>
      <c r="W97" s="114"/>
      <c r="X97" s="114"/>
      <c r="Y97" s="114"/>
      <c r="Z97" s="114"/>
    </row>
    <row r="98" ht="19.5"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ht="33.75" customHeight="1">
      <c r="A99" s="114"/>
      <c r="B99" s="12" t="s">
        <v>3973</v>
      </c>
      <c r="C99" s="13"/>
      <c r="D99" s="13"/>
      <c r="E99" s="14"/>
      <c r="F99" s="114"/>
      <c r="G99" s="114"/>
      <c r="H99" s="114"/>
      <c r="I99" s="114"/>
      <c r="J99" s="114"/>
      <c r="K99" s="114"/>
      <c r="L99" s="114"/>
      <c r="M99" s="114"/>
      <c r="N99" s="114"/>
      <c r="O99" s="114"/>
      <c r="P99" s="114"/>
      <c r="Q99" s="114"/>
      <c r="R99" s="114"/>
      <c r="S99" s="114"/>
      <c r="T99" s="114"/>
      <c r="U99" s="114"/>
      <c r="V99" s="114"/>
      <c r="W99" s="114"/>
      <c r="X99" s="114"/>
      <c r="Y99" s="114"/>
      <c r="Z99" s="114"/>
    </row>
    <row r="100" ht="19.5" customHeight="1">
      <c r="A100" s="114"/>
      <c r="B100" s="108" t="s">
        <v>256</v>
      </c>
      <c r="C100" s="108" t="s">
        <v>722</v>
      </c>
      <c r="D100" s="108" t="s">
        <v>274</v>
      </c>
      <c r="E100" s="108" t="s">
        <v>5</v>
      </c>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ht="19.5" customHeight="1">
      <c r="A101" s="114"/>
      <c r="B101" s="84" t="s">
        <v>3876</v>
      </c>
      <c r="C101" s="110" t="s">
        <v>3877</v>
      </c>
      <c r="D101" s="186" t="str">
        <f>C101</f>
        <v>console.cloud.vmware.com</v>
      </c>
      <c r="E101" s="426"/>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ht="19.5" customHeight="1">
      <c r="A102" s="114"/>
      <c r="B102" s="71" t="s">
        <v>2684</v>
      </c>
      <c r="C102" s="185" t="str">
        <f>sample_ccm_aws_sddc_name</f>
        <v>mobility-sddc</v>
      </c>
      <c r="D102" s="32" t="str">
        <f>ccm_aws_sddc_name</f>
        <v>Value Missing</v>
      </c>
      <c r="E102" s="426"/>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ht="19.5" customHeight="1">
      <c r="A103" s="114"/>
      <c r="B103" s="103" t="s">
        <v>3974</v>
      </c>
      <c r="C103" s="13"/>
      <c r="D103" s="13"/>
      <c r="E103" s="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9.5" customHeight="1">
      <c r="A104" s="114"/>
      <c r="B104" s="84" t="s">
        <v>3331</v>
      </c>
      <c r="C104" s="111" t="str">
        <f>sample_mgmt_vc_fqdn</f>
        <v>lax-m01-vc01.lax.rainpole.io</v>
      </c>
      <c r="D104" s="18" t="str">
        <f>mgmt_vc_fqdn</f>
        <v>Value Missing</v>
      </c>
      <c r="E104" s="426"/>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9.5" customHeight="1">
      <c r="A105" s="114"/>
      <c r="B105" s="84" t="s">
        <v>3975</v>
      </c>
      <c r="C105" s="110" t="str">
        <f>sample_ccm_vm_folder</f>
        <v>lax-m01-fd-ccm</v>
      </c>
      <c r="D105" s="18" t="str">
        <f>ccm_vm_folder</f>
        <v>Value Missing</v>
      </c>
      <c r="E105" s="426"/>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9.5" customHeight="1">
      <c r="A106" s="114"/>
      <c r="B106" s="84" t="s">
        <v>3254</v>
      </c>
      <c r="C106" s="110" t="str">
        <f>sample_ccm_hcx_cdp_hostname</f>
        <v>lax-ccm-hcx01</v>
      </c>
      <c r="D106" s="18" t="str">
        <f>ccm_hcx_cdp_hostname</f>
        <v>Value Missing</v>
      </c>
      <c r="E106" s="426"/>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9.5" customHeight="1">
      <c r="A107" s="114"/>
      <c r="B107" s="84" t="s">
        <v>3256</v>
      </c>
      <c r="C107" s="110" t="str">
        <f>sample_mgmt_cl01_cluster</f>
        <v>lax-m01-cl01</v>
      </c>
      <c r="D107" s="18" t="str">
        <f>mgmt_cl01_cluster</f>
        <v>Value Missing</v>
      </c>
      <c r="E107" s="426"/>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9.5" customHeight="1">
      <c r="A108" s="114"/>
      <c r="B108" s="84" t="s">
        <v>3898</v>
      </c>
      <c r="C108" s="110" t="str">
        <f>sample_mgmt_cl01_vsan_datastore</f>
        <v>lax-m01-cl01-ds-nfs01</v>
      </c>
      <c r="D108" s="18" t="str">
        <f>mgmt_cl01_vsan_datastore</f>
        <v>Value Missing</v>
      </c>
      <c r="E108" s="426"/>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9.5" customHeight="1">
      <c r="A109" s="114"/>
      <c r="B109" s="84" t="s">
        <v>717</v>
      </c>
      <c r="C109" s="110" t="str">
        <f>sample_mgmt_cl01_az1_mgmt_pg</f>
        <v>lax-m01-cl01-vds01-pg-mgmt</v>
      </c>
      <c r="D109" s="18" t="str">
        <f>mgmt_cl01_az1_mgmt_pg</f>
        <v>Value Missing</v>
      </c>
      <c r="E109" s="426"/>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9.5" customHeight="1">
      <c r="A110" s="114"/>
      <c r="B110" s="84" t="s">
        <v>3976</v>
      </c>
      <c r="C110" s="110" t="str">
        <f>sample_ccm_hcx_admin_password</f>
        <v>VMw@re1!</v>
      </c>
      <c r="D110" s="18" t="str">
        <f>ccm_hcx_admin_password</f>
        <v>Value Missing</v>
      </c>
      <c r="E110" s="426"/>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9.5" customHeight="1">
      <c r="A111" s="114"/>
      <c r="B111" s="84" t="s">
        <v>3977</v>
      </c>
      <c r="C111" s="110" t="str">
        <f>sample_ccm_hcx_root_password</f>
        <v>VMw@re1!</v>
      </c>
      <c r="D111" s="18" t="str">
        <f>ccm_hcx_root_password</f>
        <v>Value Missing</v>
      </c>
      <c r="E111" s="426"/>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9.5" customHeight="1">
      <c r="A112" s="114"/>
      <c r="B112" s="84" t="s">
        <v>760</v>
      </c>
      <c r="C112" s="110"/>
      <c r="D112" s="18" t="str">
        <f>ccm_hcx_cdp_hostname&amp;"."&amp;child_dns_zone</f>
        <v>Value Missing.Value Missing</v>
      </c>
      <c r="E112" s="426"/>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9.5" customHeight="1">
      <c r="A113" s="114"/>
      <c r="B113" s="84" t="s">
        <v>3978</v>
      </c>
      <c r="C113" s="110" t="str">
        <f>sample_ccm_hcx_cdp_ip</f>
        <v>10.21.10.46</v>
      </c>
      <c r="D113" s="18" t="str">
        <f>ccm_hcx_cdp_ip</f>
        <v>Value Missing</v>
      </c>
      <c r="E113" s="426"/>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9.5" customHeight="1">
      <c r="A114" s="114"/>
      <c r="B114" s="84" t="s">
        <v>3979</v>
      </c>
      <c r="C114" s="110">
        <f>INT(RIGHT(sample_mgmt_az1_mgmt_cidr,LEN(sample_mgmt_az1_mgmt_cidr)-FIND("/",sample_mgmt_az1_mgmt_cidr)))</f>
        <v>24</v>
      </c>
      <c r="D114" s="18"/>
      <c r="E114" s="426"/>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9.5" customHeight="1">
      <c r="A115" s="114"/>
      <c r="B115" s="84" t="s">
        <v>1059</v>
      </c>
      <c r="C115" s="110" t="str">
        <f>sample_mgmt_az1_mgmt_gateway_ip</f>
        <v>10.21.11.1</v>
      </c>
      <c r="D115" s="18" t="str">
        <f>mgmt_az1_mgmt_gateway_ip</f>
        <v>Value Missing</v>
      </c>
      <c r="E115" s="426"/>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9.5" customHeight="1">
      <c r="A116" s="114"/>
      <c r="B116" s="84" t="s">
        <v>3980</v>
      </c>
      <c r="C116" s="110" t="str">
        <f>CONCATENATE(sample_region_dns1_ip," ",sample_region_dns2_ip)</f>
        <v>10.21.10.4 10.21.10.5</v>
      </c>
      <c r="D116" s="18" t="str">
        <f>CONCATENATE(region_dns1_ip," ",region_dns2_ip)</f>
        <v>Value Missing Value Missing</v>
      </c>
      <c r="E116" s="426"/>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9.5" customHeight="1">
      <c r="A117" s="114"/>
      <c r="B117" s="84" t="s">
        <v>3981</v>
      </c>
      <c r="C117" s="111" t="str">
        <f>sample_child_dns_zone</f>
        <v>lax.rainpole.io</v>
      </c>
      <c r="D117" s="18" t="str">
        <f>child_dns_zone</f>
        <v>Value Missing</v>
      </c>
      <c r="E117" s="426"/>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9.5" customHeight="1">
      <c r="A118" s="114"/>
      <c r="B118" s="84" t="s">
        <v>3982</v>
      </c>
      <c r="C118" s="111" t="str">
        <f>sample_region_ntp1_server</f>
        <v>ntp0.lax.rainpole.io</v>
      </c>
      <c r="D118" s="18" t="str">
        <f>region_ntp1_server</f>
        <v>Value Missing</v>
      </c>
      <c r="E118" s="426"/>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9.5" customHeight="1">
      <c r="A119" s="114"/>
      <c r="B119" s="103" t="s">
        <v>3983</v>
      </c>
      <c r="C119" s="13"/>
      <c r="D119" s="13"/>
      <c r="E119" s="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ht="19.5" customHeight="1">
      <c r="A120" s="114"/>
      <c r="B120" s="84" t="s">
        <v>2719</v>
      </c>
      <c r="C120" s="110" t="str">
        <f>sample_ccm_hcx_license</f>
        <v>xxxxx-xxxxx-xxxxx-xxxxx-xxxxx</v>
      </c>
      <c r="D120" s="18" t="str">
        <f>ccm_hcx_license</f>
        <v>Value Missing</v>
      </c>
      <c r="E120" s="426"/>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ht="19.5" customHeight="1">
      <c r="A121" s="114"/>
      <c r="B121" s="84" t="s">
        <v>3984</v>
      </c>
      <c r="C121" s="110" t="str">
        <f>sample_ccm_hcx_dc_location</f>
        <v>San Francisco, United States of America</v>
      </c>
      <c r="D121" s="18" t="str">
        <f>ccm_hcx_dc_location</f>
        <v>Value Missing</v>
      </c>
      <c r="E121" s="426"/>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ht="19.5" customHeight="1">
      <c r="A122" s="114"/>
      <c r="B122" s="84" t="s">
        <v>3985</v>
      </c>
      <c r="C122" s="111" t="str">
        <f>CONCATENATE(sample_ccm_hcx_cdp_hostname,".",sample_child_dns_zone)</f>
        <v>lax-ccm-hcx01.lax.rainpole.io</v>
      </c>
      <c r="D122" s="18" t="str">
        <f>CONCATENATE(ccm_hcx_cdp_hostname,".",child_dns_zone)</f>
        <v>Value Missing.Value Missing</v>
      </c>
      <c r="E122" s="426"/>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9.5" customHeight="1">
      <c r="A123" s="114"/>
      <c r="B123" s="84" t="s">
        <v>2081</v>
      </c>
      <c r="C123" s="111" t="str">
        <f>sample_wld_vc_fqdn</f>
        <v>lax-w01-vc01.lax.rainpole.io</v>
      </c>
      <c r="D123" s="18" t="str">
        <f>wld_vc_fqdn</f>
        <v>Value Missing</v>
      </c>
      <c r="E123" s="426"/>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9.5" customHeight="1">
      <c r="A124" s="114"/>
      <c r="B124" s="84" t="s">
        <v>294</v>
      </c>
      <c r="C124" s="110" t="str">
        <f>sample_svc_ccm_hcx_vsphere_user&amp;"@"&amp;sample_child_dns_zone</f>
        <v>svc-hcx-vsphere@lax.rainpole.io</v>
      </c>
      <c r="D124" s="18" t="str">
        <f>ccm_hcx_vsphere_svc_user&amp;"@"&amp;child_dns_zone</f>
        <v>Value Missing@Value Missing</v>
      </c>
      <c r="E124" s="426"/>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9.5" customHeight="1">
      <c r="A125" s="114"/>
      <c r="B125" s="84" t="s">
        <v>296</v>
      </c>
      <c r="C125" s="110" t="str">
        <f>sample_svc_ccm_hcx_vsphere_password</f>
        <v>VMw@re1!</v>
      </c>
      <c r="D125" s="18" t="str">
        <f>ccm_hcx_vsphere_svc_password</f>
        <v>Value Missing</v>
      </c>
      <c r="E125" s="426"/>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9.5" customHeight="1">
      <c r="A126" s="114"/>
      <c r="B126" s="84" t="s">
        <v>300</v>
      </c>
      <c r="C126" s="111" t="str">
        <f>sample_wld_nsxt_vip_fqdn</f>
        <v>lax-w01-nsx01.lax.rainpole.io</v>
      </c>
      <c r="D126" s="18" t="str">
        <f>wld_nsxt_mgra_fqdn</f>
        <v>Value Missing</v>
      </c>
      <c r="E126" s="426"/>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9.5" customHeight="1">
      <c r="A127" s="114"/>
      <c r="B127" s="84" t="s">
        <v>294</v>
      </c>
      <c r="C127" s="110" t="str">
        <f>sample_svc_ccm_hcx_nsx_user&amp;"@"&amp;sample_child_dns_zone</f>
        <v>svc-hcx-nsx@lax.rainpole.io</v>
      </c>
      <c r="D127" s="18" t="str">
        <f>ccm_hcx_nsx_svc_user&amp;"@"&amp;child_dns_zone</f>
        <v>Value Missing@Value Missing</v>
      </c>
      <c r="E127" s="426"/>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9.5" customHeight="1">
      <c r="A128" s="114"/>
      <c r="B128" s="84" t="s">
        <v>296</v>
      </c>
      <c r="C128" s="110" t="str">
        <f>sample_svc_ccm_hcx_nsx_password</f>
        <v>VMw@re1!</v>
      </c>
      <c r="D128" s="18" t="str">
        <f>ccm_hcx_nsx_svc_password</f>
        <v>Value Missing</v>
      </c>
      <c r="E128" s="426"/>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9.5" customHeight="1">
      <c r="A129" s="114"/>
      <c r="B129" s="84" t="s">
        <v>3986</v>
      </c>
      <c r="C129" s="111" t="str">
        <f>sample_wld_vc_fqdn</f>
        <v>lax-w01-vc01.lax.rainpole.io</v>
      </c>
      <c r="D129" s="18" t="str">
        <f>wld_vc_fqdn</f>
        <v>Value Missing</v>
      </c>
      <c r="E129" s="426"/>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9.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33.75" customHeight="1">
      <c r="A131" s="114"/>
      <c r="B131" s="12" t="s">
        <v>3987</v>
      </c>
      <c r="C131" s="13"/>
      <c r="D131" s="13"/>
      <c r="E131" s="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9.5" customHeight="1">
      <c r="A132" s="114"/>
      <c r="B132" s="108" t="s">
        <v>256</v>
      </c>
      <c r="C132" s="108" t="s">
        <v>722</v>
      </c>
      <c r="D132" s="108" t="s">
        <v>274</v>
      </c>
      <c r="E132" s="108" t="s">
        <v>5</v>
      </c>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9.5" customHeight="1">
      <c r="A133" s="114"/>
      <c r="B133" s="84" t="s">
        <v>3988</v>
      </c>
      <c r="C133" s="111" t="str">
        <f>CONCATENATE(sample_ccm_hcx_cdp_hostname,".",sample_child_dns_zone)</f>
        <v>lax-ccm-hcx01.lax.rainpole.io</v>
      </c>
      <c r="D133" s="18" t="str">
        <f>CONCATENATE(ccm_hcx_cdp_hostname,".",child_dns_zone)</f>
        <v>Value Missing.Value Missing</v>
      </c>
      <c r="E133" s="426"/>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9.5" customHeight="1">
      <c r="A134" s="114"/>
      <c r="B134" s="84" t="s">
        <v>3976</v>
      </c>
      <c r="C134" s="110" t="str">
        <f>sample_ccm_hcx_admin_password</f>
        <v>VMw@re1!</v>
      </c>
      <c r="D134" s="18" t="str">
        <f>ccm_hcx_admin_password</f>
        <v>Value Missing</v>
      </c>
      <c r="E134" s="426"/>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9.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33.75" customHeight="1">
      <c r="A136" s="114"/>
      <c r="B136" s="12" t="s">
        <v>3989</v>
      </c>
      <c r="C136" s="13"/>
      <c r="D136" s="13"/>
      <c r="E136" s="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9.5" customHeight="1">
      <c r="A137" s="114"/>
      <c r="B137" s="108" t="s">
        <v>256</v>
      </c>
      <c r="C137" s="108" t="s">
        <v>722</v>
      </c>
      <c r="D137" s="108" t="s">
        <v>274</v>
      </c>
      <c r="E137" s="108" t="s">
        <v>5</v>
      </c>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19.5" customHeight="1">
      <c r="A138" s="114"/>
      <c r="B138" s="84" t="s">
        <v>3331</v>
      </c>
      <c r="C138" s="111" t="str">
        <f>sample_mgmt_vc_fqdn</f>
        <v>lax-m01-vc01.lax.rainpole.io</v>
      </c>
      <c r="D138" s="18" t="str">
        <f>mgmt_vc_fqdn</f>
        <v>Value Missing</v>
      </c>
      <c r="E138" s="426"/>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9.5" customHeight="1">
      <c r="A139" s="114"/>
      <c r="B139" s="84" t="s">
        <v>256</v>
      </c>
      <c r="C139" s="110" t="str">
        <f>CONCATENATE(sample_mgmt_cl01_cluster,"_primary-az-vmgroup")</f>
        <v>lax-m01-cl01_primary-az-vmgroup</v>
      </c>
      <c r="D139" s="18" t="str">
        <f>CONCATENATE(mgmt_cl01_cluster,"_primary-az-vmgroup")</f>
        <v>Value Missing_primary-az-vmgroup</v>
      </c>
      <c r="E139" s="426"/>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9.5" customHeight="1">
      <c r="A140" s="114"/>
      <c r="B140" s="71" t="s">
        <v>3990</v>
      </c>
      <c r="C140" s="185" t="str">
        <f>sample_ccm_hcx_cdp_hostname</f>
        <v>lax-ccm-hcx01</v>
      </c>
      <c r="D140" s="32" t="str">
        <f>ccm_hcx_cdp_hostname</f>
        <v>Value Missing</v>
      </c>
      <c r="E140" s="426"/>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9.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33.75" customHeight="1">
      <c r="A142" s="114"/>
      <c r="B142" s="12" t="s">
        <v>3991</v>
      </c>
      <c r="C142" s="13"/>
      <c r="D142" s="13"/>
      <c r="E142" s="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9.5" customHeight="1">
      <c r="A143" s="114"/>
      <c r="B143" s="108" t="s">
        <v>256</v>
      </c>
      <c r="C143" s="108" t="s">
        <v>722</v>
      </c>
      <c r="D143" s="108" t="s">
        <v>274</v>
      </c>
      <c r="E143" s="108" t="s">
        <v>5</v>
      </c>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9.5" customHeight="1">
      <c r="A144" s="114"/>
      <c r="B144" s="84" t="s">
        <v>3876</v>
      </c>
      <c r="C144" s="110" t="s">
        <v>3877</v>
      </c>
      <c r="D144" s="18" t="s">
        <v>3877</v>
      </c>
      <c r="E144" s="426"/>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9.5" customHeight="1">
      <c r="A145" s="114"/>
      <c r="B145" s="84" t="s">
        <v>3992</v>
      </c>
      <c r="C145" s="110" t="str">
        <f>sample_ccm_firewall_rule_hcx</f>
        <v>HCX Inbound Rule</v>
      </c>
      <c r="D145" s="18" t="str">
        <f>ccm_firewall_rule_hcx</f>
        <v>Value Missing</v>
      </c>
      <c r="E145" s="426"/>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19.5" customHeight="1">
      <c r="A146" s="114"/>
      <c r="B146" s="84" t="s">
        <v>3993</v>
      </c>
      <c r="C146" s="110" t="str">
        <f>sample_ccm_firewall_group</f>
        <v>External-Access</v>
      </c>
      <c r="D146" s="18" t="str">
        <f>ccm_firewall_group</f>
        <v>Value Missing</v>
      </c>
      <c r="E146" s="426"/>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9.5" customHeight="1">
      <c r="A147" s="114"/>
      <c r="B147" s="84" t="s">
        <v>3882</v>
      </c>
      <c r="C147" s="110" t="s">
        <v>3994</v>
      </c>
      <c r="D147" s="18" t="str">
        <f t="shared" ref="D147:D149" si="2">C147</f>
        <v>HCX</v>
      </c>
      <c r="E147" s="426"/>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9.5" customHeight="1">
      <c r="A148" s="114"/>
      <c r="B148" s="84" t="s">
        <v>3883</v>
      </c>
      <c r="C148" s="110" t="s">
        <v>3995</v>
      </c>
      <c r="D148" s="18" t="str">
        <f t="shared" si="2"/>
        <v>Appliance Management (TCP 9443)</v>
      </c>
      <c r="E148" s="426"/>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9.5" customHeight="1">
      <c r="A149" s="114"/>
      <c r="B149" s="84" t="s">
        <v>3883</v>
      </c>
      <c r="C149" s="110" t="s">
        <v>3884</v>
      </c>
      <c r="D149" s="18" t="str">
        <f t="shared" si="2"/>
        <v>HTTPS (TCP 443)</v>
      </c>
      <c r="E149" s="426"/>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9.5" customHeight="1">
      <c r="A150" s="114"/>
      <c r="B150" s="84" t="s">
        <v>3886</v>
      </c>
      <c r="C150" s="110" t="str">
        <f>sample_ccm_firewall_ip_addresses</f>
        <v>69.34.34.11</v>
      </c>
      <c r="D150" s="18" t="str">
        <f>ccm_firewall_ip_addresses</f>
        <v>Value Missing</v>
      </c>
      <c r="E150" s="426"/>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19.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33.75" customHeight="1">
      <c r="A152" s="114"/>
      <c r="B152" s="12" t="s">
        <v>3996</v>
      </c>
      <c r="C152" s="13"/>
      <c r="D152" s="13"/>
      <c r="E152" s="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9.5" customHeight="1">
      <c r="A153" s="114"/>
      <c r="B153" s="108" t="s">
        <v>256</v>
      </c>
      <c r="C153" s="108" t="s">
        <v>722</v>
      </c>
      <c r="D153" s="108" t="s">
        <v>274</v>
      </c>
      <c r="E153" s="108" t="s">
        <v>5</v>
      </c>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9.5" customHeight="1">
      <c r="A154" s="114"/>
      <c r="B154" s="84" t="s">
        <v>3963</v>
      </c>
      <c r="C154" s="111" t="str">
        <f>sample_wld_vc_fqdn</f>
        <v>lax-w01-vc01.lax.rainpole.io</v>
      </c>
      <c r="D154" s="18" t="str">
        <f>wld_vc_fqdn</f>
        <v>Value Missing</v>
      </c>
      <c r="E154" s="426"/>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9.5" customHeight="1">
      <c r="A155" s="114"/>
      <c r="B155" s="84" t="s">
        <v>2737</v>
      </c>
      <c r="C155" s="111" t="str">
        <f>sample_ccm_hcx_remote_url</f>
        <v>https://hcx.sddc-44-231-98-23.vmwarevmc.com/</v>
      </c>
      <c r="D155" s="18" t="str">
        <f>ccm_hcx_remote_url</f>
        <v>Value Missing</v>
      </c>
      <c r="E155" s="426"/>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9.5" customHeight="1">
      <c r="A156" s="114"/>
      <c r="B156" s="84" t="s">
        <v>294</v>
      </c>
      <c r="C156" s="110" t="str">
        <f>sample_ccm_aws_admin_ssouser</f>
        <v>cloudadmin@vmc.local</v>
      </c>
      <c r="D156" s="18" t="str">
        <f>ccm_aws_admin_ssouser</f>
        <v>Value Missing</v>
      </c>
      <c r="E156" s="426"/>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9.5" customHeight="1">
      <c r="A157" s="114"/>
      <c r="B157" s="84" t="s">
        <v>296</v>
      </c>
      <c r="C157" s="110" t="str">
        <f>sample_ccm_aws_admin_password</f>
        <v>TBvAZf-Aj*1ap6T</v>
      </c>
      <c r="D157" s="18" t="str">
        <f>ccm_aws_admin_password</f>
        <v>Value Missing</v>
      </c>
      <c r="E157" s="426"/>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19.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ht="33.75" customHeight="1">
      <c r="A159" s="114"/>
      <c r="B159" s="12" t="s">
        <v>3997</v>
      </c>
      <c r="C159" s="13"/>
      <c r="D159" s="13"/>
      <c r="E159" s="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19.5" customHeight="1">
      <c r="A160" s="114"/>
      <c r="B160" s="108" t="s">
        <v>256</v>
      </c>
      <c r="C160" s="108" t="s">
        <v>722</v>
      </c>
      <c r="D160" s="108" t="s">
        <v>274</v>
      </c>
      <c r="E160" s="108" t="s">
        <v>5</v>
      </c>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9.5" customHeight="1">
      <c r="A161" s="114"/>
      <c r="B161" s="84" t="s">
        <v>3963</v>
      </c>
      <c r="C161" s="111" t="str">
        <f>sample_wld_vc_fqdn</f>
        <v>lax-w01-vc01.lax.rainpole.io</v>
      </c>
      <c r="D161" s="18" t="str">
        <f>wld_vc_fqdn</f>
        <v>Value Missing</v>
      </c>
      <c r="E161" s="426"/>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19.5" customHeight="1">
      <c r="A162" s="114"/>
      <c r="B162" s="103" t="s">
        <v>3998</v>
      </c>
      <c r="C162" s="13"/>
      <c r="D162" s="13"/>
      <c r="E162" s="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9.5" customHeight="1">
      <c r="A163" s="114"/>
      <c r="B163" s="84" t="s">
        <v>299</v>
      </c>
      <c r="C163" s="111" t="str">
        <f>sample_wld_vc_fqdn</f>
        <v>lax-w01-vc01.lax.rainpole.io</v>
      </c>
      <c r="D163" s="18" t="str">
        <f>wld_vc_fqdn</f>
        <v>Value Missing</v>
      </c>
      <c r="E163" s="426"/>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9.5" customHeight="1">
      <c r="A164" s="114"/>
      <c r="B164" s="84" t="s">
        <v>717</v>
      </c>
      <c r="C164" s="110" t="str">
        <f>sample_wld_cl01_az1_mgmt_pg</f>
        <v>lax-w01-cl01-vds01-pg-esxi-mgmt</v>
      </c>
      <c r="D164" s="18" t="str">
        <f>wld_cl01_az1_mgmt_pg</f>
        <v>Value Missing</v>
      </c>
      <c r="E164" s="426"/>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9.5" customHeight="1">
      <c r="A165" s="114"/>
      <c r="B165" s="84" t="s">
        <v>256</v>
      </c>
      <c r="C165" s="110" t="str">
        <f>sample_wld_cl01_az1_mgmt_pg</f>
        <v>lax-w01-cl01-vds01-pg-esxi-mgmt</v>
      </c>
      <c r="D165" s="18" t="str">
        <f>wld_cl01_az1_mgmt_pg</f>
        <v>Value Missing</v>
      </c>
      <c r="E165" s="426"/>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9.5" customHeight="1">
      <c r="A166" s="114"/>
      <c r="B166" s="84" t="s">
        <v>3999</v>
      </c>
      <c r="C166" s="110" t="str">
        <f>sample_ccm_hcx_mgmt_network_ip_range</f>
        <v>10.23.10.221-10.23.10.225</v>
      </c>
      <c r="D166" s="18" t="str">
        <f>ccm_hcx_mgmt_network_ip_range</f>
        <v>Value Missing</v>
      </c>
      <c r="E166" s="426"/>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9.5" customHeight="1">
      <c r="A167" s="114"/>
      <c r="B167" s="84" t="s">
        <v>4000</v>
      </c>
      <c r="C167" s="110">
        <f>INT(RIGHT(sample_mgmt_az1_mgmt_cidr,LEN(sample_mgmt_az1_mgmt_cidr)-FIND("/",sample_mgmt_az1_mgmt_cidr)))</f>
        <v>24</v>
      </c>
      <c r="D167" s="18" t="str">
        <f>IF(ISBLANK(input_mgmt_az1_mgmt_cidr),"Value Missing",INT(RIGHT(mgmt_az1_mgmt_cidr,LEN(mgmt_az1_mgmt_cidr)-FIND("/",mgmt_az1_mgmt_cidr))))</f>
        <v>Value Missing</v>
      </c>
      <c r="E167" s="426"/>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9.5" customHeight="1">
      <c r="A168" s="114"/>
      <c r="B168" s="84" t="s">
        <v>402</v>
      </c>
      <c r="C168" s="110" t="str">
        <f>sample_wld_az1_mgmt_gateway_ip</f>
        <v>10.23.11.1</v>
      </c>
      <c r="D168" s="18" t="str">
        <f>wld_az1_mgmt_gateway_ip</f>
        <v>Value Missing</v>
      </c>
      <c r="E168" s="426"/>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9.5" customHeight="1">
      <c r="A169" s="114"/>
      <c r="B169" s="84" t="s">
        <v>4001</v>
      </c>
      <c r="C169" s="110" t="str">
        <f>sample_region_dns1_ip</f>
        <v>10.21.10.4</v>
      </c>
      <c r="D169" s="18" t="str">
        <f>region_dns1_ip</f>
        <v>Value Missing</v>
      </c>
      <c r="E169" s="426"/>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9.5" customHeight="1">
      <c r="A170" s="114"/>
      <c r="B170" s="84" t="s">
        <v>4002</v>
      </c>
      <c r="C170" s="110" t="str">
        <f>sample_region_dns2_ip</f>
        <v>10.21.10.5</v>
      </c>
      <c r="D170" s="18" t="str">
        <f>region_dns2_ip</f>
        <v>Value Missing</v>
      </c>
      <c r="E170" s="426"/>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9.5" customHeight="1">
      <c r="A171" s="114"/>
      <c r="B171" s="84" t="s">
        <v>4003</v>
      </c>
      <c r="C171" s="111" t="str">
        <f>sample_child_dns_zone</f>
        <v>lax.rainpole.io</v>
      </c>
      <c r="D171" s="18" t="str">
        <f>child_dns_zone</f>
        <v>Value Missing</v>
      </c>
      <c r="E171" s="426"/>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9.5" customHeight="1">
      <c r="A172" s="114"/>
      <c r="B172" s="103" t="s">
        <v>4004</v>
      </c>
      <c r="C172" s="13"/>
      <c r="D172" s="13"/>
      <c r="E172" s="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9.5" customHeight="1">
      <c r="A173" s="114"/>
      <c r="B173" s="84" t="s">
        <v>299</v>
      </c>
      <c r="C173" s="111" t="str">
        <f>sample_wld_vc_fqdn</f>
        <v>lax-w01-vc01.lax.rainpole.io</v>
      </c>
      <c r="D173" s="18" t="str">
        <f>wld_vc_fqdn</f>
        <v>Value Missing</v>
      </c>
      <c r="E173" s="426"/>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9.5" customHeight="1">
      <c r="A174" s="114"/>
      <c r="B174" s="84" t="s">
        <v>717</v>
      </c>
      <c r="C174" s="110" t="str">
        <f>sample_wld_cl01_az1_vmotion_pg</f>
        <v>lax-w01-cl01-vds01-pg-vmotion</v>
      </c>
      <c r="D174" s="18" t="str">
        <f>wld_cl01_az1_vmotion_pg</f>
        <v>Value Missing</v>
      </c>
      <c r="E174" s="426"/>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9.5" customHeight="1">
      <c r="A175" s="114"/>
      <c r="B175" s="84" t="s">
        <v>256</v>
      </c>
      <c r="C175" s="110" t="str">
        <f>sample_wld_cl01_az1_vmotion_pg</f>
        <v>lax-w01-cl01-vds01-pg-vmotion</v>
      </c>
      <c r="D175" s="18" t="str">
        <f>wld_cl01_az1_vmotion_pg</f>
        <v>Value Missing</v>
      </c>
      <c r="E175" s="426"/>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9.5" customHeight="1">
      <c r="A176" s="114"/>
      <c r="B176" s="84" t="s">
        <v>3999</v>
      </c>
      <c r="C176" s="110" t="str">
        <f>sample_ccm_hcx_vmotion_network_ip_range</f>
        <v>10.23.12.221-10.23.12.225</v>
      </c>
      <c r="D176" s="18" t="str">
        <f>ccm_hcx_vmotion_network_ip_range</f>
        <v>Value Missing</v>
      </c>
      <c r="E176" s="426"/>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9.5" customHeight="1">
      <c r="A177" s="114"/>
      <c r="B177" s="84" t="s">
        <v>4000</v>
      </c>
      <c r="C177" s="110">
        <f>INT(RIGHT(sample_wld_az1_vmotion_cidr,LEN(sample_wld_az1_vmotion_cidr)-FIND("/",sample_wld_az1_vmotion_cidr)))</f>
        <v>24</v>
      </c>
      <c r="D177" s="18" t="str">
        <f>IF(ISBLANK(input_mgmt_az1_mgmt_cidr),"Value Missing",INT(RIGHT(mgmt_az1_mgmt_cidr,LEN(mgmt_az1_mgmt_cidr)-FIND("/",mgmt_az1_mgmt_cidr))))</f>
        <v>Value Missing</v>
      </c>
      <c r="E177" s="426"/>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9.5" customHeight="1">
      <c r="A178" s="114"/>
      <c r="B178" s="84" t="s">
        <v>402</v>
      </c>
      <c r="C178" s="110" t="str">
        <f>sample_wld_az1_vmotion_gateway_ip</f>
        <v>10.23.12.1</v>
      </c>
      <c r="D178" s="18" t="str">
        <f>wld_az1_vmotion_gateway_ip</f>
        <v>Value Missing</v>
      </c>
      <c r="E178" s="426"/>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9.5" customHeight="1">
      <c r="A179" s="114"/>
      <c r="B179" s="84" t="s">
        <v>404</v>
      </c>
      <c r="C179" s="110">
        <f>sample_wld_az1_vmotion_mtu</f>
        <v>9000</v>
      </c>
      <c r="D179" s="18" t="str">
        <f>wld_az1_vmotion_mtu</f>
        <v>Value Missing</v>
      </c>
      <c r="E179" s="426"/>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9.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33.75" customHeight="1">
      <c r="A181" s="114"/>
      <c r="B181" s="12" t="s">
        <v>4005</v>
      </c>
      <c r="C181" s="13"/>
      <c r="D181" s="13"/>
      <c r="E181" s="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9.5" customHeight="1">
      <c r="A182" s="114"/>
      <c r="B182" s="108" t="s">
        <v>256</v>
      </c>
      <c r="C182" s="108" t="s">
        <v>722</v>
      </c>
      <c r="D182" s="108" t="s">
        <v>274</v>
      </c>
      <c r="E182" s="108" t="s">
        <v>5</v>
      </c>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9.5" customHeight="1">
      <c r="A183" s="114"/>
      <c r="B183" s="84" t="s">
        <v>3963</v>
      </c>
      <c r="C183" s="111" t="str">
        <f>sample_wld_vc_fqdn</f>
        <v>lax-w01-vc01.lax.rainpole.io</v>
      </c>
      <c r="D183" s="18" t="str">
        <f>wld_vc_fqdn</f>
        <v>Value Missing</v>
      </c>
      <c r="E183" s="426"/>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9.5" customHeight="1">
      <c r="A184" s="114"/>
      <c r="B184" s="84" t="s">
        <v>4006</v>
      </c>
      <c r="C184" s="110" t="str">
        <f>sample_ccm_hcx_compute_profile</f>
        <v>lax-w01-compute-profile</v>
      </c>
      <c r="D184" s="18" t="str">
        <f>ccm_hcx_compute_profile</f>
        <v>Value Missing</v>
      </c>
      <c r="E184" s="426"/>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9.5" customHeight="1">
      <c r="A185" s="114"/>
      <c r="B185" s="84" t="s">
        <v>4007</v>
      </c>
      <c r="C185" s="110" t="str">
        <f>sample_wld_datacenter</f>
        <v>lax-w01-dc</v>
      </c>
      <c r="D185" s="18" t="str">
        <f>wld_datacenter</f>
        <v>Value Missing</v>
      </c>
      <c r="E185" s="426"/>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9.5" customHeight="1">
      <c r="A186" s="114"/>
      <c r="B186" s="84" t="s">
        <v>4008</v>
      </c>
      <c r="C186" s="110" t="str">
        <f>sample_ccm_hcx_resource_pool</f>
        <v>lax-w01-cl01-rp-hcx</v>
      </c>
      <c r="D186" s="18" t="str">
        <f>ccm_hcx_resource_pool</f>
        <v>Value Missing</v>
      </c>
      <c r="E186" s="426"/>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9.5" customHeight="1">
      <c r="A187" s="114"/>
      <c r="B187" s="84" t="s">
        <v>1054</v>
      </c>
      <c r="C187" s="110" t="str">
        <f>sample_wld_cl01_vsan_datastore</f>
        <v>lax-w01-lax-w01-cl01-vsan01</v>
      </c>
      <c r="D187" s="18" t="str">
        <f>wld_cl01_vsan_datastore</f>
        <v>Value Missing</v>
      </c>
      <c r="E187" s="426"/>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9.5" customHeight="1">
      <c r="A188" s="114"/>
      <c r="B188" s="84" t="s">
        <v>1050</v>
      </c>
      <c r="C188" s="110" t="str">
        <f>sample_ccm_hcx_vm_folder</f>
        <v>lax-w01-fd-hcx</v>
      </c>
      <c r="D188" s="18" t="str">
        <f>ccm_hcx_vm_folder</f>
        <v>Value Missing</v>
      </c>
      <c r="E188" s="426"/>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9.5" customHeight="1">
      <c r="A189" s="114"/>
      <c r="B189" s="84" t="s">
        <v>4009</v>
      </c>
      <c r="C189" s="110" t="str">
        <f>sample_wld_cl01_az1_mgmt_pg</f>
        <v>lax-w01-cl01-vds01-pg-esxi-mgmt</v>
      </c>
      <c r="D189" s="18" t="str">
        <f>wld_cl01_az1_mgmt_pg</f>
        <v>Value Missing</v>
      </c>
      <c r="E189" s="426"/>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9.5" customHeight="1">
      <c r="A190" s="114"/>
      <c r="B190" s="84" t="s">
        <v>4010</v>
      </c>
      <c r="C190" s="110" t="str">
        <f>sample_wld_cl01_az1_mgmt_pg</f>
        <v>lax-w01-cl01-vds01-pg-esxi-mgmt</v>
      </c>
      <c r="D190" s="18" t="str">
        <f>wld_cl01_az1_mgmt_pg</f>
        <v>Value Missing</v>
      </c>
      <c r="E190" s="426"/>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9.5" customHeight="1">
      <c r="A191" s="114"/>
      <c r="B191" s="84" t="s">
        <v>4011</v>
      </c>
      <c r="C191" s="110" t="str">
        <f>sample_wld_cl01_az1_vmotion_pg</f>
        <v>lax-w01-cl01-vds01-pg-vmotion</v>
      </c>
      <c r="D191" s="18" t="str">
        <f>wld_cl01_az1_vmotion_pg</f>
        <v>Value Missing</v>
      </c>
      <c r="E191" s="426"/>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9.5" customHeight="1">
      <c r="A192" s="114"/>
      <c r="B192" s="84" t="s">
        <v>4012</v>
      </c>
      <c r="C192" s="110" t="str">
        <f>sample_wld_cl01_az1_mgmt_pg</f>
        <v>lax-w01-cl01-vds01-pg-esxi-mgmt</v>
      </c>
      <c r="D192" s="18" t="str">
        <f>wld_cl01_az1_mgmt_pg</f>
        <v>Value Missing</v>
      </c>
      <c r="E192" s="426"/>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9.5" customHeight="1">
      <c r="A193" s="114"/>
      <c r="B193" s="84" t="s">
        <v>4013</v>
      </c>
      <c r="C193" s="111" t="str">
        <f>IF(mgmt_consolidated_result="Included",CONCATENATE("overlay-tz-",sample_mgmt_nsxt_vip_fqdn),CONCATENATE("overlay-tz-",sample_wld_nsxt_vip_fqdn))</f>
        <v>overlay-tz-lax-w01-nsx01.lax.rainpole.io</v>
      </c>
      <c r="D193" s="18" t="str">
        <f>IF(mgmt_consolidated_result="Included","overlay-tz-"&amp;mgmt_nsxt_vip_fqdn,"overlay-tz-"&amp;wld_nsxt_vip_fqdn)</f>
        <v>overlay-tz-Value Missing</v>
      </c>
      <c r="E193" s="426"/>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9.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33.75" customHeight="1">
      <c r="A195" s="114"/>
      <c r="B195" s="12" t="s">
        <v>4014</v>
      </c>
      <c r="C195" s="13"/>
      <c r="D195" s="13"/>
      <c r="E195" s="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9.5" customHeight="1">
      <c r="A196" s="114"/>
      <c r="B196" s="108" t="s">
        <v>256</v>
      </c>
      <c r="C196" s="108" t="s">
        <v>722</v>
      </c>
      <c r="D196" s="108" t="s">
        <v>274</v>
      </c>
      <c r="E196" s="108" t="s">
        <v>5</v>
      </c>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9.5" customHeight="1">
      <c r="A197" s="114"/>
      <c r="B197" s="84" t="s">
        <v>3963</v>
      </c>
      <c r="C197" s="111" t="str">
        <f>sample_wld_vc_fqdn</f>
        <v>lax-w01-vc01.lax.rainpole.io</v>
      </c>
      <c r="D197" s="18" t="str">
        <f>wld_vc_fqdn</f>
        <v>Value Missing</v>
      </c>
      <c r="E197" s="426"/>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9.5" customHeight="1">
      <c r="A198" s="114"/>
      <c r="B198" s="84" t="s">
        <v>4015</v>
      </c>
      <c r="C198" s="110" t="str">
        <f>sample_ccm_hcx_compute_profile</f>
        <v>lax-w01-compute-profile</v>
      </c>
      <c r="D198" s="18" t="str">
        <f>ccm_hcx_compute_profile</f>
        <v>Value Missing</v>
      </c>
      <c r="E198" s="426"/>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9.5" customHeight="1">
      <c r="A199" s="114"/>
      <c r="B199" s="84" t="s">
        <v>4016</v>
      </c>
      <c r="C199" s="110" t="s">
        <v>4017</v>
      </c>
      <c r="D199" s="18" t="str">
        <f>C199</f>
        <v>ComputeProfile(vcenter)</v>
      </c>
      <c r="E199" s="426"/>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9.5" customHeight="1">
      <c r="A200" s="114"/>
      <c r="B200" s="84" t="s">
        <v>4018</v>
      </c>
      <c r="C200" s="110" t="str">
        <f>sample_ccm_hcx_service_mesh</f>
        <v>lax-w01-service-mesh</v>
      </c>
      <c r="D200" s="18" t="str">
        <f>ccm_hcx_service_mesh</f>
        <v>Value Missing</v>
      </c>
      <c r="E200" s="426"/>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9.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33.75" customHeight="1">
      <c r="A202" s="416"/>
      <c r="B202" s="424" t="s">
        <v>3405</v>
      </c>
      <c r="C202" s="13"/>
      <c r="D202" s="13"/>
      <c r="E202" s="38"/>
      <c r="F202" s="416"/>
      <c r="G202" s="114"/>
      <c r="H202" s="114"/>
      <c r="I202" s="114"/>
      <c r="J202" s="114"/>
      <c r="K202" s="114"/>
      <c r="L202" s="114"/>
      <c r="M202" s="114"/>
      <c r="N202" s="114"/>
      <c r="O202" s="114"/>
      <c r="P202" s="114"/>
      <c r="Q202" s="114"/>
      <c r="R202" s="114"/>
      <c r="S202" s="114"/>
      <c r="T202" s="114"/>
      <c r="U202" s="114"/>
      <c r="V202" s="114"/>
      <c r="W202" s="114"/>
      <c r="X202" s="114"/>
      <c r="Y202" s="114"/>
      <c r="Z202" s="114"/>
    </row>
    <row r="203" ht="19.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33.75" customHeight="1">
      <c r="A204" s="114"/>
      <c r="B204" s="12" t="s">
        <v>3922</v>
      </c>
      <c r="C204" s="13"/>
      <c r="D204" s="13"/>
      <c r="E204" s="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9.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33.75" customHeight="1">
      <c r="A206" s="114"/>
      <c r="B206" s="12" t="s">
        <v>4019</v>
      </c>
      <c r="C206" s="13"/>
      <c r="D206" s="13"/>
      <c r="E206" s="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9.5" customHeight="1">
      <c r="A207" s="114"/>
      <c r="B207" s="108" t="s">
        <v>256</v>
      </c>
      <c r="C207" s="108" t="s">
        <v>722</v>
      </c>
      <c r="D207" s="108" t="s">
        <v>274</v>
      </c>
      <c r="E207" s="108" t="s">
        <v>5</v>
      </c>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9.5" customHeight="1">
      <c r="A208" s="114"/>
      <c r="B208" s="84" t="s">
        <v>3574</v>
      </c>
      <c r="C208" s="111" t="str">
        <f>sample_xreg_vrops_virtual_fqdn</f>
        <v>flt-ops01.rainpole.io</v>
      </c>
      <c r="D208" s="18" t="str">
        <f>xreg_vrops_virtual_fqdn</f>
        <v>Value Missing</v>
      </c>
      <c r="E208" s="426"/>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9.5" customHeight="1">
      <c r="A209" s="114"/>
      <c r="B209" s="84" t="s">
        <v>256</v>
      </c>
      <c r="C209" s="110" t="str">
        <f>"cross-cloud-proxies"</f>
        <v>cross-cloud-proxies</v>
      </c>
      <c r="D209" s="18" t="str">
        <f t="shared" ref="D209:D210" si="3">C209</f>
        <v>cross-cloud-proxies</v>
      </c>
      <c r="E209" s="426"/>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9.5" customHeight="1">
      <c r="A210" s="114"/>
      <c r="B210" s="84" t="s">
        <v>3924</v>
      </c>
      <c r="C210" s="110" t="str">
        <f>C209</f>
        <v>cross-cloud-proxies</v>
      </c>
      <c r="D210" s="18" t="str">
        <f t="shared" si="3"/>
        <v>cross-cloud-proxies</v>
      </c>
      <c r="E210" s="426"/>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9.5" customHeight="1">
      <c r="A211" s="114"/>
      <c r="B211" s="84" t="s">
        <v>3925</v>
      </c>
      <c r="C211" s="110" t="str">
        <f>sample_ccm_hcx_cdp_ip</f>
        <v>10.21.10.46</v>
      </c>
      <c r="D211" s="18" t="str">
        <f>ccm_hcx_cdp_ip</f>
        <v>Value Missing</v>
      </c>
      <c r="E211" s="426"/>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9.5" customHeight="1">
      <c r="A212" s="114"/>
      <c r="B212" s="84" t="s">
        <v>3926</v>
      </c>
      <c r="C212" s="110" t="str">
        <f>CONCATENATE(sample_mgmt_sddc_domain,"-collector-group")</f>
        <v>lax-m01-collector-group</v>
      </c>
      <c r="D212" s="18" t="str">
        <f>CONCATENATE(mgmt_sddc_domain,"-collector-group")</f>
        <v>Value Missing-collector-group</v>
      </c>
      <c r="E212" s="426"/>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9.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33.75" customHeight="1">
      <c r="A214" s="114"/>
      <c r="B214" s="12" t="s">
        <v>4020</v>
      </c>
      <c r="C214" s="13"/>
      <c r="D214" s="13"/>
      <c r="E214" s="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9.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33.75" customHeight="1">
      <c r="A216" s="114"/>
      <c r="B216" s="12" t="s">
        <v>4021</v>
      </c>
      <c r="C216" s="13"/>
      <c r="D216" s="13"/>
      <c r="E216" s="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9.5" customHeight="1">
      <c r="A217" s="114"/>
      <c r="B217" s="108" t="s">
        <v>256</v>
      </c>
      <c r="C217" s="108" t="s">
        <v>722</v>
      </c>
      <c r="D217" s="108" t="s">
        <v>274</v>
      </c>
      <c r="E217" s="108" t="s">
        <v>5</v>
      </c>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9.5" customHeight="1">
      <c r="A218" s="114"/>
      <c r="B218" s="84" t="s">
        <v>4022</v>
      </c>
      <c r="C218" s="110" t="str">
        <f>sample_sftp_server</f>
        <v>20.10.5.10</v>
      </c>
      <c r="D218" s="18" t="str">
        <f>sftp_server_ip</f>
        <v>Value Missing</v>
      </c>
      <c r="E218" s="426"/>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9.5" customHeight="1">
      <c r="A219" s="114"/>
      <c r="B219" s="84" t="s">
        <v>4023</v>
      </c>
      <c r="C219" s="110">
        <f>sample_sftp_server_port</f>
        <v>22</v>
      </c>
      <c r="D219" s="18" t="str">
        <f>sftp_server_port</f>
        <v>Value Missing</v>
      </c>
      <c r="E219" s="426"/>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9.5" customHeight="1">
      <c r="A220" s="114"/>
      <c r="B220" s="84" t="s">
        <v>526</v>
      </c>
      <c r="C220" s="110" t="str">
        <f>sample_sftp_server_protocol</f>
        <v>SFTP</v>
      </c>
      <c r="D220" s="18" t="str">
        <f>sftp_server_protocol</f>
        <v>Value Missing</v>
      </c>
      <c r="E220" s="426"/>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9.5" customHeight="1">
      <c r="A221" s="114"/>
      <c r="B221" s="84" t="s">
        <v>294</v>
      </c>
      <c r="C221" s="110" t="str">
        <f>sample_svc_vcf_bck_user</f>
        <v>svc-vcf-bck</v>
      </c>
      <c r="D221" s="18" t="str">
        <f>user_svc_vcf_bck</f>
        <v>Value Missing</v>
      </c>
      <c r="E221" s="426"/>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9.5" customHeight="1">
      <c r="A222" s="114"/>
      <c r="B222" s="84" t="s">
        <v>296</v>
      </c>
      <c r="C222" s="110" t="str">
        <f>sample_svc_vcf_bck_password</f>
        <v>VMw@re1!</v>
      </c>
      <c r="D222" s="18" t="str">
        <f>svc_vcf_bck_password</f>
        <v>Value Missing</v>
      </c>
      <c r="E222" s="426"/>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9.5" customHeight="1">
      <c r="A223" s="114"/>
      <c r="B223" s="84" t="s">
        <v>4024</v>
      </c>
      <c r="C223" s="110" t="str">
        <f>sample_sftp_server_backup_dir</f>
        <v>/backups/</v>
      </c>
      <c r="D223" s="18" t="str">
        <f>sftp_server_backup_dir</f>
        <v>Value Missing</v>
      </c>
      <c r="E223" s="426"/>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9.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33.75" customHeight="1">
      <c r="A225" s="114"/>
      <c r="B225" s="12" t="s">
        <v>4025</v>
      </c>
      <c r="C225" s="13"/>
      <c r="D225" s="13"/>
      <c r="E225" s="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9.5" customHeight="1">
      <c r="A226" s="114"/>
      <c r="B226" s="108" t="s">
        <v>256</v>
      </c>
      <c r="C226" s="108" t="s">
        <v>722</v>
      </c>
      <c r="D226" s="108" t="s">
        <v>274</v>
      </c>
      <c r="E226" s="108" t="s">
        <v>5</v>
      </c>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9.5" customHeight="1">
      <c r="A227" s="114"/>
      <c r="B227" s="84" t="s">
        <v>4026</v>
      </c>
      <c r="C227" s="110" t="s">
        <v>4027</v>
      </c>
      <c r="D227" s="18" t="str">
        <f t="shared" ref="D227:D229" si="4">C227</f>
        <v>DAILY</v>
      </c>
      <c r="E227" s="426"/>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9.5" customHeight="1">
      <c r="A228" s="114"/>
      <c r="B228" s="84" t="s">
        <v>4028</v>
      </c>
      <c r="C228" s="110">
        <v>3.0</v>
      </c>
      <c r="D228" s="18">
        <f t="shared" si="4"/>
        <v>3</v>
      </c>
      <c r="E228" s="426"/>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9.5" customHeight="1">
      <c r="A229" s="114"/>
      <c r="B229" s="84" t="s">
        <v>4029</v>
      </c>
      <c r="C229" s="110">
        <v>30.0</v>
      </c>
      <c r="D229" s="18">
        <f t="shared" si="4"/>
        <v>30</v>
      </c>
      <c r="E229" s="426"/>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5.75" customHeight="1">
      <c r="A984" s="114"/>
      <c r="B984" s="41"/>
      <c r="C984" s="41"/>
      <c r="D984" s="41"/>
      <c r="E984" s="41"/>
      <c r="F984" s="114"/>
      <c r="G984" s="114"/>
      <c r="H984" s="114"/>
      <c r="I984" s="114"/>
      <c r="J984" s="114"/>
      <c r="K984" s="114"/>
      <c r="L984" s="114"/>
      <c r="M984" s="114"/>
      <c r="N984" s="114"/>
      <c r="O984" s="114"/>
      <c r="P984" s="114"/>
      <c r="Q984" s="114"/>
      <c r="R984" s="114"/>
      <c r="S984" s="114"/>
      <c r="T984" s="41"/>
      <c r="U984" s="41"/>
      <c r="V984" s="41"/>
      <c r="W984" s="41"/>
      <c r="X984" s="41"/>
      <c r="Y984" s="41"/>
      <c r="Z984" s="41"/>
    </row>
    <row r="985" ht="15.75" customHeight="1">
      <c r="A985" s="114"/>
      <c r="B985" s="41"/>
      <c r="C985" s="41"/>
      <c r="D985" s="41"/>
      <c r="E985" s="41"/>
      <c r="F985" s="114"/>
      <c r="G985" s="114"/>
      <c r="H985" s="114"/>
      <c r="I985" s="114"/>
      <c r="J985" s="114"/>
      <c r="K985" s="114"/>
      <c r="L985" s="114"/>
      <c r="M985" s="114"/>
      <c r="N985" s="114"/>
      <c r="O985" s="114"/>
      <c r="P985" s="114"/>
      <c r="Q985" s="114"/>
      <c r="R985" s="114"/>
      <c r="S985" s="114"/>
      <c r="T985" s="41"/>
      <c r="U985" s="41"/>
      <c r="V985" s="41"/>
      <c r="W985" s="41"/>
      <c r="X985" s="41"/>
      <c r="Y985" s="41"/>
      <c r="Z985" s="41"/>
    </row>
    <row r="986" ht="15.75" customHeight="1">
      <c r="A986" s="114"/>
      <c r="B986" s="41"/>
      <c r="C986" s="41"/>
      <c r="D986" s="41"/>
      <c r="E986" s="41"/>
      <c r="F986" s="114"/>
      <c r="G986" s="114"/>
      <c r="H986" s="114"/>
      <c r="I986" s="114"/>
      <c r="J986" s="114"/>
      <c r="K986" s="114"/>
      <c r="L986" s="114"/>
      <c r="M986" s="114"/>
      <c r="N986" s="114"/>
      <c r="O986" s="114"/>
      <c r="P986" s="114"/>
      <c r="Q986" s="114"/>
      <c r="R986" s="114"/>
      <c r="S986" s="114"/>
      <c r="T986" s="41"/>
      <c r="U986" s="41"/>
      <c r="V986" s="41"/>
      <c r="W986" s="41"/>
      <c r="X986" s="41"/>
      <c r="Y986" s="41"/>
      <c r="Z986" s="41"/>
    </row>
    <row r="987" ht="15.75" customHeight="1">
      <c r="A987" s="114"/>
      <c r="B987" s="41"/>
      <c r="C987" s="41"/>
      <c r="D987" s="41"/>
      <c r="E987" s="41"/>
      <c r="F987" s="114"/>
      <c r="G987" s="114"/>
      <c r="H987" s="114"/>
      <c r="I987" s="114"/>
      <c r="J987" s="114"/>
      <c r="K987" s="114"/>
      <c r="L987" s="114"/>
      <c r="M987" s="114"/>
      <c r="N987" s="114"/>
      <c r="O987" s="114"/>
      <c r="P987" s="114"/>
      <c r="Q987" s="114"/>
      <c r="R987" s="114"/>
      <c r="S987" s="114"/>
      <c r="T987" s="41"/>
      <c r="U987" s="41"/>
      <c r="V987" s="41"/>
      <c r="W987" s="41"/>
      <c r="X987" s="41"/>
      <c r="Y987" s="41"/>
      <c r="Z987" s="41"/>
    </row>
    <row r="988" ht="15.75" customHeight="1">
      <c r="A988" s="114"/>
      <c r="B988" s="41"/>
      <c r="C988" s="41"/>
      <c r="D988" s="41"/>
      <c r="E988" s="41"/>
      <c r="F988" s="114"/>
      <c r="G988" s="114"/>
      <c r="H988" s="114"/>
      <c r="I988" s="114"/>
      <c r="J988" s="114"/>
      <c r="K988" s="114"/>
      <c r="L988" s="114"/>
      <c r="M988" s="114"/>
      <c r="N988" s="114"/>
      <c r="O988" s="114"/>
      <c r="P988" s="114"/>
      <c r="Q988" s="114"/>
      <c r="R988" s="114"/>
      <c r="S988" s="114"/>
      <c r="T988" s="41"/>
      <c r="U988" s="41"/>
      <c r="V988" s="41"/>
      <c r="W988" s="41"/>
      <c r="X988" s="41"/>
      <c r="Y988" s="41"/>
      <c r="Z988" s="41"/>
    </row>
    <row r="989" ht="15.75" customHeight="1">
      <c r="A989" s="114"/>
      <c r="B989" s="41"/>
      <c r="C989" s="41"/>
      <c r="D989" s="41"/>
      <c r="E989" s="41"/>
      <c r="F989" s="114"/>
      <c r="G989" s="114"/>
      <c r="H989" s="114"/>
      <c r="I989" s="114"/>
      <c r="J989" s="114"/>
      <c r="K989" s="114"/>
      <c r="L989" s="114"/>
      <c r="M989" s="114"/>
      <c r="N989" s="114"/>
      <c r="O989" s="114"/>
      <c r="P989" s="114"/>
      <c r="Q989" s="114"/>
      <c r="R989" s="114"/>
      <c r="S989" s="114"/>
      <c r="T989" s="41"/>
      <c r="U989" s="41"/>
      <c r="V989" s="41"/>
      <c r="W989" s="41"/>
      <c r="X989" s="41"/>
      <c r="Y989" s="41"/>
      <c r="Z989" s="41"/>
    </row>
    <row r="990" ht="15.75" customHeight="1">
      <c r="A990" s="114"/>
      <c r="B990" s="41"/>
      <c r="C990" s="41"/>
      <c r="D990" s="41"/>
      <c r="E990" s="41"/>
      <c r="F990" s="114"/>
      <c r="G990" s="114"/>
      <c r="H990" s="114"/>
      <c r="I990" s="114"/>
      <c r="J990" s="114"/>
      <c r="K990" s="114"/>
      <c r="L990" s="114"/>
      <c r="M990" s="114"/>
      <c r="N990" s="114"/>
      <c r="O990" s="114"/>
      <c r="P990" s="114"/>
      <c r="Q990" s="114"/>
      <c r="R990" s="114"/>
      <c r="S990" s="114"/>
      <c r="T990" s="41"/>
      <c r="U990" s="41"/>
      <c r="V990" s="41"/>
      <c r="W990" s="41"/>
      <c r="X990" s="41"/>
      <c r="Y990" s="41"/>
      <c r="Z990" s="41"/>
    </row>
    <row r="991" ht="15.75" customHeight="1">
      <c r="A991" s="114"/>
      <c r="B991" s="41"/>
      <c r="C991" s="41"/>
      <c r="D991" s="41"/>
      <c r="E991" s="41"/>
      <c r="F991" s="114"/>
      <c r="G991" s="114"/>
      <c r="H991" s="114"/>
      <c r="I991" s="114"/>
      <c r="J991" s="114"/>
      <c r="K991" s="114"/>
      <c r="L991" s="114"/>
      <c r="M991" s="114"/>
      <c r="N991" s="114"/>
      <c r="O991" s="114"/>
      <c r="P991" s="114"/>
      <c r="Q991" s="114"/>
      <c r="R991" s="114"/>
      <c r="S991" s="114"/>
      <c r="T991" s="41"/>
      <c r="U991" s="41"/>
      <c r="V991" s="41"/>
      <c r="W991" s="41"/>
      <c r="X991" s="41"/>
      <c r="Y991" s="41"/>
      <c r="Z991" s="41"/>
    </row>
    <row r="992" ht="15.75" customHeight="1">
      <c r="A992" s="114"/>
      <c r="B992" s="41"/>
      <c r="C992" s="41"/>
      <c r="D992" s="41"/>
      <c r="E992" s="41"/>
      <c r="F992" s="114"/>
      <c r="G992" s="114"/>
      <c r="H992" s="114"/>
      <c r="I992" s="114"/>
      <c r="J992" s="114"/>
      <c r="K992" s="114"/>
      <c r="L992" s="114"/>
      <c r="M992" s="114"/>
      <c r="N992" s="114"/>
      <c r="O992" s="114"/>
      <c r="P992" s="114"/>
      <c r="Q992" s="114"/>
      <c r="R992" s="114"/>
      <c r="S992" s="114"/>
      <c r="T992" s="41"/>
      <c r="U992" s="41"/>
      <c r="V992" s="41"/>
      <c r="W992" s="41"/>
      <c r="X992" s="41"/>
      <c r="Y992" s="41"/>
      <c r="Z992" s="41"/>
    </row>
    <row r="993" ht="15.75" customHeight="1">
      <c r="A993" s="114"/>
      <c r="B993" s="41"/>
      <c r="C993" s="41"/>
      <c r="D993" s="41"/>
      <c r="E993" s="41"/>
      <c r="F993" s="114"/>
      <c r="G993" s="114"/>
      <c r="H993" s="114"/>
      <c r="I993" s="114"/>
      <c r="J993" s="114"/>
      <c r="K993" s="114"/>
      <c r="L993" s="114"/>
      <c r="M993" s="114"/>
      <c r="N993" s="114"/>
      <c r="O993" s="114"/>
      <c r="P993" s="114"/>
      <c r="Q993" s="114"/>
      <c r="R993" s="114"/>
      <c r="S993" s="114"/>
      <c r="T993" s="41"/>
      <c r="U993" s="41"/>
      <c r="V993" s="41"/>
      <c r="W993" s="41"/>
      <c r="X993" s="41"/>
      <c r="Y993" s="41"/>
      <c r="Z993" s="41"/>
    </row>
    <row r="994" ht="15.75" customHeight="1">
      <c r="A994" s="114"/>
      <c r="B994" s="41"/>
      <c r="C994" s="41"/>
      <c r="D994" s="41"/>
      <c r="E994" s="41"/>
      <c r="F994" s="114"/>
      <c r="G994" s="114"/>
      <c r="H994" s="114"/>
      <c r="I994" s="114"/>
      <c r="J994" s="114"/>
      <c r="K994" s="114"/>
      <c r="L994" s="114"/>
      <c r="M994" s="114"/>
      <c r="N994" s="114"/>
      <c r="O994" s="114"/>
      <c r="P994" s="114"/>
      <c r="Q994" s="114"/>
      <c r="R994" s="114"/>
      <c r="S994" s="114"/>
      <c r="T994" s="41"/>
      <c r="U994" s="41"/>
      <c r="V994" s="41"/>
      <c r="W994" s="41"/>
      <c r="X994" s="41"/>
      <c r="Y994" s="41"/>
      <c r="Z994" s="41"/>
    </row>
    <row r="995" ht="15.75" customHeight="1">
      <c r="A995" s="114"/>
      <c r="B995" s="41"/>
      <c r="C995" s="41"/>
      <c r="D995" s="41"/>
      <c r="E995" s="41"/>
      <c r="F995" s="114"/>
      <c r="G995" s="114"/>
      <c r="H995" s="114"/>
      <c r="I995" s="114"/>
      <c r="J995" s="114"/>
      <c r="K995" s="114"/>
      <c r="L995" s="114"/>
      <c r="M995" s="114"/>
      <c r="N995" s="114"/>
      <c r="O995" s="114"/>
      <c r="P995" s="114"/>
      <c r="Q995" s="114"/>
      <c r="R995" s="114"/>
      <c r="S995" s="114"/>
      <c r="T995" s="41"/>
      <c r="U995" s="41"/>
      <c r="V995" s="41"/>
      <c r="W995" s="41"/>
      <c r="X995" s="41"/>
      <c r="Y995" s="41"/>
      <c r="Z995" s="41"/>
    </row>
    <row r="996" ht="15.75" customHeight="1">
      <c r="A996" s="114"/>
      <c r="B996" s="41"/>
      <c r="C996" s="41"/>
      <c r="D996" s="41"/>
      <c r="E996" s="41"/>
      <c r="F996" s="114"/>
      <c r="G996" s="114"/>
      <c r="H996" s="114"/>
      <c r="I996" s="114"/>
      <c r="J996" s="114"/>
      <c r="K996" s="114"/>
      <c r="L996" s="114"/>
      <c r="M996" s="114"/>
      <c r="N996" s="114"/>
      <c r="O996" s="114"/>
      <c r="P996" s="114"/>
      <c r="Q996" s="114"/>
      <c r="R996" s="114"/>
      <c r="S996" s="114"/>
      <c r="T996" s="41"/>
      <c r="U996" s="41"/>
      <c r="V996" s="41"/>
      <c r="W996" s="41"/>
      <c r="X996" s="41"/>
      <c r="Y996" s="41"/>
      <c r="Z996" s="41"/>
    </row>
    <row r="997" ht="15.75" customHeight="1">
      <c r="A997" s="114"/>
      <c r="B997" s="41"/>
      <c r="C997" s="41"/>
      <c r="D997" s="41"/>
      <c r="E997" s="41"/>
      <c r="F997" s="114"/>
      <c r="G997" s="114"/>
      <c r="H997" s="114"/>
      <c r="I997" s="114"/>
      <c r="J997" s="114"/>
      <c r="K997" s="114"/>
      <c r="L997" s="114"/>
      <c r="M997" s="114"/>
      <c r="N997" s="114"/>
      <c r="O997" s="114"/>
      <c r="P997" s="114"/>
      <c r="Q997" s="114"/>
      <c r="R997" s="114"/>
      <c r="S997" s="114"/>
      <c r="T997" s="41"/>
      <c r="U997" s="41"/>
      <c r="V997" s="41"/>
      <c r="W997" s="41"/>
      <c r="X997" s="41"/>
      <c r="Y997" s="41"/>
      <c r="Z997" s="41"/>
    </row>
    <row r="998" ht="15.75" customHeight="1">
      <c r="A998" s="114"/>
      <c r="B998" s="41"/>
      <c r="C998" s="41"/>
      <c r="D998" s="41"/>
      <c r="E998" s="41"/>
      <c r="F998" s="114"/>
      <c r="G998" s="114"/>
      <c r="H998" s="114"/>
      <c r="I998" s="114"/>
      <c r="J998" s="114"/>
      <c r="K998" s="114"/>
      <c r="L998" s="114"/>
      <c r="M998" s="114"/>
      <c r="N998" s="114"/>
      <c r="O998" s="114"/>
      <c r="P998" s="114"/>
      <c r="Q998" s="114"/>
      <c r="R998" s="114"/>
      <c r="S998" s="114"/>
      <c r="T998" s="41"/>
      <c r="U998" s="41"/>
      <c r="V998" s="41"/>
      <c r="W998" s="41"/>
      <c r="X998" s="41"/>
      <c r="Y998" s="41"/>
      <c r="Z998" s="41"/>
    </row>
    <row r="999" ht="15.75" customHeight="1">
      <c r="A999" s="114"/>
      <c r="B999" s="41"/>
      <c r="C999" s="41"/>
      <c r="D999" s="41"/>
      <c r="E999" s="41"/>
      <c r="F999" s="114"/>
      <c r="G999" s="114"/>
      <c r="H999" s="114"/>
      <c r="I999" s="114"/>
      <c r="J999" s="114"/>
      <c r="K999" s="114"/>
      <c r="L999" s="114"/>
      <c r="M999" s="114"/>
      <c r="N999" s="114"/>
      <c r="O999" s="114"/>
      <c r="P999" s="114"/>
      <c r="Q999" s="114"/>
      <c r="R999" s="114"/>
      <c r="S999" s="114"/>
      <c r="T999" s="41"/>
      <c r="U999" s="41"/>
      <c r="V999" s="41"/>
      <c r="W999" s="41"/>
      <c r="X999" s="41"/>
      <c r="Y999" s="41"/>
      <c r="Z999" s="41"/>
    </row>
    <row r="1000" ht="15.75" customHeight="1">
      <c r="A1000" s="114"/>
      <c r="B1000" s="41"/>
      <c r="C1000" s="41"/>
      <c r="D1000" s="41"/>
      <c r="E1000" s="41"/>
      <c r="F1000" s="114"/>
      <c r="G1000" s="114"/>
      <c r="H1000" s="114"/>
      <c r="I1000" s="114"/>
      <c r="J1000" s="114"/>
      <c r="K1000" s="114"/>
      <c r="L1000" s="114"/>
      <c r="M1000" s="114"/>
      <c r="N1000" s="114"/>
      <c r="O1000" s="114"/>
      <c r="P1000" s="114"/>
      <c r="Q1000" s="114"/>
      <c r="R1000" s="114"/>
      <c r="S1000" s="114"/>
      <c r="T1000" s="41"/>
      <c r="U1000" s="41"/>
      <c r="V1000" s="41"/>
      <c r="W1000" s="41"/>
      <c r="X1000" s="41"/>
      <c r="Y1000" s="41"/>
      <c r="Z1000" s="41"/>
    </row>
  </sheetData>
  <mergeCells count="45">
    <mergeCell ref="F10:G10"/>
    <mergeCell ref="H10:J10"/>
    <mergeCell ref="B2:E2"/>
    <mergeCell ref="B3:E3"/>
    <mergeCell ref="B7:J7"/>
    <mergeCell ref="H8:J8"/>
    <mergeCell ref="H9:J9"/>
    <mergeCell ref="B10:C10"/>
    <mergeCell ref="D10:E10"/>
    <mergeCell ref="B11:C11"/>
    <mergeCell ref="D11:E11"/>
    <mergeCell ref="F11:G11"/>
    <mergeCell ref="H11:J11"/>
    <mergeCell ref="B12:C12"/>
    <mergeCell ref="F12:G12"/>
    <mergeCell ref="H12:J12"/>
    <mergeCell ref="D12:E12"/>
    <mergeCell ref="B14:E14"/>
    <mergeCell ref="B41:E41"/>
    <mergeCell ref="B43:E43"/>
    <mergeCell ref="B48:E48"/>
    <mergeCell ref="B55:E55"/>
    <mergeCell ref="B61:E61"/>
    <mergeCell ref="B68:E68"/>
    <mergeCell ref="B73:E73"/>
    <mergeCell ref="B84:E84"/>
    <mergeCell ref="B94:E94"/>
    <mergeCell ref="B99:E99"/>
    <mergeCell ref="B103:E103"/>
    <mergeCell ref="B119:E119"/>
    <mergeCell ref="B181:E181"/>
    <mergeCell ref="B195:E195"/>
    <mergeCell ref="B202:E202"/>
    <mergeCell ref="B204:E204"/>
    <mergeCell ref="B206:E206"/>
    <mergeCell ref="B214:E214"/>
    <mergeCell ref="B216:E216"/>
    <mergeCell ref="B225:E225"/>
    <mergeCell ref="B131:E131"/>
    <mergeCell ref="B136:E136"/>
    <mergeCell ref="B142:E142"/>
    <mergeCell ref="B152:E152"/>
    <mergeCell ref="B159:E159"/>
    <mergeCell ref="B162:E162"/>
    <mergeCell ref="B172:E172"/>
  </mergeCells>
  <conditionalFormatting sqref="D16:D39">
    <cfRule type="notContainsBlanks" dxfId="26" priority="1">
      <formula>LEN(TRIM(D16))&gt;0</formula>
    </cfRule>
  </conditionalFormatting>
  <conditionalFormatting sqref="D16:D39">
    <cfRule type="containsBlanks" dxfId="1" priority="2">
      <formula>LEN(TRIM(D16))=0</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containsBlanks" dxfId="7" priority="3">
      <formula>LEN(TRIM(D43))=0</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notContainsBlanks" dxfId="0" priority="4">
      <formula>LEN(TRIM(D43))&gt;0</formula>
    </cfRule>
  </conditionalFormatting>
  <conditionalFormatting sqref="E9 G9">
    <cfRule type="notContainsBlanks" dxfId="26" priority="5">
      <formula>LEN(TRIM(E9))&gt;0</formula>
    </cfRule>
  </conditionalFormatting>
  <conditionalFormatting sqref="E9 G9">
    <cfRule type="containsBlanks" dxfId="1" priority="6">
      <formula>LEN(TRIM(E9))=0</formula>
    </cfRule>
  </conditionalFormatting>
  <conditionalFormatting sqref="F11:G12">
    <cfRule type="notContainsBlanks" dxfId="26" priority="7">
      <formula>LEN(TRIM(F11))&gt;0</formula>
    </cfRule>
  </conditionalFormatting>
  <conditionalFormatting sqref="F11:G12">
    <cfRule type="containsBlanks" dxfId="1" priority="8">
      <formula>LEN(TRIM(F11))=0</formula>
    </cfRule>
  </conditionalFormatting>
  <dataValidations>
    <dataValidation type="list" allowBlank="1" showErrorMessage="1" sqref="C15:D15">
      <formula1>"Standard,Consolidated"</formula1>
    </dataValidation>
    <dataValidation type="list" allowBlank="1" showErrorMessage="1" sqref="C21:D21">
      <formula1>aws_regions</formula1>
    </dataValidation>
  </dataValidations>
  <hyperlinks>
    <hyperlink display="Section Navigation (Click to Navigate)" location="null!H50" ref="B5"/>
    <hyperlink display="Deployment" location="'Cross Cloud Mobility'!B8" ref="C5"/>
    <hyperlink display="Solution Interoperability" location="'Cross Cloud Mobility'!B169" ref="D5"/>
  </hyperlink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65.78"/>
    <col customWidth="1" min="3" max="3" width="23.78"/>
    <col customWidth="1" min="4" max="4" width="50.11"/>
    <col customWidth="1" min="5" max="5" width="44.33"/>
    <col customWidth="1" min="6" max="6" width="49.44"/>
    <col customWidth="1" min="7" max="7" width="52.67"/>
    <col customWidth="1" min="8" max="8" width="61.11"/>
    <col customWidth="1" min="9" max="9" width="66.44"/>
    <col customWidth="1" min="10" max="26" width="10.78"/>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54.0" customHeight="1">
      <c r="A2" s="1"/>
      <c r="B2" s="2" t="s">
        <v>4030</v>
      </c>
      <c r="C2" s="3"/>
      <c r="D2" s="3"/>
      <c r="E2" s="3"/>
      <c r="F2" s="3"/>
      <c r="G2" s="4"/>
      <c r="H2" s="5"/>
      <c r="I2" s="5"/>
      <c r="J2" s="5"/>
      <c r="K2" s="5"/>
      <c r="L2" s="1"/>
      <c r="M2" s="1"/>
      <c r="N2" s="1"/>
      <c r="O2" s="1"/>
      <c r="P2" s="1"/>
      <c r="Q2" s="1"/>
      <c r="R2" s="1"/>
      <c r="S2" s="1"/>
      <c r="T2" s="1"/>
      <c r="U2" s="1"/>
      <c r="V2" s="1"/>
      <c r="W2" s="1"/>
      <c r="X2" s="1"/>
      <c r="Y2" s="1"/>
      <c r="Z2" s="1"/>
    </row>
    <row r="3" ht="19.5" customHeight="1">
      <c r="A3" s="1"/>
      <c r="B3" s="6" t="s">
        <v>4031</v>
      </c>
      <c r="C3" s="6"/>
      <c r="D3" s="6"/>
      <c r="E3" s="6"/>
      <c r="F3" s="6"/>
      <c r="G3" s="6"/>
      <c r="H3" s="8"/>
      <c r="I3" s="8"/>
      <c r="J3" s="8"/>
      <c r="K3" s="8"/>
      <c r="L3" s="1"/>
      <c r="M3" s="1"/>
      <c r="N3" s="1"/>
      <c r="O3" s="1"/>
      <c r="P3" s="1"/>
      <c r="Q3" s="1"/>
      <c r="R3" s="1"/>
      <c r="S3" s="1"/>
      <c r="T3" s="1"/>
      <c r="U3" s="1"/>
      <c r="V3" s="1"/>
      <c r="W3" s="1"/>
      <c r="X3" s="1"/>
      <c r="Y3" s="1"/>
      <c r="Z3" s="1"/>
    </row>
    <row r="4" ht="15.75" customHeight="1">
      <c r="A4" s="1"/>
      <c r="B4" s="1"/>
      <c r="C4" s="1"/>
      <c r="D4" s="1"/>
      <c r="E4" s="1"/>
      <c r="F4" s="1"/>
      <c r="G4" s="1"/>
      <c r="H4" s="1"/>
      <c r="I4" s="1"/>
      <c r="J4" s="10"/>
      <c r="K4" s="1"/>
      <c r="L4" s="1"/>
      <c r="M4" s="1"/>
      <c r="N4" s="1"/>
      <c r="O4" s="1"/>
      <c r="P4" s="1"/>
      <c r="Q4" s="1"/>
      <c r="R4" s="1"/>
      <c r="S4" s="1"/>
      <c r="T4" s="1"/>
      <c r="U4" s="1"/>
      <c r="V4" s="1"/>
      <c r="W4" s="1"/>
      <c r="X4" s="1"/>
      <c r="Y4" s="1"/>
      <c r="Z4" s="1"/>
    </row>
    <row r="5" ht="15.75" customHeight="1">
      <c r="A5" s="1"/>
      <c r="B5" s="1"/>
      <c r="C5" s="1"/>
      <c r="D5" s="1"/>
      <c r="E5" s="1"/>
      <c r="F5" s="1"/>
      <c r="G5" s="1"/>
      <c r="H5" s="1"/>
      <c r="I5" s="1"/>
      <c r="J5" s="10"/>
      <c r="K5" s="1"/>
      <c r="L5" s="1"/>
      <c r="M5" s="1"/>
      <c r="N5" s="1"/>
      <c r="O5" s="1"/>
      <c r="P5" s="1"/>
      <c r="Q5" s="1"/>
      <c r="R5" s="1"/>
      <c r="S5" s="1"/>
      <c r="T5" s="1"/>
      <c r="U5" s="1"/>
      <c r="V5" s="1"/>
      <c r="W5" s="1"/>
      <c r="X5" s="1"/>
      <c r="Y5" s="1"/>
      <c r="Z5" s="1"/>
    </row>
    <row r="6" ht="33.75" customHeight="1">
      <c r="A6" s="11"/>
      <c r="B6" s="12" t="s">
        <v>4032</v>
      </c>
      <c r="C6" s="13"/>
      <c r="D6" s="13"/>
      <c r="E6" s="13"/>
      <c r="F6" s="13"/>
      <c r="G6" s="14"/>
      <c r="H6" s="1"/>
      <c r="I6" s="11"/>
      <c r="J6" s="433"/>
      <c r="K6" s="11"/>
      <c r="L6" s="11"/>
      <c r="M6" s="11"/>
      <c r="N6" s="11"/>
      <c r="O6" s="11"/>
      <c r="P6" s="11"/>
      <c r="Q6" s="11"/>
      <c r="R6" s="11"/>
      <c r="S6" s="11"/>
      <c r="T6" s="11"/>
      <c r="U6" s="11"/>
      <c r="V6" s="11"/>
      <c r="W6" s="11"/>
      <c r="X6" s="11"/>
      <c r="Y6" s="11"/>
      <c r="Z6" s="11"/>
    </row>
    <row r="7" ht="19.5" customHeight="1">
      <c r="A7" s="1"/>
      <c r="B7" s="49" t="s">
        <v>4033</v>
      </c>
      <c r="C7" s="49" t="s">
        <v>200</v>
      </c>
      <c r="D7" s="49" t="s">
        <v>4034</v>
      </c>
      <c r="E7" s="49" t="s">
        <v>4035</v>
      </c>
      <c r="F7" s="49" t="s">
        <v>4036</v>
      </c>
      <c r="G7" s="49"/>
      <c r="H7" s="1"/>
      <c r="I7" s="1"/>
      <c r="J7" s="10"/>
      <c r="K7" s="1"/>
      <c r="L7" s="1"/>
      <c r="M7" s="1"/>
      <c r="N7" s="1"/>
      <c r="O7" s="1"/>
      <c r="P7" s="1"/>
      <c r="Q7" s="1"/>
      <c r="R7" s="1"/>
      <c r="S7" s="1"/>
      <c r="T7" s="1"/>
      <c r="U7" s="1"/>
      <c r="V7" s="1"/>
      <c r="W7" s="1"/>
      <c r="X7" s="1"/>
      <c r="Y7" s="1"/>
      <c r="Z7" s="1"/>
    </row>
    <row r="8" ht="19.5" customHeight="1">
      <c r="A8" s="1"/>
      <c r="B8" s="84" t="s">
        <v>4037</v>
      </c>
      <c r="C8" s="156" t="s">
        <v>2320</v>
      </c>
      <c r="D8" s="1"/>
      <c r="E8" s="18"/>
      <c r="F8" s="156" t="s">
        <v>4038</v>
      </c>
      <c r="G8" s="18"/>
      <c r="H8" s="1"/>
      <c r="I8" s="1"/>
      <c r="J8" s="10"/>
      <c r="K8" s="1"/>
      <c r="L8" s="1"/>
      <c r="M8" s="1"/>
      <c r="N8" s="1"/>
      <c r="O8" s="1"/>
      <c r="P8" s="1"/>
      <c r="Q8" s="1"/>
      <c r="R8" s="1"/>
      <c r="S8" s="1"/>
      <c r="T8" s="1"/>
      <c r="U8" s="1"/>
      <c r="V8" s="1"/>
      <c r="W8" s="1"/>
      <c r="X8" s="1"/>
      <c r="Y8" s="1"/>
      <c r="Z8" s="1"/>
    </row>
    <row r="9" ht="19.5" customHeight="1">
      <c r="A9" s="1"/>
      <c r="B9" s="84" t="s">
        <v>4039</v>
      </c>
      <c r="C9" s="156" t="s">
        <v>2326</v>
      </c>
      <c r="D9" s="1"/>
      <c r="E9" s="18"/>
      <c r="F9" s="156" t="str">
        <f>(UPPER(this_instance))</f>
        <v>LAX</v>
      </c>
      <c r="G9" s="18"/>
      <c r="H9" s="1"/>
      <c r="I9" s="1"/>
      <c r="J9" s="10"/>
      <c r="K9" s="1"/>
      <c r="L9" s="1"/>
      <c r="M9" s="1"/>
      <c r="N9" s="1"/>
      <c r="O9" s="1"/>
      <c r="P9" s="1"/>
      <c r="Q9" s="1"/>
      <c r="R9" s="1"/>
      <c r="S9" s="1"/>
      <c r="T9" s="1"/>
      <c r="U9" s="1"/>
      <c r="V9" s="1"/>
      <c r="W9" s="1"/>
      <c r="X9" s="1"/>
      <c r="Y9" s="1"/>
      <c r="Z9" s="1"/>
    </row>
    <row r="10" ht="19.5" customHeight="1">
      <c r="A10" s="1"/>
      <c r="B10" s="84" t="s">
        <v>4040</v>
      </c>
      <c r="C10" s="156" t="s">
        <v>2320</v>
      </c>
      <c r="D10" s="156" t="s">
        <v>4041</v>
      </c>
      <c r="E10" s="196"/>
      <c r="F10" s="156" t="s">
        <v>4042</v>
      </c>
      <c r="G10" s="196"/>
      <c r="H10" s="1"/>
      <c r="I10" s="1"/>
      <c r="J10" s="10"/>
      <c r="K10" s="1"/>
      <c r="L10" s="1"/>
      <c r="M10" s="1"/>
      <c r="N10" s="1"/>
      <c r="O10" s="1"/>
      <c r="P10" s="1"/>
      <c r="Q10" s="1"/>
      <c r="R10" s="1"/>
      <c r="S10" s="1"/>
      <c r="T10" s="1"/>
      <c r="U10" s="1"/>
      <c r="V10" s="1"/>
      <c r="W10" s="1"/>
      <c r="X10" s="1"/>
      <c r="Y10" s="1"/>
      <c r="Z10" s="1"/>
    </row>
    <row r="11" ht="19.5" customHeight="1">
      <c r="A11" s="1"/>
      <c r="B11" s="84" t="s">
        <v>4043</v>
      </c>
      <c r="C11" s="156" t="s">
        <v>2326</v>
      </c>
      <c r="D11" s="156" t="str">
        <f>CONCATENATE("ou=Security Groups,dc=",this_instance,",dc=rainpole,dc=io")</f>
        <v>ou=Security Groups,dc=lax,dc=rainpole,dc=io</v>
      </c>
      <c r="E11" s="18"/>
      <c r="F11" s="156" t="str">
        <f>CONCATENATE("ou=Security Users,dc=",this_instance,",dc=rainpole,dc=io")</f>
        <v>ou=Security Users,dc=lax,dc=rainpole,dc=io</v>
      </c>
      <c r="G11" s="18"/>
      <c r="H11" s="1"/>
      <c r="I11" s="1"/>
      <c r="J11" s="10"/>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0"/>
      <c r="K12" s="1"/>
      <c r="L12" s="1"/>
      <c r="M12" s="1"/>
      <c r="N12" s="1"/>
      <c r="O12" s="1"/>
      <c r="P12" s="1"/>
      <c r="Q12" s="1"/>
      <c r="R12" s="1"/>
      <c r="S12" s="1"/>
      <c r="T12" s="1"/>
      <c r="U12" s="1"/>
      <c r="V12" s="1"/>
      <c r="W12" s="1"/>
      <c r="X12" s="1"/>
      <c r="Y12" s="1"/>
      <c r="Z12" s="1"/>
    </row>
    <row r="13" ht="33.75" customHeight="1">
      <c r="A13" s="1"/>
      <c r="B13" s="12" t="s">
        <v>4044</v>
      </c>
      <c r="C13" s="13"/>
      <c r="D13" s="13"/>
      <c r="E13" s="13"/>
      <c r="F13" s="13"/>
      <c r="G13" s="14"/>
      <c r="H13" s="1"/>
      <c r="I13" s="1"/>
      <c r="J13" s="10"/>
      <c r="K13" s="1"/>
      <c r="L13" s="1"/>
      <c r="M13" s="1"/>
      <c r="N13" s="1"/>
      <c r="O13" s="1"/>
      <c r="P13" s="1"/>
      <c r="Q13" s="1"/>
      <c r="R13" s="1"/>
      <c r="S13" s="1"/>
      <c r="T13" s="1"/>
      <c r="U13" s="1"/>
      <c r="V13" s="1"/>
      <c r="W13" s="1"/>
      <c r="X13" s="1"/>
      <c r="Y13" s="1"/>
      <c r="Z13" s="1"/>
    </row>
    <row r="14" ht="19.5" customHeight="1">
      <c r="A14" s="1"/>
      <c r="B14" s="103" t="s">
        <v>199</v>
      </c>
      <c r="C14" s="13"/>
      <c r="D14" s="13"/>
      <c r="E14" s="13"/>
      <c r="F14" s="13"/>
      <c r="G14" s="14"/>
      <c r="H14" s="1"/>
      <c r="I14" s="1"/>
      <c r="J14" s="1"/>
      <c r="K14" s="1"/>
      <c r="L14" s="1"/>
      <c r="M14" s="1"/>
      <c r="N14" s="1"/>
      <c r="O14" s="1"/>
      <c r="P14" s="1"/>
      <c r="Q14" s="1"/>
      <c r="R14" s="1"/>
      <c r="S14" s="1"/>
      <c r="T14" s="1"/>
      <c r="U14" s="1"/>
      <c r="V14" s="1"/>
      <c r="W14" s="1"/>
      <c r="X14" s="1"/>
      <c r="Y14" s="1"/>
      <c r="Z14" s="1"/>
    </row>
    <row r="15" ht="19.5" customHeight="1">
      <c r="A15" s="1"/>
      <c r="B15" s="49" t="s">
        <v>4033</v>
      </c>
      <c r="C15" s="49" t="s">
        <v>200</v>
      </c>
      <c r="D15" s="49" t="s">
        <v>4045</v>
      </c>
      <c r="E15" s="49" t="s">
        <v>4046</v>
      </c>
      <c r="F15" s="49" t="s">
        <v>4047</v>
      </c>
      <c r="G15" s="49" t="s">
        <v>4048</v>
      </c>
      <c r="H15" s="1"/>
      <c r="I15" s="1"/>
      <c r="J15" s="10"/>
      <c r="K15" s="1"/>
      <c r="L15" s="1"/>
      <c r="M15" s="1"/>
      <c r="N15" s="1"/>
      <c r="O15" s="1"/>
      <c r="P15" s="1"/>
      <c r="Q15" s="1"/>
      <c r="R15" s="1"/>
      <c r="S15" s="1"/>
      <c r="T15" s="1"/>
      <c r="U15" s="1"/>
      <c r="V15" s="1"/>
      <c r="W15" s="1"/>
      <c r="X15" s="1"/>
      <c r="Y15" s="1"/>
      <c r="Z15" s="1"/>
    </row>
    <row r="16" ht="19.5" customHeight="1">
      <c r="A16" s="1"/>
      <c r="B16" s="103" t="s">
        <v>4049</v>
      </c>
      <c r="C16" s="13"/>
      <c r="D16" s="13"/>
      <c r="E16" s="13"/>
      <c r="F16" s="13"/>
      <c r="G16" s="14"/>
      <c r="H16" s="1"/>
      <c r="I16" s="1"/>
      <c r="J16" s="1"/>
      <c r="K16" s="1"/>
      <c r="L16" s="1"/>
      <c r="M16" s="1"/>
      <c r="N16" s="1"/>
      <c r="O16" s="1"/>
      <c r="P16" s="1"/>
      <c r="Q16" s="1"/>
      <c r="R16" s="1"/>
      <c r="S16" s="1"/>
      <c r="T16" s="1"/>
      <c r="U16" s="1"/>
      <c r="V16" s="1"/>
      <c r="W16" s="1"/>
      <c r="X16" s="1"/>
      <c r="Y16" s="1"/>
      <c r="Z16" s="1"/>
    </row>
    <row r="17" ht="19.5" customHeight="1">
      <c r="A17" s="1"/>
      <c r="B17" s="49" t="s">
        <v>4033</v>
      </c>
      <c r="C17" s="49" t="s">
        <v>200</v>
      </c>
      <c r="D17" s="49" t="s">
        <v>4045</v>
      </c>
      <c r="E17" s="49" t="s">
        <v>4046</v>
      </c>
      <c r="F17" s="49" t="s">
        <v>4047</v>
      </c>
      <c r="G17" s="49" t="s">
        <v>4048</v>
      </c>
      <c r="H17" s="1"/>
      <c r="I17" s="1"/>
      <c r="J17" s="10"/>
      <c r="K17" s="1"/>
      <c r="L17" s="1"/>
      <c r="M17" s="1"/>
      <c r="N17" s="1"/>
      <c r="O17" s="1"/>
      <c r="P17" s="1"/>
      <c r="Q17" s="1"/>
      <c r="R17" s="1"/>
      <c r="S17" s="1"/>
      <c r="T17" s="1"/>
      <c r="U17" s="1"/>
      <c r="V17" s="1"/>
      <c r="W17" s="1"/>
      <c r="X17" s="1"/>
      <c r="Y17" s="1"/>
      <c r="Z17" s="1"/>
    </row>
    <row r="18" ht="19.5" customHeight="1">
      <c r="A18" s="1"/>
      <c r="B18" s="84" t="s">
        <v>4050</v>
      </c>
      <c r="C18" s="156" t="s">
        <v>2326</v>
      </c>
      <c r="D18" s="156" t="s">
        <v>2509</v>
      </c>
      <c r="E18" s="196"/>
      <c r="F18" s="157" t="s">
        <v>382</v>
      </c>
      <c r="G18" s="18"/>
      <c r="H18" s="1"/>
      <c r="I18" s="1"/>
      <c r="J18" s="1"/>
      <c r="K18" s="1"/>
      <c r="L18" s="1"/>
      <c r="M18" s="1"/>
      <c r="N18" s="1"/>
      <c r="O18" s="1"/>
      <c r="P18" s="1"/>
      <c r="Q18" s="1"/>
      <c r="R18" s="1"/>
      <c r="S18" s="1"/>
      <c r="T18" s="1"/>
      <c r="U18" s="1"/>
      <c r="V18" s="1"/>
      <c r="W18" s="1"/>
      <c r="X18" s="1"/>
      <c r="Y18" s="1"/>
      <c r="Z18" s="1"/>
    </row>
    <row r="19" ht="19.5" customHeight="1">
      <c r="A19" s="1"/>
      <c r="B19" s="84" t="s">
        <v>4051</v>
      </c>
      <c r="C19" s="156" t="s">
        <v>2326</v>
      </c>
      <c r="D19" s="156" t="s">
        <v>4052</v>
      </c>
      <c r="E19" s="196"/>
      <c r="F19" s="157" t="s">
        <v>382</v>
      </c>
      <c r="G19" s="18"/>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0"/>
      <c r="K20" s="1"/>
      <c r="L20" s="1"/>
      <c r="M20" s="1"/>
      <c r="N20" s="1"/>
      <c r="O20" s="1"/>
      <c r="P20" s="1"/>
      <c r="Q20" s="1"/>
      <c r="R20" s="1"/>
      <c r="S20" s="1"/>
      <c r="T20" s="1"/>
      <c r="U20" s="1"/>
      <c r="V20" s="1"/>
      <c r="W20" s="1"/>
      <c r="X20" s="1"/>
      <c r="Y20" s="1"/>
      <c r="Z20" s="1"/>
    </row>
    <row r="21" ht="33.75" customHeight="1">
      <c r="A21" s="1"/>
      <c r="B21" s="12" t="s">
        <v>4053</v>
      </c>
      <c r="C21" s="13"/>
      <c r="D21" s="13"/>
      <c r="E21" s="13"/>
      <c r="F21" s="13"/>
      <c r="G21" s="14"/>
      <c r="H21" s="1"/>
      <c r="I21" s="1"/>
      <c r="J21" s="10"/>
      <c r="K21" s="1"/>
      <c r="L21" s="1"/>
      <c r="M21" s="1"/>
      <c r="N21" s="1"/>
      <c r="O21" s="1"/>
      <c r="P21" s="1"/>
      <c r="Q21" s="1"/>
      <c r="R21" s="1"/>
      <c r="S21" s="1"/>
      <c r="T21" s="1"/>
      <c r="U21" s="1"/>
      <c r="V21" s="1"/>
      <c r="W21" s="1"/>
      <c r="X21" s="1"/>
      <c r="Y21" s="1"/>
      <c r="Z21" s="1"/>
    </row>
    <row r="22" ht="19.5" customHeight="1">
      <c r="A22" s="1"/>
      <c r="B22" s="103" t="s">
        <v>4054</v>
      </c>
      <c r="C22" s="13"/>
      <c r="D22" s="13"/>
      <c r="E22" s="13"/>
      <c r="F22" s="13"/>
      <c r="G22" s="14"/>
      <c r="H22" s="1"/>
      <c r="I22" s="1"/>
      <c r="J22" s="1"/>
      <c r="K22" s="1"/>
      <c r="L22" s="1"/>
      <c r="M22" s="1"/>
      <c r="N22" s="1"/>
      <c r="O22" s="1"/>
      <c r="P22" s="1"/>
      <c r="Q22" s="1"/>
      <c r="R22" s="1"/>
      <c r="S22" s="1"/>
      <c r="T22" s="1"/>
      <c r="U22" s="1"/>
      <c r="V22" s="1"/>
      <c r="W22" s="1"/>
      <c r="X22" s="1"/>
      <c r="Y22" s="1"/>
      <c r="Z22" s="1"/>
    </row>
    <row r="23" ht="19.5" customHeight="1">
      <c r="A23" s="1"/>
      <c r="B23" s="49" t="s">
        <v>4033</v>
      </c>
      <c r="C23" s="49" t="s">
        <v>200</v>
      </c>
      <c r="D23" s="49" t="s">
        <v>4045</v>
      </c>
      <c r="E23" s="49" t="s">
        <v>4046</v>
      </c>
      <c r="F23" s="49" t="s">
        <v>4047</v>
      </c>
      <c r="G23" s="49" t="s">
        <v>4048</v>
      </c>
      <c r="H23" s="1"/>
      <c r="I23" s="1"/>
      <c r="J23" s="10"/>
      <c r="K23" s="1"/>
      <c r="L23" s="1"/>
      <c r="M23" s="1"/>
      <c r="N23" s="1"/>
      <c r="O23" s="1"/>
      <c r="P23" s="1"/>
      <c r="Q23" s="1"/>
      <c r="R23" s="1"/>
      <c r="S23" s="1"/>
      <c r="T23" s="1"/>
      <c r="U23" s="1"/>
      <c r="V23" s="1"/>
      <c r="W23" s="1"/>
      <c r="X23" s="1"/>
      <c r="Y23" s="1"/>
      <c r="Z23" s="1"/>
    </row>
    <row r="24" ht="19.5" customHeight="1">
      <c r="A24" s="1"/>
      <c r="B24" s="84" t="s">
        <v>4055</v>
      </c>
      <c r="C24" s="156" t="s">
        <v>2326</v>
      </c>
      <c r="D24" s="156" t="s">
        <v>4056</v>
      </c>
      <c r="E24" s="18"/>
      <c r="F24" s="157" t="s">
        <v>382</v>
      </c>
      <c r="G24" s="18"/>
      <c r="H24" s="1"/>
      <c r="I24" s="1"/>
      <c r="J24" s="10"/>
      <c r="K24" s="1"/>
      <c r="L24" s="1"/>
      <c r="M24" s="1"/>
      <c r="N24" s="1"/>
      <c r="O24" s="1"/>
      <c r="P24" s="1"/>
      <c r="Q24" s="1"/>
      <c r="R24" s="1"/>
      <c r="S24" s="1"/>
      <c r="T24" s="1"/>
      <c r="U24" s="1"/>
      <c r="V24" s="1"/>
      <c r="W24" s="1"/>
      <c r="X24" s="1"/>
      <c r="Y24" s="1"/>
      <c r="Z24" s="1"/>
    </row>
    <row r="25" ht="19.5" customHeight="1">
      <c r="A25" s="1"/>
      <c r="B25" s="103" t="s">
        <v>4057</v>
      </c>
      <c r="C25" s="13"/>
      <c r="D25" s="13"/>
      <c r="E25" s="13"/>
      <c r="F25" s="13"/>
      <c r="G25" s="14"/>
      <c r="H25" s="1"/>
      <c r="I25" s="1"/>
      <c r="J25" s="10"/>
      <c r="K25" s="1"/>
      <c r="L25" s="1"/>
      <c r="M25" s="1"/>
      <c r="N25" s="1"/>
      <c r="O25" s="1"/>
      <c r="P25" s="1"/>
      <c r="Q25" s="1"/>
      <c r="R25" s="1"/>
      <c r="S25" s="1"/>
      <c r="T25" s="1"/>
      <c r="U25" s="1"/>
      <c r="V25" s="1"/>
      <c r="W25" s="1"/>
      <c r="X25" s="1"/>
      <c r="Y25" s="1"/>
      <c r="Z25" s="1"/>
    </row>
    <row r="26" ht="19.5" customHeight="1">
      <c r="A26" s="1"/>
      <c r="B26" s="49" t="s">
        <v>4033</v>
      </c>
      <c r="C26" s="49" t="s">
        <v>200</v>
      </c>
      <c r="D26" s="49" t="s">
        <v>4045</v>
      </c>
      <c r="E26" s="49" t="s">
        <v>4046</v>
      </c>
      <c r="F26" s="49" t="s">
        <v>4047</v>
      </c>
      <c r="G26" s="49" t="s">
        <v>4048</v>
      </c>
      <c r="H26" s="1"/>
      <c r="I26" s="1"/>
      <c r="J26" s="10"/>
      <c r="K26" s="1"/>
      <c r="L26" s="1"/>
      <c r="M26" s="1"/>
      <c r="N26" s="1"/>
      <c r="O26" s="1"/>
      <c r="P26" s="1"/>
      <c r="Q26" s="1"/>
      <c r="R26" s="1"/>
      <c r="S26" s="1"/>
      <c r="T26" s="1"/>
      <c r="U26" s="1"/>
      <c r="V26" s="1"/>
      <c r="W26" s="1"/>
      <c r="X26" s="1"/>
      <c r="Y26" s="1"/>
      <c r="Z26" s="1"/>
    </row>
    <row r="27" ht="19.5" customHeight="1">
      <c r="A27" s="1"/>
      <c r="B27" s="84" t="s">
        <v>4058</v>
      </c>
      <c r="C27" s="156" t="s">
        <v>2326</v>
      </c>
      <c r="D27" s="156" t="s">
        <v>4059</v>
      </c>
      <c r="E27" s="18"/>
      <c r="F27" s="157" t="s">
        <v>382</v>
      </c>
      <c r="G27" s="18"/>
      <c r="H27" s="1" t="s">
        <v>4060</v>
      </c>
      <c r="I27" s="1"/>
      <c r="J27" s="1"/>
      <c r="K27" s="1"/>
      <c r="L27" s="1"/>
      <c r="M27" s="1"/>
      <c r="N27" s="1"/>
      <c r="O27" s="1"/>
      <c r="P27" s="1"/>
      <c r="Q27" s="1"/>
      <c r="R27" s="1"/>
      <c r="S27" s="1"/>
      <c r="T27" s="1"/>
      <c r="U27" s="1"/>
      <c r="V27" s="1"/>
      <c r="W27" s="1"/>
      <c r="X27" s="1"/>
      <c r="Y27" s="1"/>
      <c r="Z27" s="1"/>
    </row>
    <row r="28" ht="19.5" customHeight="1">
      <c r="A28" s="1"/>
      <c r="B28" s="84" t="s">
        <v>4061</v>
      </c>
      <c r="C28" s="156" t="s">
        <v>2326</v>
      </c>
      <c r="D28" s="156" t="s">
        <v>4062</v>
      </c>
      <c r="E28" s="18"/>
      <c r="F28" s="157" t="s">
        <v>382</v>
      </c>
      <c r="G28" s="18"/>
      <c r="H28" s="1" t="s">
        <v>4060</v>
      </c>
      <c r="I28" s="1"/>
      <c r="J28" s="1"/>
      <c r="K28" s="1"/>
      <c r="L28" s="1"/>
      <c r="M28" s="1"/>
      <c r="N28" s="1"/>
      <c r="O28" s="1"/>
      <c r="P28" s="1"/>
      <c r="Q28" s="1"/>
      <c r="R28" s="1"/>
      <c r="S28" s="1"/>
      <c r="T28" s="1"/>
      <c r="U28" s="1"/>
      <c r="V28" s="1"/>
      <c r="W28" s="1"/>
      <c r="X28" s="1"/>
      <c r="Y28" s="1"/>
      <c r="Z28" s="1"/>
    </row>
    <row r="29" ht="19.5" customHeight="1">
      <c r="A29" s="1"/>
      <c r="B29" s="84" t="s">
        <v>4063</v>
      </c>
      <c r="C29" s="156" t="s">
        <v>2326</v>
      </c>
      <c r="D29" s="156" t="s">
        <v>4064</v>
      </c>
      <c r="E29" s="18"/>
      <c r="F29" s="157" t="s">
        <v>382</v>
      </c>
      <c r="G29" s="18"/>
      <c r="H29" s="1" t="s">
        <v>4060</v>
      </c>
      <c r="I29" s="1"/>
      <c r="J29" s="1"/>
      <c r="K29" s="1"/>
      <c r="L29" s="1"/>
      <c r="M29" s="1"/>
      <c r="N29" s="1"/>
      <c r="O29" s="1"/>
      <c r="P29" s="1"/>
      <c r="Q29" s="1"/>
      <c r="R29" s="1"/>
      <c r="S29" s="1"/>
      <c r="T29" s="1"/>
      <c r="U29" s="1"/>
      <c r="V29" s="1"/>
      <c r="W29" s="1"/>
      <c r="X29" s="1"/>
      <c r="Y29" s="1"/>
      <c r="Z29" s="1"/>
    </row>
    <row r="30" ht="19.5" customHeight="1">
      <c r="A30" s="1"/>
      <c r="B30" s="103" t="s">
        <v>4065</v>
      </c>
      <c r="C30" s="13"/>
      <c r="D30" s="13"/>
      <c r="E30" s="13"/>
      <c r="F30" s="13"/>
      <c r="G30" s="14"/>
      <c r="H30" s="1"/>
      <c r="I30" s="1"/>
      <c r="J30" s="1"/>
      <c r="K30" s="1"/>
      <c r="L30" s="1"/>
      <c r="M30" s="1"/>
      <c r="N30" s="1"/>
      <c r="O30" s="1"/>
      <c r="P30" s="1"/>
      <c r="Q30" s="1"/>
      <c r="R30" s="1"/>
      <c r="S30" s="1"/>
      <c r="T30" s="1"/>
      <c r="U30" s="1"/>
      <c r="V30" s="1"/>
      <c r="W30" s="1"/>
      <c r="X30" s="1"/>
      <c r="Y30" s="1"/>
      <c r="Z30" s="1"/>
    </row>
    <row r="31" ht="19.5" customHeight="1">
      <c r="A31" s="1"/>
      <c r="B31" s="49" t="s">
        <v>4033</v>
      </c>
      <c r="C31" s="49" t="s">
        <v>200</v>
      </c>
      <c r="D31" s="49" t="s">
        <v>4045</v>
      </c>
      <c r="E31" s="49" t="s">
        <v>4046</v>
      </c>
      <c r="F31" s="49" t="s">
        <v>4047</v>
      </c>
      <c r="G31" s="49" t="s">
        <v>4048</v>
      </c>
      <c r="H31" s="1"/>
      <c r="I31" s="1"/>
      <c r="J31" s="10"/>
      <c r="K31" s="1"/>
      <c r="L31" s="1"/>
      <c r="M31" s="1"/>
      <c r="N31" s="1"/>
      <c r="O31" s="1"/>
      <c r="P31" s="1"/>
      <c r="Q31" s="1"/>
      <c r="R31" s="1"/>
      <c r="S31" s="1"/>
      <c r="T31" s="1"/>
      <c r="U31" s="1"/>
      <c r="V31" s="1"/>
      <c r="W31" s="1"/>
      <c r="X31" s="1"/>
      <c r="Y31" s="1"/>
      <c r="Z31" s="1"/>
    </row>
    <row r="32" ht="19.5" customHeight="1">
      <c r="A32" s="1"/>
      <c r="B32" s="84" t="s">
        <v>4066</v>
      </c>
      <c r="C32" s="156" t="s">
        <v>2326</v>
      </c>
      <c r="D32" s="156" t="s">
        <v>4067</v>
      </c>
      <c r="E32" s="196"/>
      <c r="F32" s="157" t="s">
        <v>382</v>
      </c>
      <c r="G32" s="18"/>
      <c r="H32" s="1"/>
      <c r="I32" s="1"/>
      <c r="J32" s="10"/>
      <c r="K32" s="1"/>
      <c r="L32" s="1"/>
      <c r="M32" s="1"/>
      <c r="N32" s="1"/>
      <c r="O32" s="1"/>
      <c r="P32" s="1"/>
      <c r="Q32" s="1"/>
      <c r="R32" s="1"/>
      <c r="S32" s="1"/>
      <c r="T32" s="1"/>
      <c r="U32" s="1"/>
      <c r="V32" s="1"/>
      <c r="W32" s="1"/>
      <c r="X32" s="1"/>
      <c r="Y32" s="1"/>
      <c r="Z32" s="1"/>
    </row>
    <row r="33" ht="19.5" customHeight="1">
      <c r="A33" s="1"/>
      <c r="B33" s="84" t="s">
        <v>4068</v>
      </c>
      <c r="C33" s="156" t="s">
        <v>2326</v>
      </c>
      <c r="D33" s="156" t="s">
        <v>4069</v>
      </c>
      <c r="E33" s="196"/>
      <c r="F33" s="157" t="s">
        <v>382</v>
      </c>
      <c r="G33" s="18"/>
      <c r="H33" s="1"/>
      <c r="I33" s="1"/>
      <c r="J33" s="1"/>
      <c r="K33" s="1"/>
      <c r="L33" s="1"/>
      <c r="M33" s="1"/>
      <c r="N33" s="1"/>
      <c r="O33" s="1"/>
      <c r="P33" s="1"/>
      <c r="Q33" s="1"/>
      <c r="R33" s="1"/>
      <c r="S33" s="1"/>
      <c r="T33" s="1"/>
      <c r="U33" s="1"/>
      <c r="V33" s="1"/>
      <c r="W33" s="1"/>
      <c r="X33" s="1"/>
      <c r="Y33" s="1"/>
      <c r="Z33" s="1"/>
    </row>
    <row r="34" ht="19.5" customHeight="1">
      <c r="A34" s="1"/>
      <c r="B34" s="84" t="s">
        <v>4070</v>
      </c>
      <c r="C34" s="156" t="s">
        <v>2326</v>
      </c>
      <c r="D34" s="156" t="s">
        <v>4071</v>
      </c>
      <c r="E34" s="196"/>
      <c r="F34" s="157" t="s">
        <v>382</v>
      </c>
      <c r="G34" s="18"/>
      <c r="H34" s="1"/>
      <c r="I34" s="1"/>
      <c r="J34" s="1"/>
      <c r="K34" s="1"/>
      <c r="L34" s="1"/>
      <c r="M34" s="1"/>
      <c r="N34" s="1"/>
      <c r="O34" s="1"/>
      <c r="P34" s="1"/>
      <c r="Q34" s="1"/>
      <c r="R34" s="1"/>
      <c r="S34" s="1"/>
      <c r="T34" s="1"/>
      <c r="U34" s="1"/>
      <c r="V34" s="1"/>
      <c r="W34" s="1"/>
      <c r="X34" s="1"/>
      <c r="Y34" s="1"/>
      <c r="Z34" s="1"/>
    </row>
    <row r="35" ht="19.5" customHeight="1">
      <c r="A35" s="1"/>
      <c r="B35" s="103" t="s">
        <v>4072</v>
      </c>
      <c r="C35" s="13"/>
      <c r="D35" s="13"/>
      <c r="E35" s="13"/>
      <c r="F35" s="13"/>
      <c r="G35" s="14"/>
      <c r="H35" s="1"/>
      <c r="I35" s="1"/>
      <c r="J35" s="1"/>
      <c r="K35" s="1"/>
      <c r="L35" s="1"/>
      <c r="M35" s="1"/>
      <c r="N35" s="1"/>
      <c r="O35" s="1"/>
      <c r="P35" s="1"/>
      <c r="Q35" s="1"/>
      <c r="R35" s="1"/>
      <c r="S35" s="1"/>
      <c r="T35" s="1"/>
      <c r="U35" s="1"/>
      <c r="V35" s="1"/>
      <c r="W35" s="1"/>
      <c r="X35" s="1"/>
      <c r="Y35" s="1"/>
      <c r="Z35" s="1"/>
    </row>
    <row r="36" ht="19.5" customHeight="1">
      <c r="A36" s="1"/>
      <c r="B36" s="49" t="s">
        <v>4033</v>
      </c>
      <c r="C36" s="49" t="s">
        <v>200</v>
      </c>
      <c r="D36" s="49" t="s">
        <v>4045</v>
      </c>
      <c r="E36" s="49" t="s">
        <v>4046</v>
      </c>
      <c r="F36" s="49" t="s">
        <v>4047</v>
      </c>
      <c r="G36" s="49" t="s">
        <v>4048</v>
      </c>
      <c r="H36" s="1"/>
      <c r="I36" s="1"/>
      <c r="J36" s="1"/>
      <c r="K36" s="1"/>
      <c r="L36" s="1"/>
      <c r="M36" s="1"/>
      <c r="N36" s="1"/>
      <c r="O36" s="1"/>
      <c r="P36" s="1"/>
      <c r="Q36" s="1"/>
      <c r="R36" s="1"/>
      <c r="S36" s="1"/>
      <c r="T36" s="1"/>
      <c r="U36" s="1"/>
      <c r="V36" s="1"/>
      <c r="W36" s="1"/>
      <c r="X36" s="1"/>
      <c r="Y36" s="1"/>
      <c r="Z36" s="1"/>
    </row>
    <row r="37" ht="19.5" customHeight="1">
      <c r="A37" s="1"/>
      <c r="B37" s="84"/>
      <c r="C37" s="156" t="s">
        <v>2326</v>
      </c>
      <c r="D37" s="156" t="s">
        <v>4073</v>
      </c>
      <c r="E37" s="196"/>
      <c r="F37" s="157" t="s">
        <v>382</v>
      </c>
      <c r="G37" s="18"/>
      <c r="H37" s="1"/>
      <c r="I37" s="1"/>
      <c r="J37" s="1"/>
      <c r="K37" s="1"/>
      <c r="L37" s="1"/>
      <c r="M37" s="1"/>
      <c r="N37" s="1"/>
      <c r="O37" s="1"/>
      <c r="P37" s="1"/>
      <c r="Q37" s="1"/>
      <c r="R37" s="1"/>
      <c r="S37" s="1"/>
      <c r="T37" s="1"/>
      <c r="U37" s="1"/>
      <c r="V37" s="1"/>
      <c r="W37" s="1"/>
      <c r="X37" s="1"/>
      <c r="Y37" s="1"/>
      <c r="Z37" s="1"/>
    </row>
    <row r="38" ht="19.5" customHeight="1">
      <c r="A38" s="1"/>
      <c r="B38" s="84"/>
      <c r="C38" s="156" t="s">
        <v>2326</v>
      </c>
      <c r="D38" s="156" t="s">
        <v>4074</v>
      </c>
      <c r="E38" s="196"/>
      <c r="F38" s="157" t="s">
        <v>382</v>
      </c>
      <c r="G38" s="18"/>
      <c r="H38" s="1"/>
      <c r="I38" s="1"/>
      <c r="J38" s="1"/>
      <c r="K38" s="1"/>
      <c r="L38" s="1"/>
      <c r="M38" s="1"/>
      <c r="N38" s="1"/>
      <c r="O38" s="1"/>
      <c r="P38" s="1"/>
      <c r="Q38" s="1"/>
      <c r="R38" s="1"/>
      <c r="S38" s="1"/>
      <c r="T38" s="1"/>
      <c r="U38" s="1"/>
      <c r="V38" s="1"/>
      <c r="W38" s="1"/>
      <c r="X38" s="1"/>
      <c r="Y38" s="1"/>
      <c r="Z38" s="1"/>
    </row>
    <row r="39" ht="19.5" customHeight="1">
      <c r="A39" s="1"/>
      <c r="B39" s="84"/>
      <c r="C39" s="156" t="s">
        <v>2326</v>
      </c>
      <c r="D39" s="156" t="s">
        <v>4075</v>
      </c>
      <c r="E39" s="196"/>
      <c r="F39" s="157" t="s">
        <v>382</v>
      </c>
      <c r="G39" s="18"/>
      <c r="H39" s="1"/>
      <c r="I39" s="1"/>
      <c r="J39" s="10"/>
      <c r="K39" s="1"/>
      <c r="L39" s="1"/>
      <c r="M39" s="1"/>
      <c r="N39" s="1"/>
      <c r="O39" s="1"/>
      <c r="P39" s="1"/>
      <c r="Q39" s="1"/>
      <c r="R39" s="1"/>
      <c r="S39" s="1"/>
      <c r="T39" s="1"/>
      <c r="U39" s="1"/>
      <c r="V39" s="1"/>
      <c r="W39" s="1"/>
      <c r="X39" s="1"/>
      <c r="Y39" s="1"/>
      <c r="Z39" s="1"/>
    </row>
    <row r="40" ht="19.5" customHeight="1">
      <c r="A40" s="1"/>
      <c r="B40" s="84"/>
      <c r="C40" s="157" t="s">
        <v>2326</v>
      </c>
      <c r="D40" s="156" t="s">
        <v>4076</v>
      </c>
      <c r="E40" s="196"/>
      <c r="F40" s="157" t="s">
        <v>382</v>
      </c>
      <c r="G40" s="18"/>
      <c r="H40" s="1"/>
      <c r="I40" s="1"/>
      <c r="J40" s="10"/>
      <c r="K40" s="1"/>
      <c r="L40" s="1"/>
      <c r="M40" s="1"/>
      <c r="N40" s="1"/>
      <c r="O40" s="1"/>
      <c r="P40" s="1"/>
      <c r="Q40" s="1"/>
      <c r="R40" s="1"/>
      <c r="S40" s="1"/>
      <c r="T40" s="1"/>
      <c r="U40" s="1"/>
      <c r="V40" s="1"/>
      <c r="W40" s="1"/>
      <c r="X40" s="1"/>
      <c r="Y40" s="1"/>
      <c r="Z40" s="1"/>
    </row>
    <row r="41" ht="19.5" customHeight="1">
      <c r="A41" s="1"/>
      <c r="B41" s="84"/>
      <c r="C41" s="157" t="s">
        <v>2326</v>
      </c>
      <c r="D41" s="156" t="s">
        <v>4077</v>
      </c>
      <c r="E41" s="196"/>
      <c r="F41" s="157" t="s">
        <v>382</v>
      </c>
      <c r="G41" s="18"/>
      <c r="H41" s="1"/>
      <c r="I41" s="1"/>
      <c r="J41" s="10"/>
      <c r="K41" s="1"/>
      <c r="L41" s="1"/>
      <c r="M41" s="1"/>
      <c r="N41" s="1"/>
      <c r="O41" s="1"/>
      <c r="P41" s="1"/>
      <c r="Q41" s="1"/>
      <c r="R41" s="1"/>
      <c r="S41" s="1"/>
      <c r="T41" s="1"/>
      <c r="U41" s="1"/>
      <c r="V41" s="1"/>
      <c r="W41" s="1"/>
      <c r="X41" s="1"/>
      <c r="Y41" s="1"/>
      <c r="Z41" s="1"/>
    </row>
    <row r="42" ht="19.5" customHeight="1">
      <c r="A42" s="1"/>
      <c r="B42" s="103" t="s">
        <v>4078</v>
      </c>
      <c r="C42" s="13"/>
      <c r="D42" s="13"/>
      <c r="E42" s="13"/>
      <c r="F42" s="13"/>
      <c r="G42" s="14"/>
      <c r="H42" s="1"/>
      <c r="I42" s="1"/>
      <c r="J42" s="10"/>
      <c r="K42" s="1"/>
      <c r="L42" s="1"/>
      <c r="M42" s="1"/>
      <c r="N42" s="1"/>
      <c r="O42" s="1"/>
      <c r="P42" s="1"/>
      <c r="Q42" s="1"/>
      <c r="R42" s="1"/>
      <c r="S42" s="1"/>
      <c r="T42" s="1"/>
      <c r="U42" s="1"/>
      <c r="V42" s="1"/>
      <c r="W42" s="1"/>
      <c r="X42" s="1"/>
      <c r="Y42" s="1"/>
      <c r="Z42" s="1"/>
    </row>
    <row r="43" ht="19.5" customHeight="1">
      <c r="A43" s="1"/>
      <c r="B43" s="49" t="s">
        <v>4033</v>
      </c>
      <c r="C43" s="49" t="s">
        <v>200</v>
      </c>
      <c r="D43" s="49" t="s">
        <v>4045</v>
      </c>
      <c r="E43" s="49" t="s">
        <v>4046</v>
      </c>
      <c r="F43" s="49" t="s">
        <v>4047</v>
      </c>
      <c r="G43" s="49" t="s">
        <v>4048</v>
      </c>
      <c r="H43" s="1"/>
      <c r="I43" s="1"/>
      <c r="J43" s="10"/>
      <c r="K43" s="1"/>
      <c r="L43" s="1"/>
      <c r="M43" s="1"/>
      <c r="N43" s="1"/>
      <c r="O43" s="1"/>
      <c r="P43" s="1"/>
      <c r="Q43" s="1"/>
      <c r="R43" s="1"/>
      <c r="S43" s="1"/>
      <c r="T43" s="1"/>
      <c r="U43" s="1"/>
      <c r="V43" s="1"/>
      <c r="W43" s="1"/>
      <c r="X43" s="1"/>
      <c r="Y43" s="1"/>
      <c r="Z43" s="1"/>
    </row>
    <row r="44" ht="19.5" customHeight="1">
      <c r="A44" s="1"/>
      <c r="B44" s="84" t="s">
        <v>4079</v>
      </c>
      <c r="C44" s="156" t="s">
        <v>2326</v>
      </c>
      <c r="D44" s="156" t="s">
        <v>4080</v>
      </c>
      <c r="E44" s="196"/>
      <c r="F44" s="157" t="s">
        <v>382</v>
      </c>
      <c r="G44" s="18"/>
      <c r="H44" s="1"/>
      <c r="I44" s="1"/>
      <c r="J44" s="10"/>
      <c r="K44" s="1"/>
      <c r="L44" s="1"/>
      <c r="M44" s="1"/>
      <c r="N44" s="1"/>
      <c r="O44" s="1"/>
      <c r="P44" s="1"/>
      <c r="Q44" s="1"/>
      <c r="R44" s="1"/>
      <c r="S44" s="1"/>
      <c r="T44" s="1"/>
      <c r="U44" s="1"/>
      <c r="V44" s="1"/>
      <c r="W44" s="1"/>
      <c r="X44" s="1"/>
      <c r="Y44" s="1"/>
      <c r="Z44" s="1"/>
    </row>
    <row r="45" ht="19.5" customHeight="1">
      <c r="A45" s="1"/>
      <c r="B45" s="84" t="s">
        <v>4081</v>
      </c>
      <c r="C45" s="156" t="s">
        <v>2326</v>
      </c>
      <c r="D45" s="156" t="s">
        <v>4082</v>
      </c>
      <c r="E45" s="196"/>
      <c r="F45" s="157" t="s">
        <v>382</v>
      </c>
      <c r="G45" s="18"/>
      <c r="H45" s="1"/>
      <c r="I45" s="1"/>
      <c r="J45" s="10"/>
      <c r="K45" s="1"/>
      <c r="L45" s="1"/>
      <c r="M45" s="1"/>
      <c r="N45" s="1"/>
      <c r="O45" s="1"/>
      <c r="P45" s="1"/>
      <c r="Q45" s="1"/>
      <c r="R45" s="1"/>
      <c r="S45" s="1"/>
      <c r="T45" s="1"/>
      <c r="U45" s="1"/>
      <c r="V45" s="1"/>
      <c r="W45" s="1"/>
      <c r="X45" s="1"/>
      <c r="Y45" s="1"/>
      <c r="Z45" s="1"/>
    </row>
    <row r="46" ht="19.5" customHeight="1">
      <c r="A46" s="1"/>
      <c r="B46" s="103" t="s">
        <v>3929</v>
      </c>
      <c r="C46" s="13"/>
      <c r="D46" s="13"/>
      <c r="E46" s="13"/>
      <c r="F46" s="13"/>
      <c r="G46" s="14"/>
      <c r="H46" s="1"/>
      <c r="I46" s="1"/>
      <c r="J46" s="10"/>
      <c r="K46" s="1"/>
      <c r="L46" s="1"/>
      <c r="M46" s="1"/>
      <c r="N46" s="1"/>
      <c r="O46" s="1"/>
      <c r="P46" s="1"/>
      <c r="Q46" s="1"/>
      <c r="R46" s="1"/>
      <c r="S46" s="1"/>
      <c r="T46" s="1"/>
      <c r="U46" s="1"/>
      <c r="V46" s="1"/>
      <c r="W46" s="1"/>
      <c r="X46" s="1"/>
      <c r="Y46" s="1"/>
      <c r="Z46" s="1"/>
    </row>
    <row r="47" ht="19.5" customHeight="1">
      <c r="A47" s="1"/>
      <c r="B47" s="49" t="s">
        <v>4033</v>
      </c>
      <c r="C47" s="49" t="s">
        <v>200</v>
      </c>
      <c r="D47" s="49" t="s">
        <v>4045</v>
      </c>
      <c r="E47" s="49" t="s">
        <v>4046</v>
      </c>
      <c r="F47" s="49" t="s">
        <v>4047</v>
      </c>
      <c r="G47" s="49" t="s">
        <v>4048</v>
      </c>
      <c r="H47" s="1"/>
      <c r="I47" s="1"/>
      <c r="J47" s="10"/>
      <c r="K47" s="1"/>
      <c r="L47" s="1"/>
      <c r="M47" s="1"/>
      <c r="N47" s="1"/>
      <c r="O47" s="1"/>
      <c r="P47" s="1"/>
      <c r="Q47" s="1"/>
      <c r="R47" s="1"/>
      <c r="S47" s="1"/>
      <c r="T47" s="1"/>
      <c r="U47" s="1"/>
      <c r="V47" s="1"/>
      <c r="W47" s="1"/>
      <c r="X47" s="1"/>
      <c r="Y47" s="1"/>
      <c r="Z47" s="1"/>
    </row>
    <row r="48" ht="19.5" customHeight="1">
      <c r="A48" s="1"/>
      <c r="B48" s="84" t="s">
        <v>4083</v>
      </c>
      <c r="C48" s="156" t="s">
        <v>2326</v>
      </c>
      <c r="D48" s="156" t="s">
        <v>4084</v>
      </c>
      <c r="E48" s="196"/>
      <c r="F48" s="157" t="s">
        <v>382</v>
      </c>
      <c r="G48" s="18"/>
      <c r="H48" s="1"/>
      <c r="I48" s="1"/>
      <c r="J48" s="10"/>
      <c r="K48" s="1"/>
      <c r="L48" s="1"/>
      <c r="M48" s="1"/>
      <c r="N48" s="1"/>
      <c r="O48" s="1"/>
      <c r="P48" s="1"/>
      <c r="Q48" s="1"/>
      <c r="R48" s="1"/>
      <c r="S48" s="1"/>
      <c r="T48" s="1"/>
      <c r="U48" s="1"/>
      <c r="V48" s="1"/>
      <c r="W48" s="1"/>
      <c r="X48" s="1"/>
      <c r="Y48" s="1"/>
      <c r="Z48" s="1"/>
    </row>
    <row r="49" ht="19.5" customHeight="1">
      <c r="A49" s="1"/>
      <c r="B49" s="84" t="s">
        <v>4085</v>
      </c>
      <c r="C49" s="156" t="s">
        <v>2326</v>
      </c>
      <c r="D49" s="156" t="s">
        <v>4086</v>
      </c>
      <c r="E49" s="196"/>
      <c r="F49" s="157" t="s">
        <v>382</v>
      </c>
      <c r="G49" s="18"/>
      <c r="H49" s="1"/>
      <c r="I49" s="1"/>
      <c r="J49" s="10"/>
      <c r="K49" s="1"/>
      <c r="L49" s="1"/>
      <c r="M49" s="1"/>
      <c r="N49" s="1"/>
      <c r="O49" s="1"/>
      <c r="P49" s="1"/>
      <c r="Q49" s="1"/>
      <c r="R49" s="1"/>
      <c r="S49" s="1"/>
      <c r="T49" s="1"/>
      <c r="U49" s="1"/>
      <c r="V49" s="1"/>
      <c r="W49" s="1"/>
      <c r="X49" s="1"/>
      <c r="Y49" s="1"/>
      <c r="Z49" s="1"/>
    </row>
    <row r="50" ht="19.5" customHeight="1">
      <c r="A50" s="1"/>
      <c r="B50" s="1"/>
      <c r="C50" s="1"/>
      <c r="D50" s="1"/>
      <c r="E50" s="1"/>
      <c r="F50" s="1"/>
      <c r="G50" s="1"/>
      <c r="H50" s="1"/>
      <c r="I50" s="1"/>
      <c r="J50" s="10"/>
      <c r="K50" s="1"/>
      <c r="L50" s="1"/>
      <c r="M50" s="1"/>
      <c r="N50" s="1"/>
      <c r="O50" s="1"/>
      <c r="P50" s="1"/>
      <c r="Q50" s="1"/>
      <c r="R50" s="1"/>
      <c r="S50" s="1"/>
      <c r="T50" s="1"/>
      <c r="U50" s="1"/>
      <c r="V50" s="1"/>
      <c r="W50" s="1"/>
      <c r="X50" s="1"/>
      <c r="Y50" s="1"/>
      <c r="Z50" s="1"/>
    </row>
    <row r="51" ht="33.75" customHeight="1">
      <c r="A51" s="1"/>
      <c r="B51" s="12" t="s">
        <v>2556</v>
      </c>
      <c r="C51" s="13"/>
      <c r="D51" s="13"/>
      <c r="E51" s="14"/>
      <c r="F51" s="1"/>
      <c r="G51" s="1"/>
      <c r="H51" s="1"/>
      <c r="I51" s="1"/>
      <c r="J51" s="1"/>
      <c r="K51" s="1"/>
      <c r="L51" s="1"/>
      <c r="M51" s="1"/>
      <c r="N51" s="1"/>
      <c r="O51" s="1"/>
      <c r="P51" s="1"/>
      <c r="Q51" s="1"/>
      <c r="R51" s="1"/>
      <c r="S51" s="1"/>
      <c r="T51" s="1"/>
      <c r="U51" s="1"/>
      <c r="V51" s="1"/>
      <c r="W51" s="1"/>
      <c r="X51" s="1"/>
      <c r="Y51" s="1"/>
      <c r="Z51" s="1"/>
    </row>
    <row r="52" ht="19.5" customHeight="1">
      <c r="A52" s="1"/>
      <c r="B52" s="103" t="s">
        <v>4087</v>
      </c>
      <c r="C52" s="13"/>
      <c r="D52" s="13"/>
      <c r="E52" s="14"/>
      <c r="F52" s="1"/>
      <c r="G52" s="1"/>
      <c r="H52" s="1"/>
      <c r="I52" s="1"/>
      <c r="J52" s="1"/>
      <c r="K52" s="1"/>
      <c r="L52" s="1"/>
      <c r="M52" s="1"/>
      <c r="N52" s="1"/>
      <c r="O52" s="1"/>
      <c r="P52" s="1"/>
      <c r="Q52" s="1"/>
      <c r="R52" s="1"/>
      <c r="S52" s="1"/>
      <c r="T52" s="1"/>
      <c r="U52" s="1"/>
      <c r="V52" s="1"/>
      <c r="W52" s="1"/>
      <c r="X52" s="1"/>
      <c r="Y52" s="1"/>
      <c r="Z52" s="1"/>
    </row>
    <row r="53" ht="19.5" customHeight="1">
      <c r="A53" s="1"/>
      <c r="B53" s="49" t="s">
        <v>4088</v>
      </c>
      <c r="C53" s="49" t="s">
        <v>200</v>
      </c>
      <c r="D53" s="49" t="s">
        <v>4089</v>
      </c>
      <c r="E53" s="49" t="s">
        <v>4090</v>
      </c>
      <c r="F53" s="1"/>
      <c r="G53" s="1"/>
      <c r="H53" s="1"/>
      <c r="I53" s="1"/>
      <c r="J53" s="1"/>
      <c r="K53" s="1"/>
      <c r="L53" s="1"/>
      <c r="M53" s="1"/>
      <c r="N53" s="1"/>
      <c r="O53" s="1"/>
      <c r="P53" s="1"/>
      <c r="Q53" s="1"/>
      <c r="R53" s="1"/>
      <c r="S53" s="1"/>
      <c r="T53" s="1"/>
      <c r="U53" s="1"/>
      <c r="V53" s="1"/>
      <c r="W53" s="1"/>
      <c r="X53" s="1"/>
      <c r="Y53" s="1"/>
      <c r="Z53" s="1"/>
    </row>
    <row r="54" ht="19.5" customHeight="1">
      <c r="A54" s="1"/>
      <c r="B54" s="84" t="s">
        <v>4087</v>
      </c>
      <c r="C54" s="156" t="s">
        <v>2326</v>
      </c>
      <c r="D54" s="156" t="s">
        <v>4091</v>
      </c>
      <c r="E54" s="18"/>
      <c r="F54" s="1"/>
      <c r="G54" s="1"/>
      <c r="H54" s="1"/>
      <c r="I54" s="1"/>
      <c r="J54" s="1"/>
      <c r="K54" s="1"/>
      <c r="L54" s="1"/>
      <c r="M54" s="1"/>
      <c r="N54" s="1"/>
      <c r="O54" s="1"/>
      <c r="P54" s="1"/>
      <c r="Q54" s="1"/>
      <c r="R54" s="1"/>
      <c r="S54" s="1"/>
      <c r="T54" s="1"/>
      <c r="U54" s="1"/>
      <c r="V54" s="1"/>
      <c r="W54" s="1"/>
      <c r="X54" s="1"/>
      <c r="Y54" s="1"/>
      <c r="Z54" s="1"/>
    </row>
    <row r="55" ht="19.5" customHeight="1">
      <c r="A55" s="1"/>
      <c r="B55" s="84"/>
      <c r="C55" s="156" t="s">
        <v>2326</v>
      </c>
      <c r="D55" s="156" t="s">
        <v>4092</v>
      </c>
      <c r="E55" s="18"/>
      <c r="F55" s="1"/>
      <c r="G55" s="1"/>
      <c r="H55" s="1"/>
      <c r="I55" s="1"/>
      <c r="J55" s="10"/>
      <c r="K55" s="1"/>
      <c r="L55" s="1"/>
      <c r="M55" s="1"/>
      <c r="N55" s="1"/>
      <c r="O55" s="1"/>
      <c r="P55" s="1"/>
      <c r="Q55" s="1"/>
      <c r="R55" s="1"/>
      <c r="S55" s="1"/>
      <c r="T55" s="1"/>
      <c r="U55" s="1"/>
      <c r="V55" s="1"/>
      <c r="W55" s="1"/>
      <c r="X55" s="1"/>
      <c r="Y55" s="1"/>
      <c r="Z55" s="1"/>
    </row>
    <row r="56" ht="19.5" customHeight="1">
      <c r="A56" s="1"/>
      <c r="B56" s="84"/>
      <c r="C56" s="156" t="s">
        <v>2326</v>
      </c>
      <c r="D56" s="156" t="s">
        <v>4093</v>
      </c>
      <c r="E56" s="18"/>
      <c r="F56" s="1"/>
      <c r="G56" s="1"/>
      <c r="H56" s="1"/>
      <c r="I56" s="1"/>
      <c r="J56" s="10"/>
      <c r="K56" s="1"/>
      <c r="L56" s="1"/>
      <c r="M56" s="1"/>
      <c r="N56" s="1"/>
      <c r="O56" s="1"/>
      <c r="P56" s="1"/>
      <c r="Q56" s="1"/>
      <c r="R56" s="1"/>
      <c r="S56" s="1"/>
      <c r="T56" s="1"/>
      <c r="U56" s="1"/>
      <c r="V56" s="1"/>
      <c r="W56" s="1"/>
      <c r="X56" s="1"/>
      <c r="Y56" s="1"/>
      <c r="Z56" s="1"/>
    </row>
    <row r="57" ht="19.5" customHeight="1">
      <c r="A57" s="1"/>
      <c r="B57" s="103" t="s">
        <v>4094</v>
      </c>
      <c r="C57" s="13"/>
      <c r="D57" s="13"/>
      <c r="E57" s="14"/>
      <c r="F57" s="1"/>
      <c r="G57" s="1"/>
      <c r="H57" s="1"/>
      <c r="I57" s="1"/>
      <c r="J57" s="10"/>
      <c r="K57" s="1"/>
      <c r="L57" s="1"/>
      <c r="M57" s="1"/>
      <c r="N57" s="1"/>
      <c r="O57" s="1"/>
      <c r="P57" s="1"/>
      <c r="Q57" s="1"/>
      <c r="R57" s="1"/>
      <c r="S57" s="1"/>
      <c r="T57" s="1"/>
      <c r="U57" s="1"/>
      <c r="V57" s="1"/>
      <c r="W57" s="1"/>
      <c r="X57" s="1"/>
      <c r="Y57" s="1"/>
      <c r="Z57" s="1"/>
    </row>
    <row r="58" ht="19.5" customHeight="1">
      <c r="A58" s="1"/>
      <c r="B58" s="49" t="s">
        <v>4088</v>
      </c>
      <c r="C58" s="49" t="s">
        <v>200</v>
      </c>
      <c r="D58" s="49" t="s">
        <v>4089</v>
      </c>
      <c r="E58" s="49" t="s">
        <v>4090</v>
      </c>
      <c r="F58" s="1"/>
      <c r="G58" s="1"/>
      <c r="H58" s="1"/>
      <c r="I58" s="1"/>
      <c r="J58" s="10"/>
      <c r="K58" s="1"/>
      <c r="L58" s="1"/>
      <c r="M58" s="1"/>
      <c r="N58" s="1"/>
      <c r="O58" s="1"/>
      <c r="P58" s="1"/>
      <c r="Q58" s="1"/>
      <c r="R58" s="1"/>
      <c r="S58" s="1"/>
      <c r="T58" s="1"/>
      <c r="U58" s="1"/>
      <c r="V58" s="1"/>
      <c r="W58" s="1"/>
      <c r="X58" s="1"/>
      <c r="Y58" s="1"/>
      <c r="Z58" s="1"/>
    </row>
    <row r="59" ht="19.5" customHeight="1">
      <c r="A59" s="1"/>
      <c r="B59" s="84" t="s">
        <v>4095</v>
      </c>
      <c r="C59" s="156" t="s">
        <v>2326</v>
      </c>
      <c r="D59" s="156" t="s">
        <v>4096</v>
      </c>
      <c r="E59" s="18"/>
      <c r="F59" s="1"/>
      <c r="G59" s="1"/>
      <c r="H59" s="1"/>
      <c r="I59" s="1"/>
      <c r="J59" s="1"/>
      <c r="K59" s="1"/>
      <c r="L59" s="1"/>
      <c r="M59" s="1"/>
      <c r="N59" s="1"/>
      <c r="O59" s="1"/>
      <c r="P59" s="1"/>
      <c r="Q59" s="1"/>
      <c r="R59" s="1"/>
      <c r="S59" s="1"/>
      <c r="T59" s="1"/>
      <c r="U59" s="1"/>
      <c r="V59" s="1"/>
      <c r="W59" s="1"/>
      <c r="X59" s="1"/>
      <c r="Y59" s="1"/>
      <c r="Z59" s="1"/>
    </row>
    <row r="60" ht="19.5" customHeight="1">
      <c r="A60" s="1"/>
      <c r="B60" s="84"/>
      <c r="C60" s="156" t="s">
        <v>2326</v>
      </c>
      <c r="D60" s="156" t="s">
        <v>4097</v>
      </c>
      <c r="E60" s="18"/>
      <c r="F60" s="1"/>
      <c r="G60" s="1"/>
      <c r="H60" s="1"/>
      <c r="I60" s="1"/>
      <c r="J60" s="10"/>
      <c r="K60" s="1"/>
      <c r="L60" s="1"/>
      <c r="M60" s="1"/>
      <c r="N60" s="1"/>
      <c r="O60" s="1"/>
      <c r="P60" s="1"/>
      <c r="Q60" s="1"/>
      <c r="R60" s="1"/>
      <c r="S60" s="1"/>
      <c r="T60" s="1"/>
      <c r="U60" s="1"/>
      <c r="V60" s="1"/>
      <c r="W60" s="1"/>
      <c r="X60" s="1"/>
      <c r="Y60" s="1"/>
      <c r="Z60" s="1"/>
    </row>
    <row r="61" ht="19.5" customHeight="1">
      <c r="A61" s="1"/>
      <c r="B61" s="84"/>
      <c r="C61" s="156" t="s">
        <v>2326</v>
      </c>
      <c r="D61" s="156" t="s">
        <v>4098</v>
      </c>
      <c r="E61" s="18"/>
      <c r="F61" s="1"/>
      <c r="G61" s="1"/>
      <c r="H61" s="1"/>
      <c r="I61" s="1"/>
      <c r="J61" s="10"/>
      <c r="K61" s="1"/>
      <c r="L61" s="1"/>
      <c r="M61" s="1"/>
      <c r="N61" s="1"/>
      <c r="O61" s="1"/>
      <c r="P61" s="1"/>
      <c r="Q61" s="1"/>
      <c r="R61" s="1"/>
      <c r="S61" s="1"/>
      <c r="T61" s="1"/>
      <c r="U61" s="1"/>
      <c r="V61" s="1"/>
      <c r="W61" s="1"/>
      <c r="X61" s="1"/>
      <c r="Y61" s="1"/>
      <c r="Z61" s="1"/>
    </row>
    <row r="62" ht="19.5" customHeight="1">
      <c r="A62" s="1"/>
      <c r="B62" s="103" t="s">
        <v>4099</v>
      </c>
      <c r="C62" s="13"/>
      <c r="D62" s="13"/>
      <c r="E62" s="14"/>
      <c r="F62" s="1"/>
      <c r="G62" s="1"/>
      <c r="H62" s="1"/>
      <c r="I62" s="1"/>
      <c r="J62" s="10"/>
      <c r="K62" s="1"/>
      <c r="L62" s="1"/>
      <c r="M62" s="1"/>
      <c r="N62" s="1"/>
      <c r="O62" s="1"/>
      <c r="P62" s="1"/>
      <c r="Q62" s="1"/>
      <c r="R62" s="1"/>
      <c r="S62" s="1"/>
      <c r="T62" s="1"/>
      <c r="U62" s="1"/>
      <c r="V62" s="1"/>
      <c r="W62" s="1"/>
      <c r="X62" s="1"/>
      <c r="Y62" s="1"/>
      <c r="Z62" s="1"/>
    </row>
    <row r="63" ht="19.5" customHeight="1">
      <c r="A63" s="1"/>
      <c r="B63" s="49" t="s">
        <v>4088</v>
      </c>
      <c r="C63" s="49" t="s">
        <v>200</v>
      </c>
      <c r="D63" s="49" t="s">
        <v>4089</v>
      </c>
      <c r="E63" s="49" t="s">
        <v>4090</v>
      </c>
      <c r="F63" s="1"/>
      <c r="G63" s="1"/>
      <c r="H63" s="1"/>
      <c r="I63" s="1"/>
      <c r="J63" s="10"/>
      <c r="K63" s="1"/>
      <c r="L63" s="1"/>
      <c r="M63" s="1"/>
      <c r="N63" s="1"/>
      <c r="O63" s="1"/>
      <c r="P63" s="1"/>
      <c r="Q63" s="1"/>
      <c r="R63" s="1"/>
      <c r="S63" s="1"/>
      <c r="T63" s="1"/>
      <c r="U63" s="1"/>
      <c r="V63" s="1"/>
      <c r="W63" s="1"/>
      <c r="X63" s="1"/>
      <c r="Y63" s="1"/>
      <c r="Z63" s="1"/>
    </row>
    <row r="64" ht="19.5" customHeight="1">
      <c r="A64" s="1"/>
      <c r="B64" s="84" t="s">
        <v>146</v>
      </c>
      <c r="C64" s="156" t="s">
        <v>2326</v>
      </c>
      <c r="D64" s="156" t="s">
        <v>2643</v>
      </c>
      <c r="E64" s="18"/>
      <c r="F64" s="1"/>
      <c r="G64" s="1"/>
      <c r="H64" s="1"/>
      <c r="I64" s="1"/>
      <c r="J64" s="1"/>
      <c r="K64" s="1"/>
      <c r="L64" s="1"/>
      <c r="M64" s="1"/>
      <c r="N64" s="1"/>
      <c r="O64" s="1"/>
      <c r="P64" s="1"/>
      <c r="Q64" s="1"/>
      <c r="R64" s="1"/>
      <c r="S64" s="1"/>
      <c r="T64" s="1"/>
      <c r="U64" s="1"/>
      <c r="V64" s="1"/>
      <c r="W64" s="1"/>
      <c r="X64" s="1"/>
      <c r="Y64" s="1"/>
      <c r="Z64" s="1"/>
    </row>
    <row r="65" ht="19.5" customHeight="1">
      <c r="A65" s="1"/>
      <c r="B65" s="84"/>
      <c r="C65" s="156" t="s">
        <v>2326</v>
      </c>
      <c r="D65" s="156" t="s">
        <v>2647</v>
      </c>
      <c r="E65" s="18"/>
      <c r="F65" s="1"/>
      <c r="G65" s="1"/>
      <c r="H65" s="1"/>
      <c r="I65" s="1"/>
      <c r="J65" s="10"/>
      <c r="K65" s="1"/>
      <c r="L65" s="1"/>
      <c r="M65" s="1"/>
      <c r="N65" s="1"/>
      <c r="O65" s="1"/>
      <c r="P65" s="1"/>
      <c r="Q65" s="1"/>
      <c r="R65" s="1"/>
      <c r="S65" s="1"/>
      <c r="T65" s="1"/>
      <c r="U65" s="1"/>
      <c r="V65" s="1"/>
      <c r="W65" s="1"/>
      <c r="X65" s="1"/>
      <c r="Y65" s="1"/>
      <c r="Z65" s="1"/>
    </row>
    <row r="66" ht="19.5" customHeight="1">
      <c r="A66" s="1"/>
      <c r="B66" s="84"/>
      <c r="C66" s="156" t="s">
        <v>2326</v>
      </c>
      <c r="D66" s="156" t="s">
        <v>2651</v>
      </c>
      <c r="E66" s="18"/>
      <c r="F66" s="1"/>
      <c r="G66" s="1"/>
      <c r="H66" s="1"/>
      <c r="I66" s="1"/>
      <c r="J66" s="10"/>
      <c r="K66" s="1"/>
      <c r="L66" s="1"/>
      <c r="M66" s="1"/>
      <c r="N66" s="1"/>
      <c r="O66" s="1"/>
      <c r="P66" s="1"/>
      <c r="Q66" s="1"/>
      <c r="R66" s="1"/>
      <c r="S66" s="1"/>
      <c r="T66" s="1"/>
      <c r="U66" s="1"/>
      <c r="V66" s="1"/>
      <c r="W66" s="1"/>
      <c r="X66" s="1"/>
      <c r="Y66" s="1"/>
      <c r="Z66" s="1"/>
    </row>
    <row r="67" ht="19.5" customHeight="1">
      <c r="A67" s="1"/>
      <c r="B67" s="84" t="s">
        <v>2081</v>
      </c>
      <c r="C67" s="156" t="s">
        <v>2326</v>
      </c>
      <c r="D67" s="156" t="s">
        <v>2654</v>
      </c>
      <c r="E67" s="18"/>
      <c r="F67" s="1"/>
      <c r="G67" s="1"/>
      <c r="H67" s="1"/>
      <c r="I67" s="1"/>
      <c r="J67" s="10"/>
      <c r="K67" s="1"/>
      <c r="L67" s="1"/>
      <c r="M67" s="1"/>
      <c r="N67" s="1"/>
      <c r="O67" s="1"/>
      <c r="P67" s="1"/>
      <c r="Q67" s="1"/>
      <c r="R67" s="1"/>
      <c r="S67" s="1"/>
      <c r="T67" s="1"/>
      <c r="U67" s="1"/>
      <c r="V67" s="1"/>
      <c r="W67" s="1"/>
      <c r="X67" s="1"/>
      <c r="Y67" s="1"/>
      <c r="Z67" s="1"/>
    </row>
    <row r="68" ht="19.5" customHeight="1">
      <c r="A68" s="1"/>
      <c r="B68" s="84"/>
      <c r="C68" s="156" t="s">
        <v>2326</v>
      </c>
      <c r="D68" s="156" t="s">
        <v>2658</v>
      </c>
      <c r="E68" s="18"/>
      <c r="F68" s="1"/>
      <c r="G68" s="1"/>
      <c r="H68" s="1"/>
      <c r="I68" s="1"/>
      <c r="J68" s="10"/>
      <c r="K68" s="1"/>
      <c r="L68" s="1"/>
      <c r="M68" s="1"/>
      <c r="N68" s="1"/>
      <c r="O68" s="1"/>
      <c r="P68" s="1"/>
      <c r="Q68" s="1"/>
      <c r="R68" s="1"/>
      <c r="S68" s="1"/>
      <c r="T68" s="1"/>
      <c r="U68" s="1"/>
      <c r="V68" s="1"/>
      <c r="W68" s="1"/>
      <c r="X68" s="1"/>
      <c r="Y68" s="1"/>
      <c r="Z68" s="1"/>
    </row>
    <row r="69" ht="19.5" customHeight="1">
      <c r="A69" s="1"/>
      <c r="B69" s="84"/>
      <c r="C69" s="156" t="s">
        <v>2326</v>
      </c>
      <c r="D69" s="156" t="s">
        <v>2661</v>
      </c>
      <c r="E69" s="18"/>
      <c r="F69" s="1"/>
      <c r="G69" s="1"/>
      <c r="H69" s="1"/>
      <c r="I69" s="1"/>
      <c r="J69" s="10"/>
      <c r="K69" s="1"/>
      <c r="L69" s="1"/>
      <c r="M69" s="1"/>
      <c r="N69" s="1"/>
      <c r="O69" s="1"/>
      <c r="P69" s="1"/>
      <c r="Q69" s="1"/>
      <c r="R69" s="1"/>
      <c r="S69" s="1"/>
      <c r="T69" s="1"/>
      <c r="U69" s="1"/>
      <c r="V69" s="1"/>
      <c r="W69" s="1"/>
      <c r="X69" s="1"/>
      <c r="Y69" s="1"/>
      <c r="Z69" s="1"/>
    </row>
    <row r="70" ht="19.5" customHeight="1">
      <c r="A70" s="1"/>
      <c r="B70" s="84" t="s">
        <v>480</v>
      </c>
      <c r="C70" s="156" t="s">
        <v>2326</v>
      </c>
      <c r="D70" s="156" t="s">
        <v>2664</v>
      </c>
      <c r="E70" s="18"/>
      <c r="F70" s="1"/>
      <c r="G70" s="1"/>
      <c r="H70" s="1"/>
      <c r="I70" s="1"/>
      <c r="J70" s="10"/>
      <c r="K70" s="1"/>
      <c r="L70" s="1"/>
      <c r="M70" s="1"/>
      <c r="N70" s="1"/>
      <c r="O70" s="1"/>
      <c r="P70" s="1"/>
      <c r="Q70" s="1"/>
      <c r="R70" s="1"/>
      <c r="S70" s="1"/>
      <c r="T70" s="1"/>
      <c r="U70" s="1"/>
      <c r="V70" s="1"/>
      <c r="W70" s="1"/>
      <c r="X70" s="1"/>
      <c r="Y70" s="1"/>
      <c r="Z70" s="1"/>
    </row>
    <row r="71" ht="19.5" customHeight="1">
      <c r="A71" s="1"/>
      <c r="B71" s="84"/>
      <c r="C71" s="156" t="s">
        <v>2326</v>
      </c>
      <c r="D71" s="156" t="s">
        <v>2667</v>
      </c>
      <c r="E71" s="18"/>
      <c r="F71" s="1"/>
      <c r="G71" s="1"/>
      <c r="H71" s="1"/>
      <c r="I71" s="1"/>
      <c r="J71" s="10"/>
      <c r="K71" s="1"/>
      <c r="L71" s="1"/>
      <c r="M71" s="1"/>
      <c r="N71" s="1"/>
      <c r="O71" s="1"/>
      <c r="P71" s="1"/>
      <c r="Q71" s="1"/>
      <c r="R71" s="1"/>
      <c r="S71" s="1"/>
      <c r="T71" s="1"/>
      <c r="U71" s="1"/>
      <c r="V71" s="1"/>
      <c r="W71" s="1"/>
      <c r="X71" s="1"/>
      <c r="Y71" s="1"/>
      <c r="Z71" s="1"/>
    </row>
    <row r="72" ht="19.5" customHeight="1">
      <c r="A72" s="1"/>
      <c r="B72" s="84"/>
      <c r="C72" s="156" t="s">
        <v>2326</v>
      </c>
      <c r="D72" s="156" t="s">
        <v>2670</v>
      </c>
      <c r="E72" s="18"/>
      <c r="F72" s="1"/>
      <c r="G72" s="1"/>
      <c r="H72" s="1"/>
      <c r="I72" s="1"/>
      <c r="J72" s="10"/>
      <c r="K72" s="1"/>
      <c r="L72" s="1"/>
      <c r="M72" s="1"/>
      <c r="N72" s="1"/>
      <c r="O72" s="1"/>
      <c r="P72" s="1"/>
      <c r="Q72" s="1"/>
      <c r="R72" s="1"/>
      <c r="S72" s="1"/>
      <c r="T72" s="1"/>
      <c r="U72" s="1"/>
      <c r="V72" s="1"/>
      <c r="W72" s="1"/>
      <c r="X72" s="1"/>
      <c r="Y72" s="1"/>
      <c r="Z72" s="1"/>
    </row>
    <row r="73" ht="19.5" customHeight="1">
      <c r="A73" s="1"/>
      <c r="B73" s="103" t="s">
        <v>4100</v>
      </c>
      <c r="C73" s="13"/>
      <c r="D73" s="13"/>
      <c r="E73" s="38"/>
      <c r="F73" s="1"/>
      <c r="G73" s="1"/>
      <c r="H73" s="1"/>
      <c r="I73" s="1"/>
      <c r="J73" s="10"/>
      <c r="K73" s="1"/>
      <c r="L73" s="1"/>
      <c r="M73" s="1"/>
      <c r="N73" s="1"/>
      <c r="O73" s="1"/>
      <c r="P73" s="1"/>
      <c r="Q73" s="1"/>
      <c r="R73" s="1"/>
      <c r="S73" s="1"/>
      <c r="T73" s="1"/>
      <c r="U73" s="1"/>
      <c r="V73" s="1"/>
      <c r="W73" s="1"/>
      <c r="X73" s="1"/>
      <c r="Y73" s="1"/>
      <c r="Z73" s="1"/>
    </row>
    <row r="74" ht="19.5" customHeight="1">
      <c r="A74" s="1"/>
      <c r="B74" s="49" t="s">
        <v>4088</v>
      </c>
      <c r="C74" s="49" t="s">
        <v>200</v>
      </c>
      <c r="D74" s="49" t="s">
        <v>4089</v>
      </c>
      <c r="E74" s="49" t="s">
        <v>4090</v>
      </c>
      <c r="F74" s="1"/>
      <c r="G74" s="1"/>
      <c r="H74" s="1"/>
      <c r="I74" s="1"/>
      <c r="J74" s="10"/>
      <c r="K74" s="1"/>
      <c r="L74" s="1"/>
      <c r="M74" s="1"/>
      <c r="N74" s="1"/>
      <c r="O74" s="1"/>
      <c r="P74" s="1"/>
      <c r="Q74" s="1"/>
      <c r="R74" s="1"/>
      <c r="S74" s="1"/>
      <c r="T74" s="1"/>
      <c r="U74" s="1"/>
      <c r="V74" s="1"/>
      <c r="W74" s="1"/>
      <c r="X74" s="1"/>
      <c r="Y74" s="1"/>
      <c r="Z74" s="1"/>
    </row>
    <row r="75" ht="19.5" customHeight="1">
      <c r="A75" s="1"/>
      <c r="B75" s="84" t="s">
        <v>4101</v>
      </c>
      <c r="C75" s="156" t="s">
        <v>2326</v>
      </c>
      <c r="D75" s="156" t="s">
        <v>4102</v>
      </c>
      <c r="E75" s="196"/>
      <c r="F75" s="1"/>
      <c r="G75" s="1"/>
      <c r="H75" s="1"/>
      <c r="I75" s="1"/>
      <c r="J75" s="10"/>
      <c r="K75" s="1"/>
      <c r="L75" s="1"/>
      <c r="M75" s="1"/>
      <c r="N75" s="1"/>
      <c r="O75" s="1"/>
      <c r="P75" s="1"/>
      <c r="Q75" s="1"/>
      <c r="R75" s="1"/>
      <c r="S75" s="1"/>
      <c r="T75" s="1"/>
      <c r="U75" s="1"/>
      <c r="V75" s="1"/>
      <c r="W75" s="1"/>
      <c r="X75" s="1"/>
      <c r="Y75" s="1"/>
      <c r="Z75" s="1"/>
    </row>
    <row r="76" ht="19.5" customHeight="1">
      <c r="A76" s="1"/>
      <c r="B76" s="18"/>
      <c r="C76" s="156" t="s">
        <v>2326</v>
      </c>
      <c r="D76" s="156" t="s">
        <v>4103</v>
      </c>
      <c r="E76" s="196"/>
      <c r="F76" s="1"/>
      <c r="G76" s="10"/>
      <c r="H76" s="1"/>
      <c r="I76" s="1"/>
      <c r="J76" s="10"/>
      <c r="K76" s="1"/>
      <c r="L76" s="1"/>
      <c r="M76" s="1"/>
      <c r="N76" s="1"/>
      <c r="O76" s="1"/>
      <c r="P76" s="1"/>
      <c r="Q76" s="1"/>
      <c r="R76" s="1"/>
      <c r="S76" s="1"/>
      <c r="T76" s="1"/>
      <c r="U76" s="1"/>
      <c r="V76" s="1"/>
      <c r="W76" s="1"/>
      <c r="X76" s="1"/>
      <c r="Y76" s="1"/>
      <c r="Z76" s="1"/>
    </row>
    <row r="77" ht="19.5" customHeight="1">
      <c r="A77" s="1"/>
      <c r="B77" s="103" t="s">
        <v>4054</v>
      </c>
      <c r="C77" s="13"/>
      <c r="D77" s="13"/>
      <c r="E77" s="14"/>
      <c r="F77" s="1"/>
      <c r="G77" s="10"/>
      <c r="H77" s="1"/>
      <c r="I77" s="1"/>
      <c r="J77" s="1"/>
      <c r="K77" s="1"/>
      <c r="L77" s="1"/>
      <c r="M77" s="1"/>
      <c r="N77" s="1"/>
      <c r="O77" s="1"/>
      <c r="P77" s="1"/>
      <c r="Q77" s="1"/>
      <c r="R77" s="1"/>
      <c r="S77" s="1"/>
      <c r="T77" s="1"/>
      <c r="U77" s="1"/>
      <c r="V77" s="1"/>
      <c r="W77" s="1"/>
      <c r="X77" s="1"/>
      <c r="Y77" s="1"/>
      <c r="Z77" s="1"/>
    </row>
    <row r="78" ht="19.5" customHeight="1">
      <c r="A78" s="1"/>
      <c r="B78" s="49" t="s">
        <v>4088</v>
      </c>
      <c r="C78" s="49" t="s">
        <v>200</v>
      </c>
      <c r="D78" s="49" t="s">
        <v>4089</v>
      </c>
      <c r="E78" s="49" t="s">
        <v>4090</v>
      </c>
      <c r="F78" s="1"/>
      <c r="G78" s="10"/>
      <c r="H78" s="1"/>
      <c r="I78" s="1"/>
      <c r="J78" s="10"/>
      <c r="K78" s="1"/>
      <c r="L78" s="1"/>
      <c r="M78" s="1"/>
      <c r="N78" s="1"/>
      <c r="O78" s="1"/>
      <c r="P78" s="1"/>
      <c r="Q78" s="1"/>
      <c r="R78" s="1"/>
      <c r="S78" s="1"/>
      <c r="T78" s="1"/>
      <c r="U78" s="1"/>
      <c r="V78" s="1"/>
      <c r="W78" s="1"/>
      <c r="X78" s="1"/>
      <c r="Y78" s="1"/>
      <c r="Z78" s="1"/>
    </row>
    <row r="79" ht="19.5" customHeight="1">
      <c r="A79" s="1"/>
      <c r="B79" s="84" t="s">
        <v>4104</v>
      </c>
      <c r="C79" s="156" t="s">
        <v>2326</v>
      </c>
      <c r="D79" s="156" t="s">
        <v>4105</v>
      </c>
      <c r="E79" s="18"/>
      <c r="F79" s="1"/>
      <c r="G79" s="1"/>
      <c r="H79" s="1"/>
      <c r="I79" s="1"/>
      <c r="J79" s="10"/>
      <c r="K79" s="1"/>
      <c r="L79" s="1"/>
      <c r="M79" s="1"/>
      <c r="N79" s="1"/>
      <c r="O79" s="1"/>
      <c r="P79" s="1"/>
      <c r="Q79" s="1"/>
      <c r="R79" s="1"/>
      <c r="S79" s="1"/>
      <c r="T79" s="1"/>
      <c r="U79" s="1"/>
      <c r="V79" s="1"/>
      <c r="W79" s="1"/>
      <c r="X79" s="1"/>
      <c r="Y79" s="1"/>
      <c r="Z79" s="1"/>
    </row>
    <row r="80" ht="19.5" customHeight="1">
      <c r="A80" s="1"/>
      <c r="B80" s="84"/>
      <c r="C80" s="156" t="s">
        <v>2326</v>
      </c>
      <c r="D80" s="156" t="s">
        <v>4106</v>
      </c>
      <c r="E80" s="18"/>
      <c r="F80" s="1"/>
      <c r="G80" s="1"/>
      <c r="H80" s="1"/>
      <c r="I80" s="1"/>
      <c r="J80" s="10"/>
      <c r="K80" s="1"/>
      <c r="L80" s="1"/>
      <c r="M80" s="1"/>
      <c r="N80" s="1"/>
      <c r="O80" s="1"/>
      <c r="P80" s="1"/>
      <c r="Q80" s="1"/>
      <c r="R80" s="1"/>
      <c r="S80" s="1"/>
      <c r="T80" s="1"/>
      <c r="U80" s="1"/>
      <c r="V80" s="1"/>
      <c r="W80" s="1"/>
      <c r="X80" s="1"/>
      <c r="Y80" s="1"/>
      <c r="Z80" s="1"/>
    </row>
    <row r="81" ht="19.5" customHeight="1">
      <c r="A81" s="1"/>
      <c r="B81" s="84"/>
      <c r="C81" s="156" t="s">
        <v>2326</v>
      </c>
      <c r="D81" s="156" t="s">
        <v>4107</v>
      </c>
      <c r="E81" s="18"/>
      <c r="F81" s="1"/>
      <c r="G81" s="1"/>
      <c r="H81" s="1"/>
      <c r="I81" s="1"/>
      <c r="J81" s="10"/>
      <c r="K81" s="1"/>
      <c r="L81" s="1"/>
      <c r="M81" s="1"/>
      <c r="N81" s="1"/>
      <c r="O81" s="1"/>
      <c r="P81" s="1"/>
      <c r="Q81" s="1"/>
      <c r="R81" s="1"/>
      <c r="S81" s="1"/>
      <c r="T81" s="1"/>
      <c r="U81" s="1"/>
      <c r="V81" s="1"/>
      <c r="W81" s="1"/>
      <c r="X81" s="1"/>
      <c r="Y81" s="1"/>
      <c r="Z81" s="1"/>
    </row>
    <row r="82" ht="19.5" customHeight="1">
      <c r="A82" s="1"/>
      <c r="B82" s="103" t="s">
        <v>4057</v>
      </c>
      <c r="C82" s="13"/>
      <c r="D82" s="13"/>
      <c r="E82" s="14"/>
      <c r="F82" s="1"/>
      <c r="G82" s="1"/>
      <c r="H82" s="1"/>
      <c r="I82" s="1"/>
      <c r="J82" s="10"/>
      <c r="K82" s="1"/>
      <c r="L82" s="1"/>
      <c r="M82" s="1"/>
      <c r="N82" s="1"/>
      <c r="O82" s="1"/>
      <c r="P82" s="1"/>
      <c r="Q82" s="1"/>
      <c r="R82" s="1"/>
      <c r="S82" s="1"/>
      <c r="T82" s="1"/>
      <c r="U82" s="1"/>
      <c r="V82" s="1"/>
      <c r="W82" s="1"/>
      <c r="X82" s="1"/>
      <c r="Y82" s="1"/>
      <c r="Z82" s="1"/>
    </row>
    <row r="83" ht="19.5" customHeight="1">
      <c r="A83" s="1"/>
      <c r="B83" s="49" t="s">
        <v>4088</v>
      </c>
      <c r="C83" s="49" t="s">
        <v>200</v>
      </c>
      <c r="D83" s="49" t="s">
        <v>4089</v>
      </c>
      <c r="E83" s="49" t="s">
        <v>4090</v>
      </c>
      <c r="F83" s="1"/>
      <c r="G83" s="1"/>
      <c r="H83" s="1"/>
      <c r="I83" s="1"/>
      <c r="J83" s="10"/>
      <c r="K83" s="1"/>
      <c r="L83" s="1"/>
      <c r="M83" s="1"/>
      <c r="N83" s="1"/>
      <c r="O83" s="1"/>
      <c r="P83" s="1"/>
      <c r="Q83" s="1"/>
      <c r="R83" s="1"/>
      <c r="S83" s="1"/>
      <c r="T83" s="1"/>
      <c r="U83" s="1"/>
      <c r="V83" s="1"/>
      <c r="W83" s="1"/>
      <c r="X83" s="1"/>
      <c r="Y83" s="1"/>
      <c r="Z83" s="1"/>
    </row>
    <row r="84" ht="19.5" customHeight="1">
      <c r="A84" s="1"/>
      <c r="B84" s="84" t="s">
        <v>4108</v>
      </c>
      <c r="C84" s="156" t="s">
        <v>2326</v>
      </c>
      <c r="D84" s="156" t="s">
        <v>4109</v>
      </c>
      <c r="E84" s="18"/>
      <c r="F84" s="1"/>
      <c r="G84" s="1"/>
      <c r="H84" s="1"/>
      <c r="I84" s="1"/>
      <c r="J84" s="10"/>
      <c r="K84" s="1"/>
      <c r="L84" s="1"/>
      <c r="M84" s="1"/>
      <c r="N84" s="1"/>
      <c r="O84" s="1"/>
      <c r="P84" s="1"/>
      <c r="Q84" s="1"/>
      <c r="R84" s="1"/>
      <c r="S84" s="1"/>
      <c r="T84" s="1"/>
      <c r="U84" s="1"/>
      <c r="V84" s="1"/>
      <c r="W84" s="1"/>
      <c r="X84" s="1"/>
      <c r="Y84" s="1"/>
      <c r="Z84" s="1"/>
    </row>
    <row r="85" ht="19.5" customHeight="1">
      <c r="A85" s="1"/>
      <c r="B85" s="84"/>
      <c r="C85" s="156" t="s">
        <v>2326</v>
      </c>
      <c r="D85" s="156" t="s">
        <v>4110</v>
      </c>
      <c r="E85" s="18"/>
      <c r="F85" s="1"/>
      <c r="G85" s="1"/>
      <c r="H85" s="1"/>
      <c r="I85" s="1"/>
      <c r="J85" s="10"/>
      <c r="K85" s="1"/>
      <c r="L85" s="1"/>
      <c r="M85" s="1"/>
      <c r="N85" s="1"/>
      <c r="O85" s="1"/>
      <c r="P85" s="1"/>
      <c r="Q85" s="1"/>
      <c r="R85" s="1"/>
      <c r="S85" s="1"/>
      <c r="T85" s="1"/>
      <c r="U85" s="1"/>
      <c r="V85" s="1"/>
      <c r="W85" s="1"/>
      <c r="X85" s="1"/>
      <c r="Y85" s="1"/>
      <c r="Z85" s="1"/>
    </row>
    <row r="86" ht="19.5" customHeight="1">
      <c r="A86" s="1"/>
      <c r="B86" s="84"/>
      <c r="C86" s="156" t="s">
        <v>2326</v>
      </c>
      <c r="D86" s="156" t="s">
        <v>4111</v>
      </c>
      <c r="E86" s="18"/>
      <c r="F86" s="1"/>
      <c r="G86" s="1"/>
      <c r="H86" s="1"/>
      <c r="I86" s="1"/>
      <c r="J86" s="1"/>
      <c r="K86" s="1"/>
      <c r="L86" s="1"/>
      <c r="M86" s="1"/>
      <c r="N86" s="1"/>
      <c r="O86" s="1"/>
      <c r="P86" s="1"/>
      <c r="Q86" s="1"/>
      <c r="R86" s="1"/>
      <c r="S86" s="1"/>
      <c r="T86" s="1"/>
      <c r="U86" s="1"/>
      <c r="V86" s="1"/>
      <c r="W86" s="1"/>
      <c r="X86" s="1"/>
      <c r="Y86" s="1"/>
      <c r="Z86" s="1"/>
    </row>
    <row r="87" ht="19.5" customHeight="1">
      <c r="A87" s="1"/>
      <c r="B87" s="103" t="s">
        <v>4065</v>
      </c>
      <c r="C87" s="13"/>
      <c r="D87" s="13"/>
      <c r="E87" s="14"/>
      <c r="F87" s="1"/>
      <c r="G87" s="1"/>
      <c r="H87" s="1"/>
      <c r="I87" s="1"/>
      <c r="J87" s="10"/>
      <c r="K87" s="1"/>
      <c r="L87" s="1"/>
      <c r="M87" s="1"/>
      <c r="N87" s="1"/>
      <c r="O87" s="1"/>
      <c r="P87" s="1"/>
      <c r="Q87" s="1"/>
      <c r="R87" s="1"/>
      <c r="S87" s="1"/>
      <c r="T87" s="1"/>
      <c r="U87" s="1"/>
      <c r="V87" s="1"/>
      <c r="W87" s="1"/>
      <c r="X87" s="1"/>
      <c r="Y87" s="1"/>
      <c r="Z87" s="1"/>
    </row>
    <row r="88" ht="19.5" customHeight="1">
      <c r="A88" s="1"/>
      <c r="B88" s="49" t="s">
        <v>4088</v>
      </c>
      <c r="C88" s="49" t="s">
        <v>200</v>
      </c>
      <c r="D88" s="49" t="s">
        <v>4089</v>
      </c>
      <c r="E88" s="49" t="s">
        <v>4090</v>
      </c>
      <c r="F88" s="1"/>
      <c r="G88" s="1"/>
      <c r="H88" s="1"/>
      <c r="I88" s="10"/>
      <c r="J88" s="10"/>
      <c r="K88" s="1"/>
      <c r="L88" s="1"/>
      <c r="M88" s="1"/>
      <c r="N88" s="1"/>
      <c r="O88" s="1"/>
      <c r="P88" s="1"/>
      <c r="Q88" s="1"/>
      <c r="R88" s="1"/>
      <c r="S88" s="1"/>
      <c r="T88" s="1"/>
      <c r="U88" s="1"/>
      <c r="V88" s="1"/>
      <c r="W88" s="1"/>
      <c r="X88" s="1"/>
      <c r="Y88" s="1"/>
      <c r="Z88" s="1"/>
    </row>
    <row r="89" ht="19.5" customHeight="1">
      <c r="A89" s="1"/>
      <c r="B89" s="84" t="s">
        <v>4112</v>
      </c>
      <c r="C89" s="156" t="s">
        <v>2326</v>
      </c>
      <c r="D89" s="156" t="s">
        <v>4113</v>
      </c>
      <c r="E89" s="18"/>
      <c r="F89" s="1"/>
      <c r="G89" s="1"/>
      <c r="H89" s="1"/>
      <c r="I89" s="1"/>
      <c r="J89" s="10"/>
      <c r="K89" s="1"/>
      <c r="L89" s="1"/>
      <c r="M89" s="1"/>
      <c r="N89" s="1"/>
      <c r="O89" s="1"/>
      <c r="P89" s="1"/>
      <c r="Q89" s="1"/>
      <c r="R89" s="1"/>
      <c r="S89" s="1"/>
      <c r="T89" s="1"/>
      <c r="U89" s="1"/>
      <c r="V89" s="1"/>
      <c r="W89" s="1"/>
      <c r="X89" s="1"/>
      <c r="Y89" s="1"/>
      <c r="Z89" s="1"/>
    </row>
    <row r="90" ht="19.5" customHeight="1">
      <c r="A90" s="1"/>
      <c r="B90" s="84"/>
      <c r="C90" s="156" t="s">
        <v>2326</v>
      </c>
      <c r="D90" s="156" t="s">
        <v>4114</v>
      </c>
      <c r="E90" s="18"/>
      <c r="F90" s="1"/>
      <c r="G90" s="1"/>
      <c r="H90" s="1"/>
      <c r="I90" s="1"/>
      <c r="J90" s="10"/>
      <c r="K90" s="1"/>
      <c r="L90" s="1"/>
      <c r="M90" s="1"/>
      <c r="N90" s="1"/>
      <c r="O90" s="1"/>
      <c r="P90" s="1"/>
      <c r="Q90" s="1"/>
      <c r="R90" s="1"/>
      <c r="S90" s="1"/>
      <c r="T90" s="1"/>
      <c r="U90" s="1"/>
      <c r="V90" s="1"/>
      <c r="W90" s="1"/>
      <c r="X90" s="1"/>
      <c r="Y90" s="1"/>
      <c r="Z90" s="1"/>
    </row>
    <row r="91" ht="19.5" customHeight="1">
      <c r="A91" s="1"/>
      <c r="B91" s="84"/>
      <c r="C91" s="156" t="s">
        <v>2326</v>
      </c>
      <c r="D91" s="156" t="s">
        <v>4115</v>
      </c>
      <c r="E91" s="18"/>
      <c r="F91" s="1"/>
      <c r="G91" s="1"/>
      <c r="H91" s="1"/>
      <c r="I91" s="1"/>
      <c r="J91" s="1"/>
      <c r="K91" s="1"/>
      <c r="L91" s="1"/>
      <c r="M91" s="1"/>
      <c r="N91" s="1"/>
      <c r="O91" s="1"/>
      <c r="P91" s="1"/>
      <c r="Q91" s="1"/>
      <c r="R91" s="1"/>
      <c r="S91" s="1"/>
      <c r="T91" s="1"/>
      <c r="U91" s="1"/>
      <c r="V91" s="1"/>
      <c r="W91" s="1"/>
      <c r="X91" s="1"/>
      <c r="Y91" s="1"/>
      <c r="Z91" s="1"/>
    </row>
    <row r="92" ht="19.5" customHeight="1">
      <c r="A92" s="1"/>
      <c r="B92" s="103" t="s">
        <v>4072</v>
      </c>
      <c r="C92" s="13"/>
      <c r="D92" s="13"/>
      <c r="E92" s="14"/>
      <c r="F92" s="1"/>
      <c r="G92" s="1"/>
      <c r="H92" s="1"/>
      <c r="I92" s="1"/>
      <c r="J92" s="10"/>
      <c r="K92" s="1"/>
      <c r="L92" s="1"/>
      <c r="M92" s="1"/>
      <c r="N92" s="1"/>
      <c r="O92" s="1"/>
      <c r="P92" s="1"/>
      <c r="Q92" s="1"/>
      <c r="R92" s="1"/>
      <c r="S92" s="1"/>
      <c r="T92" s="1"/>
      <c r="U92" s="1"/>
      <c r="V92" s="1"/>
      <c r="W92" s="1"/>
      <c r="X92" s="1"/>
      <c r="Y92" s="1"/>
      <c r="Z92" s="1"/>
    </row>
    <row r="93" ht="19.5" customHeight="1">
      <c r="A93" s="1"/>
      <c r="B93" s="49" t="s">
        <v>4088</v>
      </c>
      <c r="C93" s="49" t="s">
        <v>200</v>
      </c>
      <c r="D93" s="49" t="s">
        <v>4089</v>
      </c>
      <c r="E93" s="49" t="s">
        <v>4090</v>
      </c>
      <c r="F93" s="1"/>
      <c r="G93" s="1"/>
      <c r="H93" s="1"/>
      <c r="I93" s="1"/>
      <c r="J93" s="10"/>
      <c r="K93" s="1"/>
      <c r="L93" s="1"/>
      <c r="M93" s="1"/>
      <c r="N93" s="1"/>
      <c r="O93" s="1"/>
      <c r="P93" s="1"/>
      <c r="Q93" s="1"/>
      <c r="R93" s="1"/>
      <c r="S93" s="1"/>
      <c r="T93" s="1"/>
      <c r="U93" s="1"/>
      <c r="V93" s="1"/>
      <c r="W93" s="1"/>
      <c r="X93" s="1"/>
      <c r="Y93" s="1"/>
      <c r="Z93" s="1"/>
    </row>
    <row r="94" ht="19.5" customHeight="1">
      <c r="A94" s="1"/>
      <c r="B94" s="84" t="s">
        <v>4116</v>
      </c>
      <c r="C94" s="156" t="s">
        <v>2326</v>
      </c>
      <c r="D94" s="156" t="s">
        <v>4117</v>
      </c>
      <c r="E94" s="18"/>
      <c r="F94" s="1"/>
      <c r="G94" s="1"/>
      <c r="H94" s="1"/>
      <c r="I94" s="1"/>
      <c r="J94" s="10"/>
      <c r="K94" s="1"/>
      <c r="L94" s="1"/>
      <c r="M94" s="1"/>
      <c r="N94" s="1"/>
      <c r="O94" s="1"/>
      <c r="P94" s="1"/>
      <c r="Q94" s="1"/>
      <c r="R94" s="1"/>
      <c r="S94" s="1"/>
      <c r="T94" s="1"/>
      <c r="U94" s="1"/>
      <c r="V94" s="1"/>
      <c r="W94" s="1"/>
      <c r="X94" s="1"/>
      <c r="Y94" s="1"/>
      <c r="Z94" s="1"/>
    </row>
    <row r="95" ht="19.5" customHeight="1">
      <c r="A95" s="1"/>
      <c r="B95" s="84"/>
      <c r="C95" s="156" t="s">
        <v>2326</v>
      </c>
      <c r="D95" s="156" t="s">
        <v>4118</v>
      </c>
      <c r="E95" s="18"/>
      <c r="F95" s="1"/>
      <c r="G95" s="1"/>
      <c r="H95" s="1"/>
      <c r="I95" s="1"/>
      <c r="J95" s="10"/>
      <c r="K95" s="1"/>
      <c r="L95" s="1"/>
      <c r="M95" s="1"/>
      <c r="N95" s="1"/>
      <c r="O95" s="1"/>
      <c r="P95" s="1"/>
      <c r="Q95" s="1"/>
      <c r="R95" s="1"/>
      <c r="S95" s="1"/>
      <c r="T95" s="1"/>
      <c r="U95" s="1"/>
      <c r="V95" s="1"/>
      <c r="W95" s="1"/>
      <c r="X95" s="1"/>
      <c r="Y95" s="1"/>
      <c r="Z95" s="1"/>
    </row>
    <row r="96" ht="19.5" customHeight="1">
      <c r="A96" s="1"/>
      <c r="B96" s="84"/>
      <c r="C96" s="156" t="s">
        <v>2326</v>
      </c>
      <c r="D96" s="156" t="s">
        <v>4119</v>
      </c>
      <c r="E96" s="18"/>
      <c r="F96" s="1"/>
      <c r="G96" s="10"/>
      <c r="H96" s="1"/>
      <c r="I96" s="1"/>
      <c r="J96" s="1"/>
      <c r="K96" s="1"/>
      <c r="L96" s="1"/>
      <c r="M96" s="1"/>
      <c r="N96" s="1"/>
      <c r="O96" s="1"/>
      <c r="P96" s="1"/>
      <c r="Q96" s="1"/>
      <c r="R96" s="1"/>
      <c r="S96" s="1"/>
      <c r="T96" s="1"/>
      <c r="U96" s="1"/>
      <c r="V96" s="1"/>
      <c r="W96" s="1"/>
      <c r="X96" s="1"/>
      <c r="Y96" s="1"/>
      <c r="Z96" s="1"/>
    </row>
    <row r="97" ht="19.5" customHeight="1">
      <c r="A97" s="1"/>
      <c r="B97" s="84"/>
      <c r="C97" s="156" t="s">
        <v>2326</v>
      </c>
      <c r="D97" s="156" t="s">
        <v>4120</v>
      </c>
      <c r="E97" s="18"/>
      <c r="F97" s="1"/>
      <c r="G97" s="10"/>
      <c r="H97" s="1"/>
      <c r="I97" s="1"/>
      <c r="J97" s="10"/>
      <c r="K97" s="1"/>
      <c r="L97" s="1"/>
      <c r="M97" s="1"/>
      <c r="N97" s="1"/>
      <c r="O97" s="1"/>
      <c r="P97" s="1"/>
      <c r="Q97" s="1"/>
      <c r="R97" s="1"/>
      <c r="S97" s="1"/>
      <c r="T97" s="1"/>
      <c r="U97" s="1"/>
      <c r="V97" s="1"/>
      <c r="W97" s="1"/>
      <c r="X97" s="1"/>
      <c r="Y97" s="1"/>
      <c r="Z97" s="1"/>
    </row>
    <row r="98" ht="19.5" customHeight="1">
      <c r="A98" s="1"/>
      <c r="B98" s="84"/>
      <c r="C98" s="156" t="s">
        <v>2326</v>
      </c>
      <c r="D98" s="156" t="s">
        <v>4121</v>
      </c>
      <c r="E98" s="18"/>
      <c r="F98" s="1"/>
      <c r="G98" s="10"/>
      <c r="H98" s="1"/>
      <c r="I98" s="1"/>
      <c r="J98" s="10"/>
      <c r="K98" s="1"/>
      <c r="L98" s="1"/>
      <c r="M98" s="1"/>
      <c r="N98" s="1"/>
      <c r="O98" s="1"/>
      <c r="P98" s="1"/>
      <c r="Q98" s="1"/>
      <c r="R98" s="1"/>
      <c r="S98" s="1"/>
      <c r="T98" s="1"/>
      <c r="U98" s="1"/>
      <c r="V98" s="1"/>
      <c r="W98" s="1"/>
      <c r="X98" s="1"/>
      <c r="Y98" s="1"/>
      <c r="Z98" s="1"/>
    </row>
    <row r="99" ht="19.5" customHeight="1">
      <c r="A99" s="1"/>
      <c r="B99" s="84"/>
      <c r="C99" s="156" t="s">
        <v>2326</v>
      </c>
      <c r="D99" s="156" t="s">
        <v>4122</v>
      </c>
      <c r="E99" s="18"/>
      <c r="F99" s="1"/>
      <c r="G99" s="10"/>
      <c r="H99" s="1"/>
      <c r="I99" s="10"/>
      <c r="J99" s="10"/>
      <c r="K99" s="1"/>
      <c r="L99" s="1"/>
      <c r="M99" s="1"/>
      <c r="N99" s="1"/>
      <c r="O99" s="1"/>
      <c r="P99" s="1"/>
      <c r="Q99" s="1"/>
      <c r="R99" s="1"/>
      <c r="S99" s="1"/>
      <c r="T99" s="1"/>
      <c r="U99" s="1"/>
      <c r="V99" s="1"/>
      <c r="W99" s="1"/>
      <c r="X99" s="1"/>
      <c r="Y99" s="1"/>
      <c r="Z99" s="1"/>
    </row>
    <row r="100" ht="19.5" customHeight="1">
      <c r="A100" s="1"/>
      <c r="B100" s="84"/>
      <c r="C100" s="156" t="s">
        <v>2326</v>
      </c>
      <c r="D100" s="156" t="s">
        <v>4123</v>
      </c>
      <c r="E100" s="18"/>
      <c r="F100" s="1"/>
      <c r="G100" s="10"/>
      <c r="H100" s="1"/>
      <c r="I100" s="10"/>
      <c r="J100" s="10"/>
      <c r="K100" s="1"/>
      <c r="L100" s="1"/>
      <c r="M100" s="1"/>
      <c r="N100" s="1"/>
      <c r="O100" s="1"/>
      <c r="P100" s="1"/>
      <c r="Q100" s="1"/>
      <c r="R100" s="1"/>
      <c r="S100" s="1"/>
      <c r="T100" s="1"/>
      <c r="U100" s="1"/>
      <c r="V100" s="1"/>
      <c r="W100" s="1"/>
      <c r="X100" s="1"/>
      <c r="Y100" s="1"/>
      <c r="Z100" s="1"/>
    </row>
    <row r="101" ht="19.5" customHeight="1">
      <c r="A101" s="1"/>
      <c r="B101" s="84"/>
      <c r="C101" s="156" t="s">
        <v>2326</v>
      </c>
      <c r="D101" s="156" t="s">
        <v>4124</v>
      </c>
      <c r="E101" s="18"/>
      <c r="F101" s="1"/>
      <c r="G101" s="10"/>
      <c r="H101" s="1"/>
      <c r="I101" s="10"/>
      <c r="J101" s="10"/>
      <c r="K101" s="1"/>
      <c r="L101" s="1"/>
      <c r="M101" s="1"/>
      <c r="N101" s="1"/>
      <c r="O101" s="1"/>
      <c r="P101" s="1"/>
      <c r="Q101" s="1"/>
      <c r="R101" s="1"/>
      <c r="S101" s="1"/>
      <c r="T101" s="1"/>
      <c r="U101" s="1"/>
      <c r="V101" s="1"/>
      <c r="W101" s="1"/>
      <c r="X101" s="1"/>
      <c r="Y101" s="1"/>
      <c r="Z101" s="1"/>
    </row>
    <row r="102" ht="19.5" customHeight="1">
      <c r="A102" s="1"/>
      <c r="B102" s="84"/>
      <c r="C102" s="156" t="s">
        <v>2326</v>
      </c>
      <c r="D102" s="156" t="s">
        <v>4125</v>
      </c>
      <c r="E102" s="18"/>
      <c r="F102" s="1"/>
      <c r="G102" s="10"/>
      <c r="H102" s="1"/>
      <c r="I102" s="10"/>
      <c r="J102" s="10"/>
      <c r="K102" s="1"/>
      <c r="L102" s="1"/>
      <c r="M102" s="1"/>
      <c r="N102" s="1"/>
      <c r="O102" s="1"/>
      <c r="P102" s="1"/>
      <c r="Q102" s="1"/>
      <c r="R102" s="1"/>
      <c r="S102" s="1"/>
      <c r="T102" s="1"/>
      <c r="U102" s="1"/>
      <c r="V102" s="1"/>
      <c r="W102" s="1"/>
      <c r="X102" s="1"/>
      <c r="Y102" s="1"/>
      <c r="Z102" s="1"/>
    </row>
    <row r="103" ht="19.5" customHeight="1">
      <c r="A103" s="1"/>
      <c r="B103" s="84"/>
      <c r="C103" s="156" t="s">
        <v>2326</v>
      </c>
      <c r="D103" s="156" t="s">
        <v>4126</v>
      </c>
      <c r="E103" s="18"/>
      <c r="F103" s="1"/>
      <c r="G103" s="10"/>
      <c r="H103" s="1"/>
      <c r="I103" s="10"/>
      <c r="J103" s="10"/>
      <c r="K103" s="1"/>
      <c r="L103" s="1"/>
      <c r="M103" s="1"/>
      <c r="N103" s="1"/>
      <c r="O103" s="1"/>
      <c r="P103" s="1"/>
      <c r="Q103" s="1"/>
      <c r="R103" s="1"/>
      <c r="S103" s="1"/>
      <c r="T103" s="1"/>
      <c r="U103" s="1"/>
      <c r="V103" s="1"/>
      <c r="W103" s="1"/>
      <c r="X103" s="1"/>
      <c r="Y103" s="1"/>
      <c r="Z103" s="1"/>
    </row>
    <row r="104" ht="19.5" customHeight="1">
      <c r="A104" s="1"/>
      <c r="B104" s="84"/>
      <c r="C104" s="156" t="s">
        <v>2326</v>
      </c>
      <c r="D104" s="156" t="s">
        <v>4127</v>
      </c>
      <c r="E104" s="18"/>
      <c r="F104" s="1"/>
      <c r="G104" s="10"/>
      <c r="H104" s="1"/>
      <c r="I104" s="10"/>
      <c r="J104" s="10"/>
      <c r="K104" s="1"/>
      <c r="L104" s="1"/>
      <c r="M104" s="1"/>
      <c r="N104" s="1"/>
      <c r="O104" s="1"/>
      <c r="P104" s="1"/>
      <c r="Q104" s="1"/>
      <c r="R104" s="1"/>
      <c r="S104" s="1"/>
      <c r="T104" s="1"/>
      <c r="U104" s="1"/>
      <c r="V104" s="1"/>
      <c r="W104" s="1"/>
      <c r="X104" s="1"/>
      <c r="Y104" s="1"/>
      <c r="Z104" s="1"/>
    </row>
    <row r="105" ht="19.5" customHeight="1">
      <c r="A105" s="1"/>
      <c r="B105" s="84"/>
      <c r="C105" s="156" t="s">
        <v>2326</v>
      </c>
      <c r="D105" s="156" t="s">
        <v>4128</v>
      </c>
      <c r="E105" s="18"/>
      <c r="F105" s="1"/>
      <c r="G105" s="10"/>
      <c r="H105" s="1"/>
      <c r="I105" s="10"/>
      <c r="J105" s="10"/>
      <c r="K105" s="1"/>
      <c r="L105" s="1"/>
      <c r="M105" s="1"/>
      <c r="N105" s="1"/>
      <c r="O105" s="1"/>
      <c r="P105" s="1"/>
      <c r="Q105" s="1"/>
      <c r="R105" s="1"/>
      <c r="S105" s="1"/>
      <c r="T105" s="1"/>
      <c r="U105" s="1"/>
      <c r="V105" s="1"/>
      <c r="W105" s="1"/>
      <c r="X105" s="1"/>
      <c r="Y105" s="1"/>
      <c r="Z105" s="1"/>
    </row>
    <row r="106" ht="19.5" customHeight="1">
      <c r="A106" s="1"/>
      <c r="B106" s="1"/>
      <c r="C106" s="1"/>
      <c r="D106" s="1"/>
      <c r="E106" s="1"/>
      <c r="F106" s="1"/>
      <c r="G106" s="10"/>
      <c r="H106" s="1"/>
      <c r="I106" s="10"/>
      <c r="J106" s="10"/>
      <c r="K106" s="1"/>
      <c r="L106" s="1"/>
      <c r="M106" s="1"/>
      <c r="N106" s="1"/>
      <c r="O106" s="1"/>
      <c r="P106" s="1"/>
      <c r="Q106" s="1"/>
      <c r="R106" s="1"/>
      <c r="S106" s="1"/>
      <c r="T106" s="1"/>
      <c r="U106" s="1"/>
      <c r="V106" s="1"/>
      <c r="W106" s="1"/>
      <c r="X106" s="1"/>
      <c r="Y106" s="1"/>
      <c r="Z106" s="1"/>
    </row>
    <row r="107" ht="19.5" customHeight="1">
      <c r="A107" s="1"/>
      <c r="B107" s="1"/>
      <c r="C107" s="1"/>
      <c r="D107" s="1"/>
      <c r="E107" s="1"/>
      <c r="F107" s="1"/>
      <c r="G107" s="10"/>
      <c r="H107" s="1"/>
      <c r="I107" s="10"/>
      <c r="J107" s="10"/>
      <c r="K107" s="1"/>
      <c r="L107" s="1"/>
      <c r="M107" s="1"/>
      <c r="N107" s="1"/>
      <c r="O107" s="1"/>
      <c r="P107" s="1"/>
      <c r="Q107" s="1"/>
      <c r="R107" s="1"/>
      <c r="S107" s="1"/>
      <c r="T107" s="1"/>
      <c r="U107" s="1"/>
      <c r="V107" s="1"/>
      <c r="W107" s="1"/>
      <c r="X107" s="1"/>
      <c r="Y107" s="1"/>
      <c r="Z107" s="1"/>
    </row>
    <row r="108" ht="19.5" customHeight="1">
      <c r="A108" s="1"/>
      <c r="B108" s="1"/>
      <c r="C108" s="1"/>
      <c r="D108" s="1"/>
      <c r="E108" s="1"/>
      <c r="F108" s="1"/>
      <c r="G108" s="1"/>
      <c r="H108" s="1"/>
      <c r="I108" s="10"/>
      <c r="J108" s="10"/>
      <c r="K108" s="1"/>
      <c r="L108" s="1"/>
      <c r="M108" s="1"/>
      <c r="N108" s="1"/>
      <c r="O108" s="1"/>
      <c r="P108" s="1"/>
      <c r="Q108" s="1"/>
      <c r="R108" s="1"/>
      <c r="S108" s="1"/>
      <c r="T108" s="1"/>
      <c r="U108" s="1"/>
      <c r="V108" s="1"/>
      <c r="W108" s="1"/>
      <c r="X108" s="1"/>
      <c r="Y108" s="1"/>
      <c r="Z108" s="1"/>
    </row>
    <row r="109" ht="19.5" customHeight="1">
      <c r="A109" s="1"/>
      <c r="B109" s="1"/>
      <c r="C109" s="1"/>
      <c r="D109" s="1"/>
      <c r="E109" s="1"/>
      <c r="F109" s="1"/>
      <c r="G109" s="1"/>
      <c r="H109" s="1"/>
      <c r="I109" s="10"/>
      <c r="J109" s="10"/>
      <c r="K109" s="1"/>
      <c r="L109" s="1"/>
      <c r="M109" s="1"/>
      <c r="N109" s="1"/>
      <c r="O109" s="1"/>
      <c r="P109" s="1"/>
      <c r="Q109" s="1"/>
      <c r="R109" s="1"/>
      <c r="S109" s="1"/>
      <c r="T109" s="1"/>
      <c r="U109" s="1"/>
      <c r="V109" s="1"/>
      <c r="W109" s="1"/>
      <c r="X109" s="1"/>
      <c r="Y109" s="1"/>
      <c r="Z109" s="1"/>
    </row>
    <row r="110" ht="19.5" customHeight="1">
      <c r="A110" s="1"/>
      <c r="B110" s="1"/>
      <c r="C110" s="1"/>
      <c r="D110" s="1"/>
      <c r="E110" s="1"/>
      <c r="F110" s="1"/>
      <c r="G110" s="1"/>
      <c r="H110" s="1"/>
      <c r="I110" s="10"/>
      <c r="J110" s="10"/>
      <c r="K110" s="1"/>
      <c r="L110" s="1"/>
      <c r="M110" s="1"/>
      <c r="N110" s="1"/>
      <c r="O110" s="1"/>
      <c r="P110" s="1"/>
      <c r="Q110" s="1"/>
      <c r="R110" s="1"/>
      <c r="S110" s="1"/>
      <c r="T110" s="1"/>
      <c r="U110" s="1"/>
      <c r="V110" s="1"/>
      <c r="W110" s="1"/>
      <c r="X110" s="1"/>
      <c r="Y110" s="1"/>
      <c r="Z110" s="1"/>
    </row>
    <row r="111" ht="19.5" customHeight="1">
      <c r="A111" s="1"/>
      <c r="B111" s="1"/>
      <c r="C111" s="1"/>
      <c r="D111" s="1"/>
      <c r="E111" s="1"/>
      <c r="F111" s="1"/>
      <c r="G111" s="1"/>
      <c r="H111" s="1"/>
      <c r="I111" s="1"/>
      <c r="J111" s="10"/>
      <c r="K111" s="1"/>
      <c r="L111" s="1"/>
      <c r="M111" s="1"/>
      <c r="N111" s="1"/>
      <c r="O111" s="1"/>
      <c r="P111" s="1"/>
      <c r="Q111" s="1"/>
      <c r="R111" s="1"/>
      <c r="S111" s="1"/>
      <c r="T111" s="1"/>
      <c r="U111" s="1"/>
      <c r="V111" s="1"/>
      <c r="W111" s="1"/>
      <c r="X111" s="1"/>
      <c r="Y111" s="1"/>
      <c r="Z111" s="1"/>
    </row>
    <row r="112" ht="19.5" customHeight="1">
      <c r="A112" s="1"/>
      <c r="B112" s="1"/>
      <c r="C112" s="1"/>
      <c r="D112" s="1"/>
      <c r="E112" s="1"/>
      <c r="F112" s="1"/>
      <c r="G112" s="1"/>
      <c r="H112" s="1"/>
      <c r="I112" s="1"/>
      <c r="J112" s="10"/>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0"/>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0"/>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0"/>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0"/>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0"/>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0"/>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0"/>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0"/>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0"/>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0"/>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0"/>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0"/>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0"/>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0"/>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0"/>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0"/>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0"/>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0"/>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0"/>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0"/>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0"/>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0"/>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0"/>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0"/>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0"/>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0"/>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0"/>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0"/>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0"/>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0"/>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0"/>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0"/>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0"/>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0"/>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0"/>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0"/>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0"/>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0"/>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0"/>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0"/>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0"/>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0"/>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0"/>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0"/>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0"/>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0"/>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0"/>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0"/>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0"/>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0"/>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0"/>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0"/>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0"/>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0"/>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0"/>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0"/>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0"/>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0"/>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0"/>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0"/>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0"/>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0"/>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0"/>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0"/>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0"/>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0"/>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0"/>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0"/>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0"/>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0"/>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0"/>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0"/>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0"/>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0"/>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0"/>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0"/>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0"/>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0"/>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0"/>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0"/>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0"/>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0"/>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0"/>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0"/>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0"/>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0"/>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0"/>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0"/>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0"/>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0"/>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0"/>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0"/>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0"/>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0"/>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0"/>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0"/>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0"/>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0"/>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0"/>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0"/>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0"/>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0"/>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0"/>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0"/>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0"/>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0"/>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0"/>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0"/>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0"/>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0"/>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0"/>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0"/>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0"/>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0"/>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0"/>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0"/>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0"/>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0"/>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0"/>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0"/>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0"/>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0"/>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0"/>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0"/>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0"/>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0"/>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0"/>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0"/>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0"/>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0"/>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0"/>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0"/>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0"/>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0"/>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0"/>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0"/>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0"/>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0"/>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0"/>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0"/>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0"/>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0"/>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0"/>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0"/>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0"/>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0"/>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0"/>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0"/>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0"/>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0"/>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0"/>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0"/>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0"/>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0"/>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0"/>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0"/>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0"/>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0"/>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0"/>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0"/>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0"/>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0"/>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0"/>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0"/>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0"/>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0"/>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0"/>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0"/>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0"/>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0"/>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0"/>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0"/>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0"/>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0"/>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0"/>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0"/>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0"/>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0"/>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0"/>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0"/>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0"/>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0"/>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0"/>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0"/>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0"/>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0"/>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0"/>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0"/>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0"/>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0"/>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0"/>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0"/>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0"/>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0"/>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0"/>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0"/>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0"/>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0"/>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0"/>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0"/>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0"/>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0"/>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0"/>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0"/>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0"/>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0"/>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0"/>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0"/>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0"/>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0"/>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0"/>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0"/>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0"/>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0"/>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0"/>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0"/>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0"/>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0"/>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0"/>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0"/>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0"/>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0"/>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0"/>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0"/>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0"/>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0"/>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0"/>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0"/>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0"/>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0"/>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0"/>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0"/>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0"/>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0"/>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0"/>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0"/>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0"/>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0"/>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0"/>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0"/>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0"/>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0"/>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0"/>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0"/>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0"/>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0"/>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0"/>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0"/>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0"/>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0"/>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0"/>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0"/>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0"/>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0"/>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0"/>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0"/>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0"/>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0"/>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0"/>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0"/>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0"/>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0"/>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0"/>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0"/>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0"/>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0"/>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0"/>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0"/>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0"/>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0"/>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0"/>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0"/>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0"/>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0"/>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0"/>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0"/>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0"/>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0"/>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0"/>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0"/>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0"/>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0"/>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0"/>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0"/>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0"/>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0"/>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0"/>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0"/>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0"/>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0"/>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0"/>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0"/>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0"/>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0"/>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0"/>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0"/>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0"/>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0"/>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0"/>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0"/>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0"/>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0"/>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0"/>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0"/>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0"/>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0"/>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0"/>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0"/>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0"/>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0"/>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0"/>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0"/>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0"/>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0"/>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0"/>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0"/>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0"/>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0"/>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0"/>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0"/>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0"/>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0"/>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0"/>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0"/>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0"/>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0"/>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0"/>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0"/>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0"/>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0"/>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0"/>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0"/>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0"/>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0"/>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0"/>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0"/>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0"/>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0"/>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0"/>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0"/>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0"/>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0"/>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0"/>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0"/>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0"/>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0"/>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0"/>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0"/>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0"/>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0"/>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0"/>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0"/>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0"/>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0"/>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0"/>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0"/>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0"/>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0"/>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0"/>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0"/>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0"/>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0"/>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0"/>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0"/>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0"/>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0"/>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0"/>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0"/>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0"/>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0"/>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0"/>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0"/>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0"/>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0"/>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0"/>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0"/>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0"/>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0"/>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0"/>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0"/>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0"/>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0"/>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0"/>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0"/>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0"/>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0"/>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0"/>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0"/>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0"/>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0"/>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0"/>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0"/>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0"/>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0"/>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0"/>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0"/>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0"/>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0"/>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0"/>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0"/>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0"/>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0"/>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0"/>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0"/>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0"/>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0"/>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0"/>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0"/>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0"/>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0"/>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0"/>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0"/>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0"/>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0"/>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0"/>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0"/>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0"/>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0"/>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0"/>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0"/>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0"/>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0"/>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0"/>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0"/>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0"/>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0"/>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0"/>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0"/>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0"/>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0"/>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0"/>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0"/>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0"/>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0"/>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0"/>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0"/>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0"/>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0"/>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0"/>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0"/>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0"/>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0"/>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0"/>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0"/>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0"/>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0"/>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0"/>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0"/>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0"/>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0"/>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0"/>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0"/>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0"/>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0"/>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0"/>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0"/>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0"/>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0"/>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0"/>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0"/>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0"/>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0"/>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0"/>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0"/>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0"/>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0"/>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0"/>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0"/>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0"/>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0"/>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0"/>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0"/>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0"/>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0"/>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0"/>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0"/>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0"/>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0"/>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0"/>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0"/>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0"/>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0"/>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0"/>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0"/>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0"/>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0"/>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0"/>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0"/>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0"/>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0"/>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0"/>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0"/>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0"/>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0"/>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0"/>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0"/>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0"/>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0"/>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0"/>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0"/>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0"/>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0"/>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0"/>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0"/>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0"/>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0"/>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0"/>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0"/>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0"/>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0"/>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0"/>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0"/>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0"/>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0"/>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0"/>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0"/>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0"/>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0"/>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0"/>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0"/>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0"/>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0"/>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0"/>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0"/>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0"/>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0"/>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0"/>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0"/>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0"/>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0"/>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0"/>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0"/>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0"/>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0"/>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0"/>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0"/>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0"/>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0"/>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0"/>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0"/>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0"/>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0"/>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0"/>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0"/>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0"/>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0"/>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0"/>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0"/>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0"/>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0"/>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0"/>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0"/>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0"/>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0"/>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0"/>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0"/>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0"/>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0"/>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0"/>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0"/>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0"/>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0"/>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0"/>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0"/>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0"/>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0"/>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0"/>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0"/>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0"/>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0"/>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0"/>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0"/>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0"/>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0"/>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0"/>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0"/>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0"/>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0"/>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0"/>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0"/>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0"/>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0"/>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0"/>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0"/>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0"/>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0"/>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0"/>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0"/>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0"/>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0"/>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0"/>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0"/>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0"/>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0"/>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0"/>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0"/>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0"/>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0"/>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0"/>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0"/>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0"/>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0"/>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0"/>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0"/>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0"/>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0"/>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0"/>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0"/>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0"/>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0"/>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0"/>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0"/>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0"/>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0"/>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0"/>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0"/>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0"/>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0"/>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0"/>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0"/>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0"/>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0"/>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0"/>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0"/>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0"/>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0"/>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0"/>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0"/>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0"/>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0"/>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0"/>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0"/>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0"/>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0"/>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0"/>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0"/>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0"/>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0"/>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0"/>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0"/>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0"/>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0"/>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0"/>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0"/>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0"/>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0"/>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0"/>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0"/>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0"/>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0"/>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0"/>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0"/>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0"/>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0"/>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0"/>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0"/>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0"/>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0"/>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0"/>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0"/>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0"/>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0"/>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0"/>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0"/>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0"/>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0"/>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0"/>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0"/>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0"/>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0"/>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0"/>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0"/>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0"/>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0"/>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0"/>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0"/>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0"/>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0"/>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0"/>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0"/>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0"/>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0"/>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0"/>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0"/>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0"/>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0"/>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0"/>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0"/>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0"/>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0"/>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0"/>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0"/>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0"/>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0"/>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0"/>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0"/>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0"/>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0"/>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0"/>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0"/>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0"/>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0"/>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0"/>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0"/>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0"/>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0"/>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0"/>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0"/>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0"/>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0"/>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0"/>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0"/>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0"/>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0"/>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0"/>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0"/>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0"/>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0"/>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0"/>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0"/>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0"/>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0"/>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0"/>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0"/>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0"/>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0"/>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0"/>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0"/>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0"/>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0"/>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0"/>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0"/>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0"/>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0"/>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0"/>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0"/>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0"/>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0"/>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0"/>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0"/>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0"/>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0"/>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0"/>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0"/>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0"/>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0"/>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0"/>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0"/>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0"/>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0"/>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0"/>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0"/>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0"/>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0"/>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0"/>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0"/>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0"/>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0"/>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0"/>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0"/>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0"/>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0"/>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0"/>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0"/>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0"/>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0"/>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0"/>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0"/>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0"/>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0"/>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0"/>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0"/>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0"/>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0"/>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0"/>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0"/>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0"/>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0"/>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0"/>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0"/>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0"/>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0"/>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0"/>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0"/>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0"/>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0"/>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0"/>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0"/>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0"/>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0"/>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0"/>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0"/>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0"/>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0"/>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0"/>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0"/>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0"/>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0"/>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0"/>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0"/>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0"/>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0"/>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0"/>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0"/>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0"/>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0"/>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0"/>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0"/>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0"/>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0"/>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0"/>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0"/>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0"/>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0"/>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0"/>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0"/>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0"/>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0"/>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0"/>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0"/>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0"/>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0"/>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0"/>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0"/>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0"/>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0"/>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0"/>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0"/>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0"/>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0"/>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0"/>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0"/>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0"/>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0"/>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0"/>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0"/>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0"/>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0"/>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0"/>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0"/>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0"/>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0"/>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0"/>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0"/>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0"/>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0"/>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0"/>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0"/>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0"/>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0"/>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0"/>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0"/>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0"/>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0"/>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0"/>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0"/>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0"/>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0"/>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0"/>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0"/>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0"/>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0"/>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0"/>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0"/>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0"/>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0"/>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0"/>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0"/>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0"/>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0"/>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0"/>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0"/>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0"/>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0"/>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0"/>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0"/>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0"/>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0"/>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0"/>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0"/>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0"/>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0"/>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0"/>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0"/>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0"/>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0"/>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0"/>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0"/>
      <c r="K1000" s="1"/>
      <c r="L1000" s="1"/>
      <c r="M1000" s="1"/>
      <c r="N1000" s="1"/>
      <c r="O1000" s="1"/>
      <c r="P1000" s="1"/>
      <c r="Q1000" s="1"/>
      <c r="R1000" s="1"/>
      <c r="S1000" s="1"/>
      <c r="T1000" s="1"/>
      <c r="U1000" s="1"/>
      <c r="V1000" s="1"/>
      <c r="W1000" s="1"/>
      <c r="X1000" s="1"/>
      <c r="Y1000" s="1"/>
      <c r="Z1000" s="1"/>
    </row>
  </sheetData>
  <mergeCells count="21">
    <mergeCell ref="B2:G2"/>
    <mergeCell ref="B6:G6"/>
    <mergeCell ref="B13:G13"/>
    <mergeCell ref="B14:G14"/>
    <mergeCell ref="B16:G16"/>
    <mergeCell ref="B21:G21"/>
    <mergeCell ref="B22:G22"/>
    <mergeCell ref="B57:E57"/>
    <mergeCell ref="B62:E62"/>
    <mergeCell ref="B73:E73"/>
    <mergeCell ref="B77:E77"/>
    <mergeCell ref="B82:E82"/>
    <mergeCell ref="B87:E87"/>
    <mergeCell ref="B92:E92"/>
    <mergeCell ref="B25:G25"/>
    <mergeCell ref="B30:G30"/>
    <mergeCell ref="B35:G35"/>
    <mergeCell ref="B42:G42"/>
    <mergeCell ref="B46:G46"/>
    <mergeCell ref="B51:E51"/>
    <mergeCell ref="B52:E52"/>
  </mergeCells>
  <conditionalFormatting sqref="B77 B78:E81">
    <cfRule type="expression" dxfId="3" priority="1">
      <formula>intelligent_logging_result="Excluded"</formula>
    </cfRule>
  </conditionalFormatting>
  <conditionalFormatting sqref="B92 B93:E105">
    <cfRule type="expression" dxfId="3" priority="2">
      <formula>private_cloud_result="Excluded"</formula>
    </cfRule>
  </conditionalFormatting>
  <conditionalFormatting sqref="B8:C8 E8:G8">
    <cfRule type="expression" dxfId="3" priority="3">
      <formula>vcf_aware_wsa_result="Excluded"</formula>
    </cfRule>
  </conditionalFormatting>
  <conditionalFormatting sqref="B9:C9 E9:G9">
    <cfRule type="expression" dxfId="3" priority="4">
      <formula>iam_result="Excluded"</formula>
    </cfRule>
  </conditionalFormatting>
  <conditionalFormatting sqref="B51:E51">
    <cfRule type="expression" dxfId="3" priority="5">
      <formula>AND((vrslcm_result="Excluded"),(vcf_aware_wsa_result="Excluded"),(iam_result="Excluded"),(intelligent_operations_result="Excluded"),(intelligent_logging_result="Excluded"),(private_cloud_result="Excluded"),(developer_ready_result="Excluded"))</formula>
    </cfRule>
  </conditionalFormatting>
  <conditionalFormatting sqref="B52:E56">
    <cfRule type="expression" dxfId="3" priority="6">
      <formula>vrslcm_result="Excluded"</formula>
    </cfRule>
  </conditionalFormatting>
  <conditionalFormatting sqref="B57:E61">
    <cfRule type="expression" dxfId="3" priority="7" stopIfTrue="1">
      <formula>vcf_aware_wsa_result="Excluded"</formula>
    </cfRule>
  </conditionalFormatting>
  <conditionalFormatting sqref="B73:E76">
    <cfRule type="expression" dxfId="3" priority="8">
      <formula>developer_ready_result="Excluded"</formula>
    </cfRule>
  </conditionalFormatting>
  <conditionalFormatting sqref="B62:E72 B73 B77 B78:E81">
    <cfRule type="expression" dxfId="3" priority="9">
      <formula>iam_result="Excluded"</formula>
    </cfRule>
  </conditionalFormatting>
  <conditionalFormatting sqref="B82:E86">
    <cfRule type="expression" dxfId="3" priority="10">
      <formula>intelligent_operations_result="Excluded"</formula>
    </cfRule>
  </conditionalFormatting>
  <conditionalFormatting sqref="B87:E91">
    <cfRule type="expression" dxfId="3" priority="11" stopIfTrue="1">
      <formula>inv_result="Excluded"</formula>
    </cfRule>
  </conditionalFormatting>
  <conditionalFormatting sqref="B6:G7">
    <cfRule type="expression" dxfId="3" priority="12">
      <formula>AND((vcf_aware_wsa_result="Excluded"),(iam_result="Excluded"))</formula>
    </cfRule>
  </conditionalFormatting>
  <conditionalFormatting sqref="B10:G10">
    <cfRule type="expression" dxfId="3" priority="13">
      <formula>vcf_aware_wsa_result="Excluded"</formula>
    </cfRule>
  </conditionalFormatting>
  <conditionalFormatting sqref="B11:G11">
    <cfRule type="expression" dxfId="3" priority="14">
      <formula>iam_result="Excluded"</formula>
    </cfRule>
  </conditionalFormatting>
  <conditionalFormatting sqref="B16:G19">
    <cfRule type="expression" dxfId="3" priority="15">
      <formula>iam_result="Excluded"</formula>
    </cfRule>
  </conditionalFormatting>
  <conditionalFormatting sqref="B21:G21">
    <cfRule type="expression" dxfId="3" priority="16">
      <formula>AND((private_cloud_result="Excluded"),(intelligent_operations_result="Excluded"))</formula>
    </cfRule>
  </conditionalFormatting>
  <conditionalFormatting sqref="B22:G24">
    <cfRule type="expression" dxfId="3" priority="17">
      <formula>(intelligent_logging_result="Excluded")</formula>
    </cfRule>
  </conditionalFormatting>
  <conditionalFormatting sqref="B25:G28">
    <cfRule type="expression" dxfId="3" priority="18">
      <formula>(intelligent_operations_result="Excluded")</formula>
    </cfRule>
  </conditionalFormatting>
  <conditionalFormatting sqref="B29:G29">
    <cfRule type="expression" dxfId="3" priority="19">
      <formula>OR((private_cloud_result="Excluded"),(intelligent_operations_result="Excluded"))</formula>
    </cfRule>
  </conditionalFormatting>
  <conditionalFormatting sqref="B30:G34">
    <cfRule type="expression" dxfId="3" priority="20">
      <formula>inv_result="Excluded"</formula>
    </cfRule>
  </conditionalFormatting>
  <conditionalFormatting sqref="B35:G41">
    <cfRule type="expression" dxfId="3" priority="21">
      <formula>private_cloud_result="Excluded"</formula>
    </cfRule>
  </conditionalFormatting>
  <conditionalFormatting sqref="B42:G45">
    <cfRule type="expression" dxfId="3" priority="22" stopIfTrue="1">
      <formula>hrm_result="Excluded"</formula>
    </cfRule>
  </conditionalFormatting>
  <conditionalFormatting sqref="C41">
    <cfRule type="expression" dxfId="19" priority="23">
      <formula>private_cloud_result="Excluded"</formula>
    </cfRule>
  </conditionalFormatting>
  <conditionalFormatting sqref="E8:E11">
    <cfRule type="containsBlanks" dxfId="1" priority="24">
      <formula>LEN(TRIM(E8))=0</formula>
    </cfRule>
  </conditionalFormatting>
  <conditionalFormatting sqref="E8:E11">
    <cfRule type="notContainsBlanks" dxfId="0" priority="25">
      <formula>LEN(TRIM(E8))&gt;0</formula>
    </cfRule>
  </conditionalFormatting>
  <conditionalFormatting sqref="E18:E19">
    <cfRule type="notContainsBlanks" dxfId="0" priority="26">
      <formula>LEN(TRIM(E18))&gt;0</formula>
    </cfRule>
  </conditionalFormatting>
  <conditionalFormatting sqref="E16:E19 E21:E29 E35:E45 E48:E49 E75:E76 G32:G34 G37:G42 G44:G46 G48:G49">
    <cfRule type="containsBlanks" dxfId="1" priority="27">
      <formula>LEN(TRIM(E16))=0</formula>
    </cfRule>
  </conditionalFormatting>
  <conditionalFormatting sqref="E24">
    <cfRule type="containsBlanks" dxfId="1" priority="28">
      <formula>LEN(TRIM(E24))=0</formula>
    </cfRule>
  </conditionalFormatting>
  <conditionalFormatting sqref="E24">
    <cfRule type="notContainsBlanks" dxfId="0" priority="29">
      <formula>LEN(TRIM(E24))&gt;0</formula>
    </cfRule>
  </conditionalFormatting>
  <conditionalFormatting sqref="E27:E29">
    <cfRule type="containsBlanks" dxfId="1" priority="30">
      <formula>LEN(TRIM(E27))=0</formula>
    </cfRule>
  </conditionalFormatting>
  <conditionalFormatting sqref="E27:E29">
    <cfRule type="notContainsBlanks" dxfId="0" priority="31">
      <formula>LEN(TRIM(E27))&gt;0</formula>
    </cfRule>
  </conditionalFormatting>
  <conditionalFormatting sqref="E31">
    <cfRule type="containsBlanks" dxfId="1" priority="32">
      <formula>LEN(TRIM(E31))=0</formula>
    </cfRule>
  </conditionalFormatting>
  <conditionalFormatting sqref="E32:E34">
    <cfRule type="containsBlanks" dxfId="1" priority="33">
      <formula>LEN(TRIM(E32))=0</formula>
    </cfRule>
  </conditionalFormatting>
  <conditionalFormatting sqref="E32:E34">
    <cfRule type="notContainsBlanks" dxfId="0" priority="34">
      <formula>LEN(TRIM(E32))&gt;0</formula>
    </cfRule>
  </conditionalFormatting>
  <conditionalFormatting sqref="E37:E42">
    <cfRule type="notContainsBlanks" dxfId="0" priority="35">
      <formula>LEN(TRIM(E37))&gt;0</formula>
    </cfRule>
  </conditionalFormatting>
  <conditionalFormatting sqref="E44:E45">
    <cfRule type="containsBlanks" dxfId="1" priority="36">
      <formula>LEN(TRIM(E44))=0</formula>
    </cfRule>
  </conditionalFormatting>
  <conditionalFormatting sqref="E44:E45">
    <cfRule type="notContainsBlanks" dxfId="0" priority="37">
      <formula>LEN(TRIM(E44))&gt;0</formula>
    </cfRule>
  </conditionalFormatting>
  <conditionalFormatting sqref="E47">
    <cfRule type="containsBlanks" dxfId="1" priority="38">
      <formula>LEN(TRIM(E47))=0</formula>
    </cfRule>
  </conditionalFormatting>
  <conditionalFormatting sqref="E48:E49">
    <cfRule type="notContainsBlanks" dxfId="0" priority="39">
      <formula>LEN(TRIM(E48))&gt;0</formula>
    </cfRule>
  </conditionalFormatting>
  <conditionalFormatting sqref="E54:E56">
    <cfRule type="containsBlanks" dxfId="1" priority="40">
      <formula>LEN(TRIM(E54))=0</formula>
    </cfRule>
  </conditionalFormatting>
  <conditionalFormatting sqref="E54:E56">
    <cfRule type="notContainsBlanks" dxfId="0" priority="41">
      <formula>LEN(TRIM(E54))&gt;0</formula>
    </cfRule>
  </conditionalFormatting>
  <conditionalFormatting sqref="E59:E61">
    <cfRule type="containsBlanks" dxfId="1" priority="42">
      <formula>LEN(TRIM(E59))=0</formula>
    </cfRule>
  </conditionalFormatting>
  <conditionalFormatting sqref="E59:E61">
    <cfRule type="notContainsBlanks" dxfId="0" priority="43">
      <formula>LEN(TRIM(E59))&gt;0</formula>
    </cfRule>
  </conditionalFormatting>
  <conditionalFormatting sqref="E64:E72 E79:E81">
    <cfRule type="containsBlanks" dxfId="1" priority="44">
      <formula>LEN(TRIM(E64))=0</formula>
    </cfRule>
  </conditionalFormatting>
  <conditionalFormatting sqref="E64:E72 E79:E81">
    <cfRule type="notContainsBlanks" dxfId="0" priority="45">
      <formula>LEN(TRIM(E64))&gt;0</formula>
    </cfRule>
  </conditionalFormatting>
  <conditionalFormatting sqref="E79:E81">
    <cfRule type="containsBlanks" dxfId="1" priority="46" stopIfTrue="1">
      <formula>LEN(TRIM(E79))=0</formula>
    </cfRule>
  </conditionalFormatting>
  <conditionalFormatting sqref="E84:E86 E89:E91">
    <cfRule type="notContainsBlanks" dxfId="0" priority="47">
      <formula>LEN(TRIM(E84))&gt;0</formula>
    </cfRule>
  </conditionalFormatting>
  <conditionalFormatting sqref="E84:E86 E89:E91">
    <cfRule type="containsBlanks" dxfId="1" priority="48" stopIfTrue="1">
      <formula>LEN(TRIM(E84))=0</formula>
    </cfRule>
  </conditionalFormatting>
  <conditionalFormatting sqref="E94:E105">
    <cfRule type="containsBlanks" dxfId="1" priority="49" stopIfTrue="1">
      <formula>LEN(TRIM(E94))=0</formula>
    </cfRule>
  </conditionalFormatting>
  <conditionalFormatting sqref="E94:E105">
    <cfRule type="notContainsBlanks" dxfId="0" priority="50">
      <formula>LEN(TRIM(E94))&gt;0</formula>
    </cfRule>
  </conditionalFormatting>
  <conditionalFormatting sqref="G8:G11">
    <cfRule type="containsBlanks" dxfId="1" priority="51">
      <formula>LEN(TRIM(G8))=0</formula>
    </cfRule>
  </conditionalFormatting>
  <conditionalFormatting sqref="G8:G11">
    <cfRule type="notContainsBlanks" dxfId="0" priority="52">
      <formula>LEN(TRIM(G8))&gt;0</formula>
    </cfRule>
  </conditionalFormatting>
  <conditionalFormatting sqref="G18:G19">
    <cfRule type="containsBlanks" dxfId="1" priority="53">
      <formula>LEN(TRIM(G18))=0</formula>
    </cfRule>
  </conditionalFormatting>
  <conditionalFormatting sqref="G18:G19">
    <cfRule type="notContainsBlanks" dxfId="0" priority="54">
      <formula>LEN(TRIM(G18))&gt;0</formula>
    </cfRule>
  </conditionalFormatting>
  <conditionalFormatting sqref="G24">
    <cfRule type="containsBlanks" dxfId="1" priority="55">
      <formula>LEN(TRIM(G24))=0</formula>
    </cfRule>
  </conditionalFormatting>
  <conditionalFormatting sqref="G24">
    <cfRule type="notContainsBlanks" dxfId="0" priority="56">
      <formula>LEN(TRIM(G24))&gt;0</formula>
    </cfRule>
  </conditionalFormatting>
  <conditionalFormatting sqref="G27:G30">
    <cfRule type="containsBlanks" dxfId="1" priority="57">
      <formula>LEN(TRIM(G27))=0</formula>
    </cfRule>
  </conditionalFormatting>
  <conditionalFormatting sqref="G27:G30">
    <cfRule type="notContainsBlanks" dxfId="0" priority="58">
      <formula>LEN(TRIM(G27))&gt;0</formula>
    </cfRule>
  </conditionalFormatting>
  <conditionalFormatting sqref="E75:E76 G32:G34 G37:G42 G44:G46 G48:G49">
    <cfRule type="notContainsBlanks" dxfId="0" priority="59">
      <formula>LEN(TRIM(E75))&gt;0</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2020-01-21T13:51:29Z</dcterms:created>
  <dc:creator>Microsoft Office 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0x010100A82EF44E0227C24E85294C0D2197735E</vt:lpwstr>
  </property>
  <property fmtid="{D5CDD505-2E9C-101B-9397-08002B2CF9AE}" pid="3" name="MediaServiceImageTags">
    <vt:lpwstr/>
  </property>
</Properties>
</file>