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or" sheetId="1" state="visible" r:id="rId2"/>
    <sheet name="Data" sheetId="2" state="hidden" r:id="rId3"/>
  </sheets>
  <definedNames>
    <definedName function="false" hidden="false" name="scale" vbProcedure="false">Calculator!$C$4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<sst xmlns="http://schemas.openxmlformats.org/spreadsheetml/2006/main" count="138" uniqueCount="105">
  <si>
    <t xml:space="preserve">Vector 3D Califlower</t>
  </si>
  <si>
    <t xml:space="preserve">Measurements</t>
  </si>
  <si>
    <t xml:space="preserve">(This spreadsheet is locked to prevent accidental modification)</t>
  </si>
  <si>
    <t xml:space="preserve">Scale</t>
  </si>
  <si>
    <t xml:space="preserve">(if you have a larger printer, and larger tools, you can print at larger scale)</t>
  </si>
  <si>
    <t xml:space="preserve">Reading 1</t>
  </si>
  <si>
    <t xml:space="preserve">Reading 2</t>
  </si>
  <si>
    <t xml:space="preserve">Reading 3</t>
  </si>
  <si>
    <t xml:space="preserve">Average</t>
  </si>
  <si>
    <t xml:space="preserve">Green</t>
  </si>
  <si>
    <t xml:space="preserve">&lt;1mm deviation. Measurement seems ok. Continue.</t>
  </si>
  <si>
    <t xml:space="preserve">Yellow</t>
  </si>
  <si>
    <t xml:space="preserve">&gt;1mm deviation warning. Double-check your measurement.</t>
  </si>
  <si>
    <t xml:space="preserve">Red</t>
  </si>
  <si>
    <t xml:space="preserve">&gt;5mm deviation warning. Steps/mm or large measurement error.</t>
  </si>
  <si>
    <t xml:space="preserve">Results</t>
  </si>
  <si>
    <t xml:space="preserve">What the Results Mean</t>
  </si>
  <si>
    <t xml:space="preserve">Error</t>
  </si>
  <si>
    <t xml:space="preserve">Correction</t>
  </si>
  <si>
    <t xml:space="preserve">If X and Y errors are both negative, your print is undersize by the percentage shown.</t>
  </si>
  <si>
    <t xml:space="preserve">X</t>
  </si>
  <si>
    <t xml:space="preserve">If X and Y errors are both positive, your print is oversize by the percentage shown.</t>
  </si>
  <si>
    <t xml:space="preserve">Y</t>
  </si>
  <si>
    <t xml:space="preserve">If X and Y errors are very different from each other, check your steps/mm and belt tension.</t>
  </si>
  <si>
    <t xml:space="preserve">If you have CoreXY, X and Y are 'locked' to each other so use the average of the two errors.</t>
  </si>
  <si>
    <t xml:space="preserve">Skew</t>
  </si>
  <si>
    <t xml:space="preserve">For X and Y see 'Fix Size' below. For skew see 'Fix Skew'</t>
  </si>
  <si>
    <t xml:space="preserve">Inner and Outer errors are averages that include X and Y dimensions that may be useful to diagnose over/under extrusion.</t>
  </si>
  <si>
    <t xml:space="preserve">Inner</t>
  </si>
  <si>
    <t xml:space="preserve">If inner is negative, and outer is positive, this could indicate over extrusion.</t>
  </si>
  <si>
    <t xml:space="preserve">Outer</t>
  </si>
  <si>
    <t xml:space="preserve">If inner is positive, and outer is negative, this could indicate under extrusion.</t>
  </si>
  <si>
    <t xml:space="preserve">Fix Skew</t>
  </si>
  <si>
    <t xml:space="preserve">Tips For Implementation</t>
  </si>
  <si>
    <t xml:space="preserve">Note: Because of the way excel works, you may find "," and "." get switched for your regional language settings.</t>
  </si>
  <si>
    <t xml:space="preserve">Ensure you have calibration Extuder Step/mm before doing this test.</t>
  </si>
  <si>
    <t xml:space="preserve">Klipper G Code Fix</t>
  </si>
  <si>
    <t xml:space="preserve">Ensure you have XYZ Steps/mm set approximately correct before doing this test.</t>
  </si>
  <si>
    <t xml:space="preserve">If you have quite large skew error (&gt;0.5°), correct this first before doing XY scale compensation.</t>
  </si>
  <si>
    <t xml:space="preserve">Add</t>
  </si>
  <si>
    <t xml:space="preserve">[skew_correction] </t>
  </si>
  <si>
    <t xml:space="preserve">to printer.cfg</t>
  </si>
  <si>
    <t xml:space="preserve">Superslicer is the only slicer with Material XY Shrinkage compensation. If you use Cura, PS, ideamaker etc you will have to use steps/mm (or rotation distance) for the printer instead, or remember to scale the print for different materials</t>
  </si>
  <si>
    <t xml:space="preserve">Send Command</t>
  </si>
  <si>
    <t xml:space="preserve">via console</t>
  </si>
  <si>
    <t xml:space="preserve">SKEW_PROFILE LOAD=my_skew_profile</t>
  </si>
  <si>
    <t xml:space="preserve">to end of start G code</t>
  </si>
  <si>
    <t xml:space="preserve">SET_SKEW CLEAR=1</t>
  </si>
  <si>
    <t xml:space="preserve">to start of end G code</t>
  </si>
  <si>
    <t xml:space="preserve">Marlin Firmware Adjustment</t>
  </si>
  <si>
    <t xml:space="preserve">to firmware</t>
  </si>
  <si>
    <t xml:space="preserve">Marlin Firmware Adjustment (alternative)</t>
  </si>
  <si>
    <t xml:space="preserve">Marlin G-Code Adjustment</t>
  </si>
  <si>
    <t xml:space="preserve">Ensure</t>
  </si>
  <si>
    <t xml:space="preserve">in firmware</t>
  </si>
  <si>
    <t xml:space="preserve">RepRap Firmware Adjustment</t>
  </si>
  <si>
    <t xml:space="preserve">to config.g</t>
  </si>
  <si>
    <t xml:space="preserve">Fix Size</t>
  </si>
  <si>
    <t xml:space="preserve">Share</t>
  </si>
  <si>
    <t xml:space="preserve">Material XY shinkage</t>
  </si>
  <si>
    <t xml:space="preserve">Feel free to share your success and results on twitter, facebook, instagram etc</t>
  </si>
  <si>
    <t xml:space="preserve">Tag me using @Adam_V3D and use #califlower</t>
  </si>
  <si>
    <t xml:space="preserve">SuperSlicer</t>
  </si>
  <si>
    <t xml:space="preserve">Steps/mm</t>
  </si>
  <si>
    <t xml:space="preserve">Input your values below</t>
  </si>
  <si>
    <t xml:space="preserve">Current Steps/mm (X)</t>
  </si>
  <si>
    <t xml:space="preserve">Current Steps/mm (Y)</t>
  </si>
  <si>
    <t xml:space="preserve">New Steps/mm (X)</t>
  </si>
  <si>
    <t xml:space="preserve">New Steps/mm (Y)</t>
  </si>
  <si>
    <t xml:space="preserve">Rotation Distance</t>
  </si>
  <si>
    <t xml:space="preserve">Current Rot. Dist. (X)</t>
  </si>
  <si>
    <t xml:space="preserve">Current Rot. Dist. (Y)</t>
  </si>
  <si>
    <t xml:space="preserve">New Rot. Dist. (X)</t>
  </si>
  <si>
    <t xml:space="preserve">New Rot. Dist. (Y)</t>
  </si>
  <si>
    <t xml:space="preserve">Design</t>
  </si>
  <si>
    <t xml:space="preserve">% Error</t>
  </si>
  <si>
    <t xml:space="preserve">H1 (a)</t>
  </si>
  <si>
    <t xml:space="preserve">H2 (b)</t>
  </si>
  <si>
    <t xml:space="preserve">Angle</t>
  </si>
  <si>
    <t xml:space="preserve">Klipper</t>
  </si>
  <si>
    <t xml:space="preserve">SKEW_PROFILE SAVE=my_skew_profile</t>
  </si>
  <si>
    <t xml:space="preserve">GET_CURRENT_SKEW</t>
  </si>
  <si>
    <t xml:space="preserve">Marlin</t>
  </si>
  <si>
    <t xml:space="preserve">if ENABLED(SKEW_CORRECTION)</t>
  </si>
  <si>
    <t xml:space="preserve">AC</t>
  </si>
  <si>
    <t xml:space="preserve">From Marlin Firmware:</t>
  </si>
  <si>
    <t xml:space="preserve">AB</t>
  </si>
  <si>
    <t xml:space="preserve">Compute AB : SQRT(2*AC*AC+2*BD*BD-4*AD*AD)/2</t>
  </si>
  <si>
    <t xml:space="preserve">AD</t>
  </si>
  <si>
    <t xml:space="preserve">XY_SKEW_FACTOR : TAN(PI/2-ACOS((AC*AC-AB*AB-AD*AD)/(2*AB*AD)))</t>
  </si>
  <si>
    <t xml:space="preserve">Skew Factor</t>
  </si>
  <si>
    <t xml:space="preserve">Marlin G Code</t>
  </si>
  <si>
    <t xml:space="preserve">#define SKEW_CORRECTION_GCODE</t>
  </si>
  <si>
    <t xml:space="preserve">G Code</t>
  </si>
  <si>
    <t xml:space="preserve">More info on Marlin EEPROM</t>
  </si>
  <si>
    <t xml:space="preserve">EEPROM</t>
  </si>
  <si>
    <t xml:space="preserve">M500</t>
  </si>
  <si>
    <t xml:space="preserve">https://marlinfw.org/docs/features/eeprom.html</t>
  </si>
  <si>
    <t xml:space="preserve">RRF</t>
  </si>
  <si>
    <t xml:space="preserve">Example</t>
  </si>
  <si>
    <t xml:space="preserve">M556 S100 X0.7 Y-0.2 Z0.6</t>
  </si>
  <si>
    <t xml:space="preserve">X value is XY compensation, others involve Z</t>
  </si>
  <si>
    <t xml:space="preserve">Value</t>
  </si>
  <si>
    <t xml:space="preserve">Slicer</t>
  </si>
  <si>
    <t xml:space="preserve">Superslicer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</si>
</sst>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0.00"/>
    <numFmt numFmtId="167" formatCode="0.00%"/>
    <numFmt numFmtId="168" formatCode="0.00\°"/>
    <numFmt numFmtId="169" formatCode="General"/>
    <numFmt numFmtId="170" formatCode="0.000000000"/>
    <numFmt numFmtId="171" formatCode="0.00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2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double">
        <color rgb="FFAFABAB"/>
      </right>
      <top/>
      <bottom/>
      <diagonal/>
    </border>
    <border diagonalUp="false" diagonalDown="false">
      <left/>
      <right/>
      <top/>
      <bottom style="double">
        <color rgb="FFAFABAB"/>
      </bottom>
      <diagonal/>
    </border>
    <border diagonalUp="false" diagonalDown="false">
      <left/>
      <right style="double">
        <color rgb="FFAFABAB"/>
      </right>
      <top/>
      <bottom style="double">
        <color rgb="FFAFABAB"/>
      </bottom>
      <diagonal/>
    </border>
    <border diagonalUp="false" diagonalDown="false">
      <left style="dashed">
        <color rgb="FFAFABAB"/>
      </left>
      <right/>
      <top style="dashed">
        <color rgb="FFAFABAB"/>
      </top>
      <bottom/>
      <diagonal/>
    </border>
    <border diagonalUp="false" diagonalDown="false">
      <left/>
      <right/>
      <top style="dashed">
        <color rgb="FFAFABAB"/>
      </top>
      <bottom/>
      <diagonal/>
    </border>
    <border diagonalUp="false" diagonalDown="false">
      <left/>
      <right style="dashed">
        <color rgb="FFAFABAB"/>
      </right>
      <top style="dashed">
        <color rgb="FFAFABAB"/>
      </top>
      <bottom/>
      <diagonal/>
    </border>
    <border diagonalUp="false" diagonalDown="false">
      <left style="double">
        <color rgb="FFAFABAB"/>
      </left>
      <right/>
      <top/>
      <bottom style="double">
        <color rgb="FFAFABAB"/>
      </bottom>
      <diagonal/>
    </border>
    <border diagonalUp="false" diagonalDown="false">
      <left style="dashed">
        <color rgb="FFAFABAB"/>
      </left>
      <right/>
      <top/>
      <bottom/>
      <diagonal/>
    </border>
    <border diagonalUp="false" diagonalDown="false">
      <left/>
      <right style="dashed">
        <color rgb="FFAFABAB"/>
      </right>
      <top/>
      <bottom/>
      <diagonal/>
    </border>
    <border diagonalUp="false" diagonalDown="false">
      <left style="dashed">
        <color rgb="FFAFABAB"/>
      </left>
      <right/>
      <top/>
      <bottom style="dashed">
        <color rgb="FFAFABAB"/>
      </bottom>
      <diagonal/>
    </border>
    <border diagonalUp="false" diagonalDown="false">
      <left/>
      <right/>
      <top/>
      <bottom style="dashed">
        <color rgb="FFAFABAB"/>
      </bottom>
      <diagonal/>
    </border>
    <border diagonalUp="false" diagonalDown="false">
      <left/>
      <right style="dashed">
        <color rgb="FFAFABAB"/>
      </right>
      <top/>
      <bottom style="dashed">
        <color rgb="FFAFABAB"/>
      </bottom>
      <diagonal/>
    </border>
    <border diagonalUp="false" diagonalDown="false">
      <left style="dashed">
        <color rgb="FFAFABAB"/>
      </left>
      <right style="dashed">
        <color rgb="FFAFABAB"/>
      </right>
      <top/>
      <bottom style="dashed">
        <color rgb="FFAFABAB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  <cellStyle name="Excel Built-in Bad" xfId="22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251280</xdr:colOff>
      <xdr:row>2</xdr:row>
      <xdr:rowOff>175320</xdr:rowOff>
    </xdr:from>
    <xdr:to>
      <xdr:col>12</xdr:col>
      <xdr:colOff>562320</xdr:colOff>
      <xdr:row>21</xdr:row>
      <xdr:rowOff>32040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37880" y="899280"/>
          <a:ext cx="5124960" cy="3723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5"/>
  <sheetViews>
    <sheetView showFormulas="false" showGridLines="fals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C16" activeCellId="0" sqref="C1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3.3"/>
    <col collapsed="false" customWidth="true" hidden="false" outlineLevel="0" max="2" min="2" style="1" width="17.57"/>
    <col collapsed="false" customWidth="true" hidden="false" outlineLevel="0" max="3" min="3" style="1" width="18.14"/>
    <col collapsed="false" customWidth="true" hidden="false" outlineLevel="0" max="4" min="4" style="1" width="18.7"/>
    <col collapsed="false" customWidth="true" hidden="false" outlineLevel="0" max="5" min="5" style="1" width="20.86"/>
  </cols>
  <sheetData>
    <row r="1" customFormat="false" ht="36" hidden="false" customHeight="false" outlineLevel="0" collapsed="false">
      <c r="A1" s="2" t="s">
        <v>0</v>
      </c>
    </row>
    <row r="2" customFormat="false" ht="21" hidden="false" customHeight="false" outlineLevel="0" collapsed="false">
      <c r="A2" s="3" t="s">
        <v>1</v>
      </c>
    </row>
    <row r="3" s="5" customFormat="true" ht="18" hidden="false" customHeight="true" outlineLevel="0" collapsed="false">
      <c r="A3" s="4" t="s">
        <v>2</v>
      </c>
    </row>
    <row r="4" s="5" customFormat="true" ht="17.25" hidden="false" customHeight="true" outlineLevel="0" collapsed="false">
      <c r="A4" s="4"/>
      <c r="B4" s="6" t="s">
        <v>3</v>
      </c>
      <c r="C4" s="7" t="n">
        <v>1</v>
      </c>
    </row>
    <row r="5" s="5" customFormat="true" ht="17.25" hidden="false" customHeight="true" outlineLevel="0" collapsed="false">
      <c r="A5" s="4"/>
      <c r="B5" s="8" t="s">
        <v>4</v>
      </c>
      <c r="D5" s="8"/>
    </row>
    <row r="7" customFormat="false" ht="18.75" hidden="false" customHeight="true" outlineLevel="0" collapsed="false">
      <c r="A7" s="9"/>
      <c r="B7" s="10" t="s">
        <v>5</v>
      </c>
      <c r="C7" s="10" t="s">
        <v>6</v>
      </c>
      <c r="D7" s="11" t="s">
        <v>7</v>
      </c>
      <c r="E7" s="10" t="s">
        <v>8</v>
      </c>
    </row>
    <row r="8" customFormat="false" ht="16.5" hidden="false" customHeight="false" outlineLevel="0" collapsed="false">
      <c r="A8" s="12" t="n">
        <v>1</v>
      </c>
      <c r="B8" s="13" t="n">
        <v>100.08</v>
      </c>
      <c r="C8" s="13" t="n">
        <v>100.1</v>
      </c>
      <c r="D8" s="13" t="n">
        <v>100.08</v>
      </c>
      <c r="E8" s="14" t="n">
        <f aca="false">AVERAGE(B8:D8)</f>
        <v>100.086666666667</v>
      </c>
    </row>
    <row r="9" customFormat="false" ht="15.75" hidden="false" customHeight="false" outlineLevel="0" collapsed="false">
      <c r="A9" s="12" t="n">
        <v>2</v>
      </c>
      <c r="B9" s="13" t="n">
        <v>50.2</v>
      </c>
      <c r="C9" s="13" t="n">
        <v>50.21</v>
      </c>
      <c r="D9" s="13" t="n">
        <v>50.22</v>
      </c>
      <c r="E9" s="14" t="n">
        <f aca="false">AVERAGE(B9:D9)</f>
        <v>50.21</v>
      </c>
    </row>
    <row r="10" customFormat="false" ht="15.75" hidden="false" customHeight="false" outlineLevel="0" collapsed="false">
      <c r="A10" s="12" t="n">
        <v>3</v>
      </c>
      <c r="B10" s="13" t="n">
        <v>99.7</v>
      </c>
      <c r="C10" s="13" t="n">
        <v>99.7</v>
      </c>
      <c r="D10" s="13" t="n">
        <v>99.8</v>
      </c>
      <c r="E10" s="14" t="n">
        <f aca="false">AVERAGE(B10:D10)</f>
        <v>99.7333333333333</v>
      </c>
    </row>
    <row r="11" customFormat="false" ht="15.75" hidden="false" customHeight="false" outlineLevel="0" collapsed="false">
      <c r="A11" s="12" t="n">
        <v>4</v>
      </c>
      <c r="B11" s="13" t="n">
        <v>49.91</v>
      </c>
      <c r="C11" s="13" t="n">
        <v>49.83</v>
      </c>
      <c r="D11" s="13" t="n">
        <v>49.83</v>
      </c>
      <c r="E11" s="14" t="n">
        <f aca="false">AVERAGE(B11:D11)</f>
        <v>49.8566666666667</v>
      </c>
    </row>
    <row r="12" customFormat="false" ht="15.75" hidden="false" customHeight="false" outlineLevel="0" collapsed="false">
      <c r="A12" s="12" t="n">
        <v>5</v>
      </c>
      <c r="B12" s="13" t="n">
        <v>100.45</v>
      </c>
      <c r="C12" s="13" t="n">
        <v>100.56</v>
      </c>
      <c r="D12" s="13" t="n">
        <v>100.48</v>
      </c>
      <c r="E12" s="14" t="n">
        <f aca="false">AVERAGE(B12:D12)</f>
        <v>100.496666666667</v>
      </c>
    </row>
    <row r="13" customFormat="false" ht="15.75" hidden="false" customHeight="false" outlineLevel="0" collapsed="false">
      <c r="A13" s="12" t="n">
        <v>6</v>
      </c>
      <c r="B13" s="13" t="n">
        <v>50.22</v>
      </c>
      <c r="C13" s="13" t="n">
        <v>50.24</v>
      </c>
      <c r="D13" s="13" t="n">
        <v>50.19</v>
      </c>
      <c r="E13" s="14" t="n">
        <f aca="false">AVERAGE(B13:D13)</f>
        <v>50.2166666666667</v>
      </c>
    </row>
    <row r="14" customFormat="false" ht="15.75" hidden="false" customHeight="false" outlineLevel="0" collapsed="false">
      <c r="A14" s="12" t="n">
        <v>7</v>
      </c>
      <c r="B14" s="13" t="n">
        <v>100.18</v>
      </c>
      <c r="C14" s="13" t="n">
        <v>100.23</v>
      </c>
      <c r="D14" s="13" t="n">
        <v>100.13</v>
      </c>
      <c r="E14" s="14" t="n">
        <f aca="false">AVERAGE(B14:D14)</f>
        <v>100.18</v>
      </c>
    </row>
    <row r="15" customFormat="false" ht="15.75" hidden="false" customHeight="false" outlineLevel="0" collapsed="false">
      <c r="A15" s="12" t="n">
        <v>8</v>
      </c>
      <c r="B15" s="13" t="n">
        <v>50.23</v>
      </c>
      <c r="C15" s="13" t="n">
        <v>50.17</v>
      </c>
      <c r="D15" s="13" t="n">
        <v>50.17</v>
      </c>
      <c r="E15" s="14" t="n">
        <f aca="false">AVERAGE(B15:D15)</f>
        <v>50.19</v>
      </c>
    </row>
    <row r="16" customFormat="false" ht="15.75" hidden="false" customHeight="false" outlineLevel="0" collapsed="false">
      <c r="A16" s="12" t="n">
        <v>9</v>
      </c>
      <c r="B16" s="13" t="n">
        <v>100.13</v>
      </c>
      <c r="C16" s="13" t="n">
        <v>100.23</v>
      </c>
      <c r="D16" s="13" t="n">
        <v>100.23</v>
      </c>
      <c r="E16" s="14" t="n">
        <f aca="false">AVERAGE(B16:D16)</f>
        <v>100.196666666667</v>
      </c>
    </row>
    <row r="17" customFormat="false" ht="15.75" hidden="false" customHeight="false" outlineLevel="0" collapsed="false">
      <c r="A17" s="12" t="n">
        <v>10</v>
      </c>
      <c r="B17" s="13" t="n">
        <v>100.48</v>
      </c>
      <c r="C17" s="13" t="n">
        <v>100.46</v>
      </c>
      <c r="D17" s="13" t="n">
        <v>100.43</v>
      </c>
      <c r="E17" s="14" t="n">
        <f aca="false">AVERAGE(B17:D17)</f>
        <v>100.456666666667</v>
      </c>
    </row>
    <row r="19" customFormat="false" ht="15" hidden="false" customHeight="false" outlineLevel="0" collapsed="false">
      <c r="B19" s="15" t="s">
        <v>9</v>
      </c>
      <c r="C19" s="16" t="s">
        <v>10</v>
      </c>
      <c r="D19" s="16"/>
      <c r="E19" s="16"/>
    </row>
    <row r="20" customFormat="false" ht="15" hidden="false" customHeight="false" outlineLevel="0" collapsed="false">
      <c r="B20" s="17" t="s">
        <v>11</v>
      </c>
      <c r="C20" s="18" t="s">
        <v>12</v>
      </c>
      <c r="D20" s="18"/>
      <c r="E20" s="18"/>
    </row>
    <row r="21" customFormat="false" ht="15" hidden="false" customHeight="false" outlineLevel="0" collapsed="false">
      <c r="B21" s="19" t="s">
        <v>13</v>
      </c>
      <c r="C21" s="20" t="s">
        <v>14</v>
      </c>
      <c r="D21" s="20"/>
      <c r="E21" s="20"/>
    </row>
    <row r="23" customFormat="false" ht="23.25" hidden="false" customHeight="false" outlineLevel="0" collapsed="false">
      <c r="A23" s="3" t="s">
        <v>15</v>
      </c>
      <c r="G23" s="21" t="s">
        <v>16</v>
      </c>
      <c r="H23" s="22"/>
      <c r="I23" s="22"/>
      <c r="J23" s="22"/>
      <c r="K23" s="22"/>
      <c r="L23" s="22"/>
      <c r="M23" s="22"/>
      <c r="N23" s="22"/>
      <c r="O23" s="22"/>
      <c r="P23" s="22"/>
      <c r="Q23" s="23"/>
    </row>
    <row r="24" customFormat="false" ht="16.5" hidden="false" customHeight="false" outlineLevel="0" collapsed="false">
      <c r="A24" s="24"/>
      <c r="B24" s="25" t="s">
        <v>17</v>
      </c>
      <c r="C24" s="10" t="s">
        <v>18</v>
      </c>
      <c r="G24" s="26" t="s">
        <v>19</v>
      </c>
      <c r="Q24" s="27"/>
    </row>
    <row r="25" customFormat="false" ht="16.5" hidden="false" customHeight="false" outlineLevel="0" collapsed="false">
      <c r="A25" s="28" t="s">
        <v>20</v>
      </c>
      <c r="B25" s="29" t="n">
        <f aca="false">Data!B13</f>
        <v>-0.000116666666666703</v>
      </c>
      <c r="C25" s="30" t="n">
        <f aca="false">B25*-1</f>
        <v>0.000116666666666703</v>
      </c>
      <c r="G25" s="26" t="s">
        <v>21</v>
      </c>
      <c r="Q25" s="27"/>
    </row>
    <row r="26" customFormat="false" ht="15.75" hidden="false" customHeight="false" outlineLevel="0" collapsed="false">
      <c r="A26" s="28" t="s">
        <v>22</v>
      </c>
      <c r="B26" s="29" t="n">
        <f aca="false">Data!C13</f>
        <v>0.00372500000000002</v>
      </c>
      <c r="C26" s="30" t="n">
        <f aca="false">B26*-1</f>
        <v>-0.00372500000000002</v>
      </c>
      <c r="G26" s="26" t="s">
        <v>23</v>
      </c>
      <c r="Q26" s="27"/>
    </row>
    <row r="27" customFormat="false" ht="15.75" hidden="false" customHeight="false" outlineLevel="0" collapsed="false">
      <c r="A27" s="31"/>
      <c r="G27" s="26" t="s">
        <v>24</v>
      </c>
      <c r="Q27" s="27"/>
    </row>
    <row r="28" customFormat="false" ht="15.75" hidden="false" customHeight="false" outlineLevel="0" collapsed="false">
      <c r="A28" s="28" t="s">
        <v>25</v>
      </c>
      <c r="B28" s="32" t="n">
        <f aca="false">Data!B20</f>
        <v>-0.14848726364994</v>
      </c>
      <c r="C28" s="32" t="n">
        <f aca="false">-B28</f>
        <v>0.14848726364994</v>
      </c>
      <c r="G28" s="26" t="s">
        <v>26</v>
      </c>
      <c r="Q28" s="27"/>
    </row>
    <row r="29" customFormat="false" ht="15.75" hidden="false" customHeight="false" outlineLevel="0" collapsed="false">
      <c r="A29" s="33"/>
      <c r="B29" s="32"/>
      <c r="C29" s="32"/>
      <c r="G29" s="26" t="s">
        <v>27</v>
      </c>
      <c r="Q29" s="27"/>
    </row>
    <row r="30" customFormat="false" ht="15" hidden="false" customHeight="false" outlineLevel="0" collapsed="false">
      <c r="A30" s="34" t="s">
        <v>28</v>
      </c>
      <c r="B30" s="29" t="n">
        <f aca="false">Data!D13</f>
        <v>1.66666666666516E-005</v>
      </c>
      <c r="C30" s="30" t="n">
        <f aca="false">B30*-1</f>
        <v>-1.66666666666516E-005</v>
      </c>
      <c r="G30" s="26" t="s">
        <v>29</v>
      </c>
      <c r="Q30" s="27"/>
    </row>
    <row r="31" customFormat="false" ht="15" hidden="false" customHeight="false" outlineLevel="0" collapsed="false">
      <c r="A31" s="34" t="s">
        <v>30</v>
      </c>
      <c r="B31" s="29" t="n">
        <f aca="false">Data!E13</f>
        <v>0.00359166666666667</v>
      </c>
      <c r="C31" s="30" t="n">
        <f aca="false">B31*-1</f>
        <v>-0.00359166666666667</v>
      </c>
      <c r="G31" s="35" t="s">
        <v>31</v>
      </c>
      <c r="H31" s="36"/>
      <c r="I31" s="36"/>
      <c r="J31" s="36"/>
      <c r="K31" s="36"/>
      <c r="L31" s="36"/>
      <c r="M31" s="36"/>
      <c r="N31" s="36"/>
      <c r="O31" s="36"/>
      <c r="P31" s="36"/>
      <c r="Q31" s="37"/>
    </row>
    <row r="33" customFormat="false" ht="23.25" hidden="false" customHeight="false" outlineLevel="0" collapsed="false">
      <c r="A33" s="3" t="s">
        <v>32</v>
      </c>
      <c r="G33" s="21" t="s">
        <v>33</v>
      </c>
      <c r="H33" s="22"/>
      <c r="I33" s="22"/>
      <c r="J33" s="22"/>
      <c r="K33" s="22"/>
      <c r="L33" s="22"/>
      <c r="M33" s="22"/>
      <c r="N33" s="22"/>
      <c r="O33" s="23"/>
    </row>
    <row r="34" customFormat="false" ht="15" hidden="false" customHeight="false" outlineLevel="0" collapsed="false">
      <c r="A34" s="5" t="s">
        <v>34</v>
      </c>
      <c r="G34" s="26" t="s">
        <v>35</v>
      </c>
      <c r="H34" s="38"/>
      <c r="I34" s="38"/>
      <c r="J34" s="38"/>
      <c r="K34" s="38"/>
      <c r="L34" s="38"/>
      <c r="M34" s="38"/>
      <c r="N34" s="38"/>
      <c r="O34" s="39"/>
    </row>
    <row r="35" customFormat="false" ht="15" hidden="false" customHeight="false" outlineLevel="0" collapsed="false">
      <c r="A35" s="40" t="s">
        <v>36</v>
      </c>
      <c r="G35" s="26" t="s">
        <v>37</v>
      </c>
      <c r="H35" s="38"/>
      <c r="I35" s="38"/>
      <c r="J35" s="38"/>
      <c r="K35" s="38"/>
      <c r="L35" s="38"/>
      <c r="M35" s="38"/>
      <c r="N35" s="38"/>
      <c r="O35" s="39"/>
    </row>
    <row r="36" customFormat="false" ht="15" hidden="false" customHeight="true" outlineLevel="0" collapsed="false">
      <c r="G36" s="26" t="s">
        <v>38</v>
      </c>
      <c r="H36" s="38"/>
      <c r="I36" s="38"/>
      <c r="J36" s="38"/>
      <c r="K36" s="38"/>
      <c r="L36" s="38"/>
      <c r="M36" s="38"/>
      <c r="N36" s="38"/>
      <c r="O36" s="39"/>
    </row>
    <row r="37" customFormat="false" ht="15" hidden="false" customHeight="true" outlineLevel="0" collapsed="false">
      <c r="B37" s="41" t="s">
        <v>39</v>
      </c>
      <c r="C37" s="42" t="s">
        <v>40</v>
      </c>
      <c r="D37" s="43"/>
      <c r="E37" s="44" t="s">
        <v>41</v>
      </c>
      <c r="G37" s="45" t="s">
        <v>42</v>
      </c>
      <c r="H37" s="45"/>
      <c r="I37" s="45"/>
      <c r="J37" s="45"/>
      <c r="K37" s="45"/>
      <c r="L37" s="45"/>
      <c r="M37" s="45"/>
      <c r="N37" s="45"/>
      <c r="O37" s="45"/>
    </row>
    <row r="38" customFormat="false" ht="15" hidden="false" customHeight="true" outlineLevel="0" collapsed="false">
      <c r="B38" s="41" t="s">
        <v>43</v>
      </c>
      <c r="C38" s="46" t="str">
        <f aca="false">Data!A23</f>
        <v>SET_SKEW XY=100.46,100.2,70.7</v>
      </c>
      <c r="D38" s="43"/>
      <c r="E38" s="44" t="s">
        <v>44</v>
      </c>
      <c r="G38" s="45"/>
      <c r="H38" s="45"/>
      <c r="I38" s="45"/>
      <c r="J38" s="45"/>
      <c r="K38" s="45"/>
      <c r="L38" s="45"/>
      <c r="M38" s="45"/>
      <c r="N38" s="45"/>
      <c r="O38" s="45"/>
    </row>
    <row r="39" customFormat="false" ht="15" hidden="false" customHeight="true" outlineLevel="0" collapsed="false">
      <c r="B39" s="41" t="s">
        <v>43</v>
      </c>
      <c r="C39" s="46" t="str">
        <f aca="false">Data!A24</f>
        <v>SKEW_PROFILE SAVE=my_skew_profile</v>
      </c>
      <c r="D39" s="43"/>
      <c r="E39" s="44" t="s">
        <v>44</v>
      </c>
      <c r="G39" s="45"/>
      <c r="H39" s="45"/>
      <c r="I39" s="45"/>
      <c r="J39" s="45"/>
      <c r="K39" s="45"/>
      <c r="L39" s="45"/>
      <c r="M39" s="45"/>
      <c r="N39" s="45"/>
      <c r="O39" s="45"/>
    </row>
    <row r="40" customFormat="false" ht="15" hidden="false" customHeight="false" outlineLevel="0" collapsed="false">
      <c r="B40" s="41" t="s">
        <v>39</v>
      </c>
      <c r="C40" s="42" t="s">
        <v>45</v>
      </c>
      <c r="D40" s="43"/>
      <c r="E40" s="44" t="s">
        <v>46</v>
      </c>
      <c r="G40" s="47"/>
      <c r="H40" s="47"/>
      <c r="I40" s="47"/>
      <c r="J40" s="47"/>
      <c r="K40" s="47"/>
      <c r="L40" s="47"/>
      <c r="M40" s="47"/>
      <c r="N40" s="47"/>
    </row>
    <row r="41" customFormat="false" ht="15" hidden="false" customHeight="false" outlineLevel="0" collapsed="false">
      <c r="B41" s="41" t="s">
        <v>39</v>
      </c>
      <c r="C41" s="42" t="s">
        <v>47</v>
      </c>
      <c r="D41" s="43"/>
      <c r="E41" s="44" t="s">
        <v>48</v>
      </c>
      <c r="H41" s="47"/>
      <c r="I41" s="47"/>
      <c r="J41" s="47"/>
      <c r="K41" s="47"/>
      <c r="L41" s="47"/>
      <c r="M41" s="47"/>
      <c r="N41" s="47"/>
    </row>
    <row r="42" customFormat="false" ht="15" hidden="false" customHeight="false" outlineLevel="0" collapsed="false">
      <c r="B42" s="43"/>
      <c r="C42" s="43"/>
      <c r="D42" s="43"/>
      <c r="E42" s="43"/>
      <c r="H42" s="47"/>
      <c r="I42" s="47"/>
      <c r="J42" s="47"/>
      <c r="K42" s="47"/>
      <c r="L42" s="47"/>
      <c r="M42" s="47"/>
      <c r="N42" s="47"/>
    </row>
    <row r="43" customFormat="false" ht="15" hidden="false" customHeight="false" outlineLevel="0" collapsed="false">
      <c r="A43" s="40" t="s">
        <v>49</v>
      </c>
    </row>
    <row r="45" customFormat="false" ht="15" hidden="false" customHeight="false" outlineLevel="0" collapsed="false">
      <c r="B45" s="48" t="s">
        <v>39</v>
      </c>
      <c r="C45" s="49" t="str">
        <f aca="false">Data!A28</f>
        <v>if ENABLED(SKEW_CORRECTION)</v>
      </c>
      <c r="E45" s="50" t="s">
        <v>50</v>
      </c>
    </row>
    <row r="46" customFormat="false" ht="15" hidden="false" customHeight="false" outlineLevel="0" collapsed="false">
      <c r="B46" s="48" t="s">
        <v>39</v>
      </c>
      <c r="C46" s="49" t="str">
        <f aca="false">Data!A29</f>
        <v> define XY_DIAG_AC 100.4567</v>
      </c>
      <c r="E46" s="50" t="s">
        <v>50</v>
      </c>
    </row>
    <row r="47" customFormat="false" ht="15" hidden="false" customHeight="false" outlineLevel="0" collapsed="false">
      <c r="B47" s="48" t="s">
        <v>39</v>
      </c>
      <c r="C47" s="49" t="str">
        <f aca="false">Data!A30</f>
        <v> define XY_DIAG_BD 100.1967</v>
      </c>
      <c r="E47" s="50" t="s">
        <v>50</v>
      </c>
    </row>
    <row r="48" customFormat="false" ht="15" hidden="false" customHeight="false" outlineLevel="0" collapsed="false">
      <c r="B48" s="48" t="s">
        <v>39</v>
      </c>
      <c r="C48" s="49" t="str">
        <f aca="false">Data!A31</f>
        <v> define XY_SIDE_AD 70.7024</v>
      </c>
      <c r="E48" s="50" t="s">
        <v>50</v>
      </c>
    </row>
    <row r="49" customFormat="false" ht="15" hidden="false" customHeight="false" outlineLevel="0" collapsed="false">
      <c r="B49" s="48"/>
      <c r="E49" s="50"/>
    </row>
    <row r="50" customFormat="false" ht="15" hidden="false" customHeight="false" outlineLevel="0" collapsed="false">
      <c r="A50" s="40" t="s">
        <v>51</v>
      </c>
      <c r="B50" s="48"/>
      <c r="E50" s="50"/>
    </row>
    <row r="51" customFormat="false" ht="15" hidden="false" customHeight="false" outlineLevel="0" collapsed="false">
      <c r="A51" s="40"/>
      <c r="B51" s="48"/>
      <c r="E51" s="50"/>
    </row>
    <row r="52" customFormat="false" ht="15" hidden="false" customHeight="false" outlineLevel="0" collapsed="false">
      <c r="B52" s="48" t="s">
        <v>39</v>
      </c>
      <c r="C52" s="49" t="str">
        <f aca="false">Data!A28</f>
        <v>if ENABLED(SKEW_CORRECTION)</v>
      </c>
      <c r="E52" s="50" t="s">
        <v>50</v>
      </c>
    </row>
    <row r="53" customFormat="false" ht="15" hidden="false" customHeight="false" outlineLevel="0" collapsed="false">
      <c r="B53" s="48" t="s">
        <v>39</v>
      </c>
      <c r="C53" s="49" t="str">
        <f aca="false">Data!A32</f>
        <v> define XY_SKEW_FACTOR 0.005519</v>
      </c>
      <c r="E53" s="50" t="s">
        <v>50</v>
      </c>
    </row>
    <row r="54" customFormat="false" ht="15" hidden="false" customHeight="false" outlineLevel="0" collapsed="false">
      <c r="B54" s="48"/>
      <c r="E54" s="50"/>
    </row>
    <row r="55" customFormat="false" ht="15" hidden="false" customHeight="false" outlineLevel="0" collapsed="false">
      <c r="B55" s="48"/>
      <c r="E55" s="50"/>
    </row>
    <row r="56" customFormat="false" ht="15" hidden="false" customHeight="false" outlineLevel="0" collapsed="false">
      <c r="A56" s="40" t="s">
        <v>52</v>
      </c>
      <c r="B56" s="48"/>
      <c r="E56" s="50"/>
    </row>
    <row r="57" customFormat="false" ht="15" hidden="false" customHeight="false" outlineLevel="0" collapsed="false">
      <c r="B57" s="48"/>
      <c r="E57" s="50"/>
    </row>
    <row r="58" customFormat="false" ht="15" hidden="false" customHeight="false" outlineLevel="0" collapsed="false">
      <c r="B58" s="41" t="s">
        <v>53</v>
      </c>
      <c r="C58" s="49" t="str">
        <f aca="false">Data!B40</f>
        <v>#define SKEW_CORRECTION_GCODE</v>
      </c>
      <c r="E58" s="44" t="s">
        <v>54</v>
      </c>
    </row>
    <row r="59" customFormat="false" ht="15" hidden="false" customHeight="false" outlineLevel="0" collapsed="false">
      <c r="B59" s="41" t="s">
        <v>43</v>
      </c>
      <c r="C59" s="49" t="str">
        <f aca="false">Data!B41</f>
        <v>M852 I0.005519</v>
      </c>
      <c r="E59" s="44" t="s">
        <v>44</v>
      </c>
    </row>
    <row r="60" customFormat="false" ht="15" hidden="false" customHeight="false" outlineLevel="0" collapsed="false">
      <c r="B60" s="41" t="s">
        <v>43</v>
      </c>
      <c r="C60" s="49" t="str">
        <f aca="false">Data!B42</f>
        <v>M500</v>
      </c>
      <c r="E60" s="44" t="s">
        <v>44</v>
      </c>
    </row>
    <row r="61" customFormat="false" ht="15" hidden="false" customHeight="false" outlineLevel="0" collapsed="false">
      <c r="E61" s="50"/>
    </row>
    <row r="62" customFormat="false" ht="15" hidden="false" customHeight="false" outlineLevel="0" collapsed="false">
      <c r="A62" s="40" t="s">
        <v>55</v>
      </c>
      <c r="E62" s="50"/>
    </row>
    <row r="63" customFormat="false" ht="15" hidden="false" customHeight="false" outlineLevel="0" collapsed="false">
      <c r="E63" s="50"/>
    </row>
    <row r="64" customFormat="false" ht="15" hidden="false" customHeight="false" outlineLevel="0" collapsed="false">
      <c r="B64" s="48" t="s">
        <v>39</v>
      </c>
      <c r="C64" s="51" t="str">
        <f aca="false">Data!A47</f>
        <v>M556 S100 X-0.259</v>
      </c>
      <c r="E64" s="50" t="s">
        <v>56</v>
      </c>
    </row>
    <row r="66" customFormat="false" ht="23.25" hidden="false" customHeight="false" outlineLevel="0" collapsed="false">
      <c r="A66" s="3" t="s">
        <v>57</v>
      </c>
      <c r="G66" s="21" t="s">
        <v>58</v>
      </c>
      <c r="H66" s="22"/>
      <c r="I66" s="22"/>
      <c r="J66" s="22"/>
      <c r="K66" s="22"/>
      <c r="L66" s="22"/>
      <c r="M66" s="22"/>
      <c r="N66" s="23"/>
    </row>
    <row r="67" customFormat="false" ht="15" hidden="false" customHeight="false" outlineLevel="0" collapsed="false">
      <c r="A67" s="40" t="s">
        <v>59</v>
      </c>
      <c r="G67" s="52" t="s">
        <v>60</v>
      </c>
      <c r="N67" s="27"/>
    </row>
    <row r="68" customFormat="false" ht="15" hidden="false" customHeight="false" outlineLevel="0" collapsed="false">
      <c r="G68" s="53" t="s">
        <v>61</v>
      </c>
      <c r="H68" s="36"/>
      <c r="I68" s="36"/>
      <c r="J68" s="36"/>
      <c r="K68" s="36"/>
      <c r="L68" s="36"/>
      <c r="M68" s="36"/>
      <c r="N68" s="37"/>
    </row>
    <row r="69" customFormat="false" ht="15" hidden="false" customHeight="false" outlineLevel="0" collapsed="false">
      <c r="B69" s="50" t="s">
        <v>62</v>
      </c>
      <c r="C69" s="13" t="n">
        <f aca="false">Data!B51</f>
        <v>100.18</v>
      </c>
    </row>
    <row r="71" customFormat="false" ht="15" hidden="false" customHeight="false" outlineLevel="0" collapsed="false">
      <c r="A71" s="40" t="s">
        <v>63</v>
      </c>
    </row>
    <row r="72" customFormat="false" ht="15.75" hidden="false" customHeight="false" outlineLevel="0" collapsed="false">
      <c r="B72" s="24"/>
      <c r="C72" s="54" t="s">
        <v>64</v>
      </c>
    </row>
    <row r="73" customFormat="false" ht="15.75" hidden="false" customHeight="false" outlineLevel="0" collapsed="false">
      <c r="B73" s="55" t="s">
        <v>65</v>
      </c>
      <c r="C73" s="56" t="n">
        <v>100</v>
      </c>
    </row>
    <row r="74" customFormat="false" ht="15" hidden="false" customHeight="false" outlineLevel="0" collapsed="false">
      <c r="B74" s="55" t="s">
        <v>66</v>
      </c>
      <c r="C74" s="56" t="n">
        <v>100</v>
      </c>
      <c r="E74" s="57"/>
    </row>
    <row r="75" customFormat="false" ht="15" hidden="false" customHeight="false" outlineLevel="0" collapsed="false">
      <c r="B75" s="58"/>
      <c r="C75" s="59"/>
    </row>
    <row r="76" customFormat="false" ht="15" hidden="false" customHeight="false" outlineLevel="0" collapsed="false">
      <c r="B76" s="55" t="s">
        <v>67</v>
      </c>
      <c r="C76" s="14" t="n">
        <f aca="false">Data!B55</f>
        <v>100.011666666667</v>
      </c>
      <c r="E76" s="57"/>
    </row>
    <row r="77" customFormat="false" ht="15" hidden="false" customHeight="false" outlineLevel="0" collapsed="false">
      <c r="B77" s="55" t="s">
        <v>68</v>
      </c>
      <c r="C77" s="14" t="n">
        <f aca="false">Data!B56</f>
        <v>99.6275</v>
      </c>
    </row>
    <row r="79" customFormat="false" ht="15" hidden="false" customHeight="false" outlineLevel="0" collapsed="false">
      <c r="A79" s="40" t="s">
        <v>69</v>
      </c>
    </row>
    <row r="80" customFormat="false" ht="15.75" hidden="false" customHeight="false" outlineLevel="0" collapsed="false">
      <c r="C80" s="54" t="s">
        <v>64</v>
      </c>
    </row>
    <row r="81" customFormat="false" ht="15.75" hidden="false" customHeight="false" outlineLevel="0" collapsed="false">
      <c r="B81" s="55" t="s">
        <v>70</v>
      </c>
      <c r="C81" s="56" t="n">
        <v>100</v>
      </c>
    </row>
    <row r="82" customFormat="false" ht="15" hidden="false" customHeight="false" outlineLevel="0" collapsed="false">
      <c r="B82" s="55" t="s">
        <v>71</v>
      </c>
      <c r="C82" s="56" t="n">
        <v>100</v>
      </c>
    </row>
    <row r="83" customFormat="false" ht="15" hidden="false" customHeight="false" outlineLevel="0" collapsed="false">
      <c r="B83" s="58"/>
      <c r="C83" s="59"/>
    </row>
    <row r="84" customFormat="false" ht="15" hidden="false" customHeight="false" outlineLevel="0" collapsed="false">
      <c r="B84" s="55" t="s">
        <v>72</v>
      </c>
      <c r="C84" s="14" t="n">
        <f aca="false">Data!B59</f>
        <v>99.9883333333333</v>
      </c>
    </row>
    <row r="85" customFormat="false" ht="15" hidden="false" customHeight="false" outlineLevel="0" collapsed="false">
      <c r="B85" s="55" t="s">
        <v>73</v>
      </c>
      <c r="C85" s="14" t="n">
        <f aca="false">Data!B60</f>
        <v>100.3725</v>
      </c>
    </row>
  </sheetData>
  <sheetProtection algorithmName="SHA-512" hashValue="6g0zqDWdwFMToID8C2zq3H5ir7VRHGAD25O6+4WRnS8JTNh/VhQYhILPgqNPlU3WsJg865YFkgtl0Ew3r7cjSA==" saltValue="yWg24x0mDkJW1Cb+L2KyuA==" spinCount="100000" sheet="true" selectLockedCells="true"/>
  <mergeCells count="1">
    <mergeCell ref="G37:O39"/>
  </mergeCells>
  <dataValidations count="18">
    <dataValidation allowBlank="true" error="Value must be a decimal between 0 and 1000." errorStyle="stop" operator="between" showDropDown="false" showErrorMessage="true" showInputMessage="true" sqref="B8:D17" type="decimal">
      <formula1>0</formula1>
      <formula2>1000</formula2>
    </dataValidation>
    <dataValidation allowBlank="true" error="Value must be a decimal between 0 and 1000" errorStyle="stop" operator="between" showDropDown="false" showErrorMessage="true" showInputMessage="true" sqref="E8:E17" type="decimal">
      <formula1>0</formula1>
      <formula2>1000</formula2>
    </dataValidation>
    <dataValidation allowBlank="true" errorStyle="stop" operator="greaterThanOrEqual" showDropDown="false" showErrorMessage="true" showInputMessage="true" sqref="C4" type="decimal">
      <formula1>0.75</formula1>
      <formula2>0</formula2>
    </dataValidation>
    <dataValidation allowBlank="true" error="Value must be a decimal greater than zero." errorStyle="stop" errorTitle="Input Error" operator="greaterThan" showDropDown="false" showErrorMessage="true" showInputMessage="false" sqref="C73:C74 C81:C82" type="decimal">
      <formula1>0</formula1>
      <formula2>0</formula2>
    </dataValidation>
    <dataValidation allowBlank="true" error="Value cannot be changed" errorStyle="stop" operator="between" showDropDown="false" showErrorMessage="true" showInputMessage="true" sqref="C37" type="custom">
      <formula1>"[skew_correction] "</formula1>
      <formula2>0</formula2>
    </dataValidation>
    <dataValidation allowBlank="true" error="Value cannot be changed." errorStyle="stop" operator="between" showDropDown="false" showErrorMessage="true" showInputMessage="true" sqref="C40" type="custom">
      <formula1>"SKEW_PROFILE LOAD=my_skew_profile"</formula1>
      <formula2>0</formula2>
    </dataValidation>
    <dataValidation allowBlank="true" error="Value cannot be changed." errorStyle="stop" operator="between" showDropDown="false" showErrorMessage="true" showInputMessage="true" sqref="C41" type="custom">
      <formula1>"SET_SKEW CLEAR=1"</formula1>
      <formula2>0</formula2>
    </dataValidation>
    <dataValidation allowBlank="true" errorStyle="stop" operator="between" showDropDown="false" showErrorMessage="true" showInputMessage="true" sqref="E74" type="custom">
      <formula1>C69</formula1>
      <formula2>0</formula2>
    </dataValidation>
    <dataValidation allowBlank="true" error="Cell cannot be changed" errorStyle="stop" operator="between" showDropDown="false" showErrorMessage="true" showInputMessage="true" sqref="C52:C53" type="none">
      <formula1>0</formula1>
      <formula2>0</formula2>
    </dataValidation>
    <dataValidation allowBlank="true" error="Value Cannot be changed" errorStyle="stop" operator="between" showDropDown="false" showErrorMessage="true" showInputMessage="true" sqref="C64" type="custom">
      <formula1>Data!A47</formula1>
      <formula2>0</formula2>
    </dataValidation>
    <dataValidation allowBlank="true" error="Value cannot be changed" errorStyle="stop" operator="between" showDropDown="false" showErrorMessage="true" showInputMessage="true" sqref="C69" type="custom">
      <formula1>Data!B51</formula1>
      <formula2>0</formula2>
    </dataValidation>
    <dataValidation allowBlank="true" error="Value cannot be changed." errorStyle="stop" operator="between" showDropDown="false" showErrorMessage="true" showInputMessage="true" sqref="C84:C85" type="custom">
      <formula1>Data!B59</formula1>
      <formula2>0</formula2>
    </dataValidation>
    <dataValidation allowBlank="true" errorStyle="stop" operator="between" showDropDown="false" showErrorMessage="true" showInputMessage="true" sqref="E76" type="custom">
      <formula1>Data!B55</formula1>
      <formula2>0</formula2>
    </dataValidation>
    <dataValidation allowBlank="true" errorStyle="stop" operator="between" showDropDown="false" showErrorMessage="true" showInputMessage="true" sqref="C58:C60" type="custom">
      <formula1>Data!B40</formula1>
      <formula2>0</formula2>
    </dataValidation>
    <dataValidation allowBlank="true" error="Cell cannot be changed" errorStyle="stop" operator="between" showDropDown="false" showErrorMessage="true" showInputMessage="true" sqref="C57" type="custom">
      <formula1>Data!A34</formula1>
      <formula2>0</formula2>
    </dataValidation>
    <dataValidation allowBlank="true" error="Cell cannot be changed" errorStyle="stop" operator="between" showDropDown="false" showErrorMessage="true" showInputMessage="true" sqref="C54:C55" type="custom">
      <formula1>Data!A32</formula1>
      <formula2>0</formula2>
    </dataValidation>
    <dataValidation allowBlank="true" error="Cell cannot be changed" errorStyle="stop" operator="between" showDropDown="false" showErrorMessage="true" showInputMessage="true" sqref="C45:C51" type="custom">
      <formula1>Data!A28</formula1>
      <formula2>0</formula2>
    </dataValidation>
    <dataValidation allowBlank="true" error="Cell cannot be changed" errorStyle="stop" operator="between" showDropDown="false" showErrorMessage="true" showInputMessage="true" sqref="C38:C39" type="custom">
      <formula1>Data!A23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between" id="{CB218791-B9CE-4DAD-9BDA-CC96A9578B36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lessThan" id="{F817C9FF-303B-4742-9FAC-9CE0A67453E8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greaterThan" id="{E542ECA1-A365-4E18-8BAA-40E4545DA01F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greaterThan" id="{668DAA37-DD35-4771-9B50-978978E01F22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6" operator="lessThan" id="{7245A661-906B-4455-AA1B-71D2823432FA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B8:D8</xm:sqref>
        </x14:conditionalFormatting>
        <x14:conditionalFormatting xmlns:xm="http://schemas.microsoft.com/office/excel/2006/main">
          <x14:cfRule type="cellIs" priority="7" operator="greaterThan" id="{F1CED16A-F42E-4BAF-8039-67F37E1EA564}">
            <xm:f>Data!$B$3+5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lessThan" id="{D0C92C29-D0CD-4B88-A961-DBF046B06738}">
            <xm:f>Data!$B$3-5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between" id="{9ADB7E6C-A3F8-42A0-9AF0-5067D0B59516}">
            <xm:f>Data!$B$3+1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greaterThan" id="{A61DD971-60DF-4BAC-99E5-85F957CA1423}">
            <xm:f>Data!$B$3+1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1" operator="lessThan" id="{EDD0274D-898B-4B4F-99C0-ED9E6F6FAD55}">
            <xm:f>Data!$B$3-1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B9:D9 B11:D11 B13:D13 B15:D15</xm:sqref>
        </x14:conditionalFormatting>
        <x14:conditionalFormatting xmlns:xm="http://schemas.microsoft.com/office/excel/2006/main">
          <x14:cfRule type="cellIs" priority="12" operator="between" id="{39746840-79F8-4FEB-B418-D08916704FE2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lessThan" id="{50184010-D0E2-4944-9E2A-106218BED4B6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greaterThan" id="{7998F1C9-2D40-4430-9FE9-A5506756218E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" operator="greaterThan" id="{A4B69B40-82DF-4EE7-976C-D32EC0B1AF85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6" operator="lessThan" id="{6F5D2ADE-9327-4B78-B930-B23E54AAEDCE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B10:D10</xm:sqref>
        </x14:conditionalFormatting>
        <x14:conditionalFormatting xmlns:xm="http://schemas.microsoft.com/office/excel/2006/main">
          <x14:cfRule type="cellIs" priority="17" operator="between" id="{F2661D49-5260-49B1-BC6A-ACBD205CC8B7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lessThan" id="{6434709E-8346-4EB5-B140-514E68158040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" operator="greaterThan" id="{E0F15AB2-D32B-49AE-8FB4-B0149FF0534A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operator="greaterThan" id="{81368C5E-9990-4385-A848-3ADF986EA067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1" operator="lessThan" id="{18B77568-A6BA-4963-A87B-6058DF6D2A9E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B12:D12</xm:sqref>
        </x14:conditionalFormatting>
        <x14:conditionalFormatting xmlns:xm="http://schemas.microsoft.com/office/excel/2006/main">
          <x14:cfRule type="cellIs" priority="22" operator="between" id="{7B413333-871D-4C28-BF7D-F336B1824A30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lessThan" id="{17E18086-B866-4657-BAD4-E9EB2B65FF9A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operator="greaterThan" id="{9BB2B5EE-FA2E-4559-95B0-618E423286A5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" operator="greaterThan" id="{C09AF96D-2520-4A9F-953F-684AEA2EECC2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6" operator="lessThan" id="{F33D6F60-8831-4A4F-AFED-9A6382757A3C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B14:D14</xm:sqref>
        </x14:conditionalFormatting>
        <x14:conditionalFormatting xmlns:xm="http://schemas.microsoft.com/office/excel/2006/main">
          <x14:cfRule type="cellIs" priority="27" operator="between" id="{2E775280-8B22-4D40-A998-2B39B4C569C0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" operator="lessThan" id="{56D02ACB-C6D4-4AC4-A296-9AF6B518CB9F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" operator="greaterThan" id="{FF8C51C5-7B80-4E46-82B5-486C34904A74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operator="greaterThan" id="{B9DF79B4-1F40-4B33-BCE2-598D1AC27CB0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1" operator="lessThan" id="{7190B0B5-2724-4D27-9AF1-96F8B57FA33C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B16:D17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14.29"/>
    <col collapsed="false" customWidth="true" hidden="false" outlineLevel="0" max="3" min="3" style="1" width="14.43"/>
    <col collapsed="false" customWidth="true" hidden="false" outlineLevel="0" max="5" min="5" style="1" width="9.14"/>
    <col collapsed="false" customWidth="true" hidden="false" outlineLevel="0" max="9" min="9" style="1" width="14.43"/>
  </cols>
  <sheetData>
    <row r="1" customFormat="false" ht="15.75" hidden="false" customHeight="false" outlineLevel="0" collapsed="false">
      <c r="B1" s="40" t="s">
        <v>74</v>
      </c>
      <c r="C1" s="60" t="s">
        <v>75</v>
      </c>
    </row>
    <row r="2" customFormat="false" ht="15" hidden="false" customHeight="false" outlineLevel="0" collapsed="false">
      <c r="A2" s="40" t="n">
        <v>1</v>
      </c>
      <c r="B2" s="1" t="n">
        <f aca="false">100*scale</f>
        <v>100</v>
      </c>
      <c r="C2" s="61" t="n">
        <f aca="false">(Calculator!E8-Data!B2)/B2</f>
        <v>0.000866666666666589</v>
      </c>
    </row>
    <row r="3" customFormat="false" ht="15" hidden="false" customHeight="false" outlineLevel="0" collapsed="false">
      <c r="A3" s="40" t="n">
        <v>2</v>
      </c>
      <c r="B3" s="1" t="n">
        <f aca="false">50*scale</f>
        <v>50</v>
      </c>
      <c r="C3" s="61" t="n">
        <f aca="false">(Calculator!E9-Data!B3)/B3</f>
        <v>0.00420000000000002</v>
      </c>
    </row>
    <row r="4" customFormat="false" ht="15" hidden="false" customHeight="false" outlineLevel="0" collapsed="false">
      <c r="A4" s="40" t="n">
        <v>3</v>
      </c>
      <c r="B4" s="1" t="n">
        <f aca="false">100*scale</f>
        <v>100</v>
      </c>
      <c r="C4" s="61" t="n">
        <f aca="false">(Calculator!E10-Data!B4)/B4</f>
        <v>-0.00266666666666666</v>
      </c>
    </row>
    <row r="5" customFormat="false" ht="15" hidden="false" customHeight="false" outlineLevel="0" collapsed="false">
      <c r="A5" s="40" t="n">
        <v>4</v>
      </c>
      <c r="B5" s="1" t="n">
        <f aca="false">50*scale</f>
        <v>50</v>
      </c>
      <c r="C5" s="61" t="n">
        <f aca="false">(Calculator!E11-Data!B5)/B5</f>
        <v>-0.00286666666666676</v>
      </c>
    </row>
    <row r="6" customFormat="false" ht="15" hidden="false" customHeight="false" outlineLevel="0" collapsed="false">
      <c r="A6" s="40" t="n">
        <v>5</v>
      </c>
      <c r="B6" s="1" t="n">
        <f aca="false">100*scale</f>
        <v>100</v>
      </c>
      <c r="C6" s="61" t="n">
        <f aca="false">(Calculator!E12-Data!B6)/B6</f>
        <v>0.0049666666666667</v>
      </c>
    </row>
    <row r="7" customFormat="false" ht="15" hidden="false" customHeight="false" outlineLevel="0" collapsed="false">
      <c r="A7" s="40" t="n">
        <v>6</v>
      </c>
      <c r="B7" s="1" t="n">
        <f aca="false">50*scale</f>
        <v>50</v>
      </c>
      <c r="C7" s="61" t="n">
        <f aca="false">(Calculator!E13-Data!B7)/B7</f>
        <v>0.00433333333333337</v>
      </c>
    </row>
    <row r="8" customFormat="false" ht="15" hidden="false" customHeight="false" outlineLevel="0" collapsed="false">
      <c r="A8" s="40" t="n">
        <v>7</v>
      </c>
      <c r="B8" s="1" t="n">
        <f aca="false">100*scale</f>
        <v>100</v>
      </c>
      <c r="C8" s="61" t="n">
        <f aca="false">(Calculator!E14-Data!B8)/B8</f>
        <v>0.00180000000000007</v>
      </c>
    </row>
    <row r="9" customFormat="false" ht="15" hidden="false" customHeight="false" outlineLevel="0" collapsed="false">
      <c r="A9" s="40" t="n">
        <v>8</v>
      </c>
      <c r="B9" s="1" t="n">
        <f aca="false">50*scale</f>
        <v>50</v>
      </c>
      <c r="C9" s="61" t="n">
        <f aca="false">(Calculator!E15-Data!B9)/B9</f>
        <v>0.00379999999999995</v>
      </c>
    </row>
    <row r="10" customFormat="false" ht="15" hidden="false" customHeight="false" outlineLevel="0" collapsed="false">
      <c r="C10" s="61"/>
      <c r="E10" s="62"/>
    </row>
    <row r="11" customFormat="false" ht="15" hidden="false" customHeight="false" outlineLevel="0" collapsed="false">
      <c r="C11" s="61"/>
      <c r="E11" s="62"/>
    </row>
    <row r="12" customFormat="false" ht="15" hidden="false" customHeight="false" outlineLevel="0" collapsed="false">
      <c r="B12" s="63" t="s">
        <v>20</v>
      </c>
      <c r="C12" s="64" t="s">
        <v>22</v>
      </c>
      <c r="D12" s="63" t="s">
        <v>28</v>
      </c>
      <c r="E12" s="65" t="s">
        <v>30</v>
      </c>
    </row>
    <row r="13" customFormat="false" ht="15" hidden="false" customHeight="false" outlineLevel="0" collapsed="false">
      <c r="A13" s="1" t="s">
        <v>8</v>
      </c>
      <c r="B13" s="29" t="n">
        <f aca="false">AVERAGE(C2:C5)</f>
        <v>-0.000116666666666703</v>
      </c>
      <c r="C13" s="29" t="n">
        <f aca="false">AVERAGE(C6:C9)</f>
        <v>0.00372500000000002</v>
      </c>
      <c r="D13" s="29" t="n">
        <f aca="false">AVERAGE(C4:C5,C8:C9)</f>
        <v>1.66666666666516E-005</v>
      </c>
      <c r="E13" s="29" t="n">
        <f aca="false">AVERAGE(C2:C3,C6:C7)</f>
        <v>0.00359166666666667</v>
      </c>
    </row>
    <row r="14" customFormat="false" ht="15" hidden="false" customHeight="false" outlineLevel="0" collapsed="false">
      <c r="C14" s="61"/>
      <c r="E14" s="62"/>
    </row>
    <row r="15" customFormat="false" ht="15" hidden="false" customHeight="false" outlineLevel="0" collapsed="false">
      <c r="C15" s="61"/>
      <c r="E15" s="62"/>
    </row>
    <row r="17" customFormat="false" ht="15" hidden="false" customHeight="false" outlineLevel="0" collapsed="false">
      <c r="A17" s="1" t="s">
        <v>76</v>
      </c>
      <c r="B17" s="57" t="n">
        <f aca="false">50*SQRT(2)*(1+B13)*Calculator!C4</f>
        <v>70.7024285395409</v>
      </c>
      <c r="C17" s="66" t="str">
        <f aca="false">TRUNC(Data!B17)&amp;"."&amp;ROUND(100*(Data!B17-TRUNC(Data!B17)),0)</f>
        <v>70.70</v>
      </c>
    </row>
    <row r="18" customFormat="false" ht="15" hidden="false" customHeight="false" outlineLevel="0" collapsed="false">
      <c r="A18" s="1" t="s">
        <v>77</v>
      </c>
      <c r="B18" s="57" t="n">
        <f aca="false">SQRT(((Calculator!E17^2)+(Calculator!E16^2)-2*(B17^2))/2)</f>
        <v>71.1802187623469</v>
      </c>
      <c r="C18" s="66" t="str">
        <f aca="false">TRUNC(Data!B18)&amp;"."&amp;ROUND(100*(Data!B18-TRUNC(Data!B18)),0)</f>
        <v>71.18</v>
      </c>
    </row>
    <row r="19" customFormat="false" ht="15" hidden="false" customHeight="false" outlineLevel="0" collapsed="false">
      <c r="A19" s="1" t="s">
        <v>78</v>
      </c>
      <c r="B19" s="57" t="n">
        <f aca="false">DEGREES(ACOS(((Calculator!E16^2)-(B17^2)-(B18^2))/(2*B17*B18)))</f>
        <v>90.1484872636499</v>
      </c>
      <c r="C19" s="66" t="str">
        <f aca="false">TRUNC(Data!B19)&amp;"."&amp;ROUND(100*(Data!B19-TRUNC(Data!B19)),0)</f>
        <v>90.15</v>
      </c>
    </row>
    <row r="20" customFormat="false" ht="15" hidden="false" customHeight="false" outlineLevel="0" collapsed="false">
      <c r="A20" s="1" t="s">
        <v>25</v>
      </c>
      <c r="B20" s="57" t="n">
        <f aca="false">90-B19</f>
        <v>-0.14848726364994</v>
      </c>
      <c r="C20" s="66" t="str">
        <f aca="false">TRUNC(Data!B20)&amp;"."&amp;ROUND(100*(Data!B20-TRUNC(Data!B20)),0)</f>
        <v>0.-15</v>
      </c>
    </row>
    <row r="22" customFormat="false" ht="15" hidden="false" customHeight="false" outlineLevel="0" collapsed="false">
      <c r="A22" s="40" t="s">
        <v>79</v>
      </c>
    </row>
    <row r="23" customFormat="false" ht="15" hidden="false" customHeight="false" outlineLevel="0" collapsed="false">
      <c r="A23" s="1" t="str">
        <f aca="false">"SET_SKEW XY="&amp;ROUND(Calculator!E17,2)&amp;","&amp;ROUND(Calculator!E16,2)&amp;","&amp;ROUND(B17,2)</f>
        <v>SET_SKEW XY=100.46,100.2,70.7</v>
      </c>
    </row>
    <row r="24" customFormat="false" ht="15" hidden="false" customHeight="false" outlineLevel="0" collapsed="false">
      <c r="A24" s="1" t="s">
        <v>80</v>
      </c>
    </row>
    <row r="25" customFormat="false" ht="15" hidden="false" customHeight="false" outlineLevel="0" collapsed="false">
      <c r="A25" s="1" t="s">
        <v>81</v>
      </c>
    </row>
    <row r="27" customFormat="false" ht="15" hidden="false" customHeight="false" outlineLevel="0" collapsed="false">
      <c r="A27" s="40" t="s">
        <v>82</v>
      </c>
    </row>
    <row r="28" customFormat="false" ht="15" hidden="false" customHeight="false" outlineLevel="0" collapsed="false">
      <c r="A28" s="1" t="s">
        <v>83</v>
      </c>
    </row>
    <row r="29" customFormat="false" ht="15" hidden="false" customHeight="false" outlineLevel="0" collapsed="false">
      <c r="A29" s="1" t="str">
        <f aca="false">" define XY_DIAG_AC " &amp; ROUND(Calculator!E17,4)</f>
        <v> define XY_DIAG_AC 100.4567</v>
      </c>
    </row>
    <row r="30" customFormat="false" ht="15" hidden="false" customHeight="false" outlineLevel="0" collapsed="false">
      <c r="A30" s="1" t="str">
        <f aca="false">" define XY_DIAG_BD " &amp; ROUND(Calculator!E16,4)</f>
        <v> define XY_DIAG_BD 100.1967</v>
      </c>
    </row>
    <row r="31" customFormat="false" ht="15" hidden="false" customHeight="false" outlineLevel="0" collapsed="false">
      <c r="A31" s="1" t="str">
        <f aca="false">" define XY_SIDE_AD "&amp;ROUND(B17,4)</f>
        <v> define XY_SIDE_AD 70.7024</v>
      </c>
    </row>
    <row r="32" customFormat="false" ht="15" hidden="false" customHeight="false" outlineLevel="0" collapsed="false">
      <c r="A32" s="1" t="str">
        <f aca="false">IFERROR(" define XY_SKEW_FACTOR " &amp; ROUND(B37,6),"ERROR")</f>
        <v> define XY_SKEW_FACTOR 0.005519</v>
      </c>
    </row>
    <row r="34" customFormat="false" ht="15" hidden="false" customHeight="false" outlineLevel="0" collapsed="false">
      <c r="A34" s="1" t="s">
        <v>84</v>
      </c>
      <c r="B34" s="57" t="n">
        <f aca="false">Calculator!E17</f>
        <v>100.456666666667</v>
      </c>
      <c r="C34" s="66" t="str">
        <f aca="false">TRUNC(Data!B34)&amp;"."&amp;ROUND(100*(Data!B34-TRUNC(Data!B34)),0)</f>
        <v>100.46</v>
      </c>
      <c r="F34" s="1" t="s">
        <v>85</v>
      </c>
    </row>
    <row r="35" customFormat="false" ht="15" hidden="false" customHeight="false" outlineLevel="0" collapsed="false">
      <c r="A35" s="1" t="s">
        <v>86</v>
      </c>
      <c r="B35" s="57" t="n">
        <f aca="false">50*SQRT(2)*(1+C13)*Calculator!C4</f>
        <v>70.9740753946468</v>
      </c>
      <c r="C35" s="66" t="str">
        <f aca="false">TRUNC(Data!B35)&amp;"."&amp;ROUND(100*(Data!B35-TRUNC(Data!B35)),0)</f>
        <v>70.97</v>
      </c>
      <c r="F35" s="1" t="s">
        <v>87</v>
      </c>
    </row>
    <row r="36" customFormat="false" ht="15" hidden="false" customHeight="false" outlineLevel="0" collapsed="false">
      <c r="A36" s="1" t="s">
        <v>88</v>
      </c>
      <c r="B36" s="57" t="n">
        <f aca="false">B17</f>
        <v>70.7024285395409</v>
      </c>
      <c r="C36" s="66" t="str">
        <f aca="false">TRUNC(Data!B36)&amp;"."&amp;ROUND(100*(Data!B36-TRUNC(Data!B36)),0)</f>
        <v>70.70</v>
      </c>
      <c r="F36" s="1" t="s">
        <v>89</v>
      </c>
    </row>
    <row r="37" customFormat="false" ht="15" hidden="false" customHeight="false" outlineLevel="0" collapsed="false">
      <c r="A37" s="1" t="s">
        <v>90</v>
      </c>
      <c r="B37" s="57" t="n">
        <f aca="false">IFERROR(TAN(PI()/2-ACOS(((B34^2)-(B35^2)-(B36^2))/(2*B35*B36))),"ERROR")</f>
        <v>0.00551908189540506</v>
      </c>
      <c r="C37" s="66" t="str">
        <f aca="false">IFERROR(TRUNC(Data!B37)&amp;"."&amp;ROUND(100*(Data!B37-TRUNC(Data!B37)),0),"ERROR")</f>
        <v>0.1</v>
      </c>
      <c r="I37" s="67"/>
    </row>
    <row r="39" customFormat="false" ht="15" hidden="false" customHeight="false" outlineLevel="0" collapsed="false">
      <c r="A39" s="40" t="s">
        <v>91</v>
      </c>
    </row>
    <row r="40" customFormat="false" ht="15" hidden="false" customHeight="false" outlineLevel="0" collapsed="false">
      <c r="A40" s="40"/>
      <c r="B40" s="68" t="s">
        <v>92</v>
      </c>
    </row>
    <row r="41" customFormat="false" ht="15" hidden="false" customHeight="false" outlineLevel="0" collapsed="false">
      <c r="A41" s="1" t="s">
        <v>93</v>
      </c>
      <c r="B41" s="1" t="str">
        <f aca="false">"M852 I"&amp;ROUND(B37,6)</f>
        <v>M852 I0.005519</v>
      </c>
      <c r="F41" s="1" t="s">
        <v>94</v>
      </c>
    </row>
    <row r="42" customFormat="false" ht="15" hidden="false" customHeight="false" outlineLevel="0" collapsed="false">
      <c r="A42" s="1" t="s">
        <v>95</v>
      </c>
      <c r="B42" s="1" t="s">
        <v>96</v>
      </c>
      <c r="F42" s="1" t="s">
        <v>97</v>
      </c>
    </row>
    <row r="44" customFormat="false" ht="15" hidden="false" customHeight="false" outlineLevel="0" collapsed="false">
      <c r="A44" s="40" t="s">
        <v>98</v>
      </c>
    </row>
    <row r="45" customFormat="false" ht="15" hidden="false" customHeight="false" outlineLevel="0" collapsed="false">
      <c r="A45" s="1" t="s">
        <v>99</v>
      </c>
      <c r="B45" s="1" t="s">
        <v>100</v>
      </c>
      <c r="F45" s="1" t="s">
        <v>101</v>
      </c>
    </row>
    <row r="46" customFormat="false" ht="15" hidden="false" customHeight="false" outlineLevel="0" collapsed="false">
      <c r="A46" s="1" t="s">
        <v>102</v>
      </c>
      <c r="B46" s="69" t="n">
        <f aca="false">100*TAN(RADIANS(90-B19))</f>
        <v>-0.259159744999377</v>
      </c>
    </row>
    <row r="47" customFormat="false" ht="15" hidden="false" customHeight="false" outlineLevel="0" collapsed="false">
      <c r="A47" s="1" t="str">
        <f aca="false">"M556 S100 X"&amp; ROUND(B46,3)</f>
        <v>M556 S100 X-0.259</v>
      </c>
    </row>
    <row r="50" customFormat="false" ht="15" hidden="false" customHeight="false" outlineLevel="0" collapsed="false">
      <c r="A50" s="40" t="s">
        <v>103</v>
      </c>
    </row>
    <row r="51" customFormat="false" ht="15" hidden="false" customHeight="false" outlineLevel="0" collapsed="false">
      <c r="A51" s="1" t="s">
        <v>104</v>
      </c>
      <c r="B51" s="70" t="n">
        <f aca="false">ROUND((1+AVERAGE(B13,C13))*100,2)</f>
        <v>100.18</v>
      </c>
    </row>
    <row r="52" customFormat="false" ht="15" hidden="false" customHeight="false" outlineLevel="0" collapsed="false">
      <c r="B52" s="66"/>
    </row>
    <row r="54" customFormat="false" ht="15" hidden="false" customHeight="false" outlineLevel="0" collapsed="false">
      <c r="A54" s="40" t="s">
        <v>63</v>
      </c>
    </row>
    <row r="55" customFormat="false" ht="15" hidden="false" customHeight="false" outlineLevel="0" collapsed="false">
      <c r="A55" s="1" t="s">
        <v>20</v>
      </c>
      <c r="B55" s="57" t="n">
        <f aca="false">Calculator!C73*(1-Data!B13)</f>
        <v>100.011666666667</v>
      </c>
    </row>
    <row r="56" customFormat="false" ht="15" hidden="false" customHeight="false" outlineLevel="0" collapsed="false">
      <c r="A56" s="1" t="s">
        <v>22</v>
      </c>
      <c r="B56" s="57" t="n">
        <f aca="false">Calculator!C74*(1-Data!C13)</f>
        <v>99.6275</v>
      </c>
    </row>
    <row r="58" customFormat="false" ht="15" hidden="false" customHeight="false" outlineLevel="0" collapsed="false">
      <c r="A58" s="40" t="s">
        <v>69</v>
      </c>
    </row>
    <row r="59" customFormat="false" ht="15" hidden="false" customHeight="false" outlineLevel="0" collapsed="false">
      <c r="A59" s="1" t="s">
        <v>20</v>
      </c>
      <c r="B59" s="70" t="n">
        <f aca="false">(1+B13)*Calculator!C81</f>
        <v>99.9883333333333</v>
      </c>
    </row>
    <row r="60" customFormat="false" ht="15" hidden="false" customHeight="false" outlineLevel="0" collapsed="false">
      <c r="A60" s="1" t="s">
        <v>22</v>
      </c>
      <c r="B60" s="70" t="n">
        <f aca="false">(1+C13)*Calculator!C82</f>
        <v>100.3725</v>
      </c>
    </row>
  </sheetData>
  <sheetProtection algorithmName="SHA-512" hashValue="p4hCW/ox7aprO+0+ADqR3enyB9yT9NR9NZbiF6AxLyKnYh450KzhqHb7SgotpPxvMBmlyyr2AcB1ovPPEUQe/w==" saltValue="Z+vLn681NT5TvkBdiQVw1A==" spinCount="100000" sheet="true" selectLockedCells="true" selectUnlockedCell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2021-12-10T19:35:57Z</dcterms:created>
  <dc:creator>Adam Meadows</dc:creator>
  <dc:description/>
  <dc:language>en-CA</dc:language>
  <cp:lastModifiedBy/>
  <dcterms:modified xsi:type="dcterms:W3CDTF">2024-01-09T19:06:22Z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