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comments1.xml" ContentType="application/vnd.openxmlformats-officedocument.spreadsheetml.comments+xml"/>
  <Override PartName="/xl/printerSettings/printerSettings1.bin" ContentType="application/vnd.openxmlformats-officedocument.spreadsheetml.printerSettings"/>
  <Override PartName="/xl/drawings/drawing2.xml" ContentType="application/vnd.openxmlformats-officedocument.drawing+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activeX/activeX16.xml" ContentType="application/vnd.ms-office.activeX+xml"/>
  <Override PartName="/xl/activeX/activeX17.xml" ContentType="application/vnd.ms-office.activeX+xml"/>
  <Override PartName="/xl/activeX/activeX18.xml" ContentType="application/vnd.ms-office.activeX+xml"/>
  <Override PartName="/xl/activeX/activeX19.xml" ContentType="application/vnd.ms-office.activeX+xml"/>
  <Override PartName="/xl/activeX/activeX20.xml" ContentType="application/vnd.ms-office.activeX+xml"/>
  <Override PartName="/xl/activeX/activeX21.xml" ContentType="application/vnd.ms-office.activeX+xml"/>
  <Override PartName="/xl/activeX/activeX22.xml" ContentType="application/vnd.ms-office.activeX+xml"/>
  <Override PartName="/xl/activeX/activeX23.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activeX/activeX27.xml" ContentType="application/vnd.ms-office.activeX+xml"/>
  <Override PartName="/xl/activeX/activeX28.xml" ContentType="application/vnd.ms-office.activeX+xml"/>
  <Override PartName="/xl/activeX/activeX29.xml" ContentType="application/vnd.ms-office.activeX+xml"/>
  <Override PartName="/xl/activeX/activeX30.xml" ContentType="application/vnd.ms-office.activeX+xml"/>
  <Override PartName="/xl/activeX/activeX31.xml" ContentType="application/vnd.ms-office.activeX+xml"/>
  <Override PartName="/xl/activeX/activeX32.xml" ContentType="application/vnd.ms-office.activeX+xml"/>
  <Override PartName="/xl/activeX/activeX33.xml" ContentType="application/vnd.ms-office.activeX+xml"/>
  <Override PartName="/xl/activeX/activeX34.xml" ContentType="application/vnd.ms-office.activeX+xml"/>
  <Override PartName="/xl/activeX/activeX35.xml" ContentType="application/vnd.ms-office.activeX+xml"/>
  <Override PartName="/xl/comments2.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ЭтаКнига"/>
  <mc:AlternateContent xmlns:mc="http://schemas.openxmlformats.org/markup-compatibility/2006">
    <mc:Choice Requires="x15">
      <x15ac:absPath xmlns:x15ac="http://schemas.microsoft.com/office/spreadsheetml/2010/11/ac" url="C:\Users\L K\icu_doc\Intensive-care-doc\"/>
    </mc:Choice>
  </mc:AlternateContent>
  <bookViews>
    <workbookView xWindow="0" yWindow="0" windowWidth="28800" windowHeight="13875" tabRatio="699" activeTab="8"/>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назначения" sheetId="7" r:id="rId7"/>
    <sheet name="на кровать" sheetId="8" r:id="rId8"/>
    <sheet name="согласия" sheetId="9" r:id="rId9"/>
    <sheet name="ПЭП" sheetId="10" r:id="rId10"/>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7">'на кровать'!$A$1:$K$61</definedName>
    <definedName name="_xlnm.Print_Area" localSheetId="6">назначения!$A$1:$J$38</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52511"/>
</workbook>
</file>

<file path=xl/calcChain.xml><?xml version="1.0" encoding="utf-8"?>
<calcChain xmlns="http://schemas.openxmlformats.org/spreadsheetml/2006/main">
  <c r="J12" i="5" l="1"/>
  <c r="C13" i="5" l="1"/>
  <c r="L7" i="10" l="1"/>
  <c r="L9" i="10" s="1"/>
  <c r="M7" i="10"/>
  <c r="C1" i="10"/>
  <c r="C10" i="10" s="1"/>
  <c r="C14" i="10" s="1"/>
  <c r="M97" i="9"/>
  <c r="X73" i="9"/>
  <c r="B115" i="9"/>
  <c r="M115" i="9"/>
  <c r="AD61" i="9"/>
  <c r="AA61" i="9"/>
  <c r="X52" i="9"/>
  <c r="S106" i="9"/>
  <c r="P106" i="9"/>
  <c r="AN6" i="2"/>
  <c r="AO6" i="2" s="1"/>
  <c r="AP6" i="2" s="1"/>
  <c r="CB20" i="2"/>
  <c r="CB21" i="2"/>
  <c r="AM55" i="2"/>
  <c r="C1" i="8"/>
  <c r="A2" i="8"/>
  <c r="D2" i="8"/>
  <c r="C3" i="8"/>
  <c r="C4" i="8"/>
  <c r="F38" i="8"/>
  <c r="A42" i="8"/>
  <c r="A50" i="8"/>
  <c r="E54" i="8"/>
  <c r="E57" i="8"/>
  <c r="B3" i="7"/>
  <c r="D3" i="7"/>
  <c r="F3" i="7"/>
  <c r="I3" i="7"/>
  <c r="C5" i="7"/>
  <c r="I4" i="1"/>
  <c r="K4" i="1"/>
  <c r="I5" i="1"/>
  <c r="K5" i="1"/>
  <c r="I6" i="1"/>
  <c r="K6" i="1"/>
  <c r="I7" i="1"/>
  <c r="L7" i="1" s="1"/>
  <c r="CB42" i="2" s="1"/>
  <c r="K7" i="1"/>
  <c r="I8" i="1"/>
  <c r="K8" i="1"/>
  <c r="I9" i="1"/>
  <c r="K9" i="1"/>
  <c r="I10" i="1"/>
  <c r="K10" i="1"/>
  <c r="I11" i="1"/>
  <c r="L11" i="1" s="1"/>
  <c r="CB43" i="2" s="1"/>
  <c r="K11" i="1"/>
  <c r="I12" i="1"/>
  <c r="K12" i="1"/>
  <c r="I16" i="1"/>
  <c r="Y4" i="2" s="1"/>
  <c r="I17" i="1"/>
  <c r="AB4" i="2"/>
  <c r="C2" i="5"/>
  <c r="D2" i="5"/>
  <c r="J2" i="5"/>
  <c r="K2" i="5"/>
  <c r="L2" i="5"/>
  <c r="M2" i="5"/>
  <c r="C3" i="5"/>
  <c r="D3" i="5"/>
  <c r="J3" i="5"/>
  <c r="K3" i="5"/>
  <c r="L3" i="5"/>
  <c r="M3" i="5"/>
  <c r="C4" i="5"/>
  <c r="D4" i="5"/>
  <c r="J4" i="5"/>
  <c r="K4" i="5"/>
  <c r="L4" i="5"/>
  <c r="M4" i="5"/>
  <c r="C5" i="5"/>
  <c r="D5" i="5"/>
  <c r="C6" i="5"/>
  <c r="D6" i="5"/>
  <c r="C7" i="5"/>
  <c r="D7" i="5"/>
  <c r="C8" i="5"/>
  <c r="D8" i="5"/>
  <c r="J8" i="5"/>
  <c r="K8" i="5"/>
  <c r="N8" i="5" s="1"/>
  <c r="L8" i="5"/>
  <c r="C9" i="5"/>
  <c r="D9" i="5"/>
  <c r="J9" i="5"/>
  <c r="M9" i="5" s="1"/>
  <c r="K9" i="5"/>
  <c r="N9" i="5" s="1"/>
  <c r="C10" i="5"/>
  <c r="D10" i="5"/>
  <c r="J10" i="5"/>
  <c r="K10" i="5"/>
  <c r="N10" i="5" s="1"/>
  <c r="L10" i="5"/>
  <c r="C11" i="5"/>
  <c r="D11" i="5"/>
  <c r="J11" i="5"/>
  <c r="K11" i="5"/>
  <c r="N11" i="5" s="1"/>
  <c r="M11" i="5"/>
  <c r="C12" i="5"/>
  <c r="D12" i="5"/>
  <c r="K12" i="5"/>
  <c r="L12" i="5"/>
  <c r="D13" i="5"/>
  <c r="J13" i="5"/>
  <c r="M13" i="5" s="1"/>
  <c r="K13" i="5"/>
  <c r="N13" i="5" s="1"/>
  <c r="C14" i="5"/>
  <c r="D14" i="5"/>
  <c r="J14" i="5"/>
  <c r="K14" i="5"/>
  <c r="L14" i="5"/>
  <c r="M14" i="5"/>
  <c r="N14" i="5"/>
  <c r="C15" i="5"/>
  <c r="D15" i="5"/>
  <c r="J15" i="5"/>
  <c r="K15" i="5"/>
  <c r="L15" i="5"/>
  <c r="M15" i="5"/>
  <c r="N15" i="5"/>
  <c r="C16" i="5"/>
  <c r="D16" i="5" s="1"/>
  <c r="J16" i="5"/>
  <c r="K16" i="5"/>
  <c r="L16" i="5"/>
  <c r="M16" i="5"/>
  <c r="N16" i="5"/>
  <c r="C17" i="5"/>
  <c r="D17" i="5" s="1"/>
  <c r="J17" i="5"/>
  <c r="K17" i="5"/>
  <c r="L17" i="5"/>
  <c r="M17" i="5"/>
  <c r="N17" i="5"/>
  <c r="C18" i="5"/>
  <c r="D18" i="5" s="1"/>
  <c r="C22" i="5"/>
  <c r="D22" i="5" s="1"/>
  <c r="C23" i="5"/>
  <c r="D23" i="5" s="1"/>
  <c r="C24" i="5"/>
  <c r="D24" i="5" s="1"/>
  <c r="C28" i="5"/>
  <c r="D28" i="5"/>
  <c r="C29" i="5"/>
  <c r="D29" i="5"/>
  <c r="C30" i="5"/>
  <c r="D30" i="5"/>
  <c r="C31" i="5"/>
  <c r="D31" i="5" s="1"/>
  <c r="C32" i="5"/>
  <c r="D32" i="5"/>
  <c r="C33" i="5"/>
  <c r="D33" i="5"/>
  <c r="C34" i="5"/>
  <c r="D34" i="5"/>
  <c r="B89" i="9"/>
  <c r="D106" i="9"/>
  <c r="F106" i="9"/>
  <c r="C2" i="4"/>
  <c r="D2" i="4"/>
  <c r="E2" i="4"/>
  <c r="F2" i="4"/>
  <c r="G2" i="4" s="1"/>
  <c r="H2" i="4"/>
  <c r="C3" i="4"/>
  <c r="D3" i="4"/>
  <c r="E3" i="4"/>
  <c r="F3" i="4"/>
  <c r="G3" i="4" s="1"/>
  <c r="H3" i="4"/>
  <c r="C4" i="4"/>
  <c r="D4" i="4"/>
  <c r="E4" i="4"/>
  <c r="F4" i="4"/>
  <c r="G4" i="4" s="1"/>
  <c r="H4" i="4"/>
  <c r="C5" i="4"/>
  <c r="D5" i="4"/>
  <c r="E5" i="4"/>
  <c r="F5" i="4"/>
  <c r="G5" i="4" s="1"/>
  <c r="C6" i="4"/>
  <c r="D6" i="4"/>
  <c r="E6" i="4"/>
  <c r="F6" i="4"/>
  <c r="G6" i="4" s="1"/>
  <c r="C7" i="4"/>
  <c r="D7" i="4"/>
  <c r="E7" i="4"/>
  <c r="F7" i="4"/>
  <c r="G7" i="4" s="1"/>
  <c r="C8" i="4"/>
  <c r="D8" i="4"/>
  <c r="E8" i="4"/>
  <c r="F8" i="4"/>
  <c r="G8" i="4" s="1"/>
  <c r="C9" i="4"/>
  <c r="D9" i="4"/>
  <c r="E9" i="4"/>
  <c r="F9" i="4"/>
  <c r="G9" i="4"/>
  <c r="H9" i="4"/>
  <c r="C10" i="4"/>
  <c r="D10" i="4"/>
  <c r="E10" i="4"/>
  <c r="F10" i="4"/>
  <c r="G10" i="4" s="1"/>
  <c r="H10" i="4"/>
  <c r="C11" i="4"/>
  <c r="D11" i="4"/>
  <c r="E11" i="4"/>
  <c r="F11" i="4"/>
  <c r="G11" i="4" s="1"/>
  <c r="H11" i="4"/>
  <c r="C12" i="4"/>
  <c r="D12" i="4"/>
  <c r="E12" i="4"/>
  <c r="F12" i="4"/>
  <c r="G12" i="4" s="1"/>
  <c r="H12" i="4"/>
  <c r="C13" i="4"/>
  <c r="D13" i="4"/>
  <c r="E13" i="4"/>
  <c r="F13" i="4"/>
  <c r="G13" i="4" s="1"/>
  <c r="H13" i="4"/>
  <c r="C14" i="4"/>
  <c r="D14" i="4"/>
  <c r="E14" i="4"/>
  <c r="F14" i="4"/>
  <c r="G14" i="4" s="1"/>
  <c r="C15" i="4"/>
  <c r="D15" i="4"/>
  <c r="E15" i="4"/>
  <c r="F15" i="4"/>
  <c r="G15" i="4" s="1"/>
  <c r="H15" i="4"/>
  <c r="C16" i="4"/>
  <c r="D16" i="4"/>
  <c r="E16" i="4"/>
  <c r="F16" i="4"/>
  <c r="G16" i="4" s="1"/>
  <c r="H16" i="4"/>
  <c r="C17" i="4"/>
  <c r="D17" i="4"/>
  <c r="E17" i="4"/>
  <c r="F17" i="4"/>
  <c r="G17" i="4" s="1"/>
  <c r="C18" i="4"/>
  <c r="D18" i="4"/>
  <c r="E18" i="4"/>
  <c r="F18" i="4"/>
  <c r="G18" i="4"/>
  <c r="C19" i="4"/>
  <c r="D19" i="4"/>
  <c r="E19" i="4"/>
  <c r="F19" i="4"/>
  <c r="G19" i="4" s="1"/>
  <c r="C20" i="4"/>
  <c r="D20" i="4"/>
  <c r="E20" i="4"/>
  <c r="F20" i="4"/>
  <c r="G20" i="4" s="1"/>
  <c r="C21" i="4"/>
  <c r="D21" i="4"/>
  <c r="E21" i="4"/>
  <c r="F21" i="4"/>
  <c r="G21" i="4" s="1"/>
  <c r="H21" i="4"/>
  <c r="C22" i="4"/>
  <c r="D22" i="4"/>
  <c r="E22" i="4"/>
  <c r="F22" i="4"/>
  <c r="G22" i="4" s="1"/>
  <c r="C23" i="4"/>
  <c r="D23" i="4"/>
  <c r="E23" i="4"/>
  <c r="F23" i="4"/>
  <c r="G23" i="4" s="1"/>
  <c r="C24" i="4"/>
  <c r="D24" i="4"/>
  <c r="E24" i="4"/>
  <c r="F24" i="4"/>
  <c r="G24" i="4" s="1"/>
  <c r="C25" i="4"/>
  <c r="D25" i="4"/>
  <c r="E25" i="4"/>
  <c r="F25" i="4"/>
  <c r="G25" i="4"/>
  <c r="C26" i="4"/>
  <c r="D26" i="4"/>
  <c r="E26" i="4"/>
  <c r="F26" i="4"/>
  <c r="G26" i="4" s="1"/>
  <c r="C27" i="4"/>
  <c r="D27" i="4"/>
  <c r="E27" i="4"/>
  <c r="F27" i="4"/>
  <c r="G27" i="4" s="1"/>
  <c r="C28" i="4"/>
  <c r="D28" i="4"/>
  <c r="E28" i="4"/>
  <c r="F28" i="4"/>
  <c r="G28" i="4" s="1"/>
  <c r="C29" i="4"/>
  <c r="D29" i="4"/>
  <c r="E29" i="4"/>
  <c r="F29" i="4"/>
  <c r="G29" i="4" s="1"/>
  <c r="C30" i="4"/>
  <c r="D30" i="4"/>
  <c r="E30" i="4"/>
  <c r="F30" i="4"/>
  <c r="G30" i="4" s="1"/>
  <c r="C31" i="4"/>
  <c r="D31" i="4"/>
  <c r="E31" i="4"/>
  <c r="F31" i="4"/>
  <c r="G31" i="4" s="1"/>
  <c r="C32" i="4"/>
  <c r="D32" i="4"/>
  <c r="E32" i="4"/>
  <c r="F32" i="4"/>
  <c r="G32" i="4" s="1"/>
  <c r="C33" i="4"/>
  <c r="D33" i="4"/>
  <c r="E33" i="4"/>
  <c r="F33" i="4"/>
  <c r="G33" i="4"/>
  <c r="C34" i="4"/>
  <c r="D34" i="4"/>
  <c r="E34" i="4"/>
  <c r="F34" i="4"/>
  <c r="G34" i="4" s="1"/>
  <c r="C35" i="4"/>
  <c r="D35" i="4"/>
  <c r="E35" i="4"/>
  <c r="F35" i="4"/>
  <c r="G35" i="4" s="1"/>
  <c r="C36" i="4"/>
  <c r="D36" i="4"/>
  <c r="E36" i="4"/>
  <c r="F36" i="4"/>
  <c r="G36" i="4" s="1"/>
  <c r="C37" i="4"/>
  <c r="D37" i="4"/>
  <c r="E37" i="4"/>
  <c r="F37" i="4"/>
  <c r="G37" i="4" s="1"/>
  <c r="C38" i="4"/>
  <c r="D38" i="4"/>
  <c r="E38" i="4"/>
  <c r="F38" i="4"/>
  <c r="G38" i="4" s="1"/>
  <c r="C39" i="4"/>
  <c r="D39" i="4"/>
  <c r="E39" i="4"/>
  <c r="F39" i="4"/>
  <c r="G39" i="4" s="1"/>
  <c r="C40" i="4"/>
  <c r="D40" i="4"/>
  <c r="E40" i="4"/>
  <c r="F40" i="4"/>
  <c r="G40" i="4" s="1"/>
  <c r="C41" i="4"/>
  <c r="D41" i="4"/>
  <c r="E41" i="4"/>
  <c r="F41" i="4"/>
  <c r="G41" i="4"/>
  <c r="C42" i="4"/>
  <c r="D42" i="4"/>
  <c r="E42" i="4"/>
  <c r="F42" i="4"/>
  <c r="G42" i="4" s="1"/>
  <c r="C43" i="4"/>
  <c r="D43" i="4"/>
  <c r="E43" i="4"/>
  <c r="F43" i="4"/>
  <c r="G43" i="4" s="1"/>
  <c r="C44" i="4"/>
  <c r="D44" i="4"/>
  <c r="E44" i="4"/>
  <c r="F44" i="4"/>
  <c r="G44" i="4" s="1"/>
  <c r="C45" i="4"/>
  <c r="D45" i="4"/>
  <c r="E45" i="4"/>
  <c r="F45" i="4"/>
  <c r="G45" i="4" s="1"/>
  <c r="C46" i="4"/>
  <c r="D46" i="4"/>
  <c r="E46" i="4"/>
  <c r="F46" i="4"/>
  <c r="G46" i="4" s="1"/>
  <c r="C47" i="4"/>
  <c r="D47" i="4"/>
  <c r="E47" i="4"/>
  <c r="F47" i="4"/>
  <c r="G47" i="4" s="1"/>
  <c r="C48" i="4"/>
  <c r="D48" i="4"/>
  <c r="E48" i="4"/>
  <c r="F48" i="4"/>
  <c r="G48" i="4" s="1"/>
  <c r="C49" i="4"/>
  <c r="D49" i="4"/>
  <c r="E49" i="4"/>
  <c r="F49" i="4"/>
  <c r="G49" i="4"/>
  <c r="C50" i="4"/>
  <c r="D50" i="4"/>
  <c r="E50" i="4"/>
  <c r="F50" i="4"/>
  <c r="G50" i="4" s="1"/>
  <c r="C51" i="4"/>
  <c r="D51" i="4"/>
  <c r="E51" i="4"/>
  <c r="F51" i="4"/>
  <c r="G51" i="4" s="1"/>
  <c r="C52" i="4"/>
  <c r="D52" i="4"/>
  <c r="E52" i="4"/>
  <c r="F52" i="4"/>
  <c r="G52" i="4" s="1"/>
  <c r="C53" i="4"/>
  <c r="D53" i="4"/>
  <c r="E53" i="4"/>
  <c r="F53" i="4"/>
  <c r="G53" i="4" s="1"/>
  <c r="C54" i="4"/>
  <c r="D54" i="4"/>
  <c r="E54" i="4"/>
  <c r="F54" i="4"/>
  <c r="G54" i="4" s="1"/>
  <c r="C55" i="4"/>
  <c r="D55" i="4"/>
  <c r="E55" i="4"/>
  <c r="F55" i="4"/>
  <c r="G55" i="4" s="1"/>
  <c r="C56" i="4"/>
  <c r="D56" i="4"/>
  <c r="E56" i="4"/>
  <c r="F56" i="4"/>
  <c r="G56" i="4" s="1"/>
  <c r="C57" i="4"/>
  <c r="D57" i="4"/>
  <c r="E57" i="4"/>
  <c r="F57" i="4"/>
  <c r="G57" i="4"/>
  <c r="C58" i="4"/>
  <c r="D58" i="4"/>
  <c r="E58" i="4"/>
  <c r="F58" i="4"/>
  <c r="G58" i="4" s="1"/>
  <c r="C59" i="4"/>
  <c r="D59" i="4"/>
  <c r="E59" i="4"/>
  <c r="F59" i="4"/>
  <c r="G59" i="4" s="1"/>
  <c r="C60" i="4"/>
  <c r="D60" i="4"/>
  <c r="E60" i="4"/>
  <c r="F60" i="4"/>
  <c r="G60" i="4" s="1"/>
  <c r="C61" i="4"/>
  <c r="D61" i="4"/>
  <c r="E61" i="4"/>
  <c r="F61" i="4"/>
  <c r="G61" i="4" s="1"/>
  <c r="C62" i="4"/>
  <c r="D62" i="4"/>
  <c r="E62" i="4"/>
  <c r="F62" i="4"/>
  <c r="G62" i="4" s="1"/>
  <c r="C63" i="4"/>
  <c r="D63" i="4"/>
  <c r="E63" i="4"/>
  <c r="F63" i="4"/>
  <c r="G63" i="4" s="1"/>
  <c r="C64" i="4"/>
  <c r="D64" i="4"/>
  <c r="E64" i="4"/>
  <c r="F64" i="4"/>
  <c r="G64" i="4" s="1"/>
  <c r="C65" i="4"/>
  <c r="D65" i="4"/>
  <c r="E65" i="4"/>
  <c r="F65" i="4"/>
  <c r="G65" i="4"/>
  <c r="C66" i="4"/>
  <c r="D66" i="4"/>
  <c r="E66" i="4"/>
  <c r="F66" i="4"/>
  <c r="G66" i="4" s="1"/>
  <c r="C2" i="6"/>
  <c r="D2" i="6"/>
  <c r="E2" i="6"/>
  <c r="F2" i="6"/>
  <c r="G2" i="6" s="1"/>
  <c r="C3" i="6"/>
  <c r="D3" i="6"/>
  <c r="E3" i="6"/>
  <c r="F3" i="6"/>
  <c r="G3" i="6" s="1"/>
  <c r="C4" i="6"/>
  <c r="D4" i="6"/>
  <c r="E4" i="6"/>
  <c r="F4" i="6"/>
  <c r="G4" i="6"/>
  <c r="C5" i="6"/>
  <c r="D5" i="6"/>
  <c r="E5" i="6"/>
  <c r="F5" i="6"/>
  <c r="G5" i="6"/>
  <c r="C6" i="6"/>
  <c r="D6" i="6"/>
  <c r="E6" i="6"/>
  <c r="F6" i="6"/>
  <c r="G6" i="6"/>
  <c r="C7" i="6"/>
  <c r="D7" i="6"/>
  <c r="E7" i="6"/>
  <c r="F7" i="6"/>
  <c r="G7" i="6" s="1"/>
  <c r="C8" i="6"/>
  <c r="D8" i="6"/>
  <c r="E8" i="6"/>
  <c r="F8" i="6"/>
  <c r="G8" i="6"/>
  <c r="C9" i="6"/>
  <c r="D9" i="6"/>
  <c r="E9" i="6"/>
  <c r="F9" i="6"/>
  <c r="G9" i="6"/>
  <c r="C10" i="6"/>
  <c r="D10" i="6"/>
  <c r="E10" i="6"/>
  <c r="F10" i="6"/>
  <c r="G10" i="6" s="1"/>
  <c r="C11" i="6"/>
  <c r="D11" i="6"/>
  <c r="E11" i="6"/>
  <c r="F11" i="6"/>
  <c r="G11" i="6"/>
  <c r="C12" i="6"/>
  <c r="D12" i="6"/>
  <c r="E12" i="6"/>
  <c r="F12" i="6"/>
  <c r="G12" i="6"/>
  <c r="C13" i="6"/>
  <c r="D13" i="6"/>
  <c r="E13" i="6"/>
  <c r="F13" i="6"/>
  <c r="G13" i="6"/>
  <c r="C14" i="6"/>
  <c r="D14" i="6"/>
  <c r="E14" i="6" s="1"/>
  <c r="F14" i="6" s="1"/>
  <c r="G14" i="6" s="1"/>
  <c r="C15" i="6"/>
  <c r="D15" i="6"/>
  <c r="E15" i="6"/>
  <c r="F15" i="6"/>
  <c r="G15" i="6" s="1"/>
  <c r="C16" i="6"/>
  <c r="D16" i="6"/>
  <c r="E16" i="6"/>
  <c r="F16" i="6"/>
  <c r="G16" i="6" s="1"/>
  <c r="C17" i="6"/>
  <c r="D17" i="6"/>
  <c r="E17" i="6"/>
  <c r="F17" i="6"/>
  <c r="G17" i="6"/>
  <c r="C18" i="6"/>
  <c r="D18" i="6"/>
  <c r="E18" i="6"/>
  <c r="F18" i="6"/>
  <c r="G18" i="6"/>
  <c r="C19" i="6"/>
  <c r="D19" i="6"/>
  <c r="E19" i="6"/>
  <c r="F19" i="6"/>
  <c r="G19" i="6"/>
  <c r="C20" i="6"/>
  <c r="D20" i="6"/>
  <c r="E20" i="6"/>
  <c r="F20" i="6"/>
  <c r="G20" i="6"/>
  <c r="C21" i="6"/>
  <c r="D21" i="6"/>
  <c r="E21" i="6"/>
  <c r="F21" i="6"/>
  <c r="G21" i="6"/>
  <c r="C22" i="6"/>
  <c r="D22" i="6"/>
  <c r="E22" i="6"/>
  <c r="F22" i="6"/>
  <c r="G22" i="6"/>
  <c r="C23" i="6"/>
  <c r="D23" i="6"/>
  <c r="E23" i="6"/>
  <c r="F23" i="6"/>
  <c r="G23" i="6" s="1"/>
  <c r="C24" i="6"/>
  <c r="D24" i="6"/>
  <c r="E24" i="6"/>
  <c r="F24" i="6"/>
  <c r="G24" i="6"/>
  <c r="C25" i="6"/>
  <c r="D25" i="6"/>
  <c r="E25" i="6"/>
  <c r="F25" i="6"/>
  <c r="G25" i="6"/>
  <c r="C26" i="6"/>
  <c r="D26" i="6"/>
  <c r="E26" i="6"/>
  <c r="F26" i="6"/>
  <c r="G26" i="6" s="1"/>
  <c r="C27" i="6"/>
  <c r="D27" i="6"/>
  <c r="E27" i="6"/>
  <c r="F27" i="6"/>
  <c r="G27" i="6" s="1"/>
  <c r="C28" i="6"/>
  <c r="D28" i="6"/>
  <c r="E28" i="6"/>
  <c r="F28" i="6"/>
  <c r="G28" i="6"/>
  <c r="C29" i="6"/>
  <c r="D29" i="6"/>
  <c r="E29" i="6"/>
  <c r="F29" i="6"/>
  <c r="G29" i="6"/>
  <c r="C30" i="6"/>
  <c r="D30" i="6"/>
  <c r="E30" i="6"/>
  <c r="F30" i="6"/>
  <c r="G30" i="6" s="1"/>
  <c r="C31" i="6"/>
  <c r="D31" i="6"/>
  <c r="E31" i="6"/>
  <c r="F31" i="6"/>
  <c r="G31" i="6" s="1"/>
  <c r="C32" i="6"/>
  <c r="D32" i="6"/>
  <c r="E32" i="6"/>
  <c r="F32" i="6"/>
  <c r="G32" i="6" s="1"/>
  <c r="C33" i="6"/>
  <c r="D33" i="6"/>
  <c r="E33" i="6"/>
  <c r="F33" i="6"/>
  <c r="G33" i="6"/>
  <c r="C34" i="6"/>
  <c r="D34" i="6"/>
  <c r="E34" i="6"/>
  <c r="F34" i="6"/>
  <c r="G34" i="6" s="1"/>
  <c r="C35" i="6"/>
  <c r="D35" i="6"/>
  <c r="E35" i="6"/>
  <c r="F35" i="6"/>
  <c r="G35" i="6" s="1"/>
  <c r="C36" i="6"/>
  <c r="D36" i="6"/>
  <c r="E36" i="6"/>
  <c r="F36" i="6"/>
  <c r="G36" i="6" s="1"/>
  <c r="C37" i="6"/>
  <c r="D37" i="6"/>
  <c r="E37" i="6"/>
  <c r="F37" i="6"/>
  <c r="G37" i="6" s="1"/>
  <c r="C38" i="6"/>
  <c r="D38" i="6"/>
  <c r="E38" i="6"/>
  <c r="F38" i="6"/>
  <c r="G38" i="6" s="1"/>
  <c r="C39" i="6"/>
  <c r="D39" i="6"/>
  <c r="E39" i="6"/>
  <c r="F39" i="6"/>
  <c r="G39" i="6" s="1"/>
  <c r="C40" i="6"/>
  <c r="D40" i="6"/>
  <c r="E40" i="6"/>
  <c r="F40" i="6"/>
  <c r="G40" i="6" s="1"/>
  <c r="C41" i="6"/>
  <c r="D41" i="6"/>
  <c r="E41" i="6"/>
  <c r="F41" i="6"/>
  <c r="G41" i="6"/>
  <c r="C42" i="6"/>
  <c r="D42" i="6"/>
  <c r="E42" i="6"/>
  <c r="F42" i="6"/>
  <c r="G42" i="6" s="1"/>
  <c r="C43" i="6"/>
  <c r="D43" i="6"/>
  <c r="E43" i="6"/>
  <c r="F43" i="6"/>
  <c r="G43" i="6" s="1"/>
  <c r="C44" i="6"/>
  <c r="D44" i="6"/>
  <c r="E44" i="6"/>
  <c r="F44" i="6"/>
  <c r="G44" i="6"/>
  <c r="C45" i="6"/>
  <c r="D45" i="6"/>
  <c r="E45" i="6"/>
  <c r="F45" i="6"/>
  <c r="G45" i="6" s="1"/>
  <c r="C46" i="6"/>
  <c r="D46" i="6"/>
  <c r="E46" i="6"/>
  <c r="F46" i="6"/>
  <c r="G46" i="6"/>
  <c r="C47" i="6"/>
  <c r="D47" i="6"/>
  <c r="E47" i="6"/>
  <c r="F47" i="6"/>
  <c r="G47" i="6"/>
  <c r="C48" i="6"/>
  <c r="D48" i="6"/>
  <c r="E48" i="6"/>
  <c r="F48" i="6"/>
  <c r="G48" i="6"/>
  <c r="C49" i="6"/>
  <c r="D49" i="6"/>
  <c r="E49" i="6"/>
  <c r="F49" i="6"/>
  <c r="G49" i="6"/>
  <c r="C50" i="6"/>
  <c r="D50" i="6"/>
  <c r="E50" i="6"/>
  <c r="F50" i="6"/>
  <c r="G50" i="6"/>
  <c r="C51" i="6"/>
  <c r="D51" i="6"/>
  <c r="E51" i="6"/>
  <c r="F51" i="6"/>
  <c r="G51" i="6"/>
  <c r="C52" i="6"/>
  <c r="D52" i="6"/>
  <c r="E52" i="6"/>
  <c r="F52" i="6"/>
  <c r="G52" i="6"/>
  <c r="C53" i="6"/>
  <c r="D53" i="6"/>
  <c r="E53" i="6"/>
  <c r="F53" i="6"/>
  <c r="G53" i="6" s="1"/>
  <c r="C54" i="6"/>
  <c r="D54" i="6"/>
  <c r="E54" i="6"/>
  <c r="F54" i="6"/>
  <c r="G54" i="6" s="1"/>
  <c r="L5" i="1"/>
  <c r="CB40" i="2" s="1"/>
  <c r="AN55" i="2"/>
  <c r="J5" i="6" l="1"/>
  <c r="M10" i="5"/>
  <c r="L10" i="10"/>
  <c r="L13" i="10"/>
  <c r="M8" i="10"/>
  <c r="M13" i="10"/>
  <c r="M10" i="10"/>
  <c r="D10" i="10"/>
  <c r="L12" i="1"/>
  <c r="CB47" i="2" s="1"/>
  <c r="L10" i="1"/>
  <c r="CB46" i="2" s="1"/>
  <c r="L8" i="1"/>
  <c r="CB44" i="2" s="1"/>
  <c r="L6" i="1"/>
  <c r="CB41" i="2" s="1"/>
  <c r="L4" i="1"/>
  <c r="Y5" i="2" s="1"/>
  <c r="L9" i="1"/>
  <c r="CB45" i="2" s="1"/>
  <c r="J4" i="6"/>
  <c r="J3" i="6"/>
  <c r="J8" i="6" s="1"/>
  <c r="D23" i="10"/>
  <c r="L15" i="10"/>
  <c r="M17" i="10" s="1"/>
  <c r="N12" i="5"/>
  <c r="I27" i="5" s="1"/>
  <c r="I23" i="5"/>
  <c r="CA8" i="2" s="1"/>
  <c r="M12" i="5"/>
  <c r="I24" i="5"/>
  <c r="I22" i="5"/>
  <c r="J7" i="6"/>
  <c r="J6" i="4" s="1"/>
  <c r="J4" i="4"/>
  <c r="BX9" i="2" s="1"/>
  <c r="J3" i="4"/>
  <c r="AQ6" i="2"/>
  <c r="AP55" i="2"/>
  <c r="M12" i="10"/>
  <c r="D25" i="10"/>
  <c r="AO55" i="2"/>
  <c r="M8" i="5"/>
  <c r="L12" i="10"/>
  <c r="D26" i="10"/>
  <c r="J6" i="6"/>
  <c r="J5" i="4" s="1"/>
  <c r="BX10" i="2" s="1"/>
  <c r="G3" i="10"/>
  <c r="D24" i="10"/>
  <c r="I25" i="5" l="1"/>
  <c r="I33" i="5"/>
  <c r="CD9" i="2" s="1"/>
  <c r="J2" i="4"/>
  <c r="I31" i="5" s="1"/>
  <c r="CD7" i="2" s="1"/>
  <c r="I26" i="5"/>
  <c r="CA11" i="2" s="1"/>
  <c r="CA9" i="2"/>
  <c r="CA7" i="2"/>
  <c r="I34" i="5"/>
  <c r="CD10" i="2" s="1"/>
  <c r="CA10" i="2"/>
  <c r="C13" i="10"/>
  <c r="D11" i="10"/>
  <c r="C12" i="10"/>
  <c r="D13" i="10"/>
  <c r="AQ55" i="2"/>
  <c r="AR6" i="2"/>
  <c r="I36" i="5"/>
  <c r="BX8" i="2"/>
  <c r="I32" i="5"/>
  <c r="CD8" i="2" s="1"/>
  <c r="BX7" i="2" l="1"/>
  <c r="J7" i="4"/>
  <c r="BX11" i="2" s="1"/>
  <c r="I35" i="5"/>
  <c r="CD11" i="2" s="1"/>
  <c r="C8" i="10"/>
  <c r="AR55" i="2"/>
  <c r="AS6" i="2"/>
  <c r="D8" i="10"/>
  <c r="AT6" i="2" l="1"/>
  <c r="AS55" i="2"/>
  <c r="AT55" i="2" l="1"/>
  <c r="AU6" i="2"/>
  <c r="AV6" i="2" l="1"/>
  <c r="AU55" i="2"/>
  <c r="AV55" i="2" l="1"/>
  <c r="AW6" i="2"/>
  <c r="AX6" i="2" l="1"/>
  <c r="AW55" i="2"/>
  <c r="AX55" i="2" l="1"/>
  <c r="AY6" i="2"/>
  <c r="AY55" i="2" l="1"/>
  <c r="AZ6" i="2"/>
  <c r="AZ55" i="2" l="1"/>
  <c r="BA6" i="2"/>
  <c r="BB6" i="2" l="1"/>
  <c r="BA55" i="2"/>
  <c r="BC6" i="2" l="1"/>
  <c r="BB55" i="2"/>
  <c r="BC55" i="2" l="1"/>
  <c r="BD6" i="2"/>
  <c r="BE6" i="2" l="1"/>
  <c r="BD55" i="2"/>
  <c r="BE55" i="2" l="1"/>
  <c r="BF6" i="2"/>
  <c r="BG6" i="2" l="1"/>
  <c r="BF55" i="2"/>
  <c r="BG55" i="2" l="1"/>
  <c r="BH6" i="2"/>
  <c r="BI6" i="2" l="1"/>
  <c r="BH55" i="2"/>
  <c r="BI55" i="2" l="1"/>
  <c r="BJ6" i="2"/>
  <c r="BK6" i="2" l="1"/>
  <c r="BJ55" i="2"/>
  <c r="BK55" i="2" l="1"/>
  <c r="BL6" i="2"/>
  <c r="BM6" i="2" l="1"/>
  <c r="BL55" i="2"/>
  <c r="BM55" i="2" l="1"/>
  <c r="BN6" i="2"/>
  <c r="BO6" i="2" l="1"/>
  <c r="BN55" i="2"/>
  <c r="BO55" i="2" l="1"/>
  <c r="BP6" i="2"/>
  <c r="BQ6" i="2" l="1"/>
  <c r="BP55" i="2"/>
  <c r="BQ55" i="2" l="1"/>
  <c r="BR6" i="2"/>
  <c r="BR55" i="2" s="1"/>
</calcChain>
</file>

<file path=xl/comments1.xml><?xml version="1.0" encoding="utf-8"?>
<comments xmlns="http://schemas.openxmlformats.org/spreadsheetml/2006/main">
  <authors>
    <author/>
  </authors>
  <commentList>
    <comment ref="E4" authorId="0" shapeId="0">
      <text>
        <r>
          <rPr>
            <b/>
            <sz val="8"/>
            <color indexed="8"/>
            <rFont val="Tahoma"/>
            <family val="2"/>
            <charset val="204"/>
          </rPr>
          <t>Заполнить обязательно
Формат
ДД.ММ.ГГ</t>
        </r>
      </text>
    </comment>
    <comment ref="E5" authorId="0" shapeId="0">
      <text>
        <r>
          <rPr>
            <b/>
            <sz val="8"/>
            <color indexed="8"/>
            <rFont val="Tahoma"/>
            <family val="2"/>
            <charset val="204"/>
          </rPr>
          <t xml:space="preserve">Формат
ДД.ММ.ГГ
</t>
        </r>
      </text>
    </comment>
    <comment ref="E6" authorId="0" shapeId="0">
      <text>
        <r>
          <rPr>
            <b/>
            <sz val="8"/>
            <color indexed="8"/>
            <rFont val="Tahoma"/>
            <family val="2"/>
            <charset val="204"/>
          </rPr>
          <t>Формат
ДД.ММ.ГГ</t>
        </r>
      </text>
    </comment>
    <comment ref="E7" authorId="0" shapeId="0">
      <text>
        <r>
          <rPr>
            <b/>
            <sz val="8"/>
            <color indexed="8"/>
            <rFont val="Tahoma"/>
            <family val="2"/>
            <charset val="204"/>
          </rPr>
          <t xml:space="preserve">Формат
ДД.ММ.ГГ
</t>
        </r>
      </text>
    </comment>
    <comment ref="E8" authorId="0" shapeId="0">
      <text>
        <r>
          <rPr>
            <b/>
            <sz val="8"/>
            <color indexed="8"/>
            <rFont val="Tahoma"/>
            <family val="2"/>
            <charset val="204"/>
          </rPr>
          <t>Формат
ДД.ММ.ГГ</t>
        </r>
      </text>
    </comment>
    <comment ref="E9" authorId="0" shapeId="0">
      <text>
        <r>
          <rPr>
            <b/>
            <sz val="8"/>
            <color indexed="8"/>
            <rFont val="Tahoma"/>
            <family val="2"/>
            <charset val="204"/>
          </rPr>
          <t>Формат
ДД.ММ.ГГ</t>
        </r>
      </text>
    </comment>
    <comment ref="E10" authorId="0" shapeId="0">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shapeId="0">
      <text>
        <r>
          <rPr>
            <b/>
            <sz val="8"/>
            <color indexed="8"/>
            <rFont val="Tahoma"/>
            <family val="2"/>
            <charset val="204"/>
          </rPr>
          <t>Заполняется автоматически!! Не трогать</t>
        </r>
      </text>
    </comment>
    <comment ref="BS41" authorId="0" shapeId="0">
      <text>
        <r>
          <rPr>
            <b/>
            <sz val="8"/>
            <color indexed="8"/>
            <rFont val="Tahoma"/>
            <family val="2"/>
            <charset val="204"/>
          </rPr>
          <t>Заполняется автоматически!! Не трогать</t>
        </r>
      </text>
    </comment>
    <comment ref="BS42" authorId="0" shapeId="0">
      <text>
        <r>
          <rPr>
            <b/>
            <sz val="8"/>
            <color indexed="8"/>
            <rFont val="Tahoma"/>
            <family val="2"/>
            <charset val="204"/>
          </rPr>
          <t>Заполняется автоматически!! Не трогать</t>
        </r>
      </text>
    </comment>
    <comment ref="BS44" authorId="0" shapeId="0">
      <text>
        <r>
          <rPr>
            <b/>
            <sz val="8"/>
            <color indexed="8"/>
            <rFont val="Tahoma"/>
            <family val="2"/>
            <charset val="204"/>
          </rPr>
          <t xml:space="preserve">Заполняется автоматически!! Не трогать
</t>
        </r>
      </text>
    </comment>
    <comment ref="BS45" authorId="0" shapeId="0">
      <text>
        <r>
          <rPr>
            <b/>
            <sz val="8"/>
            <color indexed="8"/>
            <rFont val="Tahoma"/>
            <family val="2"/>
            <charset val="204"/>
          </rPr>
          <t xml:space="preserve">Заполняется автоматически!! Не трогать
</t>
        </r>
      </text>
    </comment>
    <comment ref="BS46" authorId="0" shapeId="0">
      <text>
        <r>
          <rPr>
            <b/>
            <sz val="8"/>
            <color indexed="8"/>
            <rFont val="Tahoma"/>
            <family val="2"/>
            <charset val="204"/>
          </rPr>
          <t xml:space="preserve">Заполняется автоматически!! Не трогать
</t>
        </r>
      </text>
    </comment>
  </commentList>
</comments>
</file>

<file path=xl/sharedStrings.xml><?xml version="1.0" encoding="utf-8"?>
<sst xmlns="http://schemas.openxmlformats.org/spreadsheetml/2006/main" count="471" uniqueCount="394">
  <si>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</si>
  <si>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</si>
  <si>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</si>
  <si>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</si>
  <si>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</si>
  <si>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</si>
  <si>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</si>
  <si>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</si>
  <si>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</si>
  <si>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</si>
  <si>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</si>
  <si>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</si>
  <si>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</si>
  <si>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</si>
  <si>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</si>
  <si>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</si>
  <si>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</si>
  <si>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</si>
  <si>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</si>
  <si>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</si>
  <si>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</si>
  <si>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</si>
  <si>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</si>
  <si>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</si>
  <si>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</si>
  <si>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</si>
  <si>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</si>
  <si>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</si>
  <si>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</si>
  <si>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</si>
  <si>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</si>
  <si>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</si>
  <si>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</si>
  <si>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</si>
  <si>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</si>
  <si>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</si>
  <si>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</si>
  <si>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</si>
  <si>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</si>
  <si>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</si>
  <si>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</si>
  <si>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</si>
  <si>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</si>
  <si>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</si>
  <si>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</si>
  <si>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</si>
  <si>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</si>
  <si>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</si>
  <si>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</si>
  <si>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</si>
  <si>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</si>
  <si>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</si>
  <si>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</si>
  <si>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</si>
  <si>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</si>
  <si>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</si>
  <si>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</si>
  <si>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</si>
  <si>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</si>
  <si>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</si>
  <si>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</si>
  <si>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</si>
  <si>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</si>
  <si>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</si>
  <si>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</si>
  <si>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</si>
  <si>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</si>
  <si>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</si>
  <si>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</si>
  <si>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</si>
  <si>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</si>
  <si>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</si>
  <si>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</si>
  <si>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</si>
  <si>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</si>
  <si>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</si>
  <si>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</si>
  <si>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</si>
  <si>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</si>
  <si>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</si>
  <si>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</si>
  <si>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</si>
  <si>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</si>
  <si>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</si>
  <si>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</si>
  <si>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</si>
  <si>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</si>
  <si>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</si>
  <si>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</si>
  <si>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</si>
  <si>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</si>
  <si>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</si>
  <si>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</si>
  <si>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</si>
  <si>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</si>
  <si>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</si>
  <si>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</si>
  <si>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</si>
  <si>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</si>
  <si>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</si>
  <si>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</si>
  <si>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</si>
  <si>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</si>
  <si>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</si>
  <si>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</si>
  <si>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</si>
  <si>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</si>
  <si>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</si>
  <si>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</si>
  <si>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</si>
  <si>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</si>
  <si>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</si>
  <si>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</si>
  <si>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</si>
  <si>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</si>
  <si>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</si>
  <si>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</si>
  <si>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</si>
  <si>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</si>
  <si>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</si>
  <si>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</si>
  <si>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</si>
  <si>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</si>
  <si>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</si>
  <si>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</si>
  <si>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</si>
  <si>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</si>
  <si>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</si>
  <si>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</si>
  <si>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</si>
  <si>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</si>
  <si>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</si>
  <si>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</si>
  <si>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</si>
  <si>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</si>
  <si>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</si>
  <si>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</si>
  <si>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</si>
  <si>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</si>
  <si>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</si>
  <si>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</si>
  <si>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</si>
  <si>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</si>
  <si>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</si>
  <si>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</si>
  <si>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</si>
  <si>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</si>
  <si>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</si>
  <si>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</si>
  <si>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</si>
  <si>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</si>
  <si>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</si>
  <si>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</si>
  <si>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</si>
  <si>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</si>
  <si>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</si>
  <si>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</si>
  <si>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</si>
  <si>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</si>
  <si>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</si>
  <si>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</si>
  <si>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</si>
  <si>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</si>
  <si>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</si>
  <si>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</si>
  <si>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</si>
  <si>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</si>
  <si>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</si>
  <si>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</si>
  <si>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</si>
  <si>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</si>
  <si>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</si>
  <si>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</si>
  <si>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</si>
  <si>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</si>
  <si>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</si>
  <si>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</si>
  <si>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</si>
  <si>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</si>
  <si>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</si>
  <si>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</si>
  <si>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</si>
  <si>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</si>
  <si>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</si>
  <si>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</si>
  <si>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</si>
  <si>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</si>
  <si>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</si>
  <si>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</si>
  <si>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</si>
  <si>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</si>
  <si>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</si>
  <si>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</si>
  <si>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</si>
  <si>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</si>
  <si>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</si>
  <si>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</si>
  <si>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</si>
  <si>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</si>
  <si>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</si>
  <si>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</si>
  <si>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</si>
  <si>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</si>
  <si>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</si>
  <si>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</si>
  <si>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</si>
  <si>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</si>
  <si>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</si>
  <si>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</si>
  <si>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</si>
  <si>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</si>
  <si>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</si>
  <si>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</si>
  <si>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</si>
  <si>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</si>
  <si>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</si>
  <si>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</si>
  <si>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</si>
  <si>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</si>
  <si>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</si>
  <si>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</si>
  <si>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</si>
  <si>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</si>
  <si>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</si>
  <si>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</si>
  <si>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</si>
  <si>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</si>
  <si>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</si>
  <si>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</si>
  <si>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</si>
  <si>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</si>
  <si>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</si>
  <si>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</si>
  <si>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</si>
  <si>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</si>
  <si>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</si>
  <si>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</si>
  <si>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</si>
  <si>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</si>
  <si>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</si>
  <si>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</si>
  <si>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</si>
  <si>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</si>
  <si>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</si>
  <si>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</si>
  <si>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</si>
  <si>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</si>
  <si>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</si>
  <si>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</si>
  <si>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</si>
  <si>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</si>
  <si>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</si>
  <si>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</si>
  <si>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</si>
  <si>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</si>
  <si>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</si>
  <si>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</si>
  <si>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</si>
  <si>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</si>
  <si>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</si>
  <si>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</si>
  <si>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</si>
  <si>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</si>
  <si>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</si>
  <si>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</si>
  <si>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</si>
  <si>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</si>
  <si>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</si>
  <si>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</si>
  <si>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</si>
  <si>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</si>
  <si>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</si>
  <si>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</si>
  <si>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</si>
  <si>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</si>
  <si>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</si>
  <si>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</si>
  <si>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</si>
  <si>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</si>
  <si>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</si>
  <si>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</si>
  <si>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</si>
  <si>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</si>
  <si>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</si>
  <si>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</si>
  <si>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</si>
  <si>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</si>
  <si>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</si>
  <si>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</si>
  <si>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</si>
  <si>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</si>
  <si>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</si>
  <si>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</si>
  <si>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</si>
  <si>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</si>
  <si>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</si>
  <si>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</si>
  <si>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</si>
  <si>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</si>
  <si>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</si>
  <si>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</si>
  <si>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</si>
  <si>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</si>
  <si>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</si>
  <si>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</si>
  <si>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</si>
  <si>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</si>
  <si>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</si>
  <si>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</si>
  <si>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</si>
  <si>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</si>
  <si>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</si>
  <si>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</si>
  <si>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</si>
  <si>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</si>
  <si>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</si>
  <si>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</si>
  <si>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</si>
  <si>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</si>
  <si>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</si>
  <si>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</si>
  <si>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</si>
  <si>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__________________________________________________________________________________________________
                                          (фамилия, инициалы, подпись врача, проводившего консультирование)</t>
  </si>
  <si>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</si>
  <si>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</si>
  <si>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</si>
  <si>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</si>
  <si>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Принятие решения без согласия гражданина (его законного представителя)
</t>
    </r>
    <r>
      <rPr>
        <sz val="10"/>
        <rFont val="Times New Roman"/>
        <family val="1"/>
        <charset val="204"/>
      </rPr>
      <t xml:space="preserve">В связи с необходимостью проведения медицинского вмешательства по экстренным показаниям для устранения угрозы </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</si>
  <si>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</si>
  <si>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</si>
  <si>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</si>
  <si>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</si>
  <si>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</si>
  <si>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</si>
  <si>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</si>
  <si>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</si>
  <si>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        ______________________________________________________________________________________________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</si>
  <si>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</si>
  <si>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</si>
  <si>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</si>
  <si>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</si>
  <si>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</si>
  <si>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</si>
  <si>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</si>
  <si>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</si>
  <si>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</si>
  <si>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</si>
  <si>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</si>
  <si>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</si>
  <si>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</si>
  <si>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</si>
  <si>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</si>
  <si>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</si>
  <si>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</si>
  <si>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Консилиум:_____________________________________________________________________________________</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</si>
  <si>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</si>
  <si>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</si>
  <si>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</si>
  <si>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</si>
  <si>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Врач-анестезиолог-реаниматолог: ____________________________________________________________________</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</si>
  <si>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</si>
  <si>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</si>
  <si>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</si>
  <si>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</si>
  <si>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</si>
  <si>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Консилиум:______________________________________________________________________________________</t>
  </si>
  <si>
    <t xml:space="preserve">                                                                                         (должности, ФИО, подписи)</t>
  </si>
  <si>
    <r>
      <rPr>
        <sz val="10.5"/>
        <rFont val="Times New Roman"/>
        <family val="1"/>
        <charset val="204"/>
      </rPr>
      <t>Консилиум:</t>
    </r>
    <r>
      <rPr>
        <sz val="10"/>
        <rFont val="Times New Roman"/>
        <family val="1"/>
        <charset val="204"/>
      </rPr>
      <t xml:space="preserve">______________________________________________________________________________________
________________________________________________________________________________________________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</si>
  <si>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</si>
  <si>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</si>
  <si>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</si>
  <si>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</si>
  <si>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V = ФП  =   мл/сут</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</si>
  <si>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</si>
  <si>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</si>
  <si>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</si>
  <si>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</si>
  <si>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</si>
  <si>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</si>
  <si>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</si>
  <si>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</si>
  <si>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</si>
  <si>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Белок (г/кг):</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</si>
  <si>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</si>
  <si>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</si>
  <si>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</si>
  <si>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</si>
  <si>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</si>
  <si>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</si>
  <si>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</si>
  <si>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</si>
  <si>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</si>
  <si>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t>v 2.22</t>
  </si>
  <si>
    <t>Карта интенсивной терапии и наблюдения                                          Отделение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</si>
</sst>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dd/mm/yy;@"/>
    <numFmt numFmtId="165" formatCode="d/m;@"/>
    <numFmt numFmtId="166" formatCode="0.000"/>
    <numFmt numFmtId="167" formatCode="[&lt;=9999999]###\-####;\(###\)\ ###\-####"/>
    <numFmt numFmtId="168" formatCode="General\ &quot;г/кг&quot;"/>
    <numFmt numFmtId="169" formatCode="General\ &quot;мл&quot;"/>
    <numFmt numFmtId="170" formatCode="General\ &quot;г&quot;"/>
    <numFmt numFmtId="171" formatCode="General\ &quot;кг&quot;"/>
    <numFmt numFmtId="172" formatCode="General\ &quot;ккал/кг&quot;"/>
  </numFmts>
  <fonts count="52" x14ac:knownFonts="1">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s>
  <fills count="15">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s>
  <borders count="123">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8">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cellStyleXfs>
  <cellXfs count="449">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0" borderId="89" xfId="0" applyFill="1" applyBorder="1" applyProtection="1">
      <protection locked="0"/>
    </xf>
    <xf numFmtId="0" fontId="0" fillId="11" borderId="89" xfId="0" applyFill="1" applyBorder="1" applyProtection="1"/>
    <xf numFmtId="0" fontId="0" fillId="12" borderId="90" xfId="0" applyFill="1" applyBorder="1" applyProtection="1"/>
    <xf numFmtId="0" fontId="0" fillId="12" borderId="91" xfId="0" applyFill="1" applyBorder="1" applyProtection="1"/>
    <xf numFmtId="0" fontId="0" fillId="0" borderId="92" xfId="0" applyBorder="1" applyProtection="1">
      <protection locked="0"/>
    </xf>
    <xf numFmtId="0" fontId="0" fillId="0" borderId="84" xfId="0" applyBorder="1" applyProtection="1">
      <protection locked="0"/>
    </xf>
    <xf numFmtId="0" fontId="0" fillId="0" borderId="0" xfId="0" applyBorder="1" applyProtection="1">
      <protection locked="0"/>
    </xf>
    <xf numFmtId="0" fontId="0" fillId="0" borderId="85" xfId="0" applyBorder="1" applyProtection="1">
      <protection locked="0"/>
    </xf>
    <xf numFmtId="0" fontId="0" fillId="12" borderId="84" xfId="0" applyFill="1" applyBorder="1" applyProtection="1"/>
    <xf numFmtId="0" fontId="0" fillId="12" borderId="0" xfId="0" applyFill="1" applyBorder="1" applyProtection="1"/>
    <xf numFmtId="0" fontId="0" fillId="0" borderId="93" xfId="0" applyFill="1" applyBorder="1" applyProtection="1">
      <protection locked="0"/>
    </xf>
    <xf numFmtId="0" fontId="0" fillId="12" borderId="93" xfId="0" applyFill="1" applyBorder="1" applyProtection="1"/>
    <xf numFmtId="0" fontId="0" fillId="0" borderId="84" xfId="0" applyBorder="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4" xfId="0" applyBorder="1" applyProtection="1">
      <protection locked="0"/>
    </xf>
    <xf numFmtId="0" fontId="0" fillId="0" borderId="95" xfId="0" applyBorder="1"/>
    <xf numFmtId="0" fontId="0" fillId="0" borderId="96" xfId="0" applyBorder="1"/>
    <xf numFmtId="0" fontId="0" fillId="0" borderId="89" xfId="0" applyBorder="1"/>
    <xf numFmtId="0" fontId="0" fillId="0" borderId="94" xfId="0" applyBorder="1"/>
    <xf numFmtId="0" fontId="0" fillId="0" borderId="96" xfId="0" applyBorder="1" applyProtection="1"/>
    <xf numFmtId="0" fontId="0" fillId="0" borderId="95" xfId="0" applyBorder="1" applyProtection="1">
      <protection locked="0"/>
    </xf>
    <xf numFmtId="0" fontId="0" fillId="0" borderId="97" xfId="0" applyBorder="1" applyProtection="1">
      <protection locked="0"/>
    </xf>
    <xf numFmtId="0" fontId="0" fillId="11" borderId="93" xfId="0" applyFill="1" applyBorder="1" applyProtection="1"/>
    <xf numFmtId="0" fontId="0" fillId="13" borderId="98" xfId="0" applyFill="1" applyBorder="1" applyAlignment="1" applyProtection="1">
      <alignment horizontal="center"/>
      <protection locked="0"/>
    </xf>
    <xf numFmtId="0" fontId="0" fillId="0" borderId="99" xfId="0" applyBorder="1"/>
    <xf numFmtId="0" fontId="0" fillId="12" borderId="100" xfId="0" applyFill="1" applyBorder="1" applyProtection="1"/>
    <xf numFmtId="0" fontId="0" fillId="0" borderId="101" xfId="0" applyBorder="1" applyProtection="1">
      <protection locked="0"/>
    </xf>
    <xf numFmtId="0" fontId="0" fillId="0" borderId="92" xfId="0" applyBorder="1"/>
    <xf numFmtId="0" fontId="0" fillId="0" borderId="91" xfId="0" applyBorder="1" applyProtection="1">
      <protection locked="0"/>
    </xf>
    <xf numFmtId="0" fontId="0" fillId="0" borderId="0" xfId="0" applyFill="1" applyBorder="1" applyAlignment="1" applyProtection="1">
      <protection locked="0"/>
    </xf>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Alignment="1" applyProtection="1">
      <alignment horizontal="right"/>
    </xf>
    <xf numFmtId="0" fontId="0" fillId="0" borderId="98" xfId="0" applyBorder="1" applyProtection="1">
      <protection locked="0"/>
    </xf>
    <xf numFmtId="0" fontId="0" fillId="0" borderId="98" xfId="0" applyBorder="1" applyProtection="1"/>
    <xf numFmtId="0" fontId="0" fillId="11" borderId="119" xfId="0" applyFill="1" applyBorder="1" applyAlignment="1" applyProtection="1">
      <alignment horizontal="right"/>
    </xf>
    <xf numFmtId="168" fontId="0" fillId="11" borderId="89" xfId="0" applyNumberFormat="1" applyFill="1" applyBorder="1" applyProtection="1"/>
    <xf numFmtId="168" fontId="0" fillId="11" borderId="98" xfId="0" applyNumberFormat="1" applyFill="1" applyBorder="1" applyAlignment="1" applyProtection="1">
      <alignment horizontal="right"/>
    </xf>
    <xf numFmtId="169" fontId="0" fillId="11" borderId="91" xfId="0" applyNumberFormat="1" applyFill="1" applyBorder="1" applyAlignment="1" applyProtection="1">
      <alignment horizontal="right"/>
    </xf>
    <xf numFmtId="169" fontId="0" fillId="11" borderId="85" xfId="0" applyNumberFormat="1" applyFill="1" applyBorder="1" applyAlignment="1" applyProtection="1">
      <alignment horizontal="right"/>
    </xf>
    <xf numFmtId="170" fontId="0" fillId="11" borderId="98" xfId="0" applyNumberFormat="1" applyFill="1" applyBorder="1" applyAlignment="1" applyProtection="1">
      <alignment horizontal="center"/>
    </xf>
    <xf numFmtId="169" fontId="0" fillId="13" borderId="98" xfId="0" applyNumberFormat="1" applyFill="1" applyBorder="1" applyAlignment="1" applyProtection="1">
      <alignment horizontal="center"/>
      <protection locked="0"/>
    </xf>
    <xf numFmtId="171" fontId="0" fillId="11" borderId="102" xfId="0" applyNumberFormat="1" applyFill="1" applyBorder="1" applyAlignment="1" applyProtection="1">
      <alignment horizontal="center"/>
    </xf>
    <xf numFmtId="172" fontId="0" fillId="11" borderId="118" xfId="0" applyNumberFormat="1" applyFill="1" applyBorder="1" applyProtection="1"/>
    <xf numFmtId="172" fontId="0" fillId="11" borderId="119" xfId="0" applyNumberFormat="1" applyFill="1" applyBorder="1" applyProtection="1"/>
    <xf numFmtId="0" fontId="0" fillId="10" borderId="3" xfId="0" applyFont="1" applyFill="1" applyBorder="1" applyAlignment="1">
      <alignment horizontal="center" vertical="center" wrapText="1"/>
    </xf>
    <xf numFmtId="0" fontId="17" fillId="0" borderId="107"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72" xfId="0" applyFont="1" applyFill="1" applyBorder="1" applyAlignment="1" applyProtection="1">
      <protection locked="0"/>
    </xf>
    <xf numFmtId="0" fontId="17" fillId="0" borderId="3" xfId="0" applyNumberFormat="1" applyFont="1" applyFill="1" applyBorder="1" applyAlignment="1" applyProtection="1">
      <alignment horizontal="center"/>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72"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17" fillId="0" borderId="3"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wrapText="1"/>
    </xf>
    <xf numFmtId="0" fontId="20" fillId="0" borderId="108" xfId="0" applyFont="1" applyFill="1" applyBorder="1" applyAlignment="1" applyProtection="1">
      <alignment horizontal="left"/>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18" fillId="0" borderId="103" xfId="0" applyFont="1" applyBorder="1" applyAlignment="1" applyProtection="1">
      <alignment horizontal="left"/>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3" xfId="0" applyFont="1" applyFill="1" applyBorder="1" applyAlignment="1" applyProtection="1">
      <alignment horizontal="center" vertical="center"/>
      <protection locked="0"/>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1" fontId="28" fillId="0" borderId="3" xfId="0" applyNumberFormat="1" applyFont="1" applyFill="1" applyBorder="1" applyAlignment="1" applyProtection="1">
      <alignment horizontal="center" vertical="center"/>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2" fillId="0" borderId="8" xfId="0" applyFont="1" applyFill="1" applyBorder="1" applyAlignment="1" applyProtection="1">
      <protection locked="0"/>
    </xf>
    <xf numFmtId="0" fontId="18" fillId="0" borderId="3" xfId="0" applyFont="1" applyFill="1" applyBorder="1" applyAlignment="1" applyProtection="1">
      <alignment horizontal="center"/>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18" fillId="0" borderId="3" xfId="0" applyFont="1" applyFill="1" applyBorder="1" applyAlignment="1" applyProtection="1"/>
    <xf numFmtId="0" fontId="19" fillId="0" borderId="3" xfId="0" applyFont="1" applyBorder="1" applyAlignment="1" applyProtection="1">
      <protection locked="0"/>
    </xf>
    <xf numFmtId="0" fontId="20" fillId="0" borderId="3" xfId="0" applyFont="1" applyFill="1" applyBorder="1" applyAlignment="1" applyProtection="1">
      <alignment horizont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9" fillId="0" borderId="3" xfId="0" applyFont="1" applyBorder="1" applyAlignment="1" applyProtection="1">
      <alignment horizontal="center"/>
      <protection locked="0"/>
    </xf>
    <xf numFmtId="166" fontId="20" fillId="0" borderId="3" xfId="0" applyNumberFormat="1" applyFont="1" applyBorder="1" applyAlignment="1" applyProtection="1">
      <alignment horizontal="center"/>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49" fontId="19" fillId="0" borderId="3" xfId="0" applyNumberFormat="1" applyFont="1" applyBorder="1" applyAlignment="1" applyProtection="1">
      <alignment horizontal="center"/>
      <protection locked="0"/>
    </xf>
    <xf numFmtId="49" fontId="19" fillId="0" borderId="3" xfId="0" applyNumberFormat="1" applyFont="1" applyBorder="1" applyAlignment="1" applyProtection="1">
      <protection locked="0"/>
    </xf>
    <xf numFmtId="0" fontId="21" fillId="0" borderId="3" xfId="0" applyFont="1" applyFill="1" applyBorder="1" applyAlignment="1" applyProtection="1">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0" borderId="3" xfId="0" applyBorder="1" applyAlignment="1">
      <alignment horizontal="center" vertical="center"/>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35" fillId="0" borderId="3" xfId="0" applyFont="1" applyBorder="1"/>
    <xf numFmtId="0" fontId="35" fillId="0" borderId="3" xfId="0" applyFont="1" applyBorder="1" applyAlignment="1">
      <alignment wrapText="1"/>
    </xf>
    <xf numFmtId="0" fontId="35" fillId="0" borderId="3" xfId="0" applyFont="1" applyBorder="1" applyAlignment="1">
      <alignment horizontal="left" vertical="center" wrapText="1"/>
    </xf>
    <xf numFmtId="0" fontId="0" fillId="0" borderId="3" xfId="0" applyFont="1" applyBorder="1" applyAlignment="1">
      <alignment horizontal="left" vertical="center"/>
    </xf>
    <xf numFmtId="0" fontId="0" fillId="0" borderId="3" xfId="0" applyFont="1" applyBorder="1"/>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4" fontId="40" fillId="0" borderId="0" xfId="0" applyNumberFormat="1" applyFont="1" applyBorder="1" applyAlignment="1">
      <alignment horizontal="left"/>
    </xf>
    <xf numFmtId="0" fontId="40" fillId="0" borderId="84" xfId="0" applyFont="1" applyBorder="1" applyAlignment="1">
      <alignment horizontal="left" vertical="top"/>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17" fillId="0" borderId="0" xfId="0" applyFont="1" applyBorder="1" applyAlignment="1">
      <alignment horizontal="left" vertical="top" wrapText="1"/>
    </xf>
    <xf numFmtId="0" fontId="22" fillId="0" borderId="0" xfId="0" applyFont="1" applyBorder="1" applyAlignment="1">
      <alignment horizontal="left" vertical="top" wrapText="1"/>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0" fontId="40" fillId="0" borderId="0" xfId="0" applyFont="1" applyAlignment="1">
      <alignment horizontal="left" vertical="top" wrapText="1"/>
    </xf>
    <xf numFmtId="0" fontId="40" fillId="0" borderId="91" xfId="0" applyFont="1" applyBorder="1" applyAlignment="1">
      <alignment horizontal="left" vertical="top" wrapText="1"/>
    </xf>
    <xf numFmtId="0" fontId="40" fillId="0" borderId="0" xfId="0" applyFont="1" applyBorder="1" applyAlignment="1">
      <alignment horizontal="left" vertical="top" wrapText="1"/>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49" fontId="20" fillId="0" borderId="0" xfId="0" applyNumberFormat="1" applyFont="1" applyBorder="1" applyAlignment="1">
      <alignment horizontal="right" vertical="top" wrapText="1"/>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90" xfId="0" applyFont="1" applyBorder="1" applyAlignment="1">
      <alignment horizontal="left" vertical="top" wrapText="1"/>
    </xf>
    <xf numFmtId="0" fontId="40" fillId="0" borderId="92" xfId="0" applyFont="1" applyBorder="1" applyAlignment="1">
      <alignment horizontal="left" vertical="top" wrapText="1"/>
    </xf>
    <xf numFmtId="0" fontId="40" fillId="0" borderId="84" xfId="0" applyFont="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40" fillId="0" borderId="87"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14" fontId="40" fillId="0" borderId="0" xfId="0" applyNumberFormat="1" applyFont="1" applyBorder="1" applyAlignment="1">
      <alignment horizontal="left" vertical="top" wrapText="1"/>
    </xf>
    <xf numFmtId="167" fontId="41" fillId="0" borderId="0" xfId="0" applyNumberFormat="1" applyFont="1" applyBorder="1" applyAlignment="1">
      <alignment horizontal="right" vertical="top" wrapText="1"/>
    </xf>
    <xf numFmtId="167" fontId="41" fillId="0" borderId="0" xfId="0" applyNumberFormat="1" applyFont="1" applyBorder="1" applyAlignment="1">
      <alignment horizontal="left" vertical="top" wrapText="1"/>
    </xf>
    <xf numFmtId="0" fontId="17" fillId="0" borderId="84" xfId="0" applyFont="1" applyBorder="1" applyAlignment="1">
      <alignment horizontal="left" vertical="top" wrapText="1"/>
    </xf>
    <xf numFmtId="0" fontId="17" fillId="0" borderId="85" xfId="0" applyFont="1" applyBorder="1" applyAlignment="1">
      <alignment horizontal="left" vertical="top" wrapText="1"/>
    </xf>
    <xf numFmtId="167" fontId="42" fillId="0" borderId="0" xfId="0" applyNumberFormat="1" applyFont="1" applyBorder="1" applyAlignment="1">
      <alignment horizontal="right"/>
    </xf>
    <xf numFmtId="167" fontId="42" fillId="0" borderId="0" xfId="0" applyNumberFormat="1" applyFont="1" applyBorder="1" applyAlignment="1">
      <alignment horizontal="left"/>
    </xf>
    <xf numFmtId="0" fontId="26" fillId="0" borderId="84" xfId="0" applyFont="1" applyBorder="1" applyAlignment="1">
      <alignment horizontal="left"/>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87" xfId="0" applyFont="1" applyBorder="1" applyAlignment="1">
      <alignment horizontal="center" vertical="top" wrapText="1"/>
    </xf>
    <xf numFmtId="14" fontId="40" fillId="0" borderId="95" xfId="0" applyNumberFormat="1" applyFont="1" applyBorder="1" applyAlignment="1">
      <alignment horizontal="left" vertical="top" wrapText="1"/>
    </xf>
    <xf numFmtId="0" fontId="0" fillId="12" borderId="114" xfId="0" applyFill="1" applyBorder="1" applyAlignment="1" applyProtection="1">
      <alignment horizontal="center"/>
    </xf>
    <xf numFmtId="0" fontId="0" fillId="12" borderId="102" xfId="0" applyFill="1" applyBorder="1" applyAlignment="1" applyProtection="1">
      <alignment horizontal="center"/>
    </xf>
    <xf numFmtId="0" fontId="0" fillId="14" borderId="114" xfId="0" applyFill="1" applyBorder="1" applyAlignment="1">
      <alignment horizontal="center"/>
    </xf>
    <xf numFmtId="0" fontId="0" fillId="14" borderId="102" xfId="0" applyFill="1" applyBorder="1" applyAlignment="1">
      <alignment horizontal="center"/>
    </xf>
    <xf numFmtId="0" fontId="0" fillId="14" borderId="117" xfId="0" applyFill="1" applyBorder="1" applyAlignment="1">
      <alignment horizontal="center"/>
    </xf>
    <xf numFmtId="0" fontId="0" fillId="12" borderId="100" xfId="0" applyFill="1" applyBorder="1" applyAlignment="1" applyProtection="1">
      <alignment horizontal="center"/>
    </xf>
    <xf numFmtId="0" fontId="0" fillId="12" borderId="89" xfId="0" applyFill="1" applyBorder="1" applyAlignment="1" applyProtection="1">
      <alignment horizontal="center"/>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0" borderId="0" xfId="0"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8" xfId="0" applyFill="1" applyBorder="1" applyAlignment="1" applyProtection="1">
      <alignment horizontal="right"/>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15" xfId="0" applyFill="1" applyBorder="1" applyAlignment="1" applyProtection="1">
      <alignment horizontal="left"/>
    </xf>
    <xf numFmtId="0" fontId="0" fillId="12" borderId="116" xfId="0" applyFill="1" applyBorder="1" applyAlignment="1" applyProtection="1">
      <alignment horizontal="left"/>
    </xf>
    <xf numFmtId="0" fontId="0" fillId="0" borderId="120" xfId="0" applyFill="1" applyBorder="1" applyAlignment="1" applyProtection="1">
      <alignment horizontal="center"/>
    </xf>
    <xf numFmtId="0" fontId="0" fillId="0" borderId="121" xfId="0" applyFill="1" applyBorder="1" applyAlignment="1" applyProtection="1">
      <alignment horizontal="center"/>
    </xf>
    <xf numFmtId="0" fontId="0" fillId="0" borderId="94" xfId="0" applyFill="1" applyBorder="1" applyAlignment="1" applyProtection="1">
      <alignment horizontal="center"/>
    </xf>
    <xf numFmtId="0" fontId="0" fillId="0" borderId="93" xfId="0" applyFill="1" applyBorder="1" applyAlignment="1" applyProtection="1">
      <alignment horizontal="center"/>
    </xf>
    <xf numFmtId="172" fontId="0" fillId="11" borderId="122" xfId="0" applyNumberFormat="1" applyFill="1" applyBorder="1" applyAlignment="1" applyProtection="1">
      <alignment horizontal="center"/>
    </xf>
    <xf numFmtId="172" fontId="0" fillId="11" borderId="93" xfId="0" applyNumberFormat="1" applyFill="1" applyBorder="1" applyAlignment="1" applyProtection="1">
      <alignment horizontal="center"/>
    </xf>
    <xf numFmtId="0" fontId="0" fillId="12" borderId="100" xfId="0" applyFill="1" applyBorder="1" applyAlignment="1" applyProtection="1">
      <alignment horizontal="center"/>
      <protection locked="0"/>
    </xf>
    <xf numFmtId="0" fontId="0" fillId="12" borderId="89" xfId="0" applyFill="1" applyBorder="1" applyAlignment="1" applyProtection="1">
      <alignment horizontal="center"/>
      <protection locked="0"/>
    </xf>
  </cellXfs>
  <cellStyles count="18">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8.emf"/><Relationship Id="rId13" Type="http://schemas.openxmlformats.org/officeDocument/2006/relationships/image" Target="../media/image23.emf"/><Relationship Id="rId18" Type="http://schemas.openxmlformats.org/officeDocument/2006/relationships/image" Target="../media/image18.emf"/><Relationship Id="rId26" Type="http://schemas.openxmlformats.org/officeDocument/2006/relationships/image" Target="../media/image10.emf"/><Relationship Id="rId3" Type="http://schemas.openxmlformats.org/officeDocument/2006/relationships/image" Target="../media/image33.emf"/><Relationship Id="rId21" Type="http://schemas.openxmlformats.org/officeDocument/2006/relationships/image" Target="../media/image15.emf"/><Relationship Id="rId34" Type="http://schemas.openxmlformats.org/officeDocument/2006/relationships/image" Target="../media/image2.emf"/><Relationship Id="rId7" Type="http://schemas.openxmlformats.org/officeDocument/2006/relationships/image" Target="../media/image29.emf"/><Relationship Id="rId12" Type="http://schemas.openxmlformats.org/officeDocument/2006/relationships/image" Target="../media/image24.emf"/><Relationship Id="rId17" Type="http://schemas.openxmlformats.org/officeDocument/2006/relationships/image" Target="../media/image19.emf"/><Relationship Id="rId25" Type="http://schemas.openxmlformats.org/officeDocument/2006/relationships/image" Target="../media/image11.emf"/><Relationship Id="rId33" Type="http://schemas.openxmlformats.org/officeDocument/2006/relationships/image" Target="../media/image3.emf"/><Relationship Id="rId2" Type="http://schemas.openxmlformats.org/officeDocument/2006/relationships/image" Target="../media/image34.emf"/><Relationship Id="rId16" Type="http://schemas.openxmlformats.org/officeDocument/2006/relationships/image" Target="../media/image20.emf"/><Relationship Id="rId20" Type="http://schemas.openxmlformats.org/officeDocument/2006/relationships/image" Target="../media/image16.emf"/><Relationship Id="rId29" Type="http://schemas.openxmlformats.org/officeDocument/2006/relationships/image" Target="../media/image7.emf"/><Relationship Id="rId1" Type="http://schemas.openxmlformats.org/officeDocument/2006/relationships/image" Target="../media/image35.emf"/><Relationship Id="rId6" Type="http://schemas.openxmlformats.org/officeDocument/2006/relationships/image" Target="../media/image30.emf"/><Relationship Id="rId11" Type="http://schemas.openxmlformats.org/officeDocument/2006/relationships/image" Target="../media/image25.emf"/><Relationship Id="rId24" Type="http://schemas.openxmlformats.org/officeDocument/2006/relationships/image" Target="../media/image12.emf"/><Relationship Id="rId32" Type="http://schemas.openxmlformats.org/officeDocument/2006/relationships/image" Target="../media/image4.emf"/><Relationship Id="rId5" Type="http://schemas.openxmlformats.org/officeDocument/2006/relationships/image" Target="../media/image31.emf"/><Relationship Id="rId15" Type="http://schemas.openxmlformats.org/officeDocument/2006/relationships/image" Target="../media/image21.emf"/><Relationship Id="rId23" Type="http://schemas.openxmlformats.org/officeDocument/2006/relationships/image" Target="../media/image13.emf"/><Relationship Id="rId28" Type="http://schemas.openxmlformats.org/officeDocument/2006/relationships/image" Target="../media/image8.emf"/><Relationship Id="rId10" Type="http://schemas.openxmlformats.org/officeDocument/2006/relationships/image" Target="../media/image26.emf"/><Relationship Id="rId19" Type="http://schemas.openxmlformats.org/officeDocument/2006/relationships/image" Target="../media/image17.emf"/><Relationship Id="rId31" Type="http://schemas.openxmlformats.org/officeDocument/2006/relationships/image" Target="../media/image5.emf"/><Relationship Id="rId4" Type="http://schemas.openxmlformats.org/officeDocument/2006/relationships/image" Target="../media/image32.emf"/><Relationship Id="rId9" Type="http://schemas.openxmlformats.org/officeDocument/2006/relationships/image" Target="../media/image27.emf"/><Relationship Id="rId14" Type="http://schemas.openxmlformats.org/officeDocument/2006/relationships/image" Target="../media/image22.emf"/><Relationship Id="rId22" Type="http://schemas.openxmlformats.org/officeDocument/2006/relationships/image" Target="../media/image14.emf"/><Relationship Id="rId27" Type="http://schemas.openxmlformats.org/officeDocument/2006/relationships/image" Target="../media/image9.emf"/><Relationship Id="rId30"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fLocksWithSheet="0" fPrintsWithSheet="0"/>
  </xdr:twoCellAnchor>
  <mc:AlternateContent xmlns:mc="http://schemas.openxmlformats.org/markup-compatibility/2006">
    <mc:Choice xmlns:a14="http://schemas.microsoft.com/office/drawing/2010/main" Requires="a14">
      <xdr:twoCellAnchor>
        <xdr:from>
          <xdr:col>1</xdr:col>
          <xdr:colOff>400050</xdr:colOff>
          <xdr:row>8</xdr:row>
          <xdr:rowOff>142875</xdr:rowOff>
        </xdr:from>
        <xdr:to>
          <xdr:col>1</xdr:col>
          <xdr:colOff>3257550</xdr:colOff>
          <xdr:row>10</xdr:row>
          <xdr:rowOff>76200</xdr:rowOff>
        </xdr:to>
        <xdr:sp macro="" textlink="">
          <xdr:nvSpPr>
            <xdr:cNvPr id="2" name="CommandButton1"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spid="_x0000_s2088"/>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xdr:from>
          <xdr:col>11</xdr:col>
          <xdr:colOff>219075</xdr:colOff>
          <xdr:row>56</xdr:row>
          <xdr:rowOff>0</xdr:rowOff>
        </xdr:from>
        <xdr:to>
          <xdr:col>25</xdr:col>
          <xdr:colOff>152400</xdr:colOff>
          <xdr:row>57</xdr:row>
          <xdr:rowOff>142875</xdr:rowOff>
        </xdr:to>
        <xdr:sp macro="" textlink="">
          <xdr:nvSpPr>
            <xdr:cNvPr id="2" name="CommandButton1"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114300</xdr:colOff>
          <xdr:row>59</xdr:row>
          <xdr:rowOff>19050</xdr:rowOff>
        </xdr:from>
        <xdr:to>
          <xdr:col>25</xdr:col>
          <xdr:colOff>142875</xdr:colOff>
          <xdr:row>60</xdr:row>
          <xdr:rowOff>180975</xdr:rowOff>
        </xdr:to>
        <xdr:sp macro="" textlink="">
          <xdr:nvSpPr>
            <xdr:cNvPr id="3" name="CommandButton2" hidden="1">
              <a:extLst>
                <a:ext uri="{63B3BB69-23CF-44E3-9099-C40C66FF867C}">
                  <a14:compatExt spid="_x0000_s205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38</xdr:col>
          <xdr:colOff>47625</xdr:colOff>
          <xdr:row>55</xdr:row>
          <xdr:rowOff>66675</xdr:rowOff>
        </xdr:from>
        <xdr:to>
          <xdr:col>38</xdr:col>
          <xdr:colOff>161925</xdr:colOff>
          <xdr:row>55</xdr:row>
          <xdr:rowOff>171450</xdr:rowOff>
        </xdr:to>
        <xdr:sp macro="" textlink="">
          <xdr:nvSpPr>
            <xdr:cNvPr id="4" name="CheckBox1" hidden="1">
              <a:extLst>
                <a:ext uri="{63B3BB69-23CF-44E3-9099-C40C66FF867C}">
                  <a14:compatExt spid="_x0000_s205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39</xdr:col>
          <xdr:colOff>47625</xdr:colOff>
          <xdr:row>55</xdr:row>
          <xdr:rowOff>66675</xdr:rowOff>
        </xdr:from>
        <xdr:to>
          <xdr:col>39</xdr:col>
          <xdr:colOff>161925</xdr:colOff>
          <xdr:row>55</xdr:row>
          <xdr:rowOff>171450</xdr:rowOff>
        </xdr:to>
        <xdr:sp macro="" textlink="">
          <xdr:nvSpPr>
            <xdr:cNvPr id="5" name="CheckBox2" hidden="1">
              <a:extLst>
                <a:ext uri="{63B3BB69-23CF-44E3-9099-C40C66FF867C}">
                  <a14:compatExt spid="_x0000_s20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40</xdr:col>
          <xdr:colOff>47625</xdr:colOff>
          <xdr:row>55</xdr:row>
          <xdr:rowOff>66675</xdr:rowOff>
        </xdr:from>
        <xdr:to>
          <xdr:col>40</xdr:col>
          <xdr:colOff>161925</xdr:colOff>
          <xdr:row>55</xdr:row>
          <xdr:rowOff>171450</xdr:rowOff>
        </xdr:to>
        <xdr:sp macro="" textlink="">
          <xdr:nvSpPr>
            <xdr:cNvPr id="6" name="CheckBox3" hidden="1">
              <a:extLst>
                <a:ext uri="{63B3BB69-23CF-44E3-9099-C40C66FF867C}">
                  <a14:compatExt spid="_x0000_s20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41</xdr:col>
          <xdr:colOff>66675</xdr:colOff>
          <xdr:row>55</xdr:row>
          <xdr:rowOff>66675</xdr:rowOff>
        </xdr:from>
        <xdr:to>
          <xdr:col>41</xdr:col>
          <xdr:colOff>180975</xdr:colOff>
          <xdr:row>55</xdr:row>
          <xdr:rowOff>171450</xdr:rowOff>
        </xdr:to>
        <xdr:sp macro="" textlink="">
          <xdr:nvSpPr>
            <xdr:cNvPr id="7" name="CheckBox4" hidden="1">
              <a:extLst>
                <a:ext uri="{63B3BB69-23CF-44E3-9099-C40C66FF867C}">
                  <a14:compatExt spid="_x0000_s206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42</xdr:col>
          <xdr:colOff>47625</xdr:colOff>
          <xdr:row>55</xdr:row>
          <xdr:rowOff>66675</xdr:rowOff>
        </xdr:from>
        <xdr:to>
          <xdr:col>42</xdr:col>
          <xdr:colOff>161925</xdr:colOff>
          <xdr:row>55</xdr:row>
          <xdr:rowOff>171450</xdr:rowOff>
        </xdr:to>
        <xdr:sp macro="" textlink="">
          <xdr:nvSpPr>
            <xdr:cNvPr id="8" name="CheckBox5" hidden="1">
              <a:extLst>
                <a:ext uri="{63B3BB69-23CF-44E3-9099-C40C66FF867C}">
                  <a14:compatExt spid="_x0000_s20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43</xdr:col>
          <xdr:colOff>47625</xdr:colOff>
          <xdr:row>55</xdr:row>
          <xdr:rowOff>66675</xdr:rowOff>
        </xdr:from>
        <xdr:to>
          <xdr:col>43</xdr:col>
          <xdr:colOff>161925</xdr:colOff>
          <xdr:row>55</xdr:row>
          <xdr:rowOff>171450</xdr:rowOff>
        </xdr:to>
        <xdr:sp macro="" textlink="">
          <xdr:nvSpPr>
            <xdr:cNvPr id="9" name="CheckBox6" hidden="1">
              <a:extLst>
                <a:ext uri="{63B3BB69-23CF-44E3-9099-C40C66FF867C}">
                  <a14:compatExt spid="_x0000_s20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47625</xdr:colOff>
          <xdr:row>55</xdr:row>
          <xdr:rowOff>66675</xdr:rowOff>
        </xdr:from>
        <xdr:to>
          <xdr:col>44</xdr:col>
          <xdr:colOff>161925</xdr:colOff>
          <xdr:row>55</xdr:row>
          <xdr:rowOff>171450</xdr:rowOff>
        </xdr:to>
        <xdr:sp macro="" textlink="">
          <xdr:nvSpPr>
            <xdr:cNvPr id="10" name="CheckBox7" hidden="1">
              <a:extLst>
                <a:ext uri="{63B3BB69-23CF-44E3-9099-C40C66FF867C}">
                  <a14:compatExt spid="_x0000_s206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45</xdr:col>
          <xdr:colOff>47625</xdr:colOff>
          <xdr:row>55</xdr:row>
          <xdr:rowOff>66675</xdr:rowOff>
        </xdr:from>
        <xdr:to>
          <xdr:col>45</xdr:col>
          <xdr:colOff>161925</xdr:colOff>
          <xdr:row>55</xdr:row>
          <xdr:rowOff>171450</xdr:rowOff>
        </xdr:to>
        <xdr:sp macro="" textlink="">
          <xdr:nvSpPr>
            <xdr:cNvPr id="11" name="CheckBox8" hidden="1">
              <a:extLst>
                <a:ext uri="{63B3BB69-23CF-44E3-9099-C40C66FF867C}">
                  <a14:compatExt spid="_x0000_s20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46</xdr:col>
          <xdr:colOff>47625</xdr:colOff>
          <xdr:row>55</xdr:row>
          <xdr:rowOff>66675</xdr:rowOff>
        </xdr:from>
        <xdr:to>
          <xdr:col>46</xdr:col>
          <xdr:colOff>161925</xdr:colOff>
          <xdr:row>55</xdr:row>
          <xdr:rowOff>171450</xdr:rowOff>
        </xdr:to>
        <xdr:sp macro="" textlink="">
          <xdr:nvSpPr>
            <xdr:cNvPr id="12" name="CheckBox9" hidden="1">
              <a:extLst>
                <a:ext uri="{63B3BB69-23CF-44E3-9099-C40C66FF867C}">
                  <a14:compatExt spid="_x0000_s20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47</xdr:col>
          <xdr:colOff>47625</xdr:colOff>
          <xdr:row>55</xdr:row>
          <xdr:rowOff>66675</xdr:rowOff>
        </xdr:from>
        <xdr:to>
          <xdr:col>47</xdr:col>
          <xdr:colOff>161925</xdr:colOff>
          <xdr:row>55</xdr:row>
          <xdr:rowOff>171450</xdr:rowOff>
        </xdr:to>
        <xdr:sp macro="" textlink="">
          <xdr:nvSpPr>
            <xdr:cNvPr id="13" name="CheckBox10" hidden="1">
              <a:extLst>
                <a:ext uri="{63B3BB69-23CF-44E3-9099-C40C66FF867C}">
                  <a14:compatExt spid="_x0000_s206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48</xdr:col>
          <xdr:colOff>47625</xdr:colOff>
          <xdr:row>55</xdr:row>
          <xdr:rowOff>66675</xdr:rowOff>
        </xdr:from>
        <xdr:to>
          <xdr:col>48</xdr:col>
          <xdr:colOff>161925</xdr:colOff>
          <xdr:row>55</xdr:row>
          <xdr:rowOff>171450</xdr:rowOff>
        </xdr:to>
        <xdr:sp macro="" textlink="">
          <xdr:nvSpPr>
            <xdr:cNvPr id="14" name="CheckBox11" hidden="1">
              <a:extLst>
                <a:ext uri="{63B3BB69-23CF-44E3-9099-C40C66FF867C}">
                  <a14:compatExt spid="_x0000_s206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49</xdr:col>
          <xdr:colOff>47625</xdr:colOff>
          <xdr:row>55</xdr:row>
          <xdr:rowOff>66675</xdr:rowOff>
        </xdr:from>
        <xdr:to>
          <xdr:col>49</xdr:col>
          <xdr:colOff>161925</xdr:colOff>
          <xdr:row>55</xdr:row>
          <xdr:rowOff>171450</xdr:rowOff>
        </xdr:to>
        <xdr:sp macro="" textlink="">
          <xdr:nvSpPr>
            <xdr:cNvPr id="15" name="CheckBox12" hidden="1">
              <a:extLst>
                <a:ext uri="{63B3BB69-23CF-44E3-9099-C40C66FF867C}">
                  <a14:compatExt spid="_x0000_s206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50</xdr:col>
          <xdr:colOff>47625</xdr:colOff>
          <xdr:row>55</xdr:row>
          <xdr:rowOff>66675</xdr:rowOff>
        </xdr:from>
        <xdr:to>
          <xdr:col>50</xdr:col>
          <xdr:colOff>161925</xdr:colOff>
          <xdr:row>55</xdr:row>
          <xdr:rowOff>171450</xdr:rowOff>
        </xdr:to>
        <xdr:sp macro="" textlink="">
          <xdr:nvSpPr>
            <xdr:cNvPr id="16" name="CheckBox13" hidden="1">
              <a:extLst>
                <a:ext uri="{63B3BB69-23CF-44E3-9099-C40C66FF867C}">
                  <a14:compatExt spid="_x0000_s20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51</xdr:col>
          <xdr:colOff>47625</xdr:colOff>
          <xdr:row>55</xdr:row>
          <xdr:rowOff>66675</xdr:rowOff>
        </xdr:from>
        <xdr:to>
          <xdr:col>51</xdr:col>
          <xdr:colOff>161925</xdr:colOff>
          <xdr:row>55</xdr:row>
          <xdr:rowOff>171450</xdr:rowOff>
        </xdr:to>
        <xdr:sp macro="" textlink="">
          <xdr:nvSpPr>
            <xdr:cNvPr id="17" name="CheckBox14" hidden="1">
              <a:extLst>
                <a:ext uri="{63B3BB69-23CF-44E3-9099-C40C66FF867C}">
                  <a14:compatExt spid="_x0000_s20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52</xdr:col>
          <xdr:colOff>47625</xdr:colOff>
          <xdr:row>55</xdr:row>
          <xdr:rowOff>66675</xdr:rowOff>
        </xdr:from>
        <xdr:to>
          <xdr:col>52</xdr:col>
          <xdr:colOff>161925</xdr:colOff>
          <xdr:row>55</xdr:row>
          <xdr:rowOff>171450</xdr:rowOff>
        </xdr:to>
        <xdr:sp macro="" textlink="">
          <xdr:nvSpPr>
            <xdr:cNvPr id="18" name="CheckBox15" hidden="1">
              <a:extLst>
                <a:ext uri="{63B3BB69-23CF-44E3-9099-C40C66FF867C}">
                  <a14:compatExt spid="_x0000_s20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53</xdr:col>
          <xdr:colOff>47625</xdr:colOff>
          <xdr:row>55</xdr:row>
          <xdr:rowOff>66675</xdr:rowOff>
        </xdr:from>
        <xdr:to>
          <xdr:col>53</xdr:col>
          <xdr:colOff>161925</xdr:colOff>
          <xdr:row>55</xdr:row>
          <xdr:rowOff>171450</xdr:rowOff>
        </xdr:to>
        <xdr:sp macro="" textlink="">
          <xdr:nvSpPr>
            <xdr:cNvPr id="19" name="CheckBox16" hidden="1">
              <a:extLst>
                <a:ext uri="{63B3BB69-23CF-44E3-9099-C40C66FF867C}">
                  <a14:compatExt spid="_x0000_s20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54</xdr:col>
          <xdr:colOff>47625</xdr:colOff>
          <xdr:row>55</xdr:row>
          <xdr:rowOff>66675</xdr:rowOff>
        </xdr:from>
        <xdr:to>
          <xdr:col>54</xdr:col>
          <xdr:colOff>161925</xdr:colOff>
          <xdr:row>55</xdr:row>
          <xdr:rowOff>171450</xdr:rowOff>
        </xdr:to>
        <xdr:sp macro="" textlink="">
          <xdr:nvSpPr>
            <xdr:cNvPr id="20" name="CheckBox17" hidden="1">
              <a:extLst>
                <a:ext uri="{63B3BB69-23CF-44E3-9099-C40C66FF867C}">
                  <a14:compatExt spid="_x0000_s2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55</xdr:col>
          <xdr:colOff>47625</xdr:colOff>
          <xdr:row>55</xdr:row>
          <xdr:rowOff>66675</xdr:rowOff>
        </xdr:from>
        <xdr:to>
          <xdr:col>55</xdr:col>
          <xdr:colOff>161925</xdr:colOff>
          <xdr:row>55</xdr:row>
          <xdr:rowOff>171450</xdr:rowOff>
        </xdr:to>
        <xdr:sp macro="" textlink="">
          <xdr:nvSpPr>
            <xdr:cNvPr id="21" name="CheckBox18" hidden="1">
              <a:extLst>
                <a:ext uri="{63B3BB69-23CF-44E3-9099-C40C66FF867C}">
                  <a14:compatExt spid="_x0000_s20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47625</xdr:colOff>
          <xdr:row>55</xdr:row>
          <xdr:rowOff>66675</xdr:rowOff>
        </xdr:from>
        <xdr:to>
          <xdr:col>56</xdr:col>
          <xdr:colOff>161925</xdr:colOff>
          <xdr:row>55</xdr:row>
          <xdr:rowOff>171450</xdr:rowOff>
        </xdr:to>
        <xdr:sp macro="" textlink="">
          <xdr:nvSpPr>
            <xdr:cNvPr id="22" name="CheckBox19" hidden="1">
              <a:extLst>
                <a:ext uri="{63B3BB69-23CF-44E3-9099-C40C66FF867C}">
                  <a14:compatExt spid="_x0000_s20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57</xdr:col>
          <xdr:colOff>47625</xdr:colOff>
          <xdr:row>55</xdr:row>
          <xdr:rowOff>66675</xdr:rowOff>
        </xdr:from>
        <xdr:to>
          <xdr:col>57</xdr:col>
          <xdr:colOff>161925</xdr:colOff>
          <xdr:row>55</xdr:row>
          <xdr:rowOff>171450</xdr:rowOff>
        </xdr:to>
        <xdr:sp macro="" textlink="">
          <xdr:nvSpPr>
            <xdr:cNvPr id="23" name="CheckBox20" hidden="1">
              <a:extLst>
                <a:ext uri="{63B3BB69-23CF-44E3-9099-C40C66FF867C}">
                  <a14:compatExt spid="_x0000_s20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58</xdr:col>
          <xdr:colOff>47625</xdr:colOff>
          <xdr:row>55</xdr:row>
          <xdr:rowOff>66675</xdr:rowOff>
        </xdr:from>
        <xdr:to>
          <xdr:col>58</xdr:col>
          <xdr:colOff>161925</xdr:colOff>
          <xdr:row>55</xdr:row>
          <xdr:rowOff>171450</xdr:rowOff>
        </xdr:to>
        <xdr:sp macro="" textlink="">
          <xdr:nvSpPr>
            <xdr:cNvPr id="24" name="CheckBox21" hidden="1">
              <a:extLst>
                <a:ext uri="{63B3BB69-23CF-44E3-9099-C40C66FF867C}">
                  <a14:compatExt spid="_x0000_s207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59</xdr:col>
          <xdr:colOff>47625</xdr:colOff>
          <xdr:row>55</xdr:row>
          <xdr:rowOff>66675</xdr:rowOff>
        </xdr:from>
        <xdr:to>
          <xdr:col>59</xdr:col>
          <xdr:colOff>161925</xdr:colOff>
          <xdr:row>55</xdr:row>
          <xdr:rowOff>171450</xdr:rowOff>
        </xdr:to>
        <xdr:sp macro="" textlink="">
          <xdr:nvSpPr>
            <xdr:cNvPr id="25" name="CheckBox22" hidden="1">
              <a:extLst>
                <a:ext uri="{63B3BB69-23CF-44E3-9099-C40C66FF867C}">
                  <a14:compatExt spid="_x0000_s207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60</xdr:col>
          <xdr:colOff>47625</xdr:colOff>
          <xdr:row>55</xdr:row>
          <xdr:rowOff>66675</xdr:rowOff>
        </xdr:from>
        <xdr:to>
          <xdr:col>60</xdr:col>
          <xdr:colOff>161925</xdr:colOff>
          <xdr:row>55</xdr:row>
          <xdr:rowOff>171450</xdr:rowOff>
        </xdr:to>
        <xdr:sp macro="" textlink="">
          <xdr:nvSpPr>
            <xdr:cNvPr id="26" name="CheckBox23" hidden="1">
              <a:extLst>
                <a:ext uri="{63B3BB69-23CF-44E3-9099-C40C66FF867C}">
                  <a14:compatExt spid="_x0000_s207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61</xdr:col>
          <xdr:colOff>47625</xdr:colOff>
          <xdr:row>55</xdr:row>
          <xdr:rowOff>66675</xdr:rowOff>
        </xdr:from>
        <xdr:to>
          <xdr:col>61</xdr:col>
          <xdr:colOff>161925</xdr:colOff>
          <xdr:row>55</xdr:row>
          <xdr:rowOff>171450</xdr:rowOff>
        </xdr:to>
        <xdr:sp macro="" textlink="">
          <xdr:nvSpPr>
            <xdr:cNvPr id="27" name="CheckBox24" hidden="1">
              <a:extLst>
                <a:ext uri="{63B3BB69-23CF-44E3-9099-C40C66FF867C}">
                  <a14:compatExt spid="_x0000_s208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62</xdr:col>
          <xdr:colOff>47625</xdr:colOff>
          <xdr:row>55</xdr:row>
          <xdr:rowOff>66675</xdr:rowOff>
        </xdr:from>
        <xdr:to>
          <xdr:col>62</xdr:col>
          <xdr:colOff>161925</xdr:colOff>
          <xdr:row>55</xdr:row>
          <xdr:rowOff>171450</xdr:rowOff>
        </xdr:to>
        <xdr:sp macro="" textlink="">
          <xdr:nvSpPr>
            <xdr:cNvPr id="28" name="CheckBox25" hidden="1">
              <a:extLst>
                <a:ext uri="{63B3BB69-23CF-44E3-9099-C40C66FF867C}">
                  <a14:compatExt spid="_x0000_s208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63</xdr:col>
          <xdr:colOff>47625</xdr:colOff>
          <xdr:row>55</xdr:row>
          <xdr:rowOff>66675</xdr:rowOff>
        </xdr:from>
        <xdr:to>
          <xdr:col>63</xdr:col>
          <xdr:colOff>161925</xdr:colOff>
          <xdr:row>55</xdr:row>
          <xdr:rowOff>171450</xdr:rowOff>
        </xdr:to>
        <xdr:sp macro="" textlink="">
          <xdr:nvSpPr>
            <xdr:cNvPr id="29" name="CheckBox26" hidden="1">
              <a:extLst>
                <a:ext uri="{63B3BB69-23CF-44E3-9099-C40C66FF867C}">
                  <a14:compatExt spid="_x0000_s208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64</xdr:col>
          <xdr:colOff>47625</xdr:colOff>
          <xdr:row>55</xdr:row>
          <xdr:rowOff>66675</xdr:rowOff>
        </xdr:from>
        <xdr:to>
          <xdr:col>64</xdr:col>
          <xdr:colOff>161925</xdr:colOff>
          <xdr:row>55</xdr:row>
          <xdr:rowOff>171450</xdr:rowOff>
        </xdr:to>
        <xdr:sp macro="" textlink="">
          <xdr:nvSpPr>
            <xdr:cNvPr id="30" name="CheckBox27" hidden="1">
              <a:extLst>
                <a:ext uri="{63B3BB69-23CF-44E3-9099-C40C66FF867C}">
                  <a14:compatExt spid="_x0000_s208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65</xdr:col>
          <xdr:colOff>47625</xdr:colOff>
          <xdr:row>55</xdr:row>
          <xdr:rowOff>66675</xdr:rowOff>
        </xdr:from>
        <xdr:to>
          <xdr:col>65</xdr:col>
          <xdr:colOff>161925</xdr:colOff>
          <xdr:row>55</xdr:row>
          <xdr:rowOff>171450</xdr:rowOff>
        </xdr:to>
        <xdr:sp macro="" textlink="">
          <xdr:nvSpPr>
            <xdr:cNvPr id="31" name="CheckBox28" hidden="1">
              <a:extLst>
                <a:ext uri="{63B3BB69-23CF-44E3-9099-C40C66FF867C}">
                  <a14:compatExt spid="_x0000_s208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66</xdr:col>
          <xdr:colOff>47625</xdr:colOff>
          <xdr:row>55</xdr:row>
          <xdr:rowOff>66675</xdr:rowOff>
        </xdr:from>
        <xdr:to>
          <xdr:col>66</xdr:col>
          <xdr:colOff>161925</xdr:colOff>
          <xdr:row>55</xdr:row>
          <xdr:rowOff>171450</xdr:rowOff>
        </xdr:to>
        <xdr:sp macro="" textlink="">
          <xdr:nvSpPr>
            <xdr:cNvPr id="2048" name="CheckBox29" hidden="1">
              <a:extLst>
                <a:ext uri="{63B3BB69-23CF-44E3-9099-C40C66FF867C}">
                  <a14:compatExt spid="_x0000_s20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67</xdr:col>
          <xdr:colOff>47625</xdr:colOff>
          <xdr:row>55</xdr:row>
          <xdr:rowOff>66675</xdr:rowOff>
        </xdr:from>
        <xdr:to>
          <xdr:col>67</xdr:col>
          <xdr:colOff>161925</xdr:colOff>
          <xdr:row>55</xdr:row>
          <xdr:rowOff>171450</xdr:rowOff>
        </xdr:to>
        <xdr:sp macro="" textlink="">
          <xdr:nvSpPr>
            <xdr:cNvPr id="2049" name="CheckBox30" hidden="1">
              <a:extLst>
                <a:ext uri="{63B3BB69-23CF-44E3-9099-C40C66FF867C}">
                  <a14:compatExt spid="_x0000_s208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68</xdr:col>
          <xdr:colOff>47625</xdr:colOff>
          <xdr:row>55</xdr:row>
          <xdr:rowOff>66675</xdr:rowOff>
        </xdr:from>
        <xdr:to>
          <xdr:col>68</xdr:col>
          <xdr:colOff>161925</xdr:colOff>
          <xdr:row>55</xdr:row>
          <xdr:rowOff>171450</xdr:rowOff>
        </xdr:to>
        <xdr:sp macro="" textlink="">
          <xdr:nvSpPr>
            <xdr:cNvPr id="2050" name="CheckBox31" hidden="1">
              <a:extLst>
                <a:ext uri="{63B3BB69-23CF-44E3-9099-C40C66FF867C}">
                  <a14:compatExt spid="_x0000_s208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69</xdr:col>
          <xdr:colOff>47625</xdr:colOff>
          <xdr:row>55</xdr:row>
          <xdr:rowOff>66675</xdr:rowOff>
        </xdr:from>
        <xdr:to>
          <xdr:col>69</xdr:col>
          <xdr:colOff>161925</xdr:colOff>
          <xdr:row>55</xdr:row>
          <xdr:rowOff>171450</xdr:rowOff>
        </xdr:to>
        <xdr:sp macro="" textlink="">
          <xdr:nvSpPr>
            <xdr:cNvPr id="2051" name="CheckBox32" hidden="1">
              <a:extLst>
                <a:ext uri="{63B3BB69-23CF-44E3-9099-C40C66FF867C}">
                  <a14:compatExt spid="_x0000_s208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5" Type="http://schemas.openxmlformats.org/officeDocument/2006/relationships/comments" Target="../comments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control" Target="../activeX/activeX9.xml"/><Relationship Id="rId26" Type="http://schemas.openxmlformats.org/officeDocument/2006/relationships/control" Target="../activeX/activeX13.xml"/><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control" Target="../activeX/activeX17.xml"/><Relationship Id="rId42" Type="http://schemas.openxmlformats.org/officeDocument/2006/relationships/control" Target="../activeX/activeX21.xml"/><Relationship Id="rId47" Type="http://schemas.openxmlformats.org/officeDocument/2006/relationships/image" Target="../media/image23.emf"/><Relationship Id="rId50" Type="http://schemas.openxmlformats.org/officeDocument/2006/relationships/control" Target="../activeX/activeX25.xml"/><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control" Target="../activeX/activeX34.xml"/><Relationship Id="rId7" Type="http://schemas.openxmlformats.org/officeDocument/2006/relationships/image" Target="../media/image3.emf"/><Relationship Id="rId71" Type="http://schemas.openxmlformats.org/officeDocument/2006/relationships/image" Target="../media/image35.emf"/><Relationship Id="rId2" Type="http://schemas.openxmlformats.org/officeDocument/2006/relationships/drawing" Target="../drawings/drawing2.xml"/><Relationship Id="rId16" Type="http://schemas.openxmlformats.org/officeDocument/2006/relationships/control" Target="../activeX/activeX8.xml"/><Relationship Id="rId29" Type="http://schemas.openxmlformats.org/officeDocument/2006/relationships/image" Target="../media/image14.emf"/><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image" Target="../media/image5.emf"/><Relationship Id="rId24" Type="http://schemas.openxmlformats.org/officeDocument/2006/relationships/control" Target="../activeX/activeX12.xml"/><Relationship Id="rId32" Type="http://schemas.openxmlformats.org/officeDocument/2006/relationships/control" Target="../activeX/activeX16.xml"/><Relationship Id="rId37" Type="http://schemas.openxmlformats.org/officeDocument/2006/relationships/image" Target="../media/image18.emf"/><Relationship Id="rId40" Type="http://schemas.openxmlformats.org/officeDocument/2006/relationships/control" Target="../activeX/activeX20.xml"/><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control" Target="../activeX/activeX29.xml"/><Relationship Id="rId66" Type="http://schemas.openxmlformats.org/officeDocument/2006/relationships/control" Target="../activeX/activeX33.xml"/><Relationship Id="rId5" Type="http://schemas.openxmlformats.org/officeDocument/2006/relationships/image" Target="../media/image2.emf"/><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control" Target="../activeX/activeX14.xml"/><Relationship Id="rId36" Type="http://schemas.openxmlformats.org/officeDocument/2006/relationships/control" Target="../activeX/activeX18.xml"/><Relationship Id="rId49" Type="http://schemas.openxmlformats.org/officeDocument/2006/relationships/image" Target="../media/image24.emf"/><Relationship Id="rId57" Type="http://schemas.openxmlformats.org/officeDocument/2006/relationships/image" Target="../media/image28.emf"/><Relationship Id="rId61" Type="http://schemas.openxmlformats.org/officeDocument/2006/relationships/image" Target="../media/image30.emf"/><Relationship Id="rId10" Type="http://schemas.openxmlformats.org/officeDocument/2006/relationships/control" Target="../activeX/activeX5.xml"/><Relationship Id="rId19" Type="http://schemas.openxmlformats.org/officeDocument/2006/relationships/image" Target="../media/image9.emf"/><Relationship Id="rId31" Type="http://schemas.openxmlformats.org/officeDocument/2006/relationships/image" Target="../media/image15.emf"/><Relationship Id="rId44" Type="http://schemas.openxmlformats.org/officeDocument/2006/relationships/control" Target="../activeX/activeX22.xml"/><Relationship Id="rId52" Type="http://schemas.openxmlformats.org/officeDocument/2006/relationships/control" Target="../activeX/activeX26.xml"/><Relationship Id="rId60" Type="http://schemas.openxmlformats.org/officeDocument/2006/relationships/control" Target="../activeX/activeX30.xml"/><Relationship Id="rId65" Type="http://schemas.openxmlformats.org/officeDocument/2006/relationships/image" Target="../media/image32.emf"/><Relationship Id="rId4" Type="http://schemas.openxmlformats.org/officeDocument/2006/relationships/control" Target="../activeX/activeX2.xml"/><Relationship Id="rId9" Type="http://schemas.openxmlformats.org/officeDocument/2006/relationships/image" Target="../media/image4.emf"/><Relationship Id="rId14" Type="http://schemas.openxmlformats.org/officeDocument/2006/relationships/control" Target="../activeX/activeX7.xml"/><Relationship Id="rId22" Type="http://schemas.openxmlformats.org/officeDocument/2006/relationships/control" Target="../activeX/activeX11.xml"/><Relationship Id="rId27" Type="http://schemas.openxmlformats.org/officeDocument/2006/relationships/image" Target="../media/image13.emf"/><Relationship Id="rId30" Type="http://schemas.openxmlformats.org/officeDocument/2006/relationships/control" Target="../activeX/activeX15.xml"/><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control" Target="../activeX/activeX24.xml"/><Relationship Id="rId56" Type="http://schemas.openxmlformats.org/officeDocument/2006/relationships/control" Target="../activeX/activeX28.xml"/><Relationship Id="rId64" Type="http://schemas.openxmlformats.org/officeDocument/2006/relationships/control" Target="../activeX/activeX32.xml"/><Relationship Id="rId69" Type="http://schemas.openxmlformats.org/officeDocument/2006/relationships/image" Target="../media/image34.emf"/><Relationship Id="rId8" Type="http://schemas.openxmlformats.org/officeDocument/2006/relationships/control" Target="../activeX/activeX4.xml"/><Relationship Id="rId51" Type="http://schemas.openxmlformats.org/officeDocument/2006/relationships/image" Target="../media/image25.emf"/><Relationship Id="rId72" Type="http://schemas.openxmlformats.org/officeDocument/2006/relationships/comments" Target="../comments2.xml"/><Relationship Id="rId3" Type="http://schemas.openxmlformats.org/officeDocument/2006/relationships/vmlDrawing" Target="../drawings/vmlDrawing2.vml"/><Relationship Id="rId12" Type="http://schemas.openxmlformats.org/officeDocument/2006/relationships/control" Target="../activeX/activeX6.xml"/><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control" Target="../activeX/activeX19.xml"/><Relationship Id="rId46" Type="http://schemas.openxmlformats.org/officeDocument/2006/relationships/control" Target="../activeX/activeX23.xml"/><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control" Target="../activeX/activeX10.xml"/><Relationship Id="rId41" Type="http://schemas.openxmlformats.org/officeDocument/2006/relationships/image" Target="../media/image20.emf"/><Relationship Id="rId54" Type="http://schemas.openxmlformats.org/officeDocument/2006/relationships/control" Target="../activeX/activeX27.xml"/><Relationship Id="rId62" Type="http://schemas.openxmlformats.org/officeDocument/2006/relationships/control" Target="../activeX/activeX31.xml"/><Relationship Id="rId70" Type="http://schemas.openxmlformats.org/officeDocument/2006/relationships/control" Target="../activeX/activeX3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
    <tabColor indexed="10"/>
  </sheetPr>
  <dimension ref="A1:L25"/>
  <sheetViews>
    <sheetView workbookViewId="0">
      <selection activeCell="A3" sqref="A3"/>
    </sheetView>
  </sheetViews>
  <sheetFormatPr defaultRowHeight="12.75" x14ac:dyDescent="0.2"/>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x14ac:dyDescent="0.2">
      <c r="A1" s="1" t="s">
        <v>392</v>
      </c>
    </row>
    <row r="2" spans="1:12" x14ac:dyDescent="0.2">
      <c r="A2" s="2">
        <v>44312</v>
      </c>
      <c r="B2" s="3" t="s">
        <v>0</v>
      </c>
      <c r="D2" s="4" t="s">
        <v>1</v>
      </c>
      <c r="E2" s="5"/>
    </row>
    <row r="3" spans="1:12" x14ac:dyDescent="0.2">
      <c r="B3" s="6"/>
      <c r="D3" s="4" t="s">
        <v>2</v>
      </c>
      <c r="E3" s="5"/>
      <c r="I3" s="7" t="s">
        <v>3</v>
      </c>
      <c r="J3" s="7"/>
      <c r="K3" s="7" t="s">
        <v>4</v>
      </c>
    </row>
    <row r="4" spans="1:12" x14ac:dyDescent="0.2">
      <c r="B4" s="8" t="s">
        <v>5</v>
      </c>
      <c r="D4" s="4" t="s">
        <v>6</v>
      </c>
      <c r="E4" s="5"/>
      <c r="I4" s="7" t="str">
        <f>IF(E4="","",C16-E4+1)</f>
        <v/>
      </c>
      <c r="J4" s="7"/>
      <c r="K4" s="7" t="str">
        <f>IF(E4="","",C17-E4+1)</f>
        <v/>
      </c>
      <c r="L4" s="7" t="str">
        <f t="shared" ref="L4:L12" si="0">I4&amp;"-"&amp;K4</f>
        <v>-</v>
      </c>
    </row>
    <row r="5" spans="1:12" ht="12.75" customHeight="1" x14ac:dyDescent="0.2">
      <c r="B5" s="8" t="s">
        <v>7</v>
      </c>
      <c r="D5" s="4" t="s">
        <v>8</v>
      </c>
      <c r="E5" s="9"/>
      <c r="F5" s="250" t="s">
        <v>9</v>
      </c>
      <c r="I5" s="7" t="str">
        <f>IF(E5="","",C16-E5+1)</f>
        <v/>
      </c>
      <c r="J5" s="7"/>
      <c r="K5" s="7" t="str">
        <f>IF(E5="","",C17-E5+1)</f>
        <v/>
      </c>
      <c r="L5" s="7" t="str">
        <f t="shared" si="0"/>
        <v>-</v>
      </c>
    </row>
    <row r="6" spans="1:12" ht="25.5" x14ac:dyDescent="0.2">
      <c r="B6" s="8" t="s">
        <v>10</v>
      </c>
      <c r="D6" s="4" t="s">
        <v>11</v>
      </c>
      <c r="E6" s="9"/>
      <c r="F6" s="250"/>
      <c r="I6" s="7" t="str">
        <f>IF(E6="","",C16-E6+1)</f>
        <v/>
      </c>
      <c r="J6" s="7"/>
      <c r="K6" s="7" t="str">
        <f>IF(E6="","",C17-E6+1)</f>
        <v/>
      </c>
      <c r="L6" s="7" t="str">
        <f t="shared" si="0"/>
        <v>-</v>
      </c>
    </row>
    <row r="7" spans="1:12" ht="25.5" x14ac:dyDescent="0.2">
      <c r="B7" s="8" t="s">
        <v>12</v>
      </c>
      <c r="D7" s="4" t="s">
        <v>13</v>
      </c>
      <c r="E7" s="9"/>
      <c r="F7" s="250"/>
      <c r="I7" s="7" t="str">
        <f>IF(E7="","",C16-E7+1)</f>
        <v/>
      </c>
      <c r="J7" s="7"/>
      <c r="K7" s="7" t="str">
        <f>IF(E7="","",C17-E7+1)</f>
        <v/>
      </c>
      <c r="L7" s="7" t="str">
        <f t="shared" si="0"/>
        <v>-</v>
      </c>
    </row>
    <row r="8" spans="1:12" ht="38.25" x14ac:dyDescent="0.2">
      <c r="B8" s="10" t="s">
        <v>14</v>
      </c>
      <c r="D8" s="4" t="s">
        <v>15</v>
      </c>
      <c r="E8" s="9"/>
      <c r="F8" s="250"/>
      <c r="I8" s="7" t="str">
        <f>IF(E8="","",C16-E8+1)</f>
        <v/>
      </c>
      <c r="J8" s="7"/>
      <c r="K8" s="7" t="str">
        <f>IF(E8="","",C17-E8+1)</f>
        <v/>
      </c>
      <c r="L8" s="7" t="str">
        <f t="shared" si="0"/>
        <v>-</v>
      </c>
    </row>
    <row r="9" spans="1:12" x14ac:dyDescent="0.2">
      <c r="D9" s="4" t="s">
        <v>16</v>
      </c>
      <c r="E9" s="9"/>
      <c r="F9" s="250"/>
      <c r="I9" s="7" t="str">
        <f>IF(E9="","",C16-E9+1)</f>
        <v/>
      </c>
      <c r="J9" s="7"/>
      <c r="K9" s="7" t="str">
        <f>IF(E9="","",C17-E9+1)</f>
        <v/>
      </c>
      <c r="L9" s="7" t="str">
        <f t="shared" si="0"/>
        <v>-</v>
      </c>
    </row>
    <row r="10" spans="1:12" x14ac:dyDescent="0.2">
      <c r="D10" s="4" t="s">
        <v>17</v>
      </c>
      <c r="E10" s="9"/>
      <c r="F10" s="250"/>
      <c r="I10" s="7" t="str">
        <f>IF(E10="","",C16-E10+1)</f>
        <v/>
      </c>
      <c r="J10" s="7"/>
      <c r="K10" s="7" t="str">
        <f>IF(E10="","",C17-E10+1)</f>
        <v/>
      </c>
      <c r="L10" s="7" t="str">
        <f t="shared" si="0"/>
        <v>-</v>
      </c>
    </row>
    <row r="11" spans="1:12" x14ac:dyDescent="0.2">
      <c r="D11" s="11" t="s">
        <v>18</v>
      </c>
      <c r="E11" s="9"/>
      <c r="I11" s="7" t="str">
        <f>IF(E11="","",C16-E11+1)</f>
        <v/>
      </c>
      <c r="K11" s="7" t="str">
        <f>IF(E11="","",C17-E11+1)</f>
        <v/>
      </c>
      <c r="L11" s="7" t="str">
        <f t="shared" si="0"/>
        <v>-</v>
      </c>
    </row>
    <row r="12" spans="1:12" x14ac:dyDescent="0.2">
      <c r="D12" s="4" t="s">
        <v>19</v>
      </c>
      <c r="E12" s="9"/>
      <c r="I12" s="7" t="str">
        <f>IF(E12="","",C16-E12+1)</f>
        <v/>
      </c>
      <c r="K12" s="7" t="str">
        <f>IF(E12="","",C17-E12+1)</f>
        <v/>
      </c>
      <c r="L12" s="7" t="str">
        <f t="shared" si="0"/>
        <v>-</v>
      </c>
    </row>
    <row r="16" spans="1:12" x14ac:dyDescent="0.2">
      <c r="B16" s="4" t="s">
        <v>20</v>
      </c>
      <c r="C16" s="5"/>
      <c r="I16" s="12">
        <f>C16</f>
        <v>0</v>
      </c>
      <c r="J16" s="13"/>
    </row>
    <row r="17" spans="2:9" x14ac:dyDescent="0.2">
      <c r="B17" s="4" t="s">
        <v>21</v>
      </c>
      <c r="C17" s="5"/>
      <c r="I17" s="14">
        <f>C17</f>
        <v>0</v>
      </c>
    </row>
    <row r="20" spans="2:9" ht="23.25" x14ac:dyDescent="0.35">
      <c r="B20" s="15" t="s">
        <v>22</v>
      </c>
      <c r="E20" s="16"/>
    </row>
    <row r="22" spans="2:9" ht="23.25" x14ac:dyDescent="0.35">
      <c r="B22" s="15" t="s">
        <v>23</v>
      </c>
    </row>
    <row r="23" spans="2:9" x14ac:dyDescent="0.2">
      <c r="B23" s="1" t="s">
        <v>24</v>
      </c>
    </row>
    <row r="24" spans="2:9" x14ac:dyDescent="0.2">
      <c r="B24" s="17"/>
      <c r="G24" s="18" t="s">
        <v>25</v>
      </c>
    </row>
    <row r="25" spans="2:9" x14ac:dyDescent="0.2">
      <c r="B25" s="1" t="s">
        <v>26</v>
      </c>
      <c r="C25" s="19" t="s">
        <v>27</v>
      </c>
      <c r="G25" s="18" t="s">
        <v>27</v>
      </c>
    </row>
  </sheetData>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headerFooter alignWithMargins="0"/>
  <drawing r:id="rId1"/>
  <legacyDrawing r:id="rId2"/>
  <controls>
    <mc:AlternateContent xmlns:mc="http://schemas.openxmlformats.org/markup-compatibility/2006">
      <mc:Choice Requires="x14">
        <control shapeId="2" r:id="rId3" name="CommandButton1">
          <controlPr defaultSize="0" autoFill="0" autoLine="0" autoPict="0" r:id="rId4">
            <anchor moveWithCells="1" sizeWithCells="1">
              <from>
                <xdr:col>1</xdr:col>
                <xdr:colOff>400050</xdr:colOff>
                <xdr:row>8</xdr:row>
                <xdr:rowOff>142875</xdr:rowOff>
              </from>
              <to>
                <xdr:col>1</xdr:col>
                <xdr:colOff>3257550</xdr:colOff>
                <xdr:row>10</xdr:row>
                <xdr:rowOff>76200</xdr:rowOff>
              </to>
            </anchor>
          </controlPr>
        </control>
      </mc:Choice>
      <mc:Fallback>
        <control shapeId="1033" r:id="rId3" name="CommandButton1"/>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workbookViewId="0">
      <selection activeCell="M3" sqref="M3"/>
    </sheetView>
  </sheetViews>
  <sheetFormatPr defaultRowHeight="12.75" x14ac:dyDescent="0.2"/>
  <cols>
    <col min="12" max="12" width="10.42578125" customWidth="1"/>
    <col min="13" max="13" width="10.85546875" customWidth="1"/>
  </cols>
  <sheetData>
    <row r="1" spans="1:13" x14ac:dyDescent="0.2">
      <c r="A1" s="417" t="s">
        <v>373</v>
      </c>
      <c r="B1" s="418"/>
      <c r="C1" s="247">
        <f>'карта ИТ'!BC3</f>
        <v>0</v>
      </c>
      <c r="D1" s="233"/>
      <c r="E1" s="233"/>
      <c r="F1" s="233"/>
      <c r="G1" s="207"/>
      <c r="H1" s="162"/>
      <c r="J1" s="419" t="s">
        <v>385</v>
      </c>
      <c r="K1" s="420"/>
      <c r="L1" s="420"/>
      <c r="M1" s="421"/>
    </row>
    <row r="2" spans="1:13" x14ac:dyDescent="0.2">
      <c r="A2" s="208"/>
      <c r="B2" s="209"/>
      <c r="C2" s="209"/>
      <c r="D2" s="209"/>
      <c r="E2" s="209"/>
      <c r="F2" s="209"/>
      <c r="G2" s="210"/>
      <c r="H2" s="162"/>
      <c r="I2" s="162"/>
      <c r="J2" s="208"/>
      <c r="K2" s="209"/>
      <c r="L2" s="209"/>
      <c r="M2" s="193"/>
    </row>
    <row r="3" spans="1:13" x14ac:dyDescent="0.2">
      <c r="A3" s="422" t="s">
        <v>374</v>
      </c>
      <c r="B3" s="423"/>
      <c r="C3" s="423"/>
      <c r="D3" s="216">
        <v>150</v>
      </c>
      <c r="E3" s="423" t="s">
        <v>376</v>
      </c>
      <c r="F3" s="423"/>
      <c r="G3" s="245">
        <f>(PRODUCT(C1,D5))/6.25</f>
        <v>0</v>
      </c>
      <c r="H3" s="162"/>
      <c r="J3" s="422" t="s">
        <v>384</v>
      </c>
      <c r="K3" s="423"/>
      <c r="L3" s="423"/>
      <c r="M3" s="246"/>
    </row>
    <row r="4" spans="1:13" x14ac:dyDescent="0.2">
      <c r="A4" s="208"/>
      <c r="B4" s="209"/>
      <c r="C4" s="209"/>
      <c r="D4" s="209"/>
      <c r="E4" s="209"/>
      <c r="F4" s="209"/>
      <c r="G4" s="210"/>
      <c r="H4" s="162"/>
      <c r="J4" s="422" t="s">
        <v>374</v>
      </c>
      <c r="K4" s="423"/>
      <c r="L4" s="423"/>
      <c r="M4" s="228">
        <v>150</v>
      </c>
    </row>
    <row r="5" spans="1:13" x14ac:dyDescent="0.2">
      <c r="A5" s="208"/>
      <c r="B5" s="423" t="s">
        <v>382</v>
      </c>
      <c r="C5" s="423"/>
      <c r="D5" s="216"/>
      <c r="E5" s="234"/>
      <c r="F5" s="234"/>
      <c r="G5" s="210"/>
      <c r="H5" s="162"/>
      <c r="J5" s="215"/>
      <c r="K5" s="182"/>
      <c r="L5" s="223"/>
      <c r="M5" s="229"/>
    </row>
    <row r="6" spans="1:13" x14ac:dyDescent="0.2">
      <c r="A6" s="208"/>
      <c r="B6" s="209"/>
      <c r="C6" s="225"/>
      <c r="D6" s="225"/>
      <c r="E6" s="209"/>
      <c r="F6" s="209"/>
      <c r="G6" s="210"/>
      <c r="H6" s="162"/>
      <c r="J6" s="215"/>
      <c r="K6" s="221"/>
      <c r="L6" s="224" t="s">
        <v>377</v>
      </c>
      <c r="M6" s="239" t="s">
        <v>378</v>
      </c>
    </row>
    <row r="7" spans="1:13" x14ac:dyDescent="0.2">
      <c r="A7" s="208"/>
      <c r="B7" s="226"/>
      <c r="C7" s="224" t="s">
        <v>377</v>
      </c>
      <c r="D7" s="224" t="s">
        <v>378</v>
      </c>
      <c r="E7" s="209"/>
      <c r="F7" s="209"/>
      <c r="G7" s="210"/>
      <c r="H7" s="162"/>
      <c r="J7" s="424" t="s">
        <v>203</v>
      </c>
      <c r="K7" s="425"/>
      <c r="L7" s="204">
        <f>ROUND(PRODUCT(M3,(PRODUCT(M4,-0.1772))+55)/100,0)</f>
        <v>0</v>
      </c>
      <c r="M7" s="236">
        <f>ROUND(PRODUCT(M3,(PRODUCT(M4,-0.1951))+70)/100,0)</f>
        <v>0</v>
      </c>
    </row>
    <row r="8" spans="1:13" x14ac:dyDescent="0.2">
      <c r="A8" s="422" t="s">
        <v>375</v>
      </c>
      <c r="B8" s="423"/>
      <c r="C8" s="217" t="str">
        <f>ROUND(SUM(C10,C12,C13),0)&amp;" мл"</f>
        <v>0 мл</v>
      </c>
      <c r="D8" s="217" t="str">
        <f>ROUND(SUM(D10,D11,D13),0)&amp;" мл"</f>
        <v>0 мл</v>
      </c>
      <c r="E8" s="209"/>
      <c r="F8" s="209"/>
      <c r="G8" s="210"/>
      <c r="H8" s="162"/>
      <c r="J8" s="424" t="s">
        <v>223</v>
      </c>
      <c r="K8" s="425"/>
      <c r="L8" s="222"/>
      <c r="M8" s="236">
        <f>ROUND((M3-M7)*0.727,0)</f>
        <v>0</v>
      </c>
    </row>
    <row r="9" spans="1:13" x14ac:dyDescent="0.2">
      <c r="A9" s="208"/>
      <c r="B9" s="209"/>
      <c r="C9" s="203"/>
      <c r="D9" s="203"/>
      <c r="E9" s="209"/>
      <c r="F9" s="209"/>
      <c r="G9" s="210"/>
      <c r="H9" s="162"/>
      <c r="J9" s="424" t="s">
        <v>148</v>
      </c>
      <c r="K9" s="425"/>
      <c r="L9" s="204">
        <f>ROUND((M3-L7)*0.84,0)</f>
        <v>0</v>
      </c>
      <c r="M9" s="237"/>
    </row>
    <row r="10" spans="1:13" x14ac:dyDescent="0.2">
      <c r="A10" s="439" t="s">
        <v>203</v>
      </c>
      <c r="B10" s="440"/>
      <c r="C10" s="227">
        <f>ROUND(PRODUCT(C1,D5,10),0)</f>
        <v>0</v>
      </c>
      <c r="D10" s="204">
        <f>ROUND(PRODUCT(C1,D5,10),0)</f>
        <v>0</v>
      </c>
      <c r="E10" s="209"/>
      <c r="F10" s="209"/>
      <c r="G10" s="210"/>
      <c r="H10" s="162"/>
      <c r="I10" s="162"/>
      <c r="J10" s="230" t="s">
        <v>229</v>
      </c>
      <c r="K10" s="218"/>
      <c r="L10" s="204">
        <f>ROUND((M3-L7)*0.16,0)</f>
        <v>0</v>
      </c>
      <c r="M10" s="236">
        <f>ROUND((M3-M7)*0.273,0)</f>
        <v>0</v>
      </c>
    </row>
    <row r="11" spans="1:13" x14ac:dyDescent="0.2">
      <c r="A11" s="439" t="s">
        <v>223</v>
      </c>
      <c r="B11" s="440"/>
      <c r="C11" s="213"/>
      <c r="D11" s="204">
        <f>ROUND((((PRODUCT(D3,G3))*0.7)/4)/0.4,0)</f>
        <v>0</v>
      </c>
      <c r="E11" s="209"/>
      <c r="F11" s="209"/>
      <c r="G11" s="210"/>
      <c r="H11" s="162"/>
      <c r="I11" s="162"/>
      <c r="J11" s="231"/>
      <c r="K11" s="219"/>
      <c r="L11" s="220"/>
      <c r="M11" s="238"/>
    </row>
    <row r="12" spans="1:13" x14ac:dyDescent="0.2">
      <c r="A12" s="439" t="s">
        <v>148</v>
      </c>
      <c r="B12" s="440"/>
      <c r="C12" s="227">
        <f>ROUND((((PRODUCT(D3,G3))*0.7)/4)/0.2,0)</f>
        <v>0</v>
      </c>
      <c r="D12" s="203"/>
      <c r="E12" s="209"/>
      <c r="F12" s="209"/>
      <c r="G12" s="210"/>
      <c r="H12" s="162"/>
      <c r="I12" s="162"/>
      <c r="J12" s="447" t="s">
        <v>113</v>
      </c>
      <c r="K12" s="448"/>
      <c r="L12" s="241" t="e">
        <f xml:space="preserve"> ROUND((PRODUCT(0.1,L7))/C1,1)</f>
        <v>#DIV/0!</v>
      </c>
      <c r="M12" s="242" t="e">
        <f xml:space="preserve"> ROUND((PRODUCT(0.1,M7))/C1,1)</f>
        <v>#DIV/0!</v>
      </c>
    </row>
    <row r="13" spans="1:13" ht="13.5" thickBot="1" x14ac:dyDescent="0.25">
      <c r="A13" s="235" t="s">
        <v>229</v>
      </c>
      <c r="B13" s="214"/>
      <c r="C13" s="227">
        <f>ROUND((((PRODUCT(D3,G3))*0.3)/9)/0.2,1)</f>
        <v>0</v>
      </c>
      <c r="D13" s="204">
        <f>ROUND((((PRODUCT(D3,G3))*0.3)/9)/0.2,1)</f>
        <v>0</v>
      </c>
      <c r="E13" s="209"/>
      <c r="F13" s="209"/>
      <c r="G13" s="210"/>
      <c r="H13" s="162"/>
      <c r="I13" s="210"/>
      <c r="J13" s="441"/>
      <c r="K13" s="442"/>
      <c r="L13" s="248" t="e">
        <f>ROUND(L7/10/6.26*M4/C1,0)</f>
        <v>#DIV/0!</v>
      </c>
      <c r="M13" s="249" t="e">
        <f>ROUND(M7/10/6.26*M4/C1,0)</f>
        <v>#DIV/0!</v>
      </c>
    </row>
    <row r="14" spans="1:13" ht="13.5" thickBot="1" x14ac:dyDescent="0.25">
      <c r="A14" s="443"/>
      <c r="B14" s="444"/>
      <c r="C14" s="445" t="e">
        <f>ROUND(C10/10/6.26*D3/C1,0)</f>
        <v>#DIV/0!</v>
      </c>
      <c r="D14" s="446"/>
      <c r="E14" s="209"/>
      <c r="F14" s="209"/>
      <c r="G14" s="210"/>
      <c r="H14" s="162"/>
      <c r="I14" s="162"/>
      <c r="J14" s="162"/>
      <c r="K14" s="162"/>
      <c r="L14" s="162"/>
    </row>
    <row r="15" spans="1:13" x14ac:dyDescent="0.2">
      <c r="A15" s="433" t="s">
        <v>383</v>
      </c>
      <c r="B15" s="434"/>
      <c r="C15" s="434"/>
      <c r="D15" s="434"/>
      <c r="E15" s="434"/>
      <c r="F15" s="434"/>
      <c r="G15" s="435"/>
      <c r="H15" s="162"/>
      <c r="I15" s="162"/>
      <c r="J15" s="205" t="s">
        <v>379</v>
      </c>
      <c r="K15" s="206"/>
      <c r="L15" s="243">
        <f>ROUND(((PRODUCT(C1,D5))*1000)/57.5,0)</f>
        <v>0</v>
      </c>
      <c r="M15" s="207"/>
    </row>
    <row r="16" spans="1:13" x14ac:dyDescent="0.2">
      <c r="A16" s="433"/>
      <c r="B16" s="434"/>
      <c r="C16" s="434"/>
      <c r="D16" s="434"/>
      <c r="E16" s="434"/>
      <c r="F16" s="434"/>
      <c r="G16" s="435"/>
      <c r="H16" s="162"/>
      <c r="I16" s="162"/>
      <c r="J16" s="208"/>
      <c r="K16" s="209"/>
      <c r="L16" s="209"/>
      <c r="M16" s="210"/>
    </row>
    <row r="17" spans="1:13" x14ac:dyDescent="0.2">
      <c r="A17" s="433"/>
      <c r="B17" s="434"/>
      <c r="C17" s="434"/>
      <c r="D17" s="434"/>
      <c r="E17" s="434"/>
      <c r="F17" s="434"/>
      <c r="G17" s="435"/>
      <c r="H17" s="162"/>
      <c r="I17" s="162"/>
      <c r="J17" s="211" t="s">
        <v>380</v>
      </c>
      <c r="K17" s="212"/>
      <c r="L17" s="212"/>
      <c r="M17" s="244">
        <f>ROUND(PRODUCT(L15,0.33),0)</f>
        <v>0</v>
      </c>
    </row>
    <row r="18" spans="1:13" x14ac:dyDescent="0.2">
      <c r="A18" s="433"/>
      <c r="B18" s="434"/>
      <c r="C18" s="434"/>
      <c r="D18" s="434"/>
      <c r="E18" s="434"/>
      <c r="F18" s="434"/>
      <c r="G18" s="435"/>
      <c r="H18" s="162"/>
      <c r="I18" s="162"/>
      <c r="J18" s="208"/>
      <c r="K18" s="209"/>
      <c r="L18" s="209"/>
      <c r="M18" s="210"/>
    </row>
    <row r="19" spans="1:13" ht="13.5" thickBot="1" x14ac:dyDescent="0.25">
      <c r="A19" s="436"/>
      <c r="B19" s="437"/>
      <c r="C19" s="437"/>
      <c r="D19" s="437"/>
      <c r="E19" s="437"/>
      <c r="F19" s="437"/>
      <c r="G19" s="438"/>
      <c r="H19" s="162"/>
      <c r="I19" s="162"/>
      <c r="J19" s="433" t="s">
        <v>381</v>
      </c>
      <c r="K19" s="434"/>
      <c r="L19" s="434"/>
      <c r="M19" s="435"/>
    </row>
    <row r="20" spans="1:13" x14ac:dyDescent="0.2">
      <c r="A20" s="162"/>
      <c r="B20" s="162"/>
      <c r="C20" s="162"/>
      <c r="D20" s="162"/>
      <c r="E20" s="162"/>
      <c r="F20" s="162"/>
      <c r="G20" s="162"/>
      <c r="H20" s="162"/>
      <c r="I20" s="162"/>
      <c r="J20" s="433"/>
      <c r="K20" s="434"/>
      <c r="L20" s="434"/>
      <c r="M20" s="435"/>
    </row>
    <row r="21" spans="1:13" ht="13.5" thickBot="1" x14ac:dyDescent="0.25">
      <c r="J21" s="436"/>
      <c r="K21" s="437"/>
      <c r="L21" s="437"/>
      <c r="M21" s="438"/>
    </row>
    <row r="22" spans="1:13" x14ac:dyDescent="0.2">
      <c r="A22" s="431" t="s">
        <v>386</v>
      </c>
      <c r="B22" s="432"/>
      <c r="C22" s="432"/>
      <c r="D22" s="232"/>
    </row>
    <row r="23" spans="1:13" x14ac:dyDescent="0.2">
      <c r="A23" s="427" t="s">
        <v>387</v>
      </c>
      <c r="B23" s="428"/>
      <c r="C23" s="428"/>
      <c r="D23" s="236" t="str">
        <f>PRODUCT(C1,3.8)&amp;" мл"</f>
        <v>0 мл</v>
      </c>
    </row>
    <row r="24" spans="1:13" x14ac:dyDescent="0.2">
      <c r="A24" s="427" t="s">
        <v>388</v>
      </c>
      <c r="B24" s="428"/>
      <c r="C24" s="428"/>
      <c r="D24" s="236" t="str">
        <f>PRODUCT(C1,1)&amp;" мл"</f>
        <v>0 мл</v>
      </c>
    </row>
    <row r="25" spans="1:13" x14ac:dyDescent="0.2">
      <c r="A25" s="427" t="s">
        <v>390</v>
      </c>
      <c r="B25" s="428"/>
      <c r="C25" s="428"/>
      <c r="D25" s="236" t="str">
        <f>PRODUCT(C1,0.4)&amp;" мл"</f>
        <v>0 мл</v>
      </c>
    </row>
    <row r="26" spans="1:13" ht="13.5" thickBot="1" x14ac:dyDescent="0.25">
      <c r="A26" s="429" t="s">
        <v>389</v>
      </c>
      <c r="B26" s="430"/>
      <c r="C26" s="430"/>
      <c r="D26" s="240" t="str">
        <f>PRODUCT(C1,30)&amp;" Ед"</f>
        <v>0 Ед</v>
      </c>
    </row>
    <row r="27" spans="1:13" x14ac:dyDescent="0.2">
      <c r="A27" s="426"/>
      <c r="B27" s="426"/>
    </row>
  </sheetData>
  <sheetProtection sheet="1" objects="1" scenarios="1"/>
  <mergeCells count="26">
    <mergeCell ref="A22:C22"/>
    <mergeCell ref="A15:G19"/>
    <mergeCell ref="J19:M21"/>
    <mergeCell ref="B5:C5"/>
    <mergeCell ref="A8:B8"/>
    <mergeCell ref="A10:B10"/>
    <mergeCell ref="A11:B11"/>
    <mergeCell ref="A12:B12"/>
    <mergeCell ref="J13:K13"/>
    <mergeCell ref="A14:B14"/>
    <mergeCell ref="C14:D14"/>
    <mergeCell ref="J9:K9"/>
    <mergeCell ref="J12:K12"/>
    <mergeCell ref="A27:B27"/>
    <mergeCell ref="A23:C23"/>
    <mergeCell ref="A24:C24"/>
    <mergeCell ref="A25:C25"/>
    <mergeCell ref="A26:C26"/>
    <mergeCell ref="A1:B1"/>
    <mergeCell ref="J1:M1"/>
    <mergeCell ref="J3:L3"/>
    <mergeCell ref="J7:K7"/>
    <mergeCell ref="J8:K8"/>
    <mergeCell ref="A3:C3"/>
    <mergeCell ref="E3:F3"/>
    <mergeCell ref="J4:L4"/>
  </mergeCells>
  <pageMargins left="0.7" right="0.7" top="0.75" bottom="0.75" header="0.3" footer="0.3"/>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tabColor indexed="11"/>
  </sheetPr>
  <dimension ref="A1:CG58"/>
  <sheetViews>
    <sheetView topLeftCell="K1" zoomScaleSheetLayoutView="85" workbookViewId="0">
      <selection activeCell="L2" sqref="L2:X2"/>
    </sheetView>
  </sheetViews>
  <sheetFormatPr defaultColWidth="3.140625" defaultRowHeight="16.5" customHeight="1" x14ac:dyDescent="0.2"/>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x14ac:dyDescent="0.25">
      <c r="T1" s="307" t="s">
        <v>393</v>
      </c>
      <c r="U1" s="307"/>
      <c r="V1" s="307"/>
      <c r="W1" s="307"/>
      <c r="X1" s="307"/>
      <c r="Y1" s="307"/>
      <c r="Z1" s="307"/>
      <c r="AA1" s="307"/>
      <c r="AB1" s="307"/>
      <c r="AC1" s="307"/>
      <c r="AD1" s="307"/>
      <c r="AE1" s="307"/>
      <c r="AF1" s="307"/>
      <c r="AG1" s="307"/>
      <c r="AH1" s="307"/>
      <c r="AI1" s="307"/>
      <c r="AJ1" s="307"/>
      <c r="AK1" s="307"/>
      <c r="AL1" s="307"/>
      <c r="AM1" s="307"/>
      <c r="AN1" s="307"/>
      <c r="AO1" s="307"/>
      <c r="AP1" s="307"/>
      <c r="AQ1" s="307"/>
      <c r="AR1" s="307"/>
      <c r="AS1" s="307"/>
      <c r="AT1" s="307"/>
      <c r="AU1" s="307"/>
      <c r="AV1" s="307"/>
      <c r="AW1" s="307"/>
      <c r="AX1" s="307"/>
      <c r="AY1" s="307"/>
      <c r="AZ1" s="22"/>
      <c r="BA1" s="308" t="s">
        <v>372</v>
      </c>
      <c r="BB1" s="308"/>
      <c r="BC1" s="308"/>
      <c r="BD1" s="308"/>
      <c r="BE1" s="308"/>
      <c r="BF1" s="308"/>
      <c r="BG1" s="308"/>
      <c r="BH1" s="308"/>
      <c r="BI1" s="308"/>
      <c r="BJ1" s="308"/>
      <c r="BK1" s="308"/>
      <c r="BL1" s="308"/>
      <c r="BM1" s="308"/>
      <c r="BN1" s="308"/>
      <c r="BO1" s="308"/>
      <c r="BP1" s="308"/>
      <c r="BQ1" s="308"/>
      <c r="BR1" s="308"/>
      <c r="BS1" s="308"/>
      <c r="BT1" s="308"/>
      <c r="BU1" s="308"/>
      <c r="BV1" s="308"/>
      <c r="BW1" s="308"/>
      <c r="BX1" s="308"/>
      <c r="BY1" s="308"/>
      <c r="BZ1" s="308"/>
      <c r="CA1" s="308"/>
      <c r="CB1" s="308"/>
      <c r="CC1" s="308"/>
      <c r="CD1" s="308"/>
      <c r="CE1" s="308"/>
      <c r="CF1" s="308"/>
      <c r="CG1" s="308"/>
    </row>
    <row r="2" spans="12:85" ht="16.5" customHeight="1" x14ac:dyDescent="0.25">
      <c r="L2" s="291" t="s">
        <v>28</v>
      </c>
      <c r="M2" s="291"/>
      <c r="N2" s="291"/>
      <c r="O2" s="291"/>
      <c r="P2" s="291"/>
      <c r="Q2" s="291"/>
      <c r="R2" s="291"/>
      <c r="S2" s="291"/>
      <c r="T2" s="291"/>
      <c r="U2" s="291"/>
      <c r="V2" s="291"/>
      <c r="W2" s="291"/>
      <c r="X2" s="291"/>
      <c r="Y2" s="309"/>
      <c r="Z2" s="309"/>
      <c r="AA2" s="309"/>
      <c r="AB2" s="309"/>
      <c r="AC2" s="309"/>
      <c r="AD2" s="309"/>
      <c r="AE2" s="294" t="s">
        <v>29</v>
      </c>
      <c r="AF2" s="294"/>
      <c r="AG2" s="294"/>
      <c r="AH2" s="294"/>
      <c r="AI2" s="294"/>
      <c r="AJ2" s="310"/>
      <c r="AK2" s="310"/>
      <c r="AL2" s="310"/>
      <c r="AM2" s="310"/>
      <c r="AN2" s="310"/>
      <c r="AO2" s="310"/>
      <c r="AP2" s="310"/>
      <c r="AQ2" s="310"/>
      <c r="AR2" s="310"/>
      <c r="AS2" s="310"/>
      <c r="AT2" s="310"/>
      <c r="AU2" s="310"/>
      <c r="AV2" s="310"/>
      <c r="AW2" s="296"/>
      <c r="AX2" s="296"/>
      <c r="AY2" s="296"/>
      <c r="AZ2" s="296"/>
      <c r="BA2" s="296"/>
      <c r="BB2" s="296"/>
      <c r="BC2" s="304"/>
      <c r="BD2" s="304"/>
      <c r="BE2" s="304"/>
      <c r="BF2" s="304"/>
      <c r="BG2" s="304"/>
      <c r="BH2" s="304"/>
      <c r="BI2" s="304"/>
      <c r="BJ2" s="311" t="s">
        <v>30</v>
      </c>
      <c r="BK2" s="311"/>
      <c r="BL2" s="311"/>
      <c r="BM2" s="311"/>
      <c r="BN2" s="311"/>
      <c r="BO2" s="311"/>
      <c r="BP2" s="311"/>
      <c r="BQ2" s="311"/>
      <c r="BR2" s="311"/>
      <c r="BS2" s="311"/>
      <c r="BT2" s="311"/>
      <c r="BU2" s="311"/>
      <c r="BV2" s="311"/>
      <c r="BW2" s="311"/>
      <c r="BX2" s="311"/>
      <c r="BY2" s="311"/>
      <c r="BZ2" s="311"/>
      <c r="CA2" s="311"/>
      <c r="CB2" s="311"/>
      <c r="CC2" s="311"/>
      <c r="CD2" s="311"/>
      <c r="CE2" s="311"/>
      <c r="CF2" s="311"/>
      <c r="CG2" s="311"/>
    </row>
    <row r="3" spans="12:85" ht="16.5" customHeight="1" x14ac:dyDescent="0.25">
      <c r="L3" s="291" t="s">
        <v>31</v>
      </c>
      <c r="M3" s="291"/>
      <c r="N3" s="291"/>
      <c r="O3" s="291"/>
      <c r="P3" s="291"/>
      <c r="Q3" s="291"/>
      <c r="R3" s="291"/>
      <c r="S3" s="291"/>
      <c r="T3" s="291"/>
      <c r="U3" s="291"/>
      <c r="V3" s="291"/>
      <c r="W3" s="291"/>
      <c r="X3" s="291"/>
      <c r="Y3" s="303"/>
      <c r="Z3" s="303"/>
      <c r="AA3" s="303"/>
      <c r="AB3" s="303"/>
      <c r="AC3" s="303"/>
      <c r="AD3" s="303"/>
      <c r="AE3" s="294" t="s">
        <v>32</v>
      </c>
      <c r="AF3" s="294"/>
      <c r="AG3" s="294"/>
      <c r="AH3" s="294"/>
      <c r="AI3" s="294"/>
      <c r="AJ3" s="295"/>
      <c r="AK3" s="295"/>
      <c r="AL3" s="295"/>
      <c r="AM3" s="295"/>
      <c r="AN3" s="295"/>
      <c r="AO3" s="295"/>
      <c r="AP3" s="295"/>
      <c r="AQ3" s="295"/>
      <c r="AR3" s="295"/>
      <c r="AS3" s="295"/>
      <c r="AT3" s="295"/>
      <c r="AU3" s="295"/>
      <c r="AV3" s="295"/>
      <c r="AW3" s="296" t="s">
        <v>371</v>
      </c>
      <c r="AX3" s="296"/>
      <c r="AY3" s="296"/>
      <c r="AZ3" s="296"/>
      <c r="BA3" s="296"/>
      <c r="BB3" s="296"/>
      <c r="BC3" s="304"/>
      <c r="BD3" s="304"/>
      <c r="BE3" s="304"/>
      <c r="BF3" s="304"/>
      <c r="BG3" s="304"/>
      <c r="BH3" s="304"/>
      <c r="BI3" s="304"/>
      <c r="BJ3" s="305"/>
      <c r="BK3" s="305"/>
      <c r="BL3" s="305"/>
      <c r="BM3" s="305"/>
      <c r="BN3" s="305"/>
      <c r="BO3" s="305"/>
      <c r="BP3" s="305"/>
      <c r="BQ3" s="305"/>
      <c r="BR3" s="305"/>
      <c r="BS3" s="305"/>
      <c r="BT3" s="305"/>
      <c r="BU3" s="305"/>
      <c r="BV3" s="305"/>
      <c r="BW3" s="305"/>
      <c r="BX3" s="305"/>
      <c r="BY3" s="305"/>
      <c r="BZ3" s="305"/>
      <c r="CA3" s="305"/>
      <c r="CB3" s="305"/>
      <c r="CC3" s="305"/>
      <c r="CD3" s="305"/>
      <c r="CE3" s="305"/>
      <c r="CF3" s="305"/>
      <c r="CG3" s="305"/>
    </row>
    <row r="4" spans="12:85" ht="16.5" customHeight="1" x14ac:dyDescent="0.25">
      <c r="L4" s="291" t="s">
        <v>33</v>
      </c>
      <c r="M4" s="291"/>
      <c r="N4" s="291"/>
      <c r="O4" s="291"/>
      <c r="P4" s="291"/>
      <c r="Q4" s="291"/>
      <c r="R4" s="291"/>
      <c r="S4" s="291"/>
      <c r="T4" s="291"/>
      <c r="U4" s="291"/>
      <c r="V4" s="291"/>
      <c r="W4" s="291"/>
      <c r="X4" s="291"/>
      <c r="Y4" s="292">
        <f>Памятка!I16</f>
        <v>0</v>
      </c>
      <c r="Z4" s="292"/>
      <c r="AA4" s="23" t="s">
        <v>34</v>
      </c>
      <c r="AB4" s="293">
        <f>Памятка!I17</f>
        <v>0</v>
      </c>
      <c r="AC4" s="293"/>
      <c r="AD4" s="293"/>
      <c r="AE4" s="294" t="s">
        <v>35</v>
      </c>
      <c r="AF4" s="294"/>
      <c r="AG4" s="294"/>
      <c r="AH4" s="294"/>
      <c r="AI4" s="294"/>
      <c r="AJ4" s="295"/>
      <c r="AK4" s="295"/>
      <c r="AL4" s="295"/>
      <c r="AM4" s="295"/>
      <c r="AN4" s="295"/>
      <c r="AO4" s="295"/>
      <c r="AP4" s="295"/>
      <c r="AQ4" s="295"/>
      <c r="AR4" s="295"/>
      <c r="AS4" s="295"/>
      <c r="AT4" s="295"/>
      <c r="AU4" s="295"/>
      <c r="AV4" s="295"/>
      <c r="AW4" s="296" t="s">
        <v>36</v>
      </c>
      <c r="AX4" s="296"/>
      <c r="AY4" s="296"/>
      <c r="AZ4" s="296"/>
      <c r="BA4" s="296"/>
      <c r="BB4" s="296"/>
      <c r="BC4" s="306"/>
      <c r="BD4" s="306"/>
      <c r="BE4" s="306"/>
      <c r="BF4" s="306"/>
      <c r="BG4" s="306"/>
      <c r="BH4" s="306"/>
      <c r="BI4" s="306"/>
      <c r="BJ4" s="305" t="s">
        <v>37</v>
      </c>
      <c r="BK4" s="305"/>
      <c r="BL4" s="305"/>
      <c r="BM4" s="305"/>
      <c r="BN4" s="305"/>
      <c r="BO4" s="305"/>
      <c r="BP4" s="305"/>
      <c r="BQ4" s="305"/>
      <c r="BR4" s="305"/>
      <c r="BS4" s="305"/>
      <c r="BT4" s="305"/>
      <c r="BU4" s="305"/>
      <c r="BV4" s="305"/>
      <c r="BW4" s="305"/>
      <c r="BX4" s="305"/>
      <c r="BY4" s="305"/>
      <c r="BZ4" s="305"/>
      <c r="CA4" s="305"/>
      <c r="CB4" s="305"/>
      <c r="CC4" s="305"/>
      <c r="CD4" s="305"/>
      <c r="CE4" s="305"/>
      <c r="CF4" s="305"/>
      <c r="CG4" s="305"/>
    </row>
    <row r="5" spans="12:85" ht="16.5" customHeight="1" x14ac:dyDescent="0.25">
      <c r="L5" s="302" t="s">
        <v>38</v>
      </c>
      <c r="M5" s="302"/>
      <c r="N5" s="302"/>
      <c r="O5" s="302"/>
      <c r="P5" s="302"/>
      <c r="Q5" s="302"/>
      <c r="R5" s="302"/>
      <c r="S5" s="302"/>
      <c r="T5" s="302"/>
      <c r="U5" s="302"/>
      <c r="V5" s="302"/>
      <c r="W5" s="302"/>
      <c r="X5" s="302"/>
      <c r="Y5" s="297" t="str">
        <f>Памятка!L4</f>
        <v>-</v>
      </c>
      <c r="Z5" s="297"/>
      <c r="AA5" s="297"/>
      <c r="AB5" s="297"/>
      <c r="AC5" s="297"/>
      <c r="AD5" s="297"/>
      <c r="AE5" s="298" t="s">
        <v>39</v>
      </c>
      <c r="AF5" s="298"/>
      <c r="AG5" s="298"/>
      <c r="AH5" s="298"/>
      <c r="AI5" s="298"/>
      <c r="AJ5" s="299"/>
      <c r="AK5" s="299"/>
      <c r="AL5" s="299"/>
      <c r="AM5" s="299"/>
      <c r="AN5" s="299"/>
      <c r="AO5" s="299"/>
      <c r="AP5" s="299"/>
      <c r="AQ5" s="299"/>
      <c r="AR5" s="299"/>
      <c r="AS5" s="299"/>
      <c r="AT5" s="299"/>
      <c r="AU5" s="299"/>
      <c r="AV5" s="299"/>
      <c r="AW5" s="300" t="s">
        <v>40</v>
      </c>
      <c r="AX5" s="300"/>
      <c r="AY5" s="300"/>
      <c r="AZ5" s="300"/>
      <c r="BA5" s="300"/>
      <c r="BB5" s="300"/>
      <c r="BC5" s="301"/>
      <c r="BD5" s="301"/>
      <c r="BE5" s="301"/>
      <c r="BF5" s="301"/>
      <c r="BG5" s="301"/>
      <c r="BH5" s="301"/>
      <c r="BI5" s="301"/>
      <c r="BJ5" s="290" t="s">
        <v>41</v>
      </c>
      <c r="BK5" s="290"/>
      <c r="BL5" s="290"/>
      <c r="BM5" s="290"/>
      <c r="BN5" s="290"/>
      <c r="BO5" s="290"/>
      <c r="BP5" s="290"/>
      <c r="BQ5" s="290"/>
      <c r="BR5" s="290"/>
      <c r="BS5" s="290"/>
      <c r="BT5" s="290"/>
      <c r="BU5" s="290"/>
      <c r="BV5" s="290"/>
      <c r="BW5" s="290"/>
      <c r="BX5" s="290"/>
      <c r="BY5" s="290"/>
      <c r="BZ5" s="290"/>
      <c r="CA5" s="290"/>
      <c r="CB5" s="290"/>
      <c r="CC5" s="290"/>
      <c r="CD5" s="290"/>
      <c r="CE5" s="290"/>
      <c r="CF5" s="290"/>
      <c r="CG5" s="290"/>
    </row>
    <row r="6" spans="12:85" ht="16.5" customHeight="1" x14ac:dyDescent="0.25">
      <c r="L6" s="24" t="s">
        <v>42</v>
      </c>
      <c r="M6" s="25"/>
      <c r="N6" s="25"/>
      <c r="O6" s="25"/>
      <c r="P6" s="25"/>
      <c r="Q6" s="25"/>
      <c r="R6" s="25"/>
      <c r="S6" s="25"/>
      <c r="T6" s="287" t="s">
        <v>43</v>
      </c>
      <c r="U6" s="287"/>
      <c r="V6" s="287"/>
      <c r="W6" s="287"/>
      <c r="X6" s="287"/>
      <c r="Y6" s="287"/>
      <c r="Z6" s="287"/>
      <c r="AA6" s="287"/>
      <c r="AB6" s="287"/>
      <c r="AC6" s="287"/>
      <c r="AD6" s="287"/>
      <c r="AE6" s="287"/>
      <c r="AF6" s="287"/>
      <c r="AG6" s="287"/>
      <c r="AH6" s="287"/>
      <c r="AI6" s="287"/>
      <c r="AJ6" s="287"/>
      <c r="AK6" s="287"/>
      <c r="AL6" s="287"/>
      <c r="AM6" s="26">
        <v>15</v>
      </c>
      <c r="AN6" s="27">
        <f t="shared" ref="AN6:BR6" si="0">IF(AM6=0,0,IF(AM6=24,1,IF(AM6&lt;24,AM6+1)))</f>
        <v>16</v>
      </c>
      <c r="AO6" s="28">
        <f t="shared" si="0"/>
        <v>17</v>
      </c>
      <c r="AP6" s="28">
        <f t="shared" si="0"/>
        <v>18</v>
      </c>
      <c r="AQ6" s="27">
        <f t="shared" si="0"/>
        <v>19</v>
      </c>
      <c r="AR6" s="28">
        <f t="shared" si="0"/>
        <v>20</v>
      </c>
      <c r="AS6" s="27">
        <f t="shared" si="0"/>
        <v>21</v>
      </c>
      <c r="AT6" s="27">
        <f t="shared" si="0"/>
        <v>22</v>
      </c>
      <c r="AU6" s="27">
        <f t="shared" si="0"/>
        <v>23</v>
      </c>
      <c r="AV6" s="27">
        <f t="shared" si="0"/>
        <v>24</v>
      </c>
      <c r="AW6" s="28">
        <f t="shared" si="0"/>
        <v>1</v>
      </c>
      <c r="AX6" s="28">
        <f t="shared" si="0"/>
        <v>2</v>
      </c>
      <c r="AY6" s="27">
        <f t="shared" si="0"/>
        <v>3</v>
      </c>
      <c r="AZ6" s="28">
        <f t="shared" si="0"/>
        <v>4</v>
      </c>
      <c r="BA6" s="27">
        <f t="shared" si="0"/>
        <v>5</v>
      </c>
      <c r="BB6" s="27">
        <f t="shared" si="0"/>
        <v>6</v>
      </c>
      <c r="BC6" s="27">
        <f t="shared" si="0"/>
        <v>7</v>
      </c>
      <c r="BD6" s="27">
        <f t="shared" si="0"/>
        <v>8</v>
      </c>
      <c r="BE6" s="28">
        <f t="shared" si="0"/>
        <v>9</v>
      </c>
      <c r="BF6" s="28">
        <f t="shared" si="0"/>
        <v>10</v>
      </c>
      <c r="BG6" s="27">
        <f t="shared" si="0"/>
        <v>11</v>
      </c>
      <c r="BH6" s="28">
        <f t="shared" si="0"/>
        <v>12</v>
      </c>
      <c r="BI6" s="27">
        <f t="shared" si="0"/>
        <v>13</v>
      </c>
      <c r="BJ6" s="27">
        <f t="shared" si="0"/>
        <v>14</v>
      </c>
      <c r="BK6" s="27">
        <f t="shared" si="0"/>
        <v>15</v>
      </c>
      <c r="BL6" s="27">
        <f t="shared" si="0"/>
        <v>16</v>
      </c>
      <c r="BM6" s="28">
        <f t="shared" si="0"/>
        <v>17</v>
      </c>
      <c r="BN6" s="28">
        <f t="shared" si="0"/>
        <v>18</v>
      </c>
      <c r="BO6" s="27">
        <f t="shared" si="0"/>
        <v>19</v>
      </c>
      <c r="BP6" s="28">
        <f t="shared" si="0"/>
        <v>20</v>
      </c>
      <c r="BQ6" s="27">
        <f t="shared" si="0"/>
        <v>21</v>
      </c>
      <c r="BR6" s="27">
        <f t="shared" si="0"/>
        <v>22</v>
      </c>
      <c r="BS6" s="288" t="s">
        <v>44</v>
      </c>
      <c r="BT6" s="288"/>
      <c r="BU6" s="288"/>
      <c r="BV6" s="288"/>
      <c r="BW6" s="288"/>
      <c r="BX6" s="29" t="s">
        <v>45</v>
      </c>
      <c r="BY6" s="30"/>
      <c r="BZ6" s="29"/>
      <c r="CA6" s="31" t="s">
        <v>46</v>
      </c>
      <c r="CB6" s="31"/>
      <c r="CC6" s="32"/>
      <c r="CD6" s="289" t="s">
        <v>47</v>
      </c>
      <c r="CE6" s="289"/>
      <c r="CF6" s="289"/>
      <c r="CG6" s="289"/>
    </row>
    <row r="7" spans="12:85" ht="16.5" customHeight="1" x14ac:dyDescent="0.25">
      <c r="L7" s="33"/>
      <c r="M7" s="34"/>
      <c r="N7" s="35"/>
      <c r="O7" s="35"/>
      <c r="P7" s="35"/>
      <c r="Q7" s="35"/>
      <c r="R7" s="35"/>
      <c r="S7" s="35"/>
      <c r="T7" s="275"/>
      <c r="U7" s="275"/>
      <c r="V7" s="275"/>
      <c r="W7" s="275"/>
      <c r="X7" s="275"/>
      <c r="Y7" s="275"/>
      <c r="Z7" s="275"/>
      <c r="AA7" s="275"/>
      <c r="AB7" s="275"/>
      <c r="AC7" s="275"/>
      <c r="AD7" s="275"/>
      <c r="AE7" s="275"/>
      <c r="AF7" s="275"/>
      <c r="AG7" s="275"/>
      <c r="AH7" s="275"/>
      <c r="AI7" s="275"/>
      <c r="AJ7" s="275"/>
      <c r="AK7" s="275"/>
      <c r="AL7" s="275"/>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280" t="s">
        <v>48</v>
      </c>
      <c r="BT7" s="280"/>
      <c r="BU7" s="280"/>
      <c r="BV7" s="280"/>
      <c r="BW7" s="280"/>
      <c r="BX7" s="281" t="str">
        <f>ROUND(энтерально!J2,0)&amp;"г/с"</f>
        <v>0г/с</v>
      </c>
      <c r="BY7" s="281"/>
      <c r="BZ7" s="281"/>
      <c r="CA7" s="282" t="str">
        <f>ROUND(парентерально!I22,0)&amp;"г/с"</f>
        <v>0г/с</v>
      </c>
      <c r="CB7" s="282"/>
      <c r="CC7" s="44"/>
      <c r="CD7" s="286" t="str">
        <f>ROUND(парентерально!I31,0)&amp;IF(BC3&gt;0,"-"&amp;ROUND(парентерально!I31/BC3,1)&amp;"г/кг/с","")</f>
        <v>0</v>
      </c>
      <c r="CE7" s="286"/>
      <c r="CF7" s="286"/>
      <c r="CG7" s="286"/>
    </row>
    <row r="8" spans="12:85" ht="16.5" customHeight="1" x14ac:dyDescent="0.25">
      <c r="L8" s="45"/>
      <c r="M8" s="46"/>
      <c r="N8" s="47"/>
      <c r="O8" s="47"/>
      <c r="P8" s="47"/>
      <c r="Q8" s="47"/>
      <c r="R8" s="47"/>
      <c r="S8" s="47"/>
      <c r="T8" s="275"/>
      <c r="U8" s="275"/>
      <c r="V8" s="275"/>
      <c r="W8" s="275"/>
      <c r="X8" s="275"/>
      <c r="Y8" s="275"/>
      <c r="Z8" s="275"/>
      <c r="AA8" s="275"/>
      <c r="AB8" s="275"/>
      <c r="AC8" s="275"/>
      <c r="AD8" s="275"/>
      <c r="AE8" s="275"/>
      <c r="AF8" s="275"/>
      <c r="AG8" s="275"/>
      <c r="AH8" s="275"/>
      <c r="AI8" s="275"/>
      <c r="AJ8" s="275"/>
      <c r="AK8" s="275"/>
      <c r="AL8" s="275"/>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280" t="s">
        <v>49</v>
      </c>
      <c r="BT8" s="280"/>
      <c r="BU8" s="280"/>
      <c r="BV8" s="280"/>
      <c r="BW8" s="280"/>
      <c r="BX8" s="281" t="str">
        <f>ROUND(энтерально!J3,0)&amp;"г/с"</f>
        <v>0г/с</v>
      </c>
      <c r="BY8" s="281"/>
      <c r="BZ8" s="281"/>
      <c r="CA8" s="282" t="str">
        <f>ROUND(парентерально!I23,0)&amp;"г/с"</f>
        <v>0г/с</v>
      </c>
      <c r="CB8" s="282"/>
      <c r="CC8" s="44"/>
      <c r="CD8" s="286" t="str">
        <f>ROUND(парентерально!I32,0)&amp;IF(BC3&gt;0,"-"&amp;ROUND(парентерально!I32/BC3,1)&amp;"г/кг/с","")</f>
        <v>0</v>
      </c>
      <c r="CE8" s="286"/>
      <c r="CF8" s="286"/>
      <c r="CG8" s="286"/>
    </row>
    <row r="9" spans="12:85" ht="16.5" customHeight="1" x14ac:dyDescent="0.25">
      <c r="L9" s="45"/>
      <c r="M9" s="46"/>
      <c r="N9" s="47"/>
      <c r="O9" s="47"/>
      <c r="P9" s="47"/>
      <c r="Q9" s="47"/>
      <c r="R9" s="47"/>
      <c r="S9" s="47"/>
      <c r="T9" s="275"/>
      <c r="U9" s="275"/>
      <c r="V9" s="275"/>
      <c r="W9" s="275"/>
      <c r="X9" s="275"/>
      <c r="Y9" s="275"/>
      <c r="Z9" s="275"/>
      <c r="AA9" s="275"/>
      <c r="AB9" s="275"/>
      <c r="AC9" s="275"/>
      <c r="AD9" s="275"/>
      <c r="AE9" s="275"/>
      <c r="AF9" s="275"/>
      <c r="AG9" s="275"/>
      <c r="AH9" s="275"/>
      <c r="AI9" s="275"/>
      <c r="AJ9" s="275"/>
      <c r="AK9" s="275"/>
      <c r="AL9" s="275"/>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280" t="s">
        <v>50</v>
      </c>
      <c r="BT9" s="280"/>
      <c r="BU9" s="280"/>
      <c r="BV9" s="280"/>
      <c r="BW9" s="280"/>
      <c r="BX9" s="281" t="str">
        <f>ROUND(энтерально!J4,0)&amp;"г/с"</f>
        <v>0г/с</v>
      </c>
      <c r="BY9" s="281"/>
      <c r="BZ9" s="281"/>
      <c r="CA9" s="282" t="str">
        <f>ROUND(парентерально!I24,0)&amp;"г/с"</f>
        <v>0г/с</v>
      </c>
      <c r="CB9" s="282"/>
      <c r="CC9" s="44"/>
      <c r="CD9" s="286" t="str">
        <f>ROUND(парентерально!I33,0)&amp;IF(BC3&gt;0,"-"&amp;ROUND(парентерально!I33/BC3,1)&amp;"г/кг/с","")</f>
        <v>0</v>
      </c>
      <c r="CE9" s="286"/>
      <c r="CF9" s="286"/>
      <c r="CG9" s="286"/>
    </row>
    <row r="10" spans="12:85" ht="16.5" customHeight="1" x14ac:dyDescent="0.25">
      <c r="L10" s="45"/>
      <c r="M10" s="46"/>
      <c r="N10" s="47"/>
      <c r="O10" s="47"/>
      <c r="P10" s="47"/>
      <c r="Q10" s="47"/>
      <c r="R10" s="47"/>
      <c r="S10" s="47"/>
      <c r="T10" s="275"/>
      <c r="U10" s="275"/>
      <c r="V10" s="275"/>
      <c r="W10" s="275"/>
      <c r="X10" s="275"/>
      <c r="Y10" s="275"/>
      <c r="Z10" s="275"/>
      <c r="AA10" s="275"/>
      <c r="AB10" s="275"/>
      <c r="AC10" s="275"/>
      <c r="AD10" s="275"/>
      <c r="AE10" s="275"/>
      <c r="AF10" s="275"/>
      <c r="AG10" s="275"/>
      <c r="AH10" s="275"/>
      <c r="AI10" s="275"/>
      <c r="AJ10" s="275"/>
      <c r="AK10" s="275"/>
      <c r="AL10" s="275"/>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280" t="s">
        <v>51</v>
      </c>
      <c r="BT10" s="280"/>
      <c r="BU10" s="280"/>
      <c r="BV10" s="280"/>
      <c r="BW10" s="280"/>
      <c r="BX10" s="281" t="str">
        <f>ROUND(энтерально!J5,0)&amp;"кк/с"</f>
        <v>0кк/с</v>
      </c>
      <c r="BY10" s="281"/>
      <c r="BZ10" s="281"/>
      <c r="CA10" s="282" t="str">
        <f>ROUND(парентерально!I25,0)&amp;"кк/с"</f>
        <v>0кк/с</v>
      </c>
      <c r="CB10" s="282"/>
      <c r="CC10" s="44"/>
      <c r="CD10" s="286" t="str">
        <f>ROUND(парентерально!I34,0)&amp;IF(BC3&gt;0,"-"&amp;ROUND(парентерально!I34/BC3,1)&amp;"кк/кг/с","")</f>
        <v>0</v>
      </c>
      <c r="CE10" s="286"/>
      <c r="CF10" s="286"/>
      <c r="CG10" s="286"/>
    </row>
    <row r="11" spans="12:85" ht="16.5" customHeight="1" x14ac:dyDescent="0.25">
      <c r="L11" s="45"/>
      <c r="M11" s="46"/>
      <c r="N11" s="47"/>
      <c r="O11" s="47"/>
      <c r="P11" s="47"/>
      <c r="Q11" s="47"/>
      <c r="R11" s="47"/>
      <c r="S11" s="47"/>
      <c r="T11" s="275"/>
      <c r="U11" s="275"/>
      <c r="V11" s="275"/>
      <c r="W11" s="275"/>
      <c r="X11" s="275"/>
      <c r="Y11" s="275"/>
      <c r="Z11" s="275"/>
      <c r="AA11" s="275"/>
      <c r="AB11" s="275"/>
      <c r="AC11" s="275"/>
      <c r="AD11" s="275"/>
      <c r="AE11" s="275"/>
      <c r="AF11" s="275"/>
      <c r="AG11" s="275"/>
      <c r="AH11" s="275"/>
      <c r="AI11" s="275"/>
      <c r="AJ11" s="275"/>
      <c r="AK11" s="275"/>
      <c r="AL11" s="275"/>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280" t="s">
        <v>52</v>
      </c>
      <c r="BT11" s="280"/>
      <c r="BU11" s="280"/>
      <c r="BV11" s="280"/>
      <c r="BW11" s="280"/>
      <c r="BX11" s="281">
        <f>энтерально!J7</f>
        <v>0</v>
      </c>
      <c r="BY11" s="281"/>
      <c r="BZ11" s="281"/>
      <c r="CA11" s="282">
        <f>парентерально!I26</f>
        <v>0</v>
      </c>
      <c r="CB11" s="282"/>
      <c r="CC11" s="44"/>
      <c r="CD11" s="282">
        <f>парентерально!I35</f>
        <v>0</v>
      </c>
      <c r="CE11" s="282"/>
      <c r="CF11" s="282"/>
      <c r="CG11" s="282"/>
    </row>
    <row r="12" spans="12:85" ht="16.5" customHeight="1" x14ac:dyDescent="0.25">
      <c r="L12" s="45"/>
      <c r="M12" s="46"/>
      <c r="N12" s="47"/>
      <c r="O12" s="47"/>
      <c r="P12" s="47"/>
      <c r="Q12" s="47"/>
      <c r="R12" s="47"/>
      <c r="S12" s="47"/>
      <c r="T12" s="275"/>
      <c r="U12" s="275"/>
      <c r="V12" s="275"/>
      <c r="W12" s="275"/>
      <c r="X12" s="275"/>
      <c r="Y12" s="275"/>
      <c r="Z12" s="275"/>
      <c r="AA12" s="275"/>
      <c r="AB12" s="275"/>
      <c r="AC12" s="275"/>
      <c r="AD12" s="275"/>
      <c r="AE12" s="275"/>
      <c r="AF12" s="275"/>
      <c r="AG12" s="275"/>
      <c r="AH12" s="275"/>
      <c r="AI12" s="275"/>
      <c r="AJ12" s="275"/>
      <c r="AK12" s="275"/>
      <c r="AL12" s="275"/>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283"/>
      <c r="BT12" s="283"/>
      <c r="BU12" s="283"/>
      <c r="BV12" s="283"/>
      <c r="BW12" s="283"/>
      <c r="BX12" s="284"/>
      <c r="BY12" s="284"/>
      <c r="BZ12" s="284"/>
      <c r="CA12" s="284"/>
      <c r="CB12" s="284"/>
      <c r="CC12" s="284"/>
      <c r="CD12" s="284"/>
      <c r="CE12" s="284"/>
      <c r="CF12" s="284"/>
      <c r="CG12" s="284"/>
    </row>
    <row r="13" spans="12:85" ht="16.5" customHeight="1" x14ac:dyDescent="0.25">
      <c r="L13" s="45"/>
      <c r="M13" s="46"/>
      <c r="N13" s="47"/>
      <c r="O13" s="47"/>
      <c r="P13" s="47"/>
      <c r="Q13" s="47"/>
      <c r="R13" s="47"/>
      <c r="S13" s="47"/>
      <c r="T13" s="275"/>
      <c r="U13" s="275"/>
      <c r="V13" s="275"/>
      <c r="W13" s="275"/>
      <c r="X13" s="275"/>
      <c r="Y13" s="275"/>
      <c r="Z13" s="275"/>
      <c r="AA13" s="275"/>
      <c r="AB13" s="275"/>
      <c r="AC13" s="275"/>
      <c r="AD13" s="275"/>
      <c r="AE13" s="275"/>
      <c r="AF13" s="275"/>
      <c r="AG13" s="275"/>
      <c r="AH13" s="275"/>
      <c r="AI13" s="275"/>
      <c r="AJ13" s="275"/>
      <c r="AK13" s="275"/>
      <c r="AL13" s="275"/>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285"/>
      <c r="BT13" s="285"/>
      <c r="BU13" s="285"/>
      <c r="BV13" s="285"/>
      <c r="BW13" s="285"/>
      <c r="BX13" s="284"/>
      <c r="BY13" s="284"/>
      <c r="BZ13" s="284"/>
      <c r="CA13" s="284"/>
      <c r="CB13" s="284"/>
      <c r="CC13" s="284"/>
      <c r="CD13" s="284"/>
      <c r="CE13" s="284"/>
      <c r="CF13" s="284"/>
      <c r="CG13" s="284"/>
    </row>
    <row r="14" spans="12:85" ht="16.5" customHeight="1" x14ac:dyDescent="0.25">
      <c r="L14" s="45"/>
      <c r="M14" s="46"/>
      <c r="N14" s="47"/>
      <c r="O14" s="47"/>
      <c r="P14" s="47"/>
      <c r="Q14" s="47"/>
      <c r="R14" s="47"/>
      <c r="S14" s="47"/>
      <c r="T14" s="275"/>
      <c r="U14" s="275"/>
      <c r="V14" s="275"/>
      <c r="W14" s="275"/>
      <c r="X14" s="275"/>
      <c r="Y14" s="275"/>
      <c r="Z14" s="275"/>
      <c r="AA14" s="275"/>
      <c r="AB14" s="275"/>
      <c r="AC14" s="275"/>
      <c r="AD14" s="275"/>
      <c r="AE14" s="275"/>
      <c r="AF14" s="275"/>
      <c r="AG14" s="275"/>
      <c r="AH14" s="275"/>
      <c r="AI14" s="275"/>
      <c r="AJ14" s="275"/>
      <c r="AK14" s="275"/>
      <c r="AL14" s="275"/>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268" t="s">
        <v>53</v>
      </c>
      <c r="BT14" s="268"/>
      <c r="BU14" s="268"/>
      <c r="BV14" s="268"/>
      <c r="BW14" s="268"/>
      <c r="BX14" s="268"/>
      <c r="BY14" s="268"/>
      <c r="BZ14" s="268"/>
      <c r="CA14" s="268"/>
      <c r="CB14" s="279" t="s">
        <v>54</v>
      </c>
      <c r="CC14" s="279"/>
      <c r="CD14" s="279"/>
      <c r="CE14" s="279"/>
      <c r="CF14" s="279"/>
      <c r="CG14" s="279"/>
    </row>
    <row r="15" spans="12:85" ht="16.5" customHeight="1" x14ac:dyDescent="0.25">
      <c r="L15" s="45"/>
      <c r="M15" s="65"/>
      <c r="N15" s="66"/>
      <c r="O15" s="66"/>
      <c r="P15" s="66"/>
      <c r="Q15" s="66"/>
      <c r="R15" s="66"/>
      <c r="S15" s="66"/>
      <c r="T15" s="275"/>
      <c r="U15" s="275"/>
      <c r="V15" s="275"/>
      <c r="W15" s="275"/>
      <c r="X15" s="275"/>
      <c r="Y15" s="275"/>
      <c r="Z15" s="275"/>
      <c r="AA15" s="275"/>
      <c r="AB15" s="275"/>
      <c r="AC15" s="275"/>
      <c r="AD15" s="275"/>
      <c r="AE15" s="275"/>
      <c r="AF15" s="275"/>
      <c r="AG15" s="275"/>
      <c r="AH15" s="275"/>
      <c r="AI15" s="275"/>
      <c r="AJ15" s="275"/>
      <c r="AK15" s="275"/>
      <c r="AL15" s="275"/>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268"/>
      <c r="BT15" s="268"/>
      <c r="BU15" s="268"/>
      <c r="BV15" s="268"/>
      <c r="BW15" s="268"/>
      <c r="BX15" s="268"/>
      <c r="BY15" s="268"/>
      <c r="BZ15" s="268"/>
      <c r="CA15" s="268"/>
      <c r="CB15" s="279"/>
      <c r="CC15" s="279"/>
      <c r="CD15" s="279"/>
      <c r="CE15" s="279"/>
      <c r="CF15" s="279"/>
      <c r="CG15" s="279"/>
    </row>
    <row r="16" spans="12:85" ht="16.5" customHeight="1" x14ac:dyDescent="0.25">
      <c r="L16" s="45"/>
      <c r="M16" s="67"/>
      <c r="N16" s="68"/>
      <c r="O16" s="68"/>
      <c r="P16" s="68"/>
      <c r="Q16" s="68"/>
      <c r="R16" s="68"/>
      <c r="S16" s="68"/>
      <c r="T16" s="275"/>
      <c r="U16" s="275"/>
      <c r="V16" s="275"/>
      <c r="W16" s="275"/>
      <c r="X16" s="275"/>
      <c r="Y16" s="275"/>
      <c r="Z16" s="275"/>
      <c r="AA16" s="275"/>
      <c r="AB16" s="275"/>
      <c r="AC16" s="275"/>
      <c r="AD16" s="275"/>
      <c r="AE16" s="275"/>
      <c r="AF16" s="275"/>
      <c r="AG16" s="275"/>
      <c r="AH16" s="275"/>
      <c r="AI16" s="275"/>
      <c r="AJ16" s="275"/>
      <c r="AK16" s="275"/>
      <c r="AL16" s="275"/>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260" t="s">
        <v>55</v>
      </c>
      <c r="BT16" s="260"/>
      <c r="BU16" s="260"/>
      <c r="BV16" s="260"/>
      <c r="BW16" s="260"/>
      <c r="BX16" s="260"/>
      <c r="BY16" s="260"/>
      <c r="BZ16" s="260"/>
      <c r="CA16" s="260"/>
      <c r="CB16" s="253"/>
      <c r="CC16" s="253"/>
      <c r="CD16" s="253"/>
      <c r="CE16" s="253"/>
      <c r="CF16" s="267"/>
      <c r="CG16" s="267"/>
    </row>
    <row r="17" spans="12:85" ht="16.5" customHeight="1" x14ac:dyDescent="0.25">
      <c r="L17" s="45"/>
      <c r="M17" s="67"/>
      <c r="N17" s="68"/>
      <c r="O17" s="68"/>
      <c r="P17" s="68"/>
      <c r="Q17" s="68"/>
      <c r="R17" s="68"/>
      <c r="S17" s="68"/>
      <c r="T17" s="275"/>
      <c r="U17" s="275"/>
      <c r="V17" s="275"/>
      <c r="W17" s="275"/>
      <c r="X17" s="275"/>
      <c r="Y17" s="275"/>
      <c r="Z17" s="275"/>
      <c r="AA17" s="275"/>
      <c r="AB17" s="275"/>
      <c r="AC17" s="275"/>
      <c r="AD17" s="275"/>
      <c r="AE17" s="275"/>
      <c r="AF17" s="275"/>
      <c r="AG17" s="275"/>
      <c r="AH17" s="275"/>
      <c r="AI17" s="275"/>
      <c r="AJ17" s="275"/>
      <c r="AK17" s="275"/>
      <c r="AL17" s="275"/>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260" t="s">
        <v>56</v>
      </c>
      <c r="BT17" s="260"/>
      <c r="BU17" s="260"/>
      <c r="BV17" s="260"/>
      <c r="BW17" s="260"/>
      <c r="BX17" s="260"/>
      <c r="BY17" s="260"/>
      <c r="BZ17" s="260"/>
      <c r="CA17" s="260"/>
      <c r="CB17" s="253"/>
      <c r="CC17" s="253"/>
      <c r="CD17" s="253"/>
      <c r="CE17" s="253"/>
      <c r="CF17" s="267"/>
      <c r="CG17" s="267"/>
    </row>
    <row r="18" spans="12:85" ht="16.5" customHeight="1" x14ac:dyDescent="0.25">
      <c r="L18" s="45"/>
      <c r="M18" s="67"/>
      <c r="N18" s="68"/>
      <c r="O18" s="68"/>
      <c r="P18" s="68"/>
      <c r="Q18" s="68"/>
      <c r="R18" s="68"/>
      <c r="S18" s="68"/>
      <c r="T18" s="275"/>
      <c r="U18" s="275"/>
      <c r="V18" s="275"/>
      <c r="W18" s="275"/>
      <c r="X18" s="275"/>
      <c r="Y18" s="275"/>
      <c r="Z18" s="275"/>
      <c r="AA18" s="275"/>
      <c r="AB18" s="275"/>
      <c r="AC18" s="275"/>
      <c r="AD18" s="275"/>
      <c r="AE18" s="275"/>
      <c r="AF18" s="275"/>
      <c r="AG18" s="275"/>
      <c r="AH18" s="275"/>
      <c r="AI18" s="275"/>
      <c r="AJ18" s="275"/>
      <c r="AK18" s="275"/>
      <c r="AL18" s="275"/>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267" t="s">
        <v>57</v>
      </c>
      <c r="BT18" s="267"/>
      <c r="BU18" s="267"/>
      <c r="BV18" s="267"/>
      <c r="BW18" s="267"/>
      <c r="BX18" s="267"/>
      <c r="BY18" s="267"/>
      <c r="BZ18" s="267"/>
      <c r="CA18" s="267"/>
      <c r="CB18" s="253"/>
      <c r="CC18" s="253"/>
      <c r="CD18" s="253"/>
      <c r="CE18" s="253"/>
      <c r="CF18" s="267"/>
      <c r="CG18" s="267"/>
    </row>
    <row r="19" spans="12:85" ht="16.5" customHeight="1" x14ac:dyDescent="0.25">
      <c r="L19" s="70"/>
      <c r="M19" s="71"/>
      <c r="N19" s="72"/>
      <c r="O19" s="72"/>
      <c r="P19" s="72"/>
      <c r="Q19" s="72"/>
      <c r="R19" s="72"/>
      <c r="S19" s="72"/>
      <c r="T19" s="275"/>
      <c r="U19" s="275"/>
      <c r="V19" s="275"/>
      <c r="W19" s="275"/>
      <c r="X19" s="275"/>
      <c r="Y19" s="275"/>
      <c r="Z19" s="275"/>
      <c r="AA19" s="275"/>
      <c r="AB19" s="275"/>
      <c r="AC19" s="275"/>
      <c r="AD19" s="275"/>
      <c r="AE19" s="275"/>
      <c r="AF19" s="275"/>
      <c r="AG19" s="275"/>
      <c r="AH19" s="275"/>
      <c r="AI19" s="275"/>
      <c r="AJ19" s="275"/>
      <c r="AK19" s="275"/>
      <c r="AL19" s="275"/>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260"/>
      <c r="BT19" s="260"/>
      <c r="BU19" s="260"/>
      <c r="BV19" s="260"/>
      <c r="BW19" s="260"/>
      <c r="BX19" s="260"/>
      <c r="BY19" s="260"/>
      <c r="BZ19" s="260"/>
      <c r="CA19" s="260"/>
      <c r="CB19" s="253"/>
      <c r="CC19" s="253"/>
      <c r="CD19" s="253"/>
      <c r="CE19" s="253"/>
      <c r="CF19" s="267"/>
      <c r="CG19" s="267"/>
    </row>
    <row r="20" spans="12:85" ht="16.5" customHeight="1" x14ac:dyDescent="0.25">
      <c r="L20" s="70"/>
      <c r="M20" s="71"/>
      <c r="N20" s="72"/>
      <c r="O20" s="72"/>
      <c r="P20" s="72"/>
      <c r="Q20" s="72"/>
      <c r="R20" s="72"/>
      <c r="S20" s="72"/>
      <c r="T20" s="275"/>
      <c r="U20" s="275"/>
      <c r="V20" s="275"/>
      <c r="W20" s="275"/>
      <c r="X20" s="275"/>
      <c r="Y20" s="275"/>
      <c r="Z20" s="275"/>
      <c r="AA20" s="275"/>
      <c r="AB20" s="275"/>
      <c r="AC20" s="275"/>
      <c r="AD20" s="275"/>
      <c r="AE20" s="275"/>
      <c r="AF20" s="275"/>
      <c r="AG20" s="275"/>
      <c r="AH20" s="275"/>
      <c r="AI20" s="275"/>
      <c r="AJ20" s="275"/>
      <c r="AK20" s="275"/>
      <c r="AL20" s="275"/>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260" t="s">
        <v>2</v>
      </c>
      <c r="BT20" s="260"/>
      <c r="BU20" s="260"/>
      <c r="BV20" s="260"/>
      <c r="BW20" s="260"/>
      <c r="BX20" s="260"/>
      <c r="BY20" s="260"/>
      <c r="BZ20" s="260"/>
      <c r="CA20" s="260"/>
      <c r="CB20" s="276">
        <f>Памятка!E3</f>
        <v>0</v>
      </c>
      <c r="CC20" s="276"/>
      <c r="CD20" s="276"/>
      <c r="CE20" s="276"/>
      <c r="CF20" s="276"/>
      <c r="CG20" s="276"/>
    </row>
    <row r="21" spans="12:85" ht="16.5" customHeight="1" x14ac:dyDescent="0.25">
      <c r="L21" s="70"/>
      <c r="M21" s="71"/>
      <c r="N21" s="72"/>
      <c r="O21" s="72"/>
      <c r="P21" s="72"/>
      <c r="Q21" s="72"/>
      <c r="R21" s="72"/>
      <c r="S21" s="72"/>
      <c r="T21" s="275"/>
      <c r="U21" s="275"/>
      <c r="V21" s="275"/>
      <c r="W21" s="275"/>
      <c r="X21" s="275"/>
      <c r="Y21" s="275"/>
      <c r="Z21" s="275"/>
      <c r="AA21" s="275"/>
      <c r="AB21" s="275"/>
      <c r="AC21" s="275"/>
      <c r="AD21" s="275"/>
      <c r="AE21" s="275"/>
      <c r="AF21" s="275"/>
      <c r="AG21" s="275"/>
      <c r="AH21" s="275"/>
      <c r="AI21" s="275"/>
      <c r="AJ21" s="275"/>
      <c r="AK21" s="275"/>
      <c r="AL21" s="275"/>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260" t="s">
        <v>1</v>
      </c>
      <c r="BT21" s="260"/>
      <c r="BU21" s="260"/>
      <c r="BV21" s="260"/>
      <c r="BW21" s="260"/>
      <c r="BX21" s="260"/>
      <c r="BY21" s="260"/>
      <c r="BZ21" s="260"/>
      <c r="CA21" s="260"/>
      <c r="CB21" s="276">
        <f>Памятка!E2</f>
        <v>0</v>
      </c>
      <c r="CC21" s="276"/>
      <c r="CD21" s="276"/>
      <c r="CE21" s="276"/>
      <c r="CF21" s="276"/>
      <c r="CG21" s="276"/>
    </row>
    <row r="22" spans="12:85" ht="16.5" customHeight="1" x14ac:dyDescent="0.25">
      <c r="L22" s="70"/>
      <c r="M22" s="71"/>
      <c r="N22" s="72"/>
      <c r="O22" s="72"/>
      <c r="P22" s="72"/>
      <c r="Q22" s="72"/>
      <c r="R22" s="72"/>
      <c r="S22" s="73"/>
      <c r="T22" s="275"/>
      <c r="U22" s="275"/>
      <c r="V22" s="275"/>
      <c r="W22" s="275"/>
      <c r="X22" s="275"/>
      <c r="Y22" s="275"/>
      <c r="Z22" s="275"/>
      <c r="AA22" s="275"/>
      <c r="AB22" s="275"/>
      <c r="AC22" s="275"/>
      <c r="AD22" s="275"/>
      <c r="AE22" s="275"/>
      <c r="AF22" s="275"/>
      <c r="AG22" s="275"/>
      <c r="AH22" s="275"/>
      <c r="AI22" s="275"/>
      <c r="AJ22" s="275"/>
      <c r="AK22" s="275"/>
      <c r="AL22" s="275"/>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277" t="s">
        <v>58</v>
      </c>
      <c r="BT22" s="277"/>
      <c r="BU22" s="277"/>
      <c r="BV22" s="277"/>
      <c r="BW22" s="277"/>
      <c r="BX22" s="277"/>
      <c r="BY22" s="277"/>
      <c r="BZ22" s="277"/>
      <c r="CA22" s="277"/>
      <c r="CB22" s="277"/>
      <c r="CC22" s="277"/>
      <c r="CD22" s="277"/>
      <c r="CE22" s="277"/>
      <c r="CF22" s="277"/>
      <c r="CG22" s="277"/>
    </row>
    <row r="23" spans="12:85" ht="16.5" customHeight="1" x14ac:dyDescent="0.25">
      <c r="L23" s="70"/>
      <c r="M23" s="71"/>
      <c r="N23" s="72"/>
      <c r="O23" s="72"/>
      <c r="P23" s="72"/>
      <c r="Q23" s="72"/>
      <c r="R23" s="72"/>
      <c r="S23" s="72"/>
      <c r="T23" s="275"/>
      <c r="U23" s="275"/>
      <c r="V23" s="275"/>
      <c r="W23" s="275"/>
      <c r="X23" s="275"/>
      <c r="Y23" s="275"/>
      <c r="Z23" s="275"/>
      <c r="AA23" s="275"/>
      <c r="AB23" s="275"/>
      <c r="AC23" s="275"/>
      <c r="AD23" s="275"/>
      <c r="AE23" s="275"/>
      <c r="AF23" s="275"/>
      <c r="AG23" s="275"/>
      <c r="AH23" s="275"/>
      <c r="AI23" s="275"/>
      <c r="AJ23" s="275"/>
      <c r="AK23" s="275"/>
      <c r="AL23" s="275"/>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252" t="s">
        <v>59</v>
      </c>
      <c r="BT23" s="252"/>
      <c r="BU23" s="252"/>
      <c r="BV23" s="252"/>
      <c r="BW23" s="278" t="s">
        <v>60</v>
      </c>
      <c r="BX23" s="278"/>
      <c r="BY23" s="278"/>
      <c r="BZ23" s="278"/>
      <c r="CA23" s="278"/>
      <c r="CB23" s="278"/>
      <c r="CC23" s="74"/>
      <c r="CD23" s="278" t="s">
        <v>33</v>
      </c>
      <c r="CE23" s="278"/>
      <c r="CF23" s="278"/>
      <c r="CG23" s="278"/>
    </row>
    <row r="24" spans="12:85" ht="16.5" customHeight="1" x14ac:dyDescent="0.25">
      <c r="L24" s="70"/>
      <c r="M24" s="71"/>
      <c r="N24" s="72"/>
      <c r="O24" s="72"/>
      <c r="P24" s="72"/>
      <c r="Q24" s="72"/>
      <c r="R24" s="72"/>
      <c r="S24" s="72"/>
      <c r="T24" s="275"/>
      <c r="U24" s="275"/>
      <c r="V24" s="275"/>
      <c r="W24" s="275"/>
      <c r="X24" s="275"/>
      <c r="Y24" s="275"/>
      <c r="Z24" s="275"/>
      <c r="AA24" s="275"/>
      <c r="AB24" s="275"/>
      <c r="AC24" s="275"/>
      <c r="AD24" s="275"/>
      <c r="AE24" s="275"/>
      <c r="AF24" s="275"/>
      <c r="AG24" s="275"/>
      <c r="AH24" s="275"/>
      <c r="AI24" s="275"/>
      <c r="AJ24" s="275"/>
      <c r="AK24" s="275"/>
      <c r="AL24" s="275"/>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257" t="s">
        <v>61</v>
      </c>
      <c r="BT24" s="257"/>
      <c r="BU24" s="257"/>
      <c r="BV24" s="257"/>
      <c r="BW24" s="253"/>
      <c r="BX24" s="253"/>
      <c r="BY24" s="253"/>
      <c r="BZ24" s="253"/>
      <c r="CA24" s="253"/>
      <c r="CB24" s="253"/>
      <c r="CC24" s="69"/>
      <c r="CD24" s="253"/>
      <c r="CE24" s="253"/>
      <c r="CF24" s="253"/>
      <c r="CG24" s="253"/>
    </row>
    <row r="25" spans="12:85" ht="16.5" customHeight="1" x14ac:dyDescent="0.25">
      <c r="L25" s="70"/>
      <c r="M25" s="71"/>
      <c r="N25" s="72"/>
      <c r="O25" s="72"/>
      <c r="P25" s="72"/>
      <c r="Q25" s="72"/>
      <c r="R25" s="72"/>
      <c r="S25" s="72"/>
      <c r="T25" s="275"/>
      <c r="U25" s="275"/>
      <c r="V25" s="275"/>
      <c r="W25" s="275"/>
      <c r="X25" s="275"/>
      <c r="Y25" s="275"/>
      <c r="Z25" s="275"/>
      <c r="AA25" s="275"/>
      <c r="AB25" s="275"/>
      <c r="AC25" s="275"/>
      <c r="AD25" s="275"/>
      <c r="AE25" s="275"/>
      <c r="AF25" s="275"/>
      <c r="AG25" s="275"/>
      <c r="AH25" s="275"/>
      <c r="AI25" s="275"/>
      <c r="AJ25" s="275"/>
      <c r="AK25" s="275"/>
      <c r="AL25" s="275"/>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257"/>
      <c r="BT25" s="257"/>
      <c r="BU25" s="257"/>
      <c r="BV25" s="257"/>
      <c r="BW25" s="253"/>
      <c r="BX25" s="253"/>
      <c r="BY25" s="253"/>
      <c r="BZ25" s="253"/>
      <c r="CA25" s="253"/>
      <c r="CB25" s="253"/>
      <c r="CC25" s="69"/>
      <c r="CD25" s="253"/>
      <c r="CE25" s="253"/>
      <c r="CF25" s="253"/>
      <c r="CG25" s="253"/>
    </row>
    <row r="26" spans="12:85" ht="16.5" customHeight="1" x14ac:dyDescent="0.25">
      <c r="L26" s="70"/>
      <c r="M26" s="71"/>
      <c r="N26" s="72"/>
      <c r="O26" s="72"/>
      <c r="P26" s="72"/>
      <c r="Q26" s="72"/>
      <c r="R26" s="72"/>
      <c r="S26" s="72"/>
      <c r="T26" s="275"/>
      <c r="U26" s="275"/>
      <c r="V26" s="275"/>
      <c r="W26" s="275"/>
      <c r="X26" s="275"/>
      <c r="Y26" s="275"/>
      <c r="Z26" s="275"/>
      <c r="AA26" s="275"/>
      <c r="AB26" s="275"/>
      <c r="AC26" s="275"/>
      <c r="AD26" s="275"/>
      <c r="AE26" s="275"/>
      <c r="AF26" s="275"/>
      <c r="AG26" s="275"/>
      <c r="AH26" s="275"/>
      <c r="AI26" s="275"/>
      <c r="AJ26" s="275"/>
      <c r="AK26" s="275"/>
      <c r="AL26" s="275"/>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257" t="s">
        <v>62</v>
      </c>
      <c r="BT26" s="257"/>
      <c r="BU26" s="257"/>
      <c r="BV26" s="257"/>
      <c r="BW26" s="253"/>
      <c r="BX26" s="253"/>
      <c r="BY26" s="253"/>
      <c r="BZ26" s="253"/>
      <c r="CA26" s="253"/>
      <c r="CB26" s="253"/>
      <c r="CC26" s="69"/>
      <c r="CD26" s="253"/>
      <c r="CE26" s="253"/>
      <c r="CF26" s="253"/>
      <c r="CG26" s="253"/>
    </row>
    <row r="27" spans="12:85" ht="16.5" customHeight="1" x14ac:dyDescent="0.25">
      <c r="L27" s="70"/>
      <c r="M27" s="71"/>
      <c r="N27" s="72"/>
      <c r="O27" s="72"/>
      <c r="P27" s="72"/>
      <c r="Q27" s="72"/>
      <c r="R27" s="72"/>
      <c r="S27" s="72"/>
      <c r="T27" s="275"/>
      <c r="U27" s="275"/>
      <c r="V27" s="275"/>
      <c r="W27" s="275"/>
      <c r="X27" s="275"/>
      <c r="Y27" s="275"/>
      <c r="Z27" s="275"/>
      <c r="AA27" s="275"/>
      <c r="AB27" s="275"/>
      <c r="AC27" s="275"/>
      <c r="AD27" s="275"/>
      <c r="AE27" s="275"/>
      <c r="AF27" s="275"/>
      <c r="AG27" s="275"/>
      <c r="AH27" s="275"/>
      <c r="AI27" s="275"/>
      <c r="AJ27" s="275"/>
      <c r="AK27" s="275"/>
      <c r="AL27" s="275"/>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257"/>
      <c r="BT27" s="257"/>
      <c r="BU27" s="257"/>
      <c r="BV27" s="257"/>
      <c r="BW27" s="253"/>
      <c r="BX27" s="253"/>
      <c r="BY27" s="253"/>
      <c r="BZ27" s="253"/>
      <c r="CA27" s="253"/>
      <c r="CB27" s="253"/>
      <c r="CC27" s="69"/>
      <c r="CD27" s="253"/>
      <c r="CE27" s="253"/>
      <c r="CF27" s="253"/>
      <c r="CG27" s="253"/>
    </row>
    <row r="28" spans="12:85" ht="15.75" customHeight="1" x14ac:dyDescent="0.25">
      <c r="L28" s="75"/>
      <c r="M28" s="71"/>
      <c r="N28" s="72"/>
      <c r="O28" s="72"/>
      <c r="P28" s="72"/>
      <c r="Q28" s="72"/>
      <c r="R28" s="72"/>
      <c r="S28" s="72"/>
      <c r="T28" s="271"/>
      <c r="U28" s="271"/>
      <c r="V28" s="271"/>
      <c r="W28" s="271"/>
      <c r="X28" s="271"/>
      <c r="Y28" s="271"/>
      <c r="Z28" s="271"/>
      <c r="AA28" s="271"/>
      <c r="AB28" s="271"/>
      <c r="AC28" s="271"/>
      <c r="AD28" s="271"/>
      <c r="AE28" s="271"/>
      <c r="AF28" s="271"/>
      <c r="AG28" s="271"/>
      <c r="AH28" s="271"/>
      <c r="AI28" s="271"/>
      <c r="AJ28" s="271"/>
      <c r="AK28" s="271"/>
      <c r="AL28" s="271"/>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257" t="s">
        <v>63</v>
      </c>
      <c r="BT28" s="257"/>
      <c r="BU28" s="257"/>
      <c r="BV28" s="257"/>
      <c r="BW28" s="253"/>
      <c r="BX28" s="253"/>
      <c r="BY28" s="253"/>
      <c r="BZ28" s="253"/>
      <c r="CA28" s="253"/>
      <c r="CB28" s="253"/>
      <c r="CC28" s="69"/>
      <c r="CD28" s="253"/>
      <c r="CE28" s="253"/>
      <c r="CF28" s="253"/>
      <c r="CG28" s="253"/>
    </row>
    <row r="29" spans="12:85" ht="15" hidden="1" customHeight="1" x14ac:dyDescent="0.25">
      <c r="L29" s="81"/>
      <c r="M29" s="71"/>
      <c r="N29" s="72"/>
      <c r="O29" s="72"/>
      <c r="P29" s="72"/>
      <c r="Q29" s="72"/>
      <c r="R29" s="72"/>
      <c r="S29" s="72"/>
      <c r="T29" s="272"/>
      <c r="U29" s="272"/>
      <c r="V29" s="272"/>
      <c r="W29" s="272"/>
      <c r="X29" s="272"/>
      <c r="Y29" s="272"/>
      <c r="Z29" s="272"/>
      <c r="AA29" s="272"/>
      <c r="AB29" s="272"/>
      <c r="AC29" s="272"/>
      <c r="AD29" s="272"/>
      <c r="AE29" s="272"/>
      <c r="AF29" s="272"/>
      <c r="AG29" s="272"/>
      <c r="AH29" s="272"/>
      <c r="AI29" s="272"/>
      <c r="AJ29" s="272"/>
      <c r="AK29" s="272"/>
      <c r="AL29" s="272"/>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257"/>
      <c r="BT29" s="257"/>
      <c r="BU29" s="257"/>
      <c r="BV29" s="257"/>
      <c r="BW29" s="253"/>
      <c r="BX29" s="253"/>
      <c r="BY29" s="253"/>
      <c r="BZ29" s="253"/>
      <c r="CA29" s="253"/>
      <c r="CB29" s="253"/>
      <c r="CC29" s="69"/>
      <c r="CD29" s="253"/>
      <c r="CE29" s="253"/>
      <c r="CF29" s="253"/>
      <c r="CG29" s="253"/>
    </row>
    <row r="30" spans="12:85" ht="16.5" hidden="1" customHeight="1" x14ac:dyDescent="0.25">
      <c r="L30" s="81"/>
      <c r="M30" s="71"/>
      <c r="N30" s="72"/>
      <c r="O30" s="72"/>
      <c r="P30" s="72"/>
      <c r="Q30" s="72"/>
      <c r="R30" s="72"/>
      <c r="S30" s="72"/>
      <c r="T30" s="272"/>
      <c r="U30" s="272"/>
      <c r="V30" s="272"/>
      <c r="W30" s="272"/>
      <c r="X30" s="272"/>
      <c r="Y30" s="272"/>
      <c r="Z30" s="272"/>
      <c r="AA30" s="272"/>
      <c r="AB30" s="272"/>
      <c r="AC30" s="272"/>
      <c r="AD30" s="272"/>
      <c r="AE30" s="272"/>
      <c r="AF30" s="272"/>
      <c r="AG30" s="272"/>
      <c r="AH30" s="272"/>
      <c r="AI30" s="272"/>
      <c r="AJ30" s="272"/>
      <c r="AK30" s="272"/>
      <c r="AL30" s="272"/>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257"/>
      <c r="BT30" s="257"/>
      <c r="BU30" s="257"/>
      <c r="BV30" s="257"/>
      <c r="BW30" s="69"/>
      <c r="BX30" s="69"/>
      <c r="BY30" s="69"/>
      <c r="BZ30" s="69"/>
      <c r="CA30" s="69"/>
      <c r="CB30" s="69"/>
      <c r="CC30" s="69"/>
      <c r="CD30" s="69"/>
      <c r="CE30" s="69"/>
      <c r="CF30" s="26"/>
      <c r="CG30" s="26"/>
    </row>
    <row r="31" spans="12:85" ht="16.5" hidden="1" customHeight="1" x14ac:dyDescent="0.25">
      <c r="L31" s="88"/>
      <c r="M31" s="89"/>
      <c r="N31" s="90"/>
      <c r="O31" s="90"/>
      <c r="P31" s="90"/>
      <c r="Q31" s="90"/>
      <c r="R31" s="90"/>
      <c r="S31" s="90"/>
      <c r="T31" s="273"/>
      <c r="U31" s="273"/>
      <c r="V31" s="273"/>
      <c r="W31" s="273"/>
      <c r="X31" s="273"/>
      <c r="Y31" s="273"/>
      <c r="Z31" s="273"/>
      <c r="AA31" s="273"/>
      <c r="AB31" s="273"/>
      <c r="AC31" s="273"/>
      <c r="AD31" s="273"/>
      <c r="AE31" s="273"/>
      <c r="AF31" s="273"/>
      <c r="AG31" s="273"/>
      <c r="AH31" s="273"/>
      <c r="AI31" s="273"/>
      <c r="AJ31" s="273"/>
      <c r="AK31" s="273"/>
      <c r="AL31" s="273"/>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257"/>
      <c r="BT31" s="257"/>
      <c r="BU31" s="257"/>
      <c r="BV31" s="257"/>
      <c r="BW31" s="69"/>
      <c r="BX31" s="69"/>
      <c r="BY31" s="69"/>
      <c r="BZ31" s="69"/>
      <c r="CA31" s="69"/>
      <c r="CB31" s="69"/>
      <c r="CC31" s="69"/>
      <c r="CD31" s="69"/>
      <c r="CE31" s="69"/>
      <c r="CF31" s="26"/>
      <c r="CG31" s="26"/>
    </row>
    <row r="32" spans="12:85" ht="16.5" customHeight="1" x14ac:dyDescent="0.25">
      <c r="L32" s="274" t="s">
        <v>64</v>
      </c>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257"/>
      <c r="BT32" s="257"/>
      <c r="BU32" s="257"/>
      <c r="BV32" s="257"/>
      <c r="BW32" s="253"/>
      <c r="BX32" s="253"/>
      <c r="BY32" s="253"/>
      <c r="BZ32" s="253"/>
      <c r="CA32" s="253"/>
      <c r="CB32" s="253"/>
      <c r="CC32" s="69"/>
      <c r="CD32" s="253"/>
      <c r="CE32" s="253"/>
      <c r="CF32" s="253"/>
      <c r="CG32" s="253"/>
    </row>
    <row r="33" spans="12:85" ht="16.5" customHeight="1" x14ac:dyDescent="0.25">
      <c r="L33" s="256" t="s">
        <v>65</v>
      </c>
      <c r="M33" s="256"/>
      <c r="N33" s="256"/>
      <c r="O33" s="256"/>
      <c r="P33" s="256"/>
      <c r="Q33" s="256"/>
      <c r="R33" s="256"/>
      <c r="S33" s="256"/>
      <c r="T33" s="256"/>
      <c r="U33" s="256"/>
      <c r="V33" s="256"/>
      <c r="W33" s="256"/>
      <c r="X33" s="256"/>
      <c r="Y33" s="256"/>
      <c r="Z33" s="256"/>
      <c r="AA33" s="256"/>
      <c r="AB33" s="256"/>
      <c r="AC33" s="256"/>
      <c r="AD33" s="256"/>
      <c r="AE33" s="256"/>
      <c r="AF33" s="256"/>
      <c r="AG33" s="256"/>
      <c r="AH33" s="256"/>
      <c r="AI33" s="256"/>
      <c r="AJ33" s="256"/>
      <c r="AK33" s="256"/>
      <c r="AL33" s="256"/>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257" t="s">
        <v>66</v>
      </c>
      <c r="BT33" s="257"/>
      <c r="BU33" s="257"/>
      <c r="BV33" s="257"/>
      <c r="BW33" s="253"/>
      <c r="BX33" s="253"/>
      <c r="BY33" s="253"/>
      <c r="BZ33" s="253"/>
      <c r="CA33" s="253"/>
      <c r="CB33" s="253"/>
      <c r="CC33" s="69"/>
      <c r="CD33" s="253"/>
      <c r="CE33" s="253"/>
      <c r="CF33" s="253"/>
      <c r="CG33" s="253"/>
    </row>
    <row r="34" spans="12:85" ht="16.5" customHeight="1" x14ac:dyDescent="0.25">
      <c r="L34" s="256"/>
      <c r="M34" s="256"/>
      <c r="N34" s="256"/>
      <c r="O34" s="256"/>
      <c r="P34" s="256"/>
      <c r="Q34" s="256"/>
      <c r="R34" s="256"/>
      <c r="S34" s="256"/>
      <c r="T34" s="256"/>
      <c r="U34" s="256"/>
      <c r="V34" s="256"/>
      <c r="W34" s="256"/>
      <c r="X34" s="256"/>
      <c r="Y34" s="256"/>
      <c r="Z34" s="256"/>
      <c r="AA34" s="256"/>
      <c r="AB34" s="256"/>
      <c r="AC34" s="256"/>
      <c r="AD34" s="256"/>
      <c r="AE34" s="256"/>
      <c r="AF34" s="256"/>
      <c r="AG34" s="256"/>
      <c r="AH34" s="256"/>
      <c r="AI34" s="256"/>
      <c r="AJ34" s="256"/>
      <c r="AK34" s="256"/>
      <c r="AL34" s="256"/>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266" t="s">
        <v>67</v>
      </c>
      <c r="BT34" s="266"/>
      <c r="BU34" s="266"/>
      <c r="BV34" s="266"/>
      <c r="BW34" s="267"/>
      <c r="BX34" s="267"/>
      <c r="BY34" s="267"/>
      <c r="BZ34" s="267"/>
      <c r="CA34" s="267"/>
      <c r="CB34" s="267"/>
      <c r="CC34" s="26"/>
      <c r="CD34" s="267"/>
      <c r="CE34" s="267"/>
      <c r="CF34" s="267"/>
      <c r="CG34" s="267"/>
    </row>
    <row r="35" spans="12:85" ht="16.5" customHeight="1" x14ac:dyDescent="0.25">
      <c r="L35" s="270" t="s">
        <v>68</v>
      </c>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270"/>
      <c r="AJ35" s="270"/>
      <c r="AK35" s="270"/>
      <c r="AL35" s="270"/>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266"/>
      <c r="BT35" s="266"/>
      <c r="BU35" s="266"/>
      <c r="BV35" s="266"/>
      <c r="BW35" s="267"/>
      <c r="BX35" s="267"/>
      <c r="BY35" s="267"/>
      <c r="BZ35" s="267"/>
      <c r="CA35" s="267"/>
      <c r="CB35" s="267"/>
      <c r="CC35" s="26"/>
      <c r="CD35" s="267"/>
      <c r="CE35" s="267"/>
      <c r="CF35" s="267"/>
      <c r="CG35" s="267"/>
    </row>
    <row r="36" spans="12:85" ht="16.5" customHeight="1" x14ac:dyDescent="0.25">
      <c r="L36" s="265" t="s">
        <v>69</v>
      </c>
      <c r="M36" s="265"/>
      <c r="N36" s="265"/>
      <c r="O36" s="265"/>
      <c r="P36" s="265"/>
      <c r="Q36" s="265"/>
      <c r="R36" s="265"/>
      <c r="S36" s="265"/>
      <c r="T36" s="265"/>
      <c r="U36" s="265"/>
      <c r="V36" s="265"/>
      <c r="W36" s="265"/>
      <c r="X36" s="265"/>
      <c r="Y36" s="265"/>
      <c r="Z36" s="265"/>
      <c r="AA36" s="265"/>
      <c r="AB36" s="265"/>
      <c r="AC36" s="265"/>
      <c r="AD36" s="265"/>
      <c r="AE36" s="265"/>
      <c r="AF36" s="265"/>
      <c r="AG36" s="265"/>
      <c r="AH36" s="265"/>
      <c r="AI36" s="265"/>
      <c r="AJ36" s="265"/>
      <c r="AK36" s="265"/>
      <c r="AL36" s="265"/>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266" t="s">
        <v>70</v>
      </c>
      <c r="BT36" s="266"/>
      <c r="BU36" s="266"/>
      <c r="BV36" s="266"/>
      <c r="BW36" s="267"/>
      <c r="BX36" s="267"/>
      <c r="BY36" s="267"/>
      <c r="BZ36" s="267"/>
      <c r="CA36" s="267"/>
      <c r="CB36" s="267"/>
      <c r="CC36" s="26"/>
      <c r="CD36" s="267"/>
      <c r="CE36" s="267"/>
      <c r="CF36" s="267"/>
      <c r="CG36" s="267"/>
    </row>
    <row r="37" spans="12:85" ht="16.5" customHeight="1" x14ac:dyDescent="0.25">
      <c r="L37" s="256" t="s">
        <v>71</v>
      </c>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266"/>
      <c r="BT37" s="266"/>
      <c r="BU37" s="266"/>
      <c r="BV37" s="266"/>
      <c r="BW37" s="267"/>
      <c r="BX37" s="267"/>
      <c r="BY37" s="267"/>
      <c r="BZ37" s="267"/>
      <c r="CA37" s="267"/>
      <c r="CB37" s="267"/>
      <c r="CC37" s="26"/>
      <c r="CD37" s="267"/>
      <c r="CE37" s="267"/>
      <c r="CF37" s="267"/>
      <c r="CG37" s="267"/>
    </row>
    <row r="38" spans="12:85" ht="16.5" customHeight="1" x14ac:dyDescent="0.25">
      <c r="L38" s="256" t="s">
        <v>72</v>
      </c>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268" t="s">
        <v>73</v>
      </c>
      <c r="BT38" s="268"/>
      <c r="BU38" s="268"/>
      <c r="BV38" s="268"/>
      <c r="BW38" s="268"/>
      <c r="BX38" s="268"/>
      <c r="BY38" s="268"/>
      <c r="BZ38" s="268"/>
      <c r="CA38" s="268"/>
      <c r="CB38" s="269" t="s">
        <v>74</v>
      </c>
      <c r="CC38" s="269"/>
      <c r="CD38" s="269"/>
      <c r="CE38" s="269"/>
      <c r="CF38" s="269"/>
      <c r="CG38" s="269"/>
    </row>
    <row r="39" spans="12:85" ht="16.5" customHeight="1" x14ac:dyDescent="0.3">
      <c r="L39" s="256" t="s">
        <v>75</v>
      </c>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268"/>
      <c r="BT39" s="268"/>
      <c r="BU39" s="268"/>
      <c r="BV39" s="268"/>
      <c r="BW39" s="268"/>
      <c r="BX39" s="268"/>
      <c r="BY39" s="268"/>
      <c r="BZ39" s="268"/>
      <c r="CA39" s="268"/>
      <c r="CB39" s="269"/>
      <c r="CC39" s="269"/>
      <c r="CD39" s="269"/>
      <c r="CE39" s="269"/>
      <c r="CF39" s="269"/>
      <c r="CG39" s="269"/>
    </row>
    <row r="40" spans="12:85" ht="16.5" customHeight="1" x14ac:dyDescent="0.25">
      <c r="L40" s="256" t="s">
        <v>76</v>
      </c>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260" t="s">
        <v>77</v>
      </c>
      <c r="BT40" s="260"/>
      <c r="BU40" s="260"/>
      <c r="BV40" s="260"/>
      <c r="BW40" s="260"/>
      <c r="BX40" s="260"/>
      <c r="BY40" s="260"/>
      <c r="BZ40" s="260"/>
      <c r="CA40" s="260"/>
      <c r="CB40" s="261" t="str">
        <f>Памятка!L5</f>
        <v>-</v>
      </c>
      <c r="CC40" s="261"/>
      <c r="CD40" s="261"/>
      <c r="CE40" s="261"/>
      <c r="CF40" s="261"/>
      <c r="CG40" s="261"/>
    </row>
    <row r="41" spans="12:85" ht="16.5" customHeight="1" x14ac:dyDescent="0.25">
      <c r="L41" s="256" t="s">
        <v>78</v>
      </c>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260" t="s">
        <v>79</v>
      </c>
      <c r="BT41" s="260"/>
      <c r="BU41" s="260"/>
      <c r="BV41" s="260"/>
      <c r="BW41" s="260"/>
      <c r="BX41" s="260"/>
      <c r="BY41" s="260"/>
      <c r="BZ41" s="260"/>
      <c r="CA41" s="260"/>
      <c r="CB41" s="261" t="str">
        <f>Памятка!L6</f>
        <v>-</v>
      </c>
      <c r="CC41" s="261"/>
      <c r="CD41" s="261"/>
      <c r="CE41" s="261"/>
      <c r="CF41" s="261"/>
      <c r="CG41" s="261"/>
    </row>
    <row r="42" spans="12:85" ht="16.5" customHeight="1" x14ac:dyDescent="0.25">
      <c r="L42" s="256" t="s">
        <v>80</v>
      </c>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260" t="s">
        <v>81</v>
      </c>
      <c r="BT42" s="260"/>
      <c r="BU42" s="260"/>
      <c r="BV42" s="260"/>
      <c r="BW42" s="260"/>
      <c r="BX42" s="260"/>
      <c r="BY42" s="260"/>
      <c r="BZ42" s="260"/>
      <c r="CA42" s="260"/>
      <c r="CB42" s="261" t="str">
        <f>Памятка!L7</f>
        <v>-</v>
      </c>
      <c r="CC42" s="261"/>
      <c r="CD42" s="261"/>
      <c r="CE42" s="261"/>
      <c r="CF42" s="261"/>
      <c r="CG42" s="261"/>
    </row>
    <row r="43" spans="12:85" ht="16.5" customHeight="1" x14ac:dyDescent="0.25">
      <c r="L43" s="256" t="s">
        <v>82</v>
      </c>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260" t="s">
        <v>83</v>
      </c>
      <c r="BT43" s="260"/>
      <c r="BU43" s="260"/>
      <c r="BV43" s="260"/>
      <c r="BW43" s="260"/>
      <c r="BX43" s="260"/>
      <c r="BY43" s="260"/>
      <c r="BZ43" s="260"/>
      <c r="CA43" s="260"/>
      <c r="CB43" s="261" t="str">
        <f>Памятка!L11</f>
        <v>-</v>
      </c>
      <c r="CC43" s="261"/>
      <c r="CD43" s="261"/>
      <c r="CE43" s="261"/>
      <c r="CF43" s="261"/>
      <c r="CG43" s="261"/>
    </row>
    <row r="44" spans="12:85" ht="16.5" customHeight="1" x14ac:dyDescent="0.25">
      <c r="L44" s="256" t="s">
        <v>84</v>
      </c>
      <c r="M44" s="256"/>
      <c r="N44" s="256"/>
      <c r="O44" s="256"/>
      <c r="P44" s="256"/>
      <c r="Q44" s="256"/>
      <c r="R44" s="256"/>
      <c r="S44" s="256"/>
      <c r="T44" s="256"/>
      <c r="U44" s="256"/>
      <c r="V44" s="256"/>
      <c r="W44" s="256"/>
      <c r="X44" s="256"/>
      <c r="Y44" s="256"/>
      <c r="Z44" s="256"/>
      <c r="AA44" s="256"/>
      <c r="AB44" s="256"/>
      <c r="AC44" s="256"/>
      <c r="AD44" s="256"/>
      <c r="AE44" s="256"/>
      <c r="AF44" s="256"/>
      <c r="AG44" s="256"/>
      <c r="AH44" s="256"/>
      <c r="AI44" s="256"/>
      <c r="AJ44" s="256"/>
      <c r="AK44" s="256"/>
      <c r="AL44" s="256"/>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264" t="s">
        <v>85</v>
      </c>
      <c r="BT44" s="264"/>
      <c r="BU44" s="264"/>
      <c r="BV44" s="264"/>
      <c r="BW44" s="264"/>
      <c r="BX44" s="264"/>
      <c r="BY44" s="264"/>
      <c r="BZ44" s="264"/>
      <c r="CA44" s="264"/>
      <c r="CB44" s="261" t="str">
        <f>Памятка!L8</f>
        <v>-</v>
      </c>
      <c r="CC44" s="261"/>
      <c r="CD44" s="261"/>
      <c r="CE44" s="261"/>
      <c r="CF44" s="261"/>
      <c r="CG44" s="261"/>
    </row>
    <row r="45" spans="12:85" ht="16.5" customHeight="1" x14ac:dyDescent="0.3">
      <c r="L45" s="256" t="s">
        <v>86</v>
      </c>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260" t="s">
        <v>87</v>
      </c>
      <c r="BT45" s="260"/>
      <c r="BU45" s="260"/>
      <c r="BV45" s="260"/>
      <c r="BW45" s="260"/>
      <c r="BX45" s="260"/>
      <c r="BY45" s="260"/>
      <c r="BZ45" s="260"/>
      <c r="CA45" s="260"/>
      <c r="CB45" s="261" t="str">
        <f>Памятка!L9</f>
        <v>-</v>
      </c>
      <c r="CC45" s="261"/>
      <c r="CD45" s="261"/>
      <c r="CE45" s="261"/>
      <c r="CF45" s="261"/>
      <c r="CG45" s="261"/>
    </row>
    <row r="46" spans="12:85" ht="16.5" customHeight="1" x14ac:dyDescent="0.25">
      <c r="L46" s="256" t="s">
        <v>88</v>
      </c>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260" t="s">
        <v>89</v>
      </c>
      <c r="BT46" s="260"/>
      <c r="BU46" s="260"/>
      <c r="BV46" s="260"/>
      <c r="BW46" s="260"/>
      <c r="BX46" s="260"/>
      <c r="BY46" s="260"/>
      <c r="BZ46" s="260"/>
      <c r="CA46" s="260"/>
      <c r="CB46" s="261" t="str">
        <f>Памятка!L10</f>
        <v>-</v>
      </c>
      <c r="CC46" s="261"/>
      <c r="CD46" s="261"/>
      <c r="CE46" s="261"/>
      <c r="CF46" s="261"/>
      <c r="CG46" s="261"/>
    </row>
    <row r="47" spans="12:85" ht="16.5" customHeight="1" x14ac:dyDescent="0.25">
      <c r="L47" s="256" t="s">
        <v>90</v>
      </c>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260" t="s">
        <v>19</v>
      </c>
      <c r="BT47" s="260"/>
      <c r="BU47" s="260"/>
      <c r="BV47" s="260"/>
      <c r="BW47" s="260"/>
      <c r="BX47" s="260"/>
      <c r="BY47" s="260"/>
      <c r="BZ47" s="260"/>
      <c r="CA47" s="260"/>
      <c r="CB47" s="261" t="str">
        <f>Памятка!L12</f>
        <v>-</v>
      </c>
      <c r="CC47" s="261"/>
      <c r="CD47" s="261"/>
      <c r="CE47" s="261"/>
      <c r="CF47" s="261"/>
      <c r="CG47" s="261"/>
    </row>
    <row r="48" spans="12:85" ht="16.5" customHeight="1" x14ac:dyDescent="0.25">
      <c r="L48" s="256" t="s">
        <v>91</v>
      </c>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262" t="s">
        <v>92</v>
      </c>
      <c r="BT48" s="262"/>
      <c r="BU48" s="262"/>
      <c r="BV48" s="262"/>
      <c r="BW48" s="262"/>
      <c r="BX48" s="263" t="s">
        <v>93</v>
      </c>
      <c r="BY48" s="263"/>
      <c r="BZ48" s="263"/>
      <c r="CA48" s="263"/>
      <c r="CB48" s="263"/>
      <c r="CC48" s="112"/>
      <c r="CD48" s="263" t="s">
        <v>33</v>
      </c>
      <c r="CE48" s="263"/>
      <c r="CF48" s="263"/>
      <c r="CG48" s="263"/>
    </row>
    <row r="49" spans="12:85" ht="16.5" customHeight="1" x14ac:dyDescent="0.25">
      <c r="L49" s="256" t="s">
        <v>94</v>
      </c>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257"/>
      <c r="BT49" s="257"/>
      <c r="BU49" s="257"/>
      <c r="BV49" s="257"/>
      <c r="BW49" s="257"/>
      <c r="BX49" s="258"/>
      <c r="BY49" s="258"/>
      <c r="BZ49" s="258"/>
      <c r="CA49" s="258"/>
      <c r="CB49" s="258"/>
      <c r="CC49" s="64"/>
      <c r="CD49" s="258"/>
      <c r="CE49" s="258"/>
      <c r="CF49" s="258"/>
      <c r="CG49" s="258"/>
    </row>
    <row r="50" spans="12:85" ht="16.5" customHeight="1" x14ac:dyDescent="0.25">
      <c r="L50" s="256" t="s">
        <v>95</v>
      </c>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252"/>
      <c r="BT50" s="252"/>
      <c r="BU50" s="252"/>
      <c r="BV50" s="252"/>
      <c r="BW50" s="252"/>
      <c r="BX50" s="253"/>
      <c r="BY50" s="253"/>
      <c r="BZ50" s="253"/>
      <c r="CA50" s="253"/>
      <c r="CB50" s="253"/>
      <c r="CC50" s="69"/>
      <c r="CD50" s="259"/>
      <c r="CE50" s="259"/>
      <c r="CF50" s="259"/>
      <c r="CG50" s="259"/>
    </row>
    <row r="51" spans="12:85" ht="16.5" customHeight="1" x14ac:dyDescent="0.2">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252"/>
      <c r="BT51" s="252"/>
      <c r="BU51" s="252"/>
      <c r="BV51" s="252"/>
      <c r="BW51" s="252"/>
      <c r="BX51" s="253"/>
      <c r="BY51" s="253"/>
      <c r="BZ51" s="253"/>
      <c r="CA51" s="253"/>
      <c r="CB51" s="253"/>
      <c r="CC51" s="69"/>
      <c r="CD51" s="253"/>
      <c r="CE51" s="253"/>
      <c r="CF51" s="253"/>
      <c r="CG51" s="253"/>
    </row>
    <row r="52" spans="12:85" ht="16.5" customHeight="1" x14ac:dyDescent="0.2">
      <c r="L52" s="251"/>
      <c r="M52" s="251"/>
      <c r="N52" s="251"/>
      <c r="O52" s="251"/>
      <c r="P52" s="251"/>
      <c r="Q52" s="251"/>
      <c r="R52" s="251"/>
      <c r="S52" s="251"/>
      <c r="T52" s="251"/>
      <c r="U52" s="251"/>
      <c r="V52" s="251"/>
      <c r="W52" s="251"/>
      <c r="X52" s="251"/>
      <c r="Y52" s="251"/>
      <c r="Z52" s="251"/>
      <c r="AA52" s="251"/>
      <c r="AB52" s="251"/>
      <c r="AC52" s="251"/>
      <c r="AD52" s="251"/>
      <c r="AE52" s="251"/>
      <c r="AF52" s="251"/>
      <c r="AG52" s="251"/>
      <c r="AH52" s="251"/>
      <c r="AI52" s="251"/>
      <c r="AJ52" s="251"/>
      <c r="AK52" s="251"/>
      <c r="AL52" s="251"/>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252"/>
      <c r="BT52" s="252"/>
      <c r="BU52" s="252"/>
      <c r="BV52" s="252"/>
      <c r="BW52" s="252"/>
      <c r="BX52" s="253"/>
      <c r="BY52" s="253"/>
      <c r="BZ52" s="253"/>
      <c r="CA52" s="253"/>
      <c r="CB52" s="253"/>
      <c r="CC52" s="69"/>
      <c r="CD52" s="253"/>
      <c r="CE52" s="253"/>
      <c r="CF52" s="253"/>
      <c r="CG52" s="253"/>
    </row>
    <row r="53" spans="12:85" ht="16.5" customHeight="1" x14ac:dyDescent="0.2">
      <c r="L53" s="251"/>
      <c r="M53" s="251"/>
      <c r="N53" s="251"/>
      <c r="O53" s="251"/>
      <c r="P53" s="251"/>
      <c r="Q53" s="251"/>
      <c r="R53" s="251"/>
      <c r="S53" s="251"/>
      <c r="T53" s="251"/>
      <c r="U53" s="251"/>
      <c r="V53" s="251"/>
      <c r="W53" s="251"/>
      <c r="X53" s="251"/>
      <c r="Y53" s="251"/>
      <c r="Z53" s="251"/>
      <c r="AA53" s="251"/>
      <c r="AB53" s="251"/>
      <c r="AC53" s="251"/>
      <c r="AD53" s="251"/>
      <c r="AE53" s="251"/>
      <c r="AF53" s="251"/>
      <c r="AG53" s="251"/>
      <c r="AH53" s="251"/>
      <c r="AI53" s="251"/>
      <c r="AJ53" s="251"/>
      <c r="AK53" s="251"/>
      <c r="AL53" s="251"/>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254"/>
      <c r="BT53" s="254"/>
      <c r="BU53" s="254"/>
      <c r="BV53" s="254"/>
      <c r="BW53" s="254"/>
      <c r="BX53" s="253"/>
      <c r="BY53" s="253"/>
      <c r="BZ53" s="253"/>
      <c r="CA53" s="253"/>
      <c r="CB53" s="253"/>
      <c r="CC53" s="69"/>
      <c r="CD53" s="253"/>
      <c r="CE53" s="253"/>
      <c r="CF53" s="253"/>
      <c r="CG53" s="253"/>
    </row>
    <row r="54" spans="12:85" ht="16.5" customHeight="1" x14ac:dyDescent="0.2">
      <c r="L54" s="255" t="s">
        <v>96</v>
      </c>
      <c r="M54" s="255"/>
      <c r="N54" s="255"/>
      <c r="O54" s="255"/>
      <c r="P54" s="255"/>
      <c r="Q54" s="255"/>
      <c r="R54" s="255"/>
      <c r="S54" s="255"/>
      <c r="T54" s="255"/>
      <c r="U54" s="255"/>
      <c r="V54" s="255"/>
      <c r="W54" s="255"/>
      <c r="X54" s="255"/>
      <c r="Y54" s="255"/>
      <c r="Z54" s="255"/>
      <c r="AA54" s="255"/>
      <c r="AB54" s="255"/>
      <c r="AC54" s="255"/>
      <c r="AD54" s="255"/>
      <c r="AE54" s="255"/>
      <c r="AF54" s="255"/>
      <c r="AG54" s="255"/>
      <c r="AH54" s="255"/>
      <c r="AI54" s="255"/>
      <c r="AJ54" s="255"/>
      <c r="AK54" s="255"/>
      <c r="AL54" s="255"/>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254" t="s">
        <v>97</v>
      </c>
      <c r="BT54" s="254"/>
      <c r="BU54" s="254"/>
      <c r="BV54" s="254"/>
      <c r="BW54" s="254"/>
      <c r="BX54" s="253"/>
      <c r="BY54" s="253"/>
      <c r="BZ54" s="253"/>
      <c r="CA54" s="253"/>
      <c r="CB54" s="253"/>
      <c r="CC54" s="253"/>
      <c r="CD54" s="253"/>
      <c r="CE54" s="253"/>
      <c r="CF54" s="253"/>
      <c r="CG54" s="253"/>
    </row>
    <row r="55" spans="12:85" ht="16.5" customHeight="1" x14ac:dyDescent="0.2">
      <c r="AM55" s="118">
        <f t="shared" ref="AM55:BR55" si="1">AM6</f>
        <v>15</v>
      </c>
      <c r="AN55" s="118">
        <f t="shared" si="1"/>
        <v>16</v>
      </c>
      <c r="AO55" s="118">
        <f t="shared" si="1"/>
        <v>17</v>
      </c>
      <c r="AP55" s="118">
        <f t="shared" si="1"/>
        <v>18</v>
      </c>
      <c r="AQ55" s="118">
        <f t="shared" si="1"/>
        <v>19</v>
      </c>
      <c r="AR55" s="118">
        <f t="shared" si="1"/>
        <v>20</v>
      </c>
      <c r="AS55" s="118">
        <f t="shared" si="1"/>
        <v>21</v>
      </c>
      <c r="AT55" s="118">
        <f t="shared" si="1"/>
        <v>22</v>
      </c>
      <c r="AU55" s="118">
        <f t="shared" si="1"/>
        <v>23</v>
      </c>
      <c r="AV55" s="118">
        <f t="shared" si="1"/>
        <v>24</v>
      </c>
      <c r="AW55" s="118">
        <f t="shared" si="1"/>
        <v>1</v>
      </c>
      <c r="AX55" s="118">
        <f t="shared" si="1"/>
        <v>2</v>
      </c>
      <c r="AY55" s="118">
        <f t="shared" si="1"/>
        <v>3</v>
      </c>
      <c r="AZ55" s="118">
        <f t="shared" si="1"/>
        <v>4</v>
      </c>
      <c r="BA55" s="118">
        <f t="shared" si="1"/>
        <v>5</v>
      </c>
      <c r="BB55" s="118">
        <f t="shared" si="1"/>
        <v>6</v>
      </c>
      <c r="BC55" s="118">
        <f t="shared" si="1"/>
        <v>7</v>
      </c>
      <c r="BD55" s="118">
        <f t="shared" si="1"/>
        <v>8</v>
      </c>
      <c r="BE55" s="118">
        <f t="shared" si="1"/>
        <v>9</v>
      </c>
      <c r="BF55" s="118">
        <f t="shared" si="1"/>
        <v>10</v>
      </c>
      <c r="BG55" s="118">
        <f t="shared" si="1"/>
        <v>11</v>
      </c>
      <c r="BH55" s="118">
        <f t="shared" si="1"/>
        <v>12</v>
      </c>
      <c r="BI55" s="118">
        <f t="shared" si="1"/>
        <v>13</v>
      </c>
      <c r="BJ55" s="118">
        <f t="shared" si="1"/>
        <v>14</v>
      </c>
      <c r="BK55" s="118">
        <f t="shared" si="1"/>
        <v>15</v>
      </c>
      <c r="BL55" s="118">
        <f t="shared" si="1"/>
        <v>16</v>
      </c>
      <c r="BM55" s="118">
        <f t="shared" si="1"/>
        <v>17</v>
      </c>
      <c r="BN55" s="118">
        <f t="shared" si="1"/>
        <v>18</v>
      </c>
      <c r="BO55" s="118">
        <f t="shared" si="1"/>
        <v>19</v>
      </c>
      <c r="BP55" s="118">
        <f t="shared" si="1"/>
        <v>20</v>
      </c>
      <c r="BQ55" s="118">
        <f t="shared" si="1"/>
        <v>21</v>
      </c>
      <c r="BR55" s="118">
        <f t="shared" si="1"/>
        <v>22</v>
      </c>
    </row>
    <row r="58" spans="12:85" ht="16.5" customHeight="1" x14ac:dyDescent="0.2">
      <c r="L58" s="22" t="s">
        <v>98</v>
      </c>
    </row>
  </sheetData>
  <sheetProtection formatCells="0" selectLockedCells="1"/>
  <mergeCells count="196">
    <mergeCell ref="T1:AY1"/>
    <mergeCell ref="BA1:CG1"/>
    <mergeCell ref="L2:X2"/>
    <mergeCell ref="Y2:AD2"/>
    <mergeCell ref="AE2:AI2"/>
    <mergeCell ref="AJ2:AV2"/>
    <mergeCell ref="AW2:BB2"/>
    <mergeCell ref="BC2:BI2"/>
    <mergeCell ref="BJ2:CG2"/>
    <mergeCell ref="L3:X3"/>
    <mergeCell ref="Y3:AD3"/>
    <mergeCell ref="AE3:AI3"/>
    <mergeCell ref="AJ3:AV3"/>
    <mergeCell ref="AW3:BB3"/>
    <mergeCell ref="BC3:BI3"/>
    <mergeCell ref="BJ3:CG3"/>
    <mergeCell ref="BC4:BI4"/>
    <mergeCell ref="BJ4:CG4"/>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T8:AL8"/>
    <mergeCell ref="BS8:BW8"/>
    <mergeCell ref="BX8:BZ8"/>
    <mergeCell ref="CA8:CB8"/>
    <mergeCell ref="CD8:CG8"/>
    <mergeCell ref="T6:AL6"/>
    <mergeCell ref="BS6:BW6"/>
    <mergeCell ref="CD6:CG6"/>
    <mergeCell ref="T7:AL7"/>
    <mergeCell ref="T9:AL9"/>
    <mergeCell ref="BS9:BW9"/>
    <mergeCell ref="BX9:BZ9"/>
    <mergeCell ref="CA9:CB9"/>
    <mergeCell ref="CD9:CG9"/>
    <mergeCell ref="T10:AL10"/>
    <mergeCell ref="BS10:BW10"/>
    <mergeCell ref="BX10:BZ10"/>
    <mergeCell ref="CA10:CB10"/>
    <mergeCell ref="CD10:CG10"/>
    <mergeCell ref="T11:AL11"/>
    <mergeCell ref="BS11:BW11"/>
    <mergeCell ref="BX11:BZ11"/>
    <mergeCell ref="CA11:CB11"/>
    <mergeCell ref="CD11:CG11"/>
    <mergeCell ref="T12:AL12"/>
    <mergeCell ref="BS12:BW12"/>
    <mergeCell ref="BX12:CG12"/>
    <mergeCell ref="T13:AL13"/>
    <mergeCell ref="BS13:BW13"/>
    <mergeCell ref="BX13:CG13"/>
    <mergeCell ref="T14:AL14"/>
    <mergeCell ref="BS14:CA15"/>
    <mergeCell ref="CB14:CG15"/>
    <mergeCell ref="T15:AL15"/>
    <mergeCell ref="T16:AL16"/>
    <mergeCell ref="BS16:CA16"/>
    <mergeCell ref="CB16:CE16"/>
    <mergeCell ref="CF16:CG16"/>
    <mergeCell ref="T17:AL17"/>
    <mergeCell ref="BS17:CA17"/>
    <mergeCell ref="CB17:CE17"/>
    <mergeCell ref="CF17:CG17"/>
    <mergeCell ref="T18:AL18"/>
    <mergeCell ref="BS18:CA18"/>
    <mergeCell ref="CB18:CE18"/>
    <mergeCell ref="CF18:CG18"/>
    <mergeCell ref="T19:AL19"/>
    <mergeCell ref="BS19:CA19"/>
    <mergeCell ref="CB19:CE19"/>
    <mergeCell ref="CF19:CG19"/>
    <mergeCell ref="T20:AL20"/>
    <mergeCell ref="BS20:CA20"/>
    <mergeCell ref="CB20:CG20"/>
    <mergeCell ref="T21:AL21"/>
    <mergeCell ref="BS21:CA21"/>
    <mergeCell ref="CB21:CG21"/>
    <mergeCell ref="T22:AL22"/>
    <mergeCell ref="BS22:CG22"/>
    <mergeCell ref="T23:AL23"/>
    <mergeCell ref="BS23:BV23"/>
    <mergeCell ref="BW23:CB23"/>
    <mergeCell ref="CD23:CG23"/>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8:AL28"/>
    <mergeCell ref="BS28:BV32"/>
    <mergeCell ref="BW28:CB28"/>
    <mergeCell ref="CD28:CG28"/>
    <mergeCell ref="T29:AL29"/>
    <mergeCell ref="BW29:CB29"/>
    <mergeCell ref="CD29:CG29"/>
    <mergeCell ref="T30:AL30"/>
    <mergeCell ref="T31:AL31"/>
    <mergeCell ref="L32:AL32"/>
    <mergeCell ref="BW32:CB32"/>
    <mergeCell ref="CD32:CG32"/>
    <mergeCell ref="L33:AL33"/>
    <mergeCell ref="BS33:BV33"/>
    <mergeCell ref="BW33:CB33"/>
    <mergeCell ref="CD33:CG33"/>
    <mergeCell ref="L34:AL34"/>
    <mergeCell ref="BS34:BV35"/>
    <mergeCell ref="BW34:CB34"/>
    <mergeCell ref="CD34:CG34"/>
    <mergeCell ref="L35:AL35"/>
    <mergeCell ref="BW35:CB35"/>
    <mergeCell ref="CD35:CG35"/>
    <mergeCell ref="L36:AL36"/>
    <mergeCell ref="BS36:BV37"/>
    <mergeCell ref="BW36:CB36"/>
    <mergeCell ref="CD36:CG36"/>
    <mergeCell ref="L37:AL37"/>
    <mergeCell ref="BW37:CB37"/>
    <mergeCell ref="CD37:CG37"/>
    <mergeCell ref="L38:AL38"/>
    <mergeCell ref="BS38:CA39"/>
    <mergeCell ref="CB38:CG39"/>
    <mergeCell ref="L39:AL39"/>
    <mergeCell ref="L40:AL40"/>
    <mergeCell ref="BS40:CA40"/>
    <mergeCell ref="CB40:CG40"/>
    <mergeCell ref="L41:AL41"/>
    <mergeCell ref="BS41:CA41"/>
    <mergeCell ref="CB41:CG41"/>
    <mergeCell ref="L42:AL42"/>
    <mergeCell ref="BS42:CA42"/>
    <mergeCell ref="CB42:CG42"/>
    <mergeCell ref="L43:AL43"/>
    <mergeCell ref="BS43:CA43"/>
    <mergeCell ref="CB43:CG43"/>
    <mergeCell ref="L44:AL44"/>
    <mergeCell ref="BS44:CA44"/>
    <mergeCell ref="CB44:CG44"/>
    <mergeCell ref="L45:AL45"/>
    <mergeCell ref="BS45:CA45"/>
    <mergeCell ref="CB45:CG45"/>
    <mergeCell ref="L46:AL46"/>
    <mergeCell ref="BS46:CA46"/>
    <mergeCell ref="CB46:CG46"/>
    <mergeCell ref="L47:AL47"/>
    <mergeCell ref="BS47:CA47"/>
    <mergeCell ref="CB47:CG47"/>
    <mergeCell ref="L48:AL48"/>
    <mergeCell ref="BS48:BW48"/>
    <mergeCell ref="BX48:CB48"/>
    <mergeCell ref="CD48:CG48"/>
    <mergeCell ref="L49:AL49"/>
    <mergeCell ref="BS49:BW49"/>
    <mergeCell ref="BX49:CB49"/>
    <mergeCell ref="CD49:CG49"/>
    <mergeCell ref="L50:AL50"/>
    <mergeCell ref="BS50:BW50"/>
    <mergeCell ref="BX50:CB50"/>
    <mergeCell ref="CD50:CG50"/>
    <mergeCell ref="L51:AL51"/>
    <mergeCell ref="BS51:BW51"/>
    <mergeCell ref="BX51:CB51"/>
    <mergeCell ref="CD51:CG51"/>
    <mergeCell ref="L52:AL52"/>
    <mergeCell ref="BS52:BW52"/>
    <mergeCell ref="BX52:CB52"/>
    <mergeCell ref="CD52:CG52"/>
    <mergeCell ref="L53:AL53"/>
    <mergeCell ref="BS53:BW53"/>
    <mergeCell ref="BX53:CB53"/>
    <mergeCell ref="CD53:CG53"/>
    <mergeCell ref="L54:AL54"/>
    <mergeCell ref="BS54:BW54"/>
    <mergeCell ref="BX54:CG54"/>
  </mergeCells>
  <dataValidations count="2">
    <dataValidation type="list" errorStyle="warning" allowBlank="1" promptTitle="выпадающий список" prompt="кнопка справа от ячейки" sqref="BC4:BI4">
      <formula1>"O (I), A (II), B (III), AB (IV)"</formula1>
    </dataValidation>
    <dataValidation type="list" allowBlank="1" showInputMessage="1" promptTitle="выпадающий список" prompt="кнопка справа от ячейки" sqref="BC5:BI5">
      <formula1>"Положительный, Отрицательный"</formula1>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mc:AlternateContent xmlns:mc="http://schemas.openxmlformats.org/markup-compatibility/2006">
      <mc:Choice Requires="x14">
        <control shapeId="2051" r:id="rId4" name="CheckBox32">
          <controlPr defaultSize="0" autoFill="0" autoLine="0" autoPict="0" r:id="rId5">
            <anchor moveWithCells="1" sizeWithCells="1">
              <from>
                <xdr:col>69</xdr:col>
                <xdr:colOff>47625</xdr:colOff>
                <xdr:row>55</xdr:row>
                <xdr:rowOff>66675</xdr:rowOff>
              </from>
              <to>
                <xdr:col>69</xdr:col>
                <xdr:colOff>161925</xdr:colOff>
                <xdr:row>55</xdr:row>
                <xdr:rowOff>171450</xdr:rowOff>
              </to>
            </anchor>
          </controlPr>
        </control>
      </mc:Choice>
      <mc:Fallback>
        <control shapeId="2088" r:id="rId4" name="CheckBox32"/>
      </mc:Fallback>
    </mc:AlternateContent>
    <mc:AlternateContent xmlns:mc="http://schemas.openxmlformats.org/markup-compatibility/2006">
      <mc:Choice Requires="x14">
        <control shapeId="2050" r:id="rId6" name="CheckBox31">
          <controlPr defaultSize="0" autoFill="0" autoLine="0" autoPict="0" r:id="rId7">
            <anchor moveWithCells="1" sizeWithCells="1">
              <from>
                <xdr:col>68</xdr:col>
                <xdr:colOff>47625</xdr:colOff>
                <xdr:row>55</xdr:row>
                <xdr:rowOff>66675</xdr:rowOff>
              </from>
              <to>
                <xdr:col>68</xdr:col>
                <xdr:colOff>161925</xdr:colOff>
                <xdr:row>55</xdr:row>
                <xdr:rowOff>171450</xdr:rowOff>
              </to>
            </anchor>
          </controlPr>
        </control>
      </mc:Choice>
      <mc:Fallback>
        <control shapeId="2087" r:id="rId6" name="CheckBox31"/>
      </mc:Fallback>
    </mc:AlternateContent>
    <mc:AlternateContent xmlns:mc="http://schemas.openxmlformats.org/markup-compatibility/2006">
      <mc:Choice Requires="x14">
        <control shapeId="2049" r:id="rId8" name="CheckBox30">
          <controlPr defaultSize="0" autoFill="0" autoLine="0" autoPict="0" r:id="rId9">
            <anchor moveWithCells="1" sizeWithCells="1">
              <from>
                <xdr:col>67</xdr:col>
                <xdr:colOff>47625</xdr:colOff>
                <xdr:row>55</xdr:row>
                <xdr:rowOff>66675</xdr:rowOff>
              </from>
              <to>
                <xdr:col>67</xdr:col>
                <xdr:colOff>161925</xdr:colOff>
                <xdr:row>55</xdr:row>
                <xdr:rowOff>171450</xdr:rowOff>
              </to>
            </anchor>
          </controlPr>
        </control>
      </mc:Choice>
      <mc:Fallback>
        <control shapeId="2086" r:id="rId8" name="CheckBox30"/>
      </mc:Fallback>
    </mc:AlternateContent>
    <mc:AlternateContent xmlns:mc="http://schemas.openxmlformats.org/markup-compatibility/2006">
      <mc:Choice Requires="x14">
        <control shapeId="2048" r:id="rId10" name="CheckBox29">
          <controlPr defaultSize="0" autoFill="0" autoLine="0" autoPict="0" r:id="rId11">
            <anchor moveWithCells="1" sizeWithCells="1">
              <from>
                <xdr:col>66</xdr:col>
                <xdr:colOff>47625</xdr:colOff>
                <xdr:row>55</xdr:row>
                <xdr:rowOff>66675</xdr:rowOff>
              </from>
              <to>
                <xdr:col>66</xdr:col>
                <xdr:colOff>161925</xdr:colOff>
                <xdr:row>55</xdr:row>
                <xdr:rowOff>171450</xdr:rowOff>
              </to>
            </anchor>
          </controlPr>
        </control>
      </mc:Choice>
      <mc:Fallback>
        <control shapeId="2085" r:id="rId10" name="CheckBox29"/>
      </mc:Fallback>
    </mc:AlternateContent>
    <mc:AlternateContent xmlns:mc="http://schemas.openxmlformats.org/markup-compatibility/2006">
      <mc:Choice Requires="x14">
        <control shapeId="31" r:id="rId12" name="CheckBox28">
          <controlPr defaultSize="0" autoFill="0" autoLine="0" autoPict="0" r:id="rId13">
            <anchor moveWithCells="1" sizeWithCells="1">
              <from>
                <xdr:col>65</xdr:col>
                <xdr:colOff>47625</xdr:colOff>
                <xdr:row>55</xdr:row>
                <xdr:rowOff>66675</xdr:rowOff>
              </from>
              <to>
                <xdr:col>65</xdr:col>
                <xdr:colOff>161925</xdr:colOff>
                <xdr:row>55</xdr:row>
                <xdr:rowOff>171450</xdr:rowOff>
              </to>
            </anchor>
          </controlPr>
        </control>
      </mc:Choice>
      <mc:Fallback>
        <control shapeId="2084" r:id="rId12" name="CheckBox28"/>
      </mc:Fallback>
    </mc:AlternateContent>
    <mc:AlternateContent xmlns:mc="http://schemas.openxmlformats.org/markup-compatibility/2006">
      <mc:Choice Requires="x14">
        <control shapeId="30" r:id="rId14" name="CheckBox27">
          <controlPr defaultSize="0" autoFill="0" autoLine="0" autoPict="0" r:id="rId15">
            <anchor moveWithCells="1" sizeWithCells="1">
              <from>
                <xdr:col>64</xdr:col>
                <xdr:colOff>47625</xdr:colOff>
                <xdr:row>55</xdr:row>
                <xdr:rowOff>66675</xdr:rowOff>
              </from>
              <to>
                <xdr:col>64</xdr:col>
                <xdr:colOff>161925</xdr:colOff>
                <xdr:row>55</xdr:row>
                <xdr:rowOff>171450</xdr:rowOff>
              </to>
            </anchor>
          </controlPr>
        </control>
      </mc:Choice>
      <mc:Fallback>
        <control shapeId="2083" r:id="rId14" name="CheckBox27"/>
      </mc:Fallback>
    </mc:AlternateContent>
    <mc:AlternateContent xmlns:mc="http://schemas.openxmlformats.org/markup-compatibility/2006">
      <mc:Choice Requires="x14">
        <control shapeId="29" r:id="rId16" name="CheckBox26">
          <controlPr defaultSize="0" autoFill="0" autoLine="0" autoPict="0" r:id="rId17">
            <anchor moveWithCells="1" sizeWithCells="1">
              <from>
                <xdr:col>63</xdr:col>
                <xdr:colOff>47625</xdr:colOff>
                <xdr:row>55</xdr:row>
                <xdr:rowOff>66675</xdr:rowOff>
              </from>
              <to>
                <xdr:col>63</xdr:col>
                <xdr:colOff>161925</xdr:colOff>
                <xdr:row>55</xdr:row>
                <xdr:rowOff>171450</xdr:rowOff>
              </to>
            </anchor>
          </controlPr>
        </control>
      </mc:Choice>
      <mc:Fallback>
        <control shapeId="2082" r:id="rId16" name="CheckBox26"/>
      </mc:Fallback>
    </mc:AlternateContent>
    <mc:AlternateContent xmlns:mc="http://schemas.openxmlformats.org/markup-compatibility/2006">
      <mc:Choice Requires="x14">
        <control shapeId="28" r:id="rId18" name="CheckBox25">
          <controlPr defaultSize="0" autoFill="0" autoLine="0" autoPict="0" r:id="rId19">
            <anchor moveWithCells="1" sizeWithCells="1">
              <from>
                <xdr:col>62</xdr:col>
                <xdr:colOff>47625</xdr:colOff>
                <xdr:row>55</xdr:row>
                <xdr:rowOff>66675</xdr:rowOff>
              </from>
              <to>
                <xdr:col>62</xdr:col>
                <xdr:colOff>161925</xdr:colOff>
                <xdr:row>55</xdr:row>
                <xdr:rowOff>171450</xdr:rowOff>
              </to>
            </anchor>
          </controlPr>
        </control>
      </mc:Choice>
      <mc:Fallback>
        <control shapeId="2081" r:id="rId18" name="CheckBox25"/>
      </mc:Fallback>
    </mc:AlternateContent>
    <mc:AlternateContent xmlns:mc="http://schemas.openxmlformats.org/markup-compatibility/2006">
      <mc:Choice Requires="x14">
        <control shapeId="27" r:id="rId20" name="CheckBox24">
          <controlPr defaultSize="0" autoFill="0" autoLine="0" autoPict="0" r:id="rId21">
            <anchor moveWithCells="1" sizeWithCells="1">
              <from>
                <xdr:col>61</xdr:col>
                <xdr:colOff>47625</xdr:colOff>
                <xdr:row>55</xdr:row>
                <xdr:rowOff>66675</xdr:rowOff>
              </from>
              <to>
                <xdr:col>61</xdr:col>
                <xdr:colOff>161925</xdr:colOff>
                <xdr:row>55</xdr:row>
                <xdr:rowOff>171450</xdr:rowOff>
              </to>
            </anchor>
          </controlPr>
        </control>
      </mc:Choice>
      <mc:Fallback>
        <control shapeId="2080" r:id="rId20" name="CheckBox24"/>
      </mc:Fallback>
    </mc:AlternateContent>
    <mc:AlternateContent xmlns:mc="http://schemas.openxmlformats.org/markup-compatibility/2006">
      <mc:Choice Requires="x14">
        <control shapeId="26" r:id="rId22" name="CheckBox23">
          <controlPr defaultSize="0" autoFill="0" autoLine="0" autoPict="0" r:id="rId23">
            <anchor moveWithCells="1" sizeWithCells="1">
              <from>
                <xdr:col>60</xdr:col>
                <xdr:colOff>47625</xdr:colOff>
                <xdr:row>55</xdr:row>
                <xdr:rowOff>66675</xdr:rowOff>
              </from>
              <to>
                <xdr:col>60</xdr:col>
                <xdr:colOff>161925</xdr:colOff>
                <xdr:row>55</xdr:row>
                <xdr:rowOff>171450</xdr:rowOff>
              </to>
            </anchor>
          </controlPr>
        </control>
      </mc:Choice>
      <mc:Fallback>
        <control shapeId="2079" r:id="rId22" name="CheckBox23"/>
      </mc:Fallback>
    </mc:AlternateContent>
    <mc:AlternateContent xmlns:mc="http://schemas.openxmlformats.org/markup-compatibility/2006">
      <mc:Choice Requires="x14">
        <control shapeId="25" r:id="rId24" name="CheckBox22">
          <controlPr defaultSize="0" autoFill="0" autoLine="0" autoPict="0" r:id="rId25">
            <anchor moveWithCells="1" sizeWithCells="1">
              <from>
                <xdr:col>59</xdr:col>
                <xdr:colOff>47625</xdr:colOff>
                <xdr:row>55</xdr:row>
                <xdr:rowOff>66675</xdr:rowOff>
              </from>
              <to>
                <xdr:col>59</xdr:col>
                <xdr:colOff>161925</xdr:colOff>
                <xdr:row>55</xdr:row>
                <xdr:rowOff>171450</xdr:rowOff>
              </to>
            </anchor>
          </controlPr>
        </control>
      </mc:Choice>
      <mc:Fallback>
        <control shapeId="2078" r:id="rId24" name="CheckBox22"/>
      </mc:Fallback>
    </mc:AlternateContent>
    <mc:AlternateContent xmlns:mc="http://schemas.openxmlformats.org/markup-compatibility/2006">
      <mc:Choice Requires="x14">
        <control shapeId="24" r:id="rId26" name="CheckBox21">
          <controlPr defaultSize="0" autoFill="0" autoLine="0" autoPict="0" r:id="rId27">
            <anchor moveWithCells="1" sizeWithCells="1">
              <from>
                <xdr:col>58</xdr:col>
                <xdr:colOff>47625</xdr:colOff>
                <xdr:row>55</xdr:row>
                <xdr:rowOff>66675</xdr:rowOff>
              </from>
              <to>
                <xdr:col>58</xdr:col>
                <xdr:colOff>161925</xdr:colOff>
                <xdr:row>55</xdr:row>
                <xdr:rowOff>171450</xdr:rowOff>
              </to>
            </anchor>
          </controlPr>
        </control>
      </mc:Choice>
      <mc:Fallback>
        <control shapeId="2077" r:id="rId26" name="CheckBox21"/>
      </mc:Fallback>
    </mc:AlternateContent>
    <mc:AlternateContent xmlns:mc="http://schemas.openxmlformats.org/markup-compatibility/2006">
      <mc:Choice Requires="x14">
        <control shapeId="23" r:id="rId28" name="CheckBox20">
          <controlPr defaultSize="0" autoFill="0" autoLine="0" autoPict="0" r:id="rId29">
            <anchor moveWithCells="1" sizeWithCells="1">
              <from>
                <xdr:col>57</xdr:col>
                <xdr:colOff>47625</xdr:colOff>
                <xdr:row>55</xdr:row>
                <xdr:rowOff>66675</xdr:rowOff>
              </from>
              <to>
                <xdr:col>57</xdr:col>
                <xdr:colOff>161925</xdr:colOff>
                <xdr:row>55</xdr:row>
                <xdr:rowOff>171450</xdr:rowOff>
              </to>
            </anchor>
          </controlPr>
        </control>
      </mc:Choice>
      <mc:Fallback>
        <control shapeId="2076" r:id="rId28" name="CheckBox20"/>
      </mc:Fallback>
    </mc:AlternateContent>
    <mc:AlternateContent xmlns:mc="http://schemas.openxmlformats.org/markup-compatibility/2006">
      <mc:Choice Requires="x14">
        <control shapeId="22" r:id="rId30" name="CheckBox19">
          <controlPr defaultSize="0" autoFill="0" autoLine="0" autoPict="0" r:id="rId31">
            <anchor moveWithCells="1" sizeWithCells="1">
              <from>
                <xdr:col>56</xdr:col>
                <xdr:colOff>47625</xdr:colOff>
                <xdr:row>55</xdr:row>
                <xdr:rowOff>66675</xdr:rowOff>
              </from>
              <to>
                <xdr:col>56</xdr:col>
                <xdr:colOff>161925</xdr:colOff>
                <xdr:row>55</xdr:row>
                <xdr:rowOff>171450</xdr:rowOff>
              </to>
            </anchor>
          </controlPr>
        </control>
      </mc:Choice>
      <mc:Fallback>
        <control shapeId="2075" r:id="rId30" name="CheckBox19"/>
      </mc:Fallback>
    </mc:AlternateContent>
    <mc:AlternateContent xmlns:mc="http://schemas.openxmlformats.org/markup-compatibility/2006">
      <mc:Choice Requires="x14">
        <control shapeId="21" r:id="rId32" name="CheckBox18">
          <controlPr defaultSize="0" autoFill="0" autoLine="0" autoPict="0" r:id="rId33">
            <anchor moveWithCells="1" sizeWithCells="1">
              <from>
                <xdr:col>55</xdr:col>
                <xdr:colOff>47625</xdr:colOff>
                <xdr:row>55</xdr:row>
                <xdr:rowOff>66675</xdr:rowOff>
              </from>
              <to>
                <xdr:col>55</xdr:col>
                <xdr:colOff>161925</xdr:colOff>
                <xdr:row>55</xdr:row>
                <xdr:rowOff>171450</xdr:rowOff>
              </to>
            </anchor>
          </controlPr>
        </control>
      </mc:Choice>
      <mc:Fallback>
        <control shapeId="2074" r:id="rId32" name="CheckBox18"/>
      </mc:Fallback>
    </mc:AlternateContent>
    <mc:AlternateContent xmlns:mc="http://schemas.openxmlformats.org/markup-compatibility/2006">
      <mc:Choice Requires="x14">
        <control shapeId="20" r:id="rId34" name="CheckBox17">
          <controlPr defaultSize="0" autoFill="0" autoLine="0" autoPict="0" r:id="rId35">
            <anchor moveWithCells="1" sizeWithCells="1">
              <from>
                <xdr:col>54</xdr:col>
                <xdr:colOff>47625</xdr:colOff>
                <xdr:row>55</xdr:row>
                <xdr:rowOff>66675</xdr:rowOff>
              </from>
              <to>
                <xdr:col>54</xdr:col>
                <xdr:colOff>161925</xdr:colOff>
                <xdr:row>55</xdr:row>
                <xdr:rowOff>171450</xdr:rowOff>
              </to>
            </anchor>
          </controlPr>
        </control>
      </mc:Choice>
      <mc:Fallback>
        <control shapeId="2073" r:id="rId34" name="CheckBox17"/>
      </mc:Fallback>
    </mc:AlternateContent>
    <mc:AlternateContent xmlns:mc="http://schemas.openxmlformats.org/markup-compatibility/2006">
      <mc:Choice Requires="x14">
        <control shapeId="19" r:id="rId36" name="CheckBox16">
          <controlPr defaultSize="0" autoFill="0" autoLine="0" autoPict="0" r:id="rId37">
            <anchor moveWithCells="1" sizeWithCells="1">
              <from>
                <xdr:col>53</xdr:col>
                <xdr:colOff>47625</xdr:colOff>
                <xdr:row>55</xdr:row>
                <xdr:rowOff>66675</xdr:rowOff>
              </from>
              <to>
                <xdr:col>53</xdr:col>
                <xdr:colOff>161925</xdr:colOff>
                <xdr:row>55</xdr:row>
                <xdr:rowOff>171450</xdr:rowOff>
              </to>
            </anchor>
          </controlPr>
        </control>
      </mc:Choice>
      <mc:Fallback>
        <control shapeId="2072" r:id="rId36" name="CheckBox16"/>
      </mc:Fallback>
    </mc:AlternateContent>
    <mc:AlternateContent xmlns:mc="http://schemas.openxmlformats.org/markup-compatibility/2006">
      <mc:Choice Requires="x14">
        <control shapeId="18" r:id="rId38" name="CheckBox15">
          <controlPr defaultSize="0" autoFill="0" autoLine="0" autoPict="0" r:id="rId39">
            <anchor moveWithCells="1" sizeWithCells="1">
              <from>
                <xdr:col>52</xdr:col>
                <xdr:colOff>47625</xdr:colOff>
                <xdr:row>55</xdr:row>
                <xdr:rowOff>66675</xdr:rowOff>
              </from>
              <to>
                <xdr:col>52</xdr:col>
                <xdr:colOff>161925</xdr:colOff>
                <xdr:row>55</xdr:row>
                <xdr:rowOff>171450</xdr:rowOff>
              </to>
            </anchor>
          </controlPr>
        </control>
      </mc:Choice>
      <mc:Fallback>
        <control shapeId="2071" r:id="rId38" name="CheckBox15"/>
      </mc:Fallback>
    </mc:AlternateContent>
    <mc:AlternateContent xmlns:mc="http://schemas.openxmlformats.org/markup-compatibility/2006">
      <mc:Choice Requires="x14">
        <control shapeId="17" r:id="rId40" name="CheckBox14">
          <controlPr defaultSize="0" autoFill="0" autoLine="0" autoPict="0" r:id="rId41">
            <anchor moveWithCells="1" sizeWithCells="1">
              <from>
                <xdr:col>51</xdr:col>
                <xdr:colOff>47625</xdr:colOff>
                <xdr:row>55</xdr:row>
                <xdr:rowOff>66675</xdr:rowOff>
              </from>
              <to>
                <xdr:col>51</xdr:col>
                <xdr:colOff>161925</xdr:colOff>
                <xdr:row>55</xdr:row>
                <xdr:rowOff>171450</xdr:rowOff>
              </to>
            </anchor>
          </controlPr>
        </control>
      </mc:Choice>
      <mc:Fallback>
        <control shapeId="2070" r:id="rId40" name="CheckBox14"/>
      </mc:Fallback>
    </mc:AlternateContent>
    <mc:AlternateContent xmlns:mc="http://schemas.openxmlformats.org/markup-compatibility/2006">
      <mc:Choice Requires="x14">
        <control shapeId="16" r:id="rId42" name="CheckBox13">
          <controlPr defaultSize="0" autoFill="0" autoLine="0" autoPict="0" r:id="rId43">
            <anchor moveWithCells="1" sizeWithCells="1">
              <from>
                <xdr:col>50</xdr:col>
                <xdr:colOff>47625</xdr:colOff>
                <xdr:row>55</xdr:row>
                <xdr:rowOff>66675</xdr:rowOff>
              </from>
              <to>
                <xdr:col>50</xdr:col>
                <xdr:colOff>161925</xdr:colOff>
                <xdr:row>55</xdr:row>
                <xdr:rowOff>171450</xdr:rowOff>
              </to>
            </anchor>
          </controlPr>
        </control>
      </mc:Choice>
      <mc:Fallback>
        <control shapeId="2069" r:id="rId42" name="CheckBox13"/>
      </mc:Fallback>
    </mc:AlternateContent>
    <mc:AlternateContent xmlns:mc="http://schemas.openxmlformats.org/markup-compatibility/2006">
      <mc:Choice Requires="x14">
        <control shapeId="15" r:id="rId44" name="CheckBox12">
          <controlPr defaultSize="0" autoFill="0" autoLine="0" autoPict="0" r:id="rId45">
            <anchor moveWithCells="1" sizeWithCells="1">
              <from>
                <xdr:col>49</xdr:col>
                <xdr:colOff>47625</xdr:colOff>
                <xdr:row>55</xdr:row>
                <xdr:rowOff>66675</xdr:rowOff>
              </from>
              <to>
                <xdr:col>49</xdr:col>
                <xdr:colOff>161925</xdr:colOff>
                <xdr:row>55</xdr:row>
                <xdr:rowOff>171450</xdr:rowOff>
              </to>
            </anchor>
          </controlPr>
        </control>
      </mc:Choice>
      <mc:Fallback>
        <control shapeId="2068" r:id="rId44" name="CheckBox12"/>
      </mc:Fallback>
    </mc:AlternateContent>
    <mc:AlternateContent xmlns:mc="http://schemas.openxmlformats.org/markup-compatibility/2006">
      <mc:Choice Requires="x14">
        <control shapeId="14" r:id="rId46" name="CheckBox11">
          <controlPr defaultSize="0" autoFill="0" autoLine="0" autoPict="0" r:id="rId47">
            <anchor moveWithCells="1" sizeWithCells="1">
              <from>
                <xdr:col>48</xdr:col>
                <xdr:colOff>47625</xdr:colOff>
                <xdr:row>55</xdr:row>
                <xdr:rowOff>66675</xdr:rowOff>
              </from>
              <to>
                <xdr:col>48</xdr:col>
                <xdr:colOff>161925</xdr:colOff>
                <xdr:row>55</xdr:row>
                <xdr:rowOff>171450</xdr:rowOff>
              </to>
            </anchor>
          </controlPr>
        </control>
      </mc:Choice>
      <mc:Fallback>
        <control shapeId="2067" r:id="rId46" name="CheckBox11"/>
      </mc:Fallback>
    </mc:AlternateContent>
    <mc:AlternateContent xmlns:mc="http://schemas.openxmlformats.org/markup-compatibility/2006">
      <mc:Choice Requires="x14">
        <control shapeId="13" r:id="rId48" name="CheckBox10">
          <controlPr defaultSize="0" autoFill="0" autoLine="0" autoPict="0" r:id="rId49">
            <anchor moveWithCells="1" sizeWithCells="1">
              <from>
                <xdr:col>47</xdr:col>
                <xdr:colOff>47625</xdr:colOff>
                <xdr:row>55</xdr:row>
                <xdr:rowOff>66675</xdr:rowOff>
              </from>
              <to>
                <xdr:col>47</xdr:col>
                <xdr:colOff>161925</xdr:colOff>
                <xdr:row>55</xdr:row>
                <xdr:rowOff>171450</xdr:rowOff>
              </to>
            </anchor>
          </controlPr>
        </control>
      </mc:Choice>
      <mc:Fallback>
        <control shapeId="2066" r:id="rId48" name="CheckBox10"/>
      </mc:Fallback>
    </mc:AlternateContent>
    <mc:AlternateContent xmlns:mc="http://schemas.openxmlformats.org/markup-compatibility/2006">
      <mc:Choice Requires="x14">
        <control shapeId="12" r:id="rId50" name="CheckBox9">
          <controlPr defaultSize="0" autoFill="0" autoLine="0" autoPict="0" r:id="rId51">
            <anchor moveWithCells="1" sizeWithCells="1">
              <from>
                <xdr:col>46</xdr:col>
                <xdr:colOff>47625</xdr:colOff>
                <xdr:row>55</xdr:row>
                <xdr:rowOff>66675</xdr:rowOff>
              </from>
              <to>
                <xdr:col>46</xdr:col>
                <xdr:colOff>161925</xdr:colOff>
                <xdr:row>55</xdr:row>
                <xdr:rowOff>171450</xdr:rowOff>
              </to>
            </anchor>
          </controlPr>
        </control>
      </mc:Choice>
      <mc:Fallback>
        <control shapeId="2065" r:id="rId50" name="CheckBox9"/>
      </mc:Fallback>
    </mc:AlternateContent>
    <mc:AlternateContent xmlns:mc="http://schemas.openxmlformats.org/markup-compatibility/2006">
      <mc:Choice Requires="x14">
        <control shapeId="11" r:id="rId52" name="CheckBox8">
          <controlPr defaultSize="0" autoFill="0" autoLine="0" autoPict="0" r:id="rId53">
            <anchor moveWithCells="1" sizeWithCells="1">
              <from>
                <xdr:col>45</xdr:col>
                <xdr:colOff>47625</xdr:colOff>
                <xdr:row>55</xdr:row>
                <xdr:rowOff>66675</xdr:rowOff>
              </from>
              <to>
                <xdr:col>45</xdr:col>
                <xdr:colOff>161925</xdr:colOff>
                <xdr:row>55</xdr:row>
                <xdr:rowOff>171450</xdr:rowOff>
              </to>
            </anchor>
          </controlPr>
        </control>
      </mc:Choice>
      <mc:Fallback>
        <control shapeId="2064" r:id="rId52" name="CheckBox8"/>
      </mc:Fallback>
    </mc:AlternateContent>
    <mc:AlternateContent xmlns:mc="http://schemas.openxmlformats.org/markup-compatibility/2006">
      <mc:Choice Requires="x14">
        <control shapeId="10" r:id="rId54" name="CheckBox7">
          <controlPr defaultSize="0" autoFill="0" autoLine="0" autoPict="0" r:id="rId55">
            <anchor moveWithCells="1" sizeWithCells="1">
              <from>
                <xdr:col>44</xdr:col>
                <xdr:colOff>47625</xdr:colOff>
                <xdr:row>55</xdr:row>
                <xdr:rowOff>66675</xdr:rowOff>
              </from>
              <to>
                <xdr:col>44</xdr:col>
                <xdr:colOff>161925</xdr:colOff>
                <xdr:row>55</xdr:row>
                <xdr:rowOff>171450</xdr:rowOff>
              </to>
            </anchor>
          </controlPr>
        </control>
      </mc:Choice>
      <mc:Fallback>
        <control shapeId="2063" r:id="rId54" name="CheckBox7"/>
      </mc:Fallback>
    </mc:AlternateContent>
    <mc:AlternateContent xmlns:mc="http://schemas.openxmlformats.org/markup-compatibility/2006">
      <mc:Choice Requires="x14">
        <control shapeId="9" r:id="rId56" name="CheckBox6">
          <controlPr defaultSize="0" autoFill="0" autoLine="0" autoPict="0" r:id="rId57">
            <anchor moveWithCells="1" sizeWithCells="1">
              <from>
                <xdr:col>43</xdr:col>
                <xdr:colOff>47625</xdr:colOff>
                <xdr:row>55</xdr:row>
                <xdr:rowOff>66675</xdr:rowOff>
              </from>
              <to>
                <xdr:col>43</xdr:col>
                <xdr:colOff>161925</xdr:colOff>
                <xdr:row>55</xdr:row>
                <xdr:rowOff>171450</xdr:rowOff>
              </to>
            </anchor>
          </controlPr>
        </control>
      </mc:Choice>
      <mc:Fallback>
        <control shapeId="2062" r:id="rId56" name="CheckBox6"/>
      </mc:Fallback>
    </mc:AlternateContent>
    <mc:AlternateContent xmlns:mc="http://schemas.openxmlformats.org/markup-compatibility/2006">
      <mc:Choice Requires="x14">
        <control shapeId="8" r:id="rId58" name="CheckBox5">
          <controlPr defaultSize="0" autoFill="0" autoLine="0" autoPict="0" r:id="rId59">
            <anchor moveWithCells="1" sizeWithCells="1">
              <from>
                <xdr:col>42</xdr:col>
                <xdr:colOff>47625</xdr:colOff>
                <xdr:row>55</xdr:row>
                <xdr:rowOff>66675</xdr:rowOff>
              </from>
              <to>
                <xdr:col>42</xdr:col>
                <xdr:colOff>161925</xdr:colOff>
                <xdr:row>55</xdr:row>
                <xdr:rowOff>171450</xdr:rowOff>
              </to>
            </anchor>
          </controlPr>
        </control>
      </mc:Choice>
      <mc:Fallback>
        <control shapeId="2061" r:id="rId58" name="CheckBox5"/>
      </mc:Fallback>
    </mc:AlternateContent>
    <mc:AlternateContent xmlns:mc="http://schemas.openxmlformats.org/markup-compatibility/2006">
      <mc:Choice Requires="x14">
        <control shapeId="7" r:id="rId60" name="CheckBox4">
          <controlPr defaultSize="0" autoFill="0" autoLine="0" autoPict="0" r:id="rId61">
            <anchor moveWithCells="1" sizeWithCells="1">
              <from>
                <xdr:col>41</xdr:col>
                <xdr:colOff>66675</xdr:colOff>
                <xdr:row>55</xdr:row>
                <xdr:rowOff>66675</xdr:rowOff>
              </from>
              <to>
                <xdr:col>41</xdr:col>
                <xdr:colOff>180975</xdr:colOff>
                <xdr:row>55</xdr:row>
                <xdr:rowOff>171450</xdr:rowOff>
              </to>
            </anchor>
          </controlPr>
        </control>
      </mc:Choice>
      <mc:Fallback>
        <control shapeId="2060" r:id="rId60" name="CheckBox4"/>
      </mc:Fallback>
    </mc:AlternateContent>
    <mc:AlternateContent xmlns:mc="http://schemas.openxmlformats.org/markup-compatibility/2006">
      <mc:Choice Requires="x14">
        <control shapeId="6" r:id="rId62" name="CheckBox3">
          <controlPr defaultSize="0" autoFill="0" autoLine="0" autoPict="0" r:id="rId63">
            <anchor moveWithCells="1" sizeWithCells="1">
              <from>
                <xdr:col>40</xdr:col>
                <xdr:colOff>47625</xdr:colOff>
                <xdr:row>55</xdr:row>
                <xdr:rowOff>66675</xdr:rowOff>
              </from>
              <to>
                <xdr:col>40</xdr:col>
                <xdr:colOff>161925</xdr:colOff>
                <xdr:row>55</xdr:row>
                <xdr:rowOff>171450</xdr:rowOff>
              </to>
            </anchor>
          </controlPr>
        </control>
      </mc:Choice>
      <mc:Fallback>
        <control shapeId="2059" r:id="rId62" name="CheckBox3"/>
      </mc:Fallback>
    </mc:AlternateContent>
    <mc:AlternateContent xmlns:mc="http://schemas.openxmlformats.org/markup-compatibility/2006">
      <mc:Choice Requires="x14">
        <control shapeId="5" r:id="rId64" name="CheckBox2">
          <controlPr defaultSize="0" autoFill="0" autoLine="0" autoPict="0" r:id="rId65">
            <anchor moveWithCells="1" sizeWithCells="1">
              <from>
                <xdr:col>39</xdr:col>
                <xdr:colOff>47625</xdr:colOff>
                <xdr:row>55</xdr:row>
                <xdr:rowOff>66675</xdr:rowOff>
              </from>
              <to>
                <xdr:col>39</xdr:col>
                <xdr:colOff>161925</xdr:colOff>
                <xdr:row>55</xdr:row>
                <xdr:rowOff>171450</xdr:rowOff>
              </to>
            </anchor>
          </controlPr>
        </control>
      </mc:Choice>
      <mc:Fallback>
        <control shapeId="2058" r:id="rId64" name="CheckBox2"/>
      </mc:Fallback>
    </mc:AlternateContent>
    <mc:AlternateContent xmlns:mc="http://schemas.openxmlformats.org/markup-compatibility/2006">
      <mc:Choice Requires="x14">
        <control shapeId="4" r:id="rId66" name="CheckBox1">
          <controlPr defaultSize="0" autoFill="0" autoLine="0" autoPict="0" r:id="rId67">
            <anchor moveWithCells="1" sizeWithCells="1">
              <from>
                <xdr:col>38</xdr:col>
                <xdr:colOff>47625</xdr:colOff>
                <xdr:row>55</xdr:row>
                <xdr:rowOff>66675</xdr:rowOff>
              </from>
              <to>
                <xdr:col>38</xdr:col>
                <xdr:colOff>161925</xdr:colOff>
                <xdr:row>55</xdr:row>
                <xdr:rowOff>171450</xdr:rowOff>
              </to>
            </anchor>
          </controlPr>
        </control>
      </mc:Choice>
      <mc:Fallback>
        <control shapeId="2057" r:id="rId66" name="CheckBox1"/>
      </mc:Fallback>
    </mc:AlternateContent>
    <mc:AlternateContent xmlns:mc="http://schemas.openxmlformats.org/markup-compatibility/2006">
      <mc:Choice Requires="x14">
        <control shapeId="3" r:id="rId68" name="CommandButton2">
          <controlPr defaultSize="0" autoFill="0" autoLine="0" autoPict="0" r:id="rId69">
            <anchor moveWithCells="1" sizeWithCells="1">
              <from>
                <xdr:col>11</xdr:col>
                <xdr:colOff>114300</xdr:colOff>
                <xdr:row>59</xdr:row>
                <xdr:rowOff>19050</xdr:rowOff>
              </from>
              <to>
                <xdr:col>25</xdr:col>
                <xdr:colOff>142875</xdr:colOff>
                <xdr:row>60</xdr:row>
                <xdr:rowOff>180975</xdr:rowOff>
              </to>
            </anchor>
          </controlPr>
        </control>
      </mc:Choice>
      <mc:Fallback>
        <control shapeId="2056" r:id="rId68" name="CommandButton2"/>
      </mc:Fallback>
    </mc:AlternateContent>
    <mc:AlternateContent xmlns:mc="http://schemas.openxmlformats.org/markup-compatibility/2006">
      <mc:Choice Requires="x14">
        <control shapeId="2" r:id="rId70" name="CommandButton1">
          <controlPr defaultSize="0" autoFill="0" autoLine="0" autoPict="0" r:id="rId71">
            <anchor moveWithCells="1" sizeWithCells="1">
              <from>
                <xdr:col>11</xdr:col>
                <xdr:colOff>219075</xdr:colOff>
                <xdr:row>56</xdr:row>
                <xdr:rowOff>0</xdr:rowOff>
              </from>
              <to>
                <xdr:col>25</xdr:col>
                <xdr:colOff>152400</xdr:colOff>
                <xdr:row>57</xdr:row>
                <xdr:rowOff>142875</xdr:rowOff>
              </to>
            </anchor>
          </controlPr>
        </control>
      </mc:Choice>
      <mc:Fallback>
        <control shapeId="2055" r:id="rId70" name="CommandButton1"/>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indexed="54"/>
  </sheetPr>
  <dimension ref="A1:AK54"/>
  <sheetViews>
    <sheetView workbookViewId="0">
      <selection activeCell="L31" sqref="L31"/>
    </sheetView>
  </sheetViews>
  <sheetFormatPr defaultRowHeight="12.75" x14ac:dyDescent="0.2"/>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x14ac:dyDescent="0.2">
      <c r="A1" s="312" t="s">
        <v>99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s="312"/>
      <c r="AH1" s="312"/>
      <c r="AI1" s="312"/>
      <c r="AJ1" s="312"/>
      <c r="AK1" s="312"/>
    </row>
    <row r="2" spans="1:37" s="121" customFormat="1" ht="25.5" customHeight="1" x14ac:dyDescent="0.25">
      <c r="A2" s="313" t="s">
        <v>33</v>
      </c>
      <c r="B2" s="313"/>
      <c r="C2" s="313"/>
      <c r="D2" s="313"/>
      <c r="E2" s="313"/>
      <c r="F2" s="120" t="s">
        <v>100</v>
      </c>
      <c r="G2" s="314" t="s">
        <v>43</v>
      </c>
      <c r="H2" s="314"/>
      <c r="I2" s="314"/>
      <c r="J2" s="314"/>
      <c r="K2" s="314"/>
      <c r="L2" s="314"/>
      <c r="M2" s="314"/>
      <c r="N2" s="314"/>
      <c r="O2" s="314"/>
      <c r="P2" s="314"/>
      <c r="Q2" s="314"/>
      <c r="R2" s="315" t="s">
        <v>101</v>
      </c>
      <c r="S2" s="315"/>
      <c r="T2" s="315"/>
      <c r="U2" s="315"/>
      <c r="V2" s="315"/>
      <c r="W2" s="315"/>
      <c r="X2" s="315"/>
      <c r="Y2" s="315"/>
      <c r="Z2" s="315"/>
      <c r="AA2" s="315"/>
      <c r="AB2" s="315" t="s">
        <v>102</v>
      </c>
      <c r="AC2" s="315"/>
      <c r="AD2" s="315"/>
      <c r="AE2" s="315"/>
      <c r="AF2" s="315"/>
      <c r="AG2" s="315"/>
      <c r="AH2" s="315"/>
      <c r="AI2" s="315"/>
      <c r="AJ2" s="315"/>
      <c r="AK2" s="315"/>
    </row>
    <row r="3" spans="1:37" ht="20.100000000000001" customHeight="1" x14ac:dyDescent="0.2">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x14ac:dyDescent="0.2">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x14ac:dyDescent="0.2">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x14ac:dyDescent="0.2">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x14ac:dyDescent="0.2">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x14ac:dyDescent="0.2">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x14ac:dyDescent="0.2">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x14ac:dyDescent="0.2">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x14ac:dyDescent="0.2">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x14ac:dyDescent="0.2">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x14ac:dyDescent="0.2">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x14ac:dyDescent="0.2">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x14ac:dyDescent="0.2">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x14ac:dyDescent="0.2">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x14ac:dyDescent="0.2">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x14ac:dyDescent="0.2">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x14ac:dyDescent="0.2">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x14ac:dyDescent="0.2">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x14ac:dyDescent="0.2">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x14ac:dyDescent="0.2">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x14ac:dyDescent="0.2">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x14ac:dyDescent="0.2">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x14ac:dyDescent="0.2">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x14ac:dyDescent="0.2">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x14ac:dyDescent="0.2">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x14ac:dyDescent="0.2">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x14ac:dyDescent="0.2">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x14ac:dyDescent="0.2">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x14ac:dyDescent="0.2">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x14ac:dyDescent="0.2">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x14ac:dyDescent="0.2">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x14ac:dyDescent="0.2">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x14ac:dyDescent="0.2">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x14ac:dyDescent="0.2">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x14ac:dyDescent="0.2">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x14ac:dyDescent="0.2">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x14ac:dyDescent="0.2">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x14ac:dyDescent="0.2">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x14ac:dyDescent="0.2">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x14ac:dyDescent="0.2"/>
    <row r="43" spans="1:37" ht="20.100000000000001" customHeight="1" x14ac:dyDescent="0.2"/>
    <row r="44" spans="1:37" ht="20.100000000000001" customHeight="1" x14ac:dyDescent="0.2"/>
    <row r="45" spans="1:37" ht="20.100000000000001" customHeight="1" x14ac:dyDescent="0.2"/>
    <row r="46" spans="1:37" ht="20.100000000000001" customHeight="1" x14ac:dyDescent="0.2"/>
    <row r="47" spans="1:37" ht="20.100000000000001" customHeight="1" x14ac:dyDescent="0.2"/>
    <row r="48" spans="1:37" ht="20.100000000000001" customHeight="1" x14ac:dyDescent="0.2"/>
    <row r="49" ht="20.100000000000001" customHeight="1" x14ac:dyDescent="0.2"/>
    <row r="50" ht="20.100000000000001" customHeight="1" x14ac:dyDescent="0.2"/>
    <row r="51" ht="20.100000000000001" customHeight="1" x14ac:dyDescent="0.2"/>
    <row r="52" ht="15.75" customHeight="1" x14ac:dyDescent="0.2"/>
    <row r="53" ht="15.75" customHeight="1" x14ac:dyDescent="0.2"/>
    <row r="54" ht="15.75" customHeight="1" x14ac:dyDescent="0.2"/>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21"/>
  </sheetPr>
  <dimension ref="A1:J82"/>
  <sheetViews>
    <sheetView workbookViewId="0">
      <pane ySplit="1" topLeftCell="A2" activePane="bottomLeft" state="frozen"/>
      <selection pane="bottomLeft" activeCell="J2" sqref="J2"/>
    </sheetView>
  </sheetViews>
  <sheetFormatPr defaultRowHeight="12.75" x14ac:dyDescent="0.2"/>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x14ac:dyDescent="0.2">
      <c r="A1" s="129" t="s">
        <v>103</v>
      </c>
      <c r="B1" s="130" t="s">
        <v>104</v>
      </c>
      <c r="C1" s="130" t="s">
        <v>105</v>
      </c>
      <c r="D1" s="130" t="s">
        <v>106</v>
      </c>
      <c r="E1" s="130" t="s">
        <v>107</v>
      </c>
      <c r="F1" s="130" t="s">
        <v>108</v>
      </c>
      <c r="G1" s="131" t="s">
        <v>109</v>
      </c>
      <c r="H1" s="132" t="s">
        <v>110</v>
      </c>
      <c r="I1" s="133" t="s">
        <v>111</v>
      </c>
      <c r="J1" s="133"/>
    </row>
    <row r="2" spans="1:10" x14ac:dyDescent="0.2">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x14ac:dyDescent="0.2">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x14ac:dyDescent="0.2">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x14ac:dyDescent="0.2">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x14ac:dyDescent="0.2">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x14ac:dyDescent="0.2">
      <c r="A7" s="134" t="s">
        <v>121</v>
      </c>
      <c r="B7" s="135"/>
      <c r="C7" s="128">
        <f>B7*0.043</f>
        <v>0</v>
      </c>
      <c r="D7" s="128">
        <f>B7*0.113</f>
        <v>0</v>
      </c>
      <c r="E7" s="128">
        <f>B7*0.042</f>
        <v>0</v>
      </c>
      <c r="F7" s="128">
        <f>B7</f>
        <v>0</v>
      </c>
      <c r="G7" s="136">
        <f>(F7/100)*82.8</f>
        <v>0</v>
      </c>
      <c r="H7" s="137"/>
      <c r="I7" s="133" t="s">
        <v>122</v>
      </c>
      <c r="J7" s="138">
        <f>IF(J2=0,0,J6/(J2/6.25))</f>
        <v>0</v>
      </c>
    </row>
    <row r="8" spans="1:10" x14ac:dyDescent="0.2">
      <c r="A8" s="134" t="s">
        <v>123</v>
      </c>
      <c r="B8" s="135"/>
      <c r="C8" s="128">
        <f>B8*0.075</f>
        <v>0</v>
      </c>
      <c r="D8" s="128">
        <f>B8*0.154</f>
        <v>0</v>
      </c>
      <c r="E8" s="128">
        <f>B8*0.037</f>
        <v>0</v>
      </c>
      <c r="F8" s="128">
        <f>B8*1.28</f>
        <v>0</v>
      </c>
      <c r="G8" s="136">
        <f>(F8/100)*74.3</f>
        <v>0</v>
      </c>
      <c r="H8" s="137"/>
    </row>
    <row r="9" spans="1:10" x14ac:dyDescent="0.2">
      <c r="A9" s="134" t="s">
        <v>124</v>
      </c>
      <c r="B9" s="135"/>
      <c r="C9" s="128">
        <f>B9*0.075</f>
        <v>0</v>
      </c>
      <c r="D9" s="128">
        <f>B9*0.145</f>
        <v>0</v>
      </c>
      <c r="E9" s="128">
        <f>B9*0.042</f>
        <v>0</v>
      </c>
      <c r="F9" s="128">
        <f>B9*1.25</f>
        <v>0</v>
      </c>
      <c r="G9" s="136">
        <f>(F9/100)*76</f>
        <v>0</v>
      </c>
      <c r="H9" s="137" t="e">
        <f>#REF!*0.2185</f>
        <v>#REF!</v>
      </c>
    </row>
    <row r="10" spans="1:10" x14ac:dyDescent="0.2">
      <c r="A10" s="134" t="s">
        <v>125</v>
      </c>
      <c r="B10" s="135"/>
      <c r="C10" s="128">
        <f>B10*0.06</f>
        <v>0</v>
      </c>
      <c r="D10" s="128">
        <f>B10*0.184</f>
        <v>0</v>
      </c>
      <c r="E10" s="128">
        <f>B10*0.058</f>
        <v>0</v>
      </c>
      <c r="F10" s="128">
        <f>B10*1.5</f>
        <v>0</v>
      </c>
      <c r="G10" s="136">
        <f>(F10/100)*84</f>
        <v>0</v>
      </c>
      <c r="H10" s="137" t="e">
        <f>#REF!*0.2185*1.25</f>
        <v>#REF!</v>
      </c>
    </row>
    <row r="11" spans="1:10" x14ac:dyDescent="0.2">
      <c r="A11" s="134" t="s">
        <v>126</v>
      </c>
      <c r="B11" s="135"/>
      <c r="C11" s="128">
        <f>B11*0.04</f>
        <v>0</v>
      </c>
      <c r="D11" s="128">
        <f>B11*0.122</f>
        <v>0</v>
      </c>
      <c r="E11" s="128">
        <f>B11*0.039</f>
        <v>0</v>
      </c>
      <c r="F11" s="128">
        <f>B11</f>
        <v>0</v>
      </c>
      <c r="G11" s="136">
        <f>(F11/100)*84</f>
        <v>0</v>
      </c>
      <c r="H11" s="137" t="e">
        <f>#REF!*0.2185*1.5</f>
        <v>#REF!</v>
      </c>
    </row>
    <row r="12" spans="1:10" x14ac:dyDescent="0.2">
      <c r="A12" s="134" t="s">
        <v>127</v>
      </c>
      <c r="B12" s="135"/>
      <c r="C12" s="128">
        <f>B12*0.075</f>
        <v>0</v>
      </c>
      <c r="D12" s="128">
        <f>B12*0.2</f>
        <v>0</v>
      </c>
      <c r="E12" s="128">
        <f>B12*0.1</f>
        <v>0</v>
      </c>
      <c r="F12" s="128">
        <f>B12*2</f>
        <v>0</v>
      </c>
      <c r="G12" s="136">
        <f>(F12/100)*85</f>
        <v>0</v>
      </c>
      <c r="H12" s="137" t="e">
        <f>#REF!*0.2185</f>
        <v>#REF!</v>
      </c>
    </row>
    <row r="13" spans="1:10" x14ac:dyDescent="0.2">
      <c r="A13" s="134" t="s">
        <v>128</v>
      </c>
      <c r="B13" s="135"/>
      <c r="C13" s="128">
        <f>B13*0.144</f>
        <v>0</v>
      </c>
      <c r="D13" s="128">
        <f>B13*0.244</f>
        <v>0</v>
      </c>
      <c r="E13" s="128">
        <f>B13*0.094</f>
        <v>0</v>
      </c>
      <c r="F13" s="128">
        <f>B13*2.4</f>
        <v>0</v>
      </c>
      <c r="G13" s="136">
        <f>(F13/100)*84</f>
        <v>0</v>
      </c>
      <c r="H13" s="137" t="e">
        <f>#REF!*0.2185*1.25</f>
        <v>#REF!</v>
      </c>
    </row>
    <row r="14" spans="1:10" x14ac:dyDescent="0.2">
      <c r="A14" s="134" t="s">
        <v>129</v>
      </c>
      <c r="B14" s="135"/>
      <c r="C14" s="128">
        <f>B14*0.094</f>
        <v>0</v>
      </c>
      <c r="D14" s="128">
        <f>B14*0.252</f>
        <v>0</v>
      </c>
      <c r="E14" s="128">
        <f>B14*0.104</f>
        <v>0</v>
      </c>
      <c r="F14" s="128">
        <f>B14*2.4</f>
        <v>0</v>
      </c>
      <c r="G14" s="136">
        <f>(F14/100)*84</f>
        <v>0</v>
      </c>
      <c r="H14" s="137"/>
    </row>
    <row r="15" spans="1:10" x14ac:dyDescent="0.2">
      <c r="A15" s="134" t="s">
        <v>130</v>
      </c>
      <c r="B15" s="135"/>
      <c r="C15" s="128">
        <f>B15*0.09</f>
        <v>0</v>
      </c>
      <c r="D15" s="128">
        <f>B15*0.191</f>
        <v>0</v>
      </c>
      <c r="E15" s="128">
        <f>B15*0.053</f>
        <v>0</v>
      </c>
      <c r="F15" s="128">
        <f>B15*1.6</f>
        <v>0</v>
      </c>
      <c r="G15" s="136">
        <f>(F15/100)*84</f>
        <v>0</v>
      </c>
      <c r="H15" s="137" t="e">
        <f>#REF!*0.2185*1.5</f>
        <v>#REF!</v>
      </c>
    </row>
    <row r="16" spans="1:10" x14ac:dyDescent="0.2">
      <c r="A16" s="134" t="s">
        <v>131</v>
      </c>
      <c r="B16" s="135"/>
      <c r="C16" s="128">
        <f>B16*0.038</f>
        <v>0</v>
      </c>
      <c r="D16" s="128">
        <f>B16*0.138</f>
        <v>0</v>
      </c>
      <c r="E16" s="128">
        <f>B16*0.033</f>
        <v>0</v>
      </c>
      <c r="F16" s="128">
        <f>B16</f>
        <v>0</v>
      </c>
      <c r="G16" s="136">
        <f>(F16/100)*85</f>
        <v>0</v>
      </c>
      <c r="H16" s="137" t="e">
        <f>#REF!*0.207</f>
        <v>#REF!</v>
      </c>
    </row>
    <row r="17" spans="1:8" x14ac:dyDescent="0.2">
      <c r="A17" s="134" t="s">
        <v>132</v>
      </c>
      <c r="B17" s="135"/>
      <c r="C17" s="128">
        <f>B17*0.075</f>
        <v>0</v>
      </c>
      <c r="D17" s="128">
        <f>B17*0.188</f>
        <v>0</v>
      </c>
      <c r="E17" s="128">
        <f>B17*0.05</f>
        <v>0</v>
      </c>
      <c r="F17" s="128">
        <f>B17*1.5</f>
        <v>0</v>
      </c>
      <c r="G17" s="136">
        <f>(F17/100)*80</f>
        <v>0</v>
      </c>
      <c r="H17" s="137"/>
    </row>
    <row r="18" spans="1:8" x14ac:dyDescent="0.2">
      <c r="A18" s="134" t="s">
        <v>133</v>
      </c>
      <c r="B18" s="135"/>
      <c r="C18" s="128">
        <f>B18*0.041</f>
        <v>0</v>
      </c>
      <c r="D18" s="128">
        <f>B18*0.129</f>
        <v>0</v>
      </c>
      <c r="E18" s="128">
        <f>B18*0.035</f>
        <v>0</v>
      </c>
      <c r="F18" s="128">
        <f>B18</f>
        <v>0</v>
      </c>
      <c r="G18" s="136">
        <f>(F18/100)*84</f>
        <v>0</v>
      </c>
      <c r="H18" s="137"/>
    </row>
    <row r="19" spans="1:8" x14ac:dyDescent="0.2">
      <c r="A19" s="134" t="s">
        <v>134</v>
      </c>
      <c r="B19" s="135"/>
      <c r="C19" s="128">
        <f>B19*0.038</f>
        <v>0</v>
      </c>
      <c r="D19" s="128">
        <f>B19*0.138</f>
        <v>0</v>
      </c>
      <c r="E19" s="128">
        <f>B19*0.033</f>
        <v>0</v>
      </c>
      <c r="F19" s="128">
        <f>B19</f>
        <v>0</v>
      </c>
      <c r="G19" s="136">
        <f>(F19/100)*85</f>
        <v>0</v>
      </c>
      <c r="H19" s="137"/>
    </row>
    <row r="20" spans="1:8" x14ac:dyDescent="0.2">
      <c r="A20" s="134" t="s">
        <v>135</v>
      </c>
      <c r="B20" s="135"/>
      <c r="C20" s="128">
        <f>B20*0.04</f>
        <v>0</v>
      </c>
      <c r="D20" s="128">
        <f>B20*0.155</f>
        <v>0</v>
      </c>
      <c r="E20" s="128">
        <f>B20*0.058</f>
        <v>0</v>
      </c>
      <c r="F20" s="128">
        <f>B20*1.3</f>
        <v>0</v>
      </c>
      <c r="G20" s="136">
        <f>(F20/100)*88</f>
        <v>0</v>
      </c>
      <c r="H20" s="137"/>
    </row>
    <row r="21" spans="1:8" x14ac:dyDescent="0.2">
      <c r="A21" s="134" t="s">
        <v>136</v>
      </c>
      <c r="B21" s="135"/>
      <c r="C21" s="128">
        <f>B21*0.0667</f>
        <v>0</v>
      </c>
      <c r="D21" s="128">
        <f>B21*0.183</f>
        <v>0</v>
      </c>
      <c r="E21" s="128">
        <f>B21*0.037</f>
        <v>0</v>
      </c>
      <c r="F21" s="128">
        <f>B21*1.33</f>
        <v>0</v>
      </c>
      <c r="G21" s="136">
        <f>(F21/100)*80</f>
        <v>0</v>
      </c>
      <c r="H21" s="137">
        <f>B39*0.208</f>
        <v>0</v>
      </c>
    </row>
    <row r="22" spans="1:8" x14ac:dyDescent="0.2">
      <c r="A22" s="134" t="s">
        <v>137</v>
      </c>
      <c r="B22" s="135"/>
      <c r="C22" s="128">
        <f>B22*0.038</f>
        <v>0</v>
      </c>
      <c r="D22" s="128">
        <f>B22*0.188</f>
        <v>0</v>
      </c>
      <c r="E22" s="128">
        <f>B22*0.011</f>
        <v>0</v>
      </c>
      <c r="F22" s="128">
        <f>B22*1</f>
        <v>0</v>
      </c>
      <c r="G22" s="136">
        <f>(F22/100)*86</f>
        <v>0</v>
      </c>
      <c r="H22" s="137"/>
    </row>
    <row r="23" spans="1:8" x14ac:dyDescent="0.2">
      <c r="A23" s="134" t="s">
        <v>138</v>
      </c>
      <c r="B23" s="135"/>
      <c r="C23" s="128">
        <f>B23*0.0368</f>
        <v>0</v>
      </c>
      <c r="D23" s="128">
        <f>B23*0.1196</f>
        <v>0</v>
      </c>
      <c r="E23" s="128">
        <f>B23*0.0506</f>
        <v>0</v>
      </c>
      <c r="F23" s="128">
        <f>B23</f>
        <v>0</v>
      </c>
      <c r="G23" s="136">
        <f>(F23/100)*85</f>
        <v>0</v>
      </c>
      <c r="H23" s="137"/>
    </row>
    <row r="24" spans="1:8" x14ac:dyDescent="0.2">
      <c r="A24" s="134" t="s">
        <v>139</v>
      </c>
      <c r="B24" s="135"/>
      <c r="C24" s="128">
        <f>B24*0.0368*1.25</f>
        <v>0</v>
      </c>
      <c r="D24" s="128">
        <f>B24*0.1196*1.25</f>
        <v>0</v>
      </c>
      <c r="E24" s="128">
        <f>B24*0.0506*1.25</f>
        <v>0</v>
      </c>
      <c r="F24" s="128">
        <f>B24*1.25</f>
        <v>0</v>
      </c>
      <c r="G24" s="136">
        <f>(F24/100)*85</f>
        <v>0</v>
      </c>
      <c r="H24" s="137"/>
    </row>
    <row r="25" spans="1:8" x14ac:dyDescent="0.2">
      <c r="A25" s="134" t="s">
        <v>140</v>
      </c>
      <c r="B25" s="135"/>
      <c r="C25" s="128">
        <f>B25*0.0368*1.5</f>
        <v>0</v>
      </c>
      <c r="D25" s="128">
        <f>B25*0.1196*1.5</f>
        <v>0</v>
      </c>
      <c r="E25" s="128">
        <f>B25*0.0506*1.5</f>
        <v>0</v>
      </c>
      <c r="F25" s="128">
        <f>B25*1.5</f>
        <v>0</v>
      </c>
      <c r="G25" s="136">
        <f>(F25/100)*85</f>
        <v>0</v>
      </c>
      <c r="H25" s="137"/>
    </row>
    <row r="26" spans="1:8" x14ac:dyDescent="0.2">
      <c r="A26" s="134" t="s">
        <v>141</v>
      </c>
      <c r="B26" s="135"/>
      <c r="C26" s="128">
        <f>B26*0.038</f>
        <v>0</v>
      </c>
      <c r="D26" s="128">
        <f>B26*0.138</f>
        <v>0</v>
      </c>
      <c r="E26" s="128">
        <f>B26*0.034</f>
        <v>0</v>
      </c>
      <c r="F26" s="128">
        <f>B26*1</f>
        <v>0</v>
      </c>
      <c r="G26" s="136">
        <f>(F26/100)*85.8</f>
        <v>0</v>
      </c>
      <c r="H26" s="137"/>
    </row>
    <row r="27" spans="1:8" x14ac:dyDescent="0.2">
      <c r="A27" s="134" t="s">
        <v>142</v>
      </c>
      <c r="B27" s="135"/>
      <c r="C27" s="128">
        <f>B27*0.038</f>
        <v>0</v>
      </c>
      <c r="D27" s="128">
        <f>B27*0.138</f>
        <v>0</v>
      </c>
      <c r="E27" s="128">
        <f>B27*0.034</f>
        <v>0</v>
      </c>
      <c r="F27" s="128">
        <f>B27*1</f>
        <v>0</v>
      </c>
      <c r="G27" s="136">
        <f>(F27/100)*85.8</f>
        <v>0</v>
      </c>
      <c r="H27" s="137"/>
    </row>
    <row r="28" spans="1:8" x14ac:dyDescent="0.2">
      <c r="A28" s="134" t="s">
        <v>143</v>
      </c>
      <c r="B28" s="135"/>
      <c r="C28" s="128">
        <f>B28*0.056</f>
        <v>0</v>
      </c>
      <c r="D28" s="128">
        <f>B28*0.188</f>
        <v>0</v>
      </c>
      <c r="E28" s="128">
        <f>B28*0.058</f>
        <v>0</v>
      </c>
      <c r="F28" s="128">
        <f>B28*1.5</f>
        <v>0</v>
      </c>
      <c r="G28" s="136">
        <f>(F28/100)*84.9</f>
        <v>0</v>
      </c>
      <c r="H28" s="137"/>
    </row>
    <row r="29" spans="1:8" x14ac:dyDescent="0.2">
      <c r="A29" s="134" t="s">
        <v>144</v>
      </c>
      <c r="B29" s="135"/>
      <c r="C29" s="128">
        <f>B29*0.075</f>
        <v>0</v>
      </c>
      <c r="D29" s="128">
        <f>B29*0.17</f>
        <v>0</v>
      </c>
      <c r="E29" s="128">
        <f>B29*0.058</f>
        <v>0</v>
      </c>
      <c r="F29" s="128">
        <f>B29*1.5</f>
        <v>0</v>
      </c>
      <c r="G29" s="136">
        <f>(F29/100)*73.5</f>
        <v>0</v>
      </c>
    </row>
    <row r="30" spans="1:8" x14ac:dyDescent="0.2">
      <c r="A30" s="134" t="s">
        <v>145</v>
      </c>
      <c r="B30" s="135"/>
      <c r="C30" s="128">
        <f>B30*0.056</f>
        <v>0</v>
      </c>
      <c r="D30" s="128">
        <f>B30*0.188</f>
        <v>0</v>
      </c>
      <c r="E30" s="128">
        <f>B30*0.058</f>
        <v>0</v>
      </c>
      <c r="F30" s="128">
        <f>B30*1.5</f>
        <v>0</v>
      </c>
      <c r="G30" s="136">
        <f>(F30/100)*84.9</f>
        <v>0</v>
      </c>
    </row>
    <row r="31" spans="1:8" x14ac:dyDescent="0.2">
      <c r="A31" s="134" t="s">
        <v>146</v>
      </c>
      <c r="B31" s="135"/>
      <c r="C31" s="128">
        <f>B31*0.1</f>
        <v>0</v>
      </c>
      <c r="D31" s="128">
        <f>B31*0.124</f>
        <v>0</v>
      </c>
      <c r="E31" s="128">
        <f>B31*0.067</f>
        <v>0</v>
      </c>
      <c r="F31" s="128">
        <f>B31*1.5</f>
        <v>0</v>
      </c>
      <c r="G31" s="136">
        <f>(F31/100)*73.2</f>
        <v>0</v>
      </c>
    </row>
    <row r="32" spans="1:8" x14ac:dyDescent="0.2">
      <c r="A32" s="134" t="s">
        <v>147</v>
      </c>
      <c r="B32" s="135"/>
      <c r="C32" s="128">
        <f>B32*0.1</f>
        <v>0</v>
      </c>
      <c r="D32" s="128">
        <f>B32*0.124</f>
        <v>0</v>
      </c>
      <c r="E32" s="128">
        <f>B32*0.067</f>
        <v>0</v>
      </c>
      <c r="F32" s="128">
        <f>B32*1.5</f>
        <v>0</v>
      </c>
      <c r="G32" s="136">
        <f>(F32/100)*73.2</f>
        <v>0</v>
      </c>
    </row>
    <row r="33" spans="1:7" x14ac:dyDescent="0.2">
      <c r="A33" s="134" t="s">
        <v>148</v>
      </c>
      <c r="B33" s="135"/>
      <c r="C33" s="128">
        <f>B33*0</f>
        <v>0</v>
      </c>
      <c r="D33" s="128">
        <f>B33*0.2</f>
        <v>0</v>
      </c>
      <c r="E33" s="128">
        <f>B33*0</f>
        <v>0</v>
      </c>
      <c r="F33" s="128">
        <f>D33*4</f>
        <v>0</v>
      </c>
      <c r="G33" s="136">
        <f>F33</f>
        <v>0</v>
      </c>
    </row>
    <row r="34" spans="1:7" x14ac:dyDescent="0.2">
      <c r="A34" s="134" t="s">
        <v>149</v>
      </c>
      <c r="B34" s="135"/>
      <c r="C34" s="128">
        <f>B34*0.085</f>
        <v>0</v>
      </c>
      <c r="D34" s="128">
        <f>B34*0.0375</f>
        <v>0</v>
      </c>
      <c r="E34" s="128">
        <f>B34*0.002</f>
        <v>0</v>
      </c>
      <c r="F34" s="128">
        <f>B34*0.5</f>
        <v>0</v>
      </c>
      <c r="G34" s="136">
        <f>(F34/100)*33</f>
        <v>0</v>
      </c>
    </row>
    <row r="35" spans="1:7" x14ac:dyDescent="0.2">
      <c r="A35" s="134" t="s">
        <v>150</v>
      </c>
      <c r="B35" s="135"/>
      <c r="C35" s="128">
        <f>B35*0.04</f>
        <v>0</v>
      </c>
      <c r="D35" s="128">
        <f>B35*0.129</f>
        <v>0</v>
      </c>
      <c r="E35" s="128">
        <f>B35*0.036</f>
        <v>0</v>
      </c>
      <c r="F35" s="128">
        <f t="shared" ref="F35:F42" si="0">B35</f>
        <v>0</v>
      </c>
      <c r="G35" s="136">
        <f>(F35/100)*80</f>
        <v>0</v>
      </c>
    </row>
    <row r="36" spans="1:7" x14ac:dyDescent="0.2">
      <c r="A36" s="134" t="s">
        <v>151</v>
      </c>
      <c r="B36" s="135"/>
      <c r="C36" s="128">
        <f>B36*0.043</f>
        <v>0</v>
      </c>
      <c r="D36" s="128">
        <f>B36*0.122</f>
        <v>0</v>
      </c>
      <c r="E36" s="128">
        <f>B36*0.038</f>
        <v>0</v>
      </c>
      <c r="F36" s="128">
        <f t="shared" si="0"/>
        <v>0</v>
      </c>
      <c r="G36" s="136">
        <f>(F36/100)*82.8</f>
        <v>0</v>
      </c>
    </row>
    <row r="37" spans="1:7" x14ac:dyDescent="0.2">
      <c r="A37" s="134" t="s">
        <v>152</v>
      </c>
      <c r="B37" s="135"/>
      <c r="C37" s="128">
        <f>B37*0.041</f>
        <v>0</v>
      </c>
      <c r="D37" s="128">
        <f>B37*0.137</f>
        <v>0</v>
      </c>
      <c r="E37" s="128">
        <f>B37*0.032</f>
        <v>0</v>
      </c>
      <c r="F37" s="128">
        <f t="shared" si="0"/>
        <v>0</v>
      </c>
      <c r="G37" s="136">
        <f>(F37/100)*83.8</f>
        <v>0</v>
      </c>
    </row>
    <row r="38" spans="1:7" x14ac:dyDescent="0.2">
      <c r="A38" s="134" t="s">
        <v>153</v>
      </c>
      <c r="B38" s="135"/>
      <c r="C38" s="128">
        <f>B38*0.037</f>
        <v>0</v>
      </c>
      <c r="D38" s="128">
        <f>B38*0.12</f>
        <v>0</v>
      </c>
      <c r="E38" s="128">
        <f>B38*0.041</f>
        <v>0</v>
      </c>
      <c r="F38" s="128">
        <f t="shared" si="0"/>
        <v>0</v>
      </c>
      <c r="G38" s="136">
        <f>(F38/100)*85.3</f>
        <v>0</v>
      </c>
    </row>
    <row r="39" spans="1:7" x14ac:dyDescent="0.2">
      <c r="A39" s="134" t="s">
        <v>154</v>
      </c>
      <c r="B39" s="135"/>
      <c r="C39" s="128">
        <f>B39*0.023</f>
        <v>0</v>
      </c>
      <c r="D39" s="128">
        <f>B39*0.123</f>
        <v>0</v>
      </c>
      <c r="E39" s="128">
        <f>B39*0.046</f>
        <v>0</v>
      </c>
      <c r="F39" s="128">
        <f t="shared" si="0"/>
        <v>0</v>
      </c>
      <c r="G39" s="136">
        <f>(F39/100)*90.8</f>
        <v>0</v>
      </c>
    </row>
    <row r="40" spans="1:7" x14ac:dyDescent="0.2">
      <c r="A40" s="134" t="s">
        <v>155</v>
      </c>
      <c r="B40" s="135"/>
      <c r="C40" s="128">
        <f>B40*0.026</f>
        <v>0</v>
      </c>
      <c r="D40" s="128">
        <f>B40*0.17</f>
        <v>0</v>
      </c>
      <c r="E40" s="128">
        <f>B40*0.024</f>
        <v>0</v>
      </c>
      <c r="F40" s="128">
        <f t="shared" si="0"/>
        <v>0</v>
      </c>
      <c r="G40" s="136">
        <f>(F40/100)*89.5</f>
        <v>0</v>
      </c>
    </row>
    <row r="41" spans="1:7" x14ac:dyDescent="0.2">
      <c r="A41" s="134" t="s">
        <v>156</v>
      </c>
      <c r="B41" s="135"/>
      <c r="C41" s="128">
        <f>B41*0.044</f>
        <v>0</v>
      </c>
      <c r="D41" s="128">
        <f>B41*0.06</f>
        <v>0</v>
      </c>
      <c r="E41" s="128">
        <f>B41*0.064</f>
        <v>0</v>
      </c>
      <c r="F41" s="128">
        <f t="shared" si="0"/>
        <v>0</v>
      </c>
      <c r="G41" s="136">
        <f>(F41/100)*82.4</f>
        <v>0</v>
      </c>
    </row>
    <row r="42" spans="1:7" x14ac:dyDescent="0.2">
      <c r="A42" s="134" t="s">
        <v>157</v>
      </c>
      <c r="B42" s="135"/>
      <c r="C42" s="128">
        <f>B42*0.047</f>
        <v>0</v>
      </c>
      <c r="D42" s="128">
        <f>B42*0.108</f>
        <v>0</v>
      </c>
      <c r="E42" s="128">
        <f>B42*0.042</f>
        <v>0</v>
      </c>
      <c r="F42" s="128">
        <f t="shared" si="0"/>
        <v>0</v>
      </c>
      <c r="G42" s="136">
        <f>(F42/100)*81.3</f>
        <v>0</v>
      </c>
    </row>
    <row r="43" spans="1:7" x14ac:dyDescent="0.2">
      <c r="A43" s="134" t="s">
        <v>158</v>
      </c>
      <c r="B43" s="135"/>
      <c r="C43" s="128">
        <f>B43*0.07</f>
        <v>0</v>
      </c>
      <c r="D43" s="128">
        <f>B43*0.142</f>
        <v>0</v>
      </c>
      <c r="E43" s="128">
        <f>B43*0.045</f>
        <v>0</v>
      </c>
      <c r="F43" s="128">
        <f>B43*1.25</f>
        <v>0</v>
      </c>
      <c r="G43" s="136">
        <f>(F43/100)*77.7</f>
        <v>0</v>
      </c>
    </row>
    <row r="44" spans="1:7" x14ac:dyDescent="0.2">
      <c r="A44" s="134" t="s">
        <v>159</v>
      </c>
      <c r="B44" s="135"/>
      <c r="C44" s="128">
        <f>B44*0.051</f>
        <v>0</v>
      </c>
      <c r="D44" s="128">
        <f>B44*0.115</f>
        <v>0</v>
      </c>
      <c r="E44" s="128">
        <f>B44*0.037</f>
        <v>0</v>
      </c>
      <c r="F44" s="128">
        <f>B44</f>
        <v>0</v>
      </c>
      <c r="G44" s="136">
        <f>(F44/100)*80</f>
        <v>0</v>
      </c>
    </row>
    <row r="45" spans="1:7" x14ac:dyDescent="0.2">
      <c r="A45" s="134" t="s">
        <v>160</v>
      </c>
      <c r="B45" s="135"/>
      <c r="C45" s="128">
        <f>B45*0.0625</f>
        <v>0</v>
      </c>
      <c r="D45" s="128">
        <f>B45*0.0106</f>
        <v>0</v>
      </c>
      <c r="E45" s="128">
        <f>B45*0.0937</f>
        <v>0</v>
      </c>
      <c r="F45" s="128">
        <f>B45*1.52</f>
        <v>0</v>
      </c>
      <c r="G45" s="139">
        <f>(F45/100)*83.6</f>
        <v>0</v>
      </c>
    </row>
    <row r="46" spans="1:7" x14ac:dyDescent="0.2">
      <c r="A46" s="132" t="s">
        <v>161</v>
      </c>
      <c r="B46" s="135"/>
      <c r="C46" s="128">
        <f>B46*0.0555</f>
        <v>0</v>
      </c>
      <c r="D46" s="128">
        <f>B46*0.1575</f>
        <v>0</v>
      </c>
      <c r="E46" s="128">
        <f>B46*0.0393</f>
        <v>0</v>
      </c>
      <c r="F46" s="128">
        <f>B46*1.21</f>
        <v>0</v>
      </c>
      <c r="G46" s="139">
        <f>(F46/100)*81.3</f>
        <v>0</v>
      </c>
    </row>
    <row r="47" spans="1:7" x14ac:dyDescent="0.2">
      <c r="A47" s="140" t="s">
        <v>162</v>
      </c>
      <c r="B47" s="135"/>
      <c r="C47" s="128">
        <f>B47*0.0667</f>
        <v>0</v>
      </c>
      <c r="D47" s="128">
        <f>B47*0.1803</f>
        <v>0</v>
      </c>
      <c r="E47" s="128">
        <f>B47*0.0373</f>
        <v>0</v>
      </c>
      <c r="F47" s="128">
        <f>B47*1.3</f>
        <v>0</v>
      </c>
      <c r="G47" s="136">
        <f>(F47/100)*79.5</f>
        <v>0</v>
      </c>
    </row>
    <row r="48" spans="1:7" x14ac:dyDescent="0.2">
      <c r="A48" s="140" t="s">
        <v>163</v>
      </c>
      <c r="B48" s="135"/>
      <c r="C48" s="128">
        <f>B48*0.0938</f>
        <v>0</v>
      </c>
      <c r="D48" s="128">
        <f>B48*0.1724</f>
        <v>0</v>
      </c>
      <c r="E48" s="128">
        <f>B48*0.0508</f>
        <v>0</v>
      </c>
      <c r="F48" s="128">
        <f>B48*1.5</f>
        <v>0</v>
      </c>
      <c r="G48" s="136">
        <f>(F48/100)*75</f>
        <v>0</v>
      </c>
    </row>
    <row r="49" spans="1:7" x14ac:dyDescent="0.2">
      <c r="A49" s="140" t="s">
        <v>164</v>
      </c>
      <c r="B49" s="135"/>
      <c r="C49" s="128">
        <f>B49*0.0513</f>
        <v>0</v>
      </c>
      <c r="D49" s="128">
        <f>B49*0.1387</f>
        <v>0</v>
      </c>
      <c r="E49" s="128">
        <f>B49*0.0284</f>
        <v>0</v>
      </c>
      <c r="F49" s="128">
        <f>B49</f>
        <v>0</v>
      </c>
      <c r="G49" s="136">
        <f>(F49/100)*79.5</f>
        <v>0</v>
      </c>
    </row>
    <row r="50" spans="1:7" x14ac:dyDescent="0.2">
      <c r="A50" s="140" t="s">
        <v>165</v>
      </c>
      <c r="B50" s="135"/>
      <c r="C50" s="128">
        <f>B50*0.0379</f>
        <v>0</v>
      </c>
      <c r="D50" s="128">
        <f>B50*0.1688</f>
        <v>0</v>
      </c>
      <c r="E50" s="128">
        <f>B50*0.0253</f>
        <v>0</v>
      </c>
      <c r="F50" s="128">
        <f>B50*1.06</f>
        <v>0</v>
      </c>
      <c r="G50" s="136">
        <f>(F50/100)*85.6</f>
        <v>0</v>
      </c>
    </row>
    <row r="51" spans="1:7" x14ac:dyDescent="0.2">
      <c r="A51" s="140" t="s">
        <v>166</v>
      </c>
      <c r="B51" s="135"/>
      <c r="C51" s="128">
        <f>B51*0.0549</f>
        <v>0</v>
      </c>
      <c r="D51" s="128">
        <f>B51*0.2109</f>
        <v>0</v>
      </c>
      <c r="E51" s="128">
        <f>B51*0.0464</f>
        <v>0</v>
      </c>
      <c r="F51" s="128">
        <f>B51*1.5</f>
        <v>0</v>
      </c>
      <c r="G51" s="136">
        <f>(F51/100)*85</f>
        <v>0</v>
      </c>
    </row>
    <row r="52" spans="1:7" x14ac:dyDescent="0.2">
      <c r="A52" s="140" t="s">
        <v>167</v>
      </c>
      <c r="B52" s="135"/>
      <c r="C52" s="128">
        <f>B52*0.05063</f>
        <v>0</v>
      </c>
      <c r="D52" s="128">
        <f>B52*0.1308</f>
        <v>0</v>
      </c>
      <c r="E52" s="128">
        <f>B52*0.0253</f>
        <v>0</v>
      </c>
      <c r="F52" s="128">
        <f>B52*0.97</f>
        <v>0</v>
      </c>
      <c r="G52" s="136">
        <f>(F52/100)*78.8</f>
        <v>0</v>
      </c>
    </row>
    <row r="53" spans="1:7" x14ac:dyDescent="0.2">
      <c r="A53" s="140" t="s">
        <v>168</v>
      </c>
      <c r="B53" s="135"/>
      <c r="C53" s="128">
        <f>B53*0.04219</f>
        <v>0</v>
      </c>
      <c r="D53" s="128">
        <f>B53*0.1308</f>
        <v>0</v>
      </c>
      <c r="E53" s="128">
        <f>B53*0.02531</f>
        <v>0</v>
      </c>
      <c r="F53" s="128">
        <f>B53*0.93</f>
        <v>0</v>
      </c>
      <c r="G53" s="136">
        <f>(F53/100)*82</f>
        <v>0</v>
      </c>
    </row>
    <row r="54" spans="1:7" x14ac:dyDescent="0.2">
      <c r="A54" s="140" t="s">
        <v>169</v>
      </c>
      <c r="B54" s="135"/>
      <c r="C54" s="128">
        <f>B54*0.05485</f>
        <v>0</v>
      </c>
      <c r="D54" s="128">
        <f>B54*0.2152</f>
        <v>0</v>
      </c>
      <c r="E54" s="128">
        <f>B54*0.04641</f>
        <v>0</v>
      </c>
      <c r="F54" s="128">
        <f>B54*1.5</f>
        <v>0</v>
      </c>
      <c r="G54" s="136">
        <f>(F54/100)*85</f>
        <v>0</v>
      </c>
    </row>
    <row r="55" spans="1:7" x14ac:dyDescent="0.2">
      <c r="A55" s="140" t="s">
        <v>170</v>
      </c>
      <c r="B55" s="135"/>
      <c r="C55" s="128">
        <f>B55*0.03798</f>
        <v>0</v>
      </c>
      <c r="D55" s="128">
        <f>B55*0.1772</f>
        <v>0</v>
      </c>
      <c r="E55" s="128">
        <f>B55*0.02532</f>
        <v>0</v>
      </c>
      <c r="F55" s="128">
        <f>B55*1.06</f>
        <v>0</v>
      </c>
      <c r="G55" s="136">
        <f>(F55/100)*86</f>
        <v>0</v>
      </c>
    </row>
    <row r="56" spans="1:7" x14ac:dyDescent="0.2">
      <c r="A56" s="140" t="s">
        <v>171</v>
      </c>
      <c r="B56" s="135"/>
      <c r="C56" s="128">
        <f>B56*0.05485</f>
        <v>0</v>
      </c>
      <c r="D56" s="128">
        <f>B56*0.135</f>
        <v>0</v>
      </c>
      <c r="E56" s="128">
        <f>B56*0.03376</f>
        <v>0</v>
      </c>
      <c r="F56" s="128">
        <f>B56*1.06</f>
        <v>0</v>
      </c>
      <c r="G56" s="136">
        <f>(F56/100)*79</f>
        <v>0</v>
      </c>
    </row>
    <row r="57" spans="1:7" x14ac:dyDescent="0.2">
      <c r="A57" s="140" t="s">
        <v>172</v>
      </c>
      <c r="B57" s="135"/>
      <c r="C57" s="128">
        <f>B57*0.037975</f>
        <v>0</v>
      </c>
      <c r="D57" s="128">
        <f>B57*0.1435</f>
        <v>0</v>
      </c>
      <c r="E57" s="128">
        <f>B57*0.037975</f>
        <v>0</v>
      </c>
      <c r="F57" s="128">
        <f>B57*1.06</f>
        <v>0</v>
      </c>
      <c r="G57" s="136">
        <f>(F57/100)*85.8</f>
        <v>0</v>
      </c>
    </row>
    <row r="58" spans="1:7" x14ac:dyDescent="0.2">
      <c r="A58" s="140" t="s">
        <v>173</v>
      </c>
      <c r="B58" s="135"/>
      <c r="C58" s="128">
        <f>B58*0.0418</f>
        <v>0</v>
      </c>
      <c r="D58" s="128">
        <f>B58*0.0956</f>
        <v>0</v>
      </c>
      <c r="E58" s="128">
        <f>B58*0.0544</f>
        <v>0</v>
      </c>
      <c r="F58" s="128">
        <f>B58*1</f>
        <v>0</v>
      </c>
      <c r="G58" s="136">
        <f>(F58/100)*83.3</f>
        <v>0</v>
      </c>
    </row>
    <row r="59" spans="1:7" x14ac:dyDescent="0.2">
      <c r="A59" s="140" t="s">
        <v>174</v>
      </c>
      <c r="B59" s="135"/>
      <c r="C59" s="128">
        <f>B59*0.042194</f>
        <v>0</v>
      </c>
      <c r="D59" s="128">
        <f>B59*0.109705</f>
        <v>0</v>
      </c>
      <c r="E59" s="128">
        <f>B59*0.02954</f>
        <v>0</v>
      </c>
      <c r="F59" s="128">
        <f>B59*0.8439</f>
        <v>0</v>
      </c>
      <c r="G59" s="136">
        <f>(F59/100)*80</f>
        <v>0</v>
      </c>
    </row>
    <row r="60" spans="1:7" x14ac:dyDescent="0.2">
      <c r="A60" s="140" t="s">
        <v>175</v>
      </c>
      <c r="B60" s="135"/>
      <c r="C60" s="128">
        <f>B60*0.06</f>
        <v>0</v>
      </c>
      <c r="D60" s="128">
        <f>B60*0.1145</f>
        <v>0</v>
      </c>
      <c r="E60" s="128">
        <f>B60*0.06</f>
        <v>0</v>
      </c>
      <c r="F60" s="128">
        <f>B60*1.2</f>
        <v>0</v>
      </c>
      <c r="G60" s="136">
        <f>(F60/100)*65</f>
        <v>0</v>
      </c>
    </row>
    <row r="61" spans="1:7" x14ac:dyDescent="0.2">
      <c r="A61" s="140" t="s">
        <v>176</v>
      </c>
      <c r="B61" s="135"/>
      <c r="C61" s="128">
        <f>B61*0.0825</f>
        <v>0</v>
      </c>
      <c r="D61" s="128">
        <f>B61*0.1331</f>
        <v>0</v>
      </c>
      <c r="E61" s="128">
        <f>B61*0.075</f>
        <v>0</v>
      </c>
      <c r="F61" s="128">
        <f>B61*1.5</f>
        <v>0</v>
      </c>
      <c r="G61" s="136">
        <f>(F61/100)*78</f>
        <v>0</v>
      </c>
    </row>
    <row r="62" spans="1:7" x14ac:dyDescent="0.2">
      <c r="A62" s="140" t="s">
        <v>177</v>
      </c>
      <c r="B62" s="135"/>
      <c r="C62" s="128">
        <f>B62*0.03535</f>
        <v>0</v>
      </c>
      <c r="D62" s="128">
        <f>B62*0.2172</f>
        <v>0</v>
      </c>
      <c r="E62" s="128">
        <f>B62*0</f>
        <v>0</v>
      </c>
      <c r="F62" s="128">
        <f>B62*1.01</f>
        <v>0</v>
      </c>
      <c r="G62" s="136">
        <f>(F62/100)*86</f>
        <v>0</v>
      </c>
    </row>
    <row r="63" spans="1:7" x14ac:dyDescent="0.2">
      <c r="A63" s="140" t="s">
        <v>178</v>
      </c>
      <c r="B63" s="135"/>
      <c r="C63" s="128">
        <f>B63*0.08059</f>
        <v>0</v>
      </c>
      <c r="D63" s="128">
        <f>B63*0.1599</f>
        <v>0</v>
      </c>
      <c r="E63" s="128">
        <f>B63*0.09578</f>
        <v>0</v>
      </c>
      <c r="F63" s="128">
        <f>B63*1.8</f>
        <v>0</v>
      </c>
      <c r="G63" s="136">
        <f>(F63/100)*82</f>
        <v>0</v>
      </c>
    </row>
    <row r="64" spans="1:7" x14ac:dyDescent="0.2">
      <c r="A64" s="140" t="s">
        <v>179</v>
      </c>
      <c r="B64" s="135"/>
      <c r="C64" s="128">
        <f>B64*0.04473</f>
        <v>0</v>
      </c>
      <c r="D64" s="128">
        <f>B64*0.1958</f>
        <v>0</v>
      </c>
      <c r="E64" s="128">
        <f>B64*0.09578</f>
        <v>0</v>
      </c>
      <c r="F64" s="128">
        <f>B64*1.8</f>
        <v>0</v>
      </c>
      <c r="G64" s="136">
        <f>(F64/100)*90.2</f>
        <v>0</v>
      </c>
    </row>
    <row r="65" spans="1:7" x14ac:dyDescent="0.2">
      <c r="A65" s="140" t="s">
        <v>180</v>
      </c>
      <c r="B65" s="135"/>
      <c r="C65" s="128">
        <f>B65*0.04167</f>
        <v>0</v>
      </c>
      <c r="D65" s="128">
        <f>B65*0.1847</f>
        <v>0</v>
      </c>
      <c r="E65" s="128">
        <f>B65*0.011</f>
        <v>0</v>
      </c>
      <c r="F65" s="128">
        <f>B65*1</f>
        <v>0</v>
      </c>
      <c r="G65" s="136">
        <f>(F65/100)*83.3</f>
        <v>0</v>
      </c>
    </row>
    <row r="66" spans="1:7" x14ac:dyDescent="0.2">
      <c r="A66" s="140" t="s">
        <v>181</v>
      </c>
      <c r="B66" s="135"/>
      <c r="C66" s="128">
        <f>B66*0.3333</f>
        <v>0</v>
      </c>
      <c r="D66" s="128">
        <f>B66*0.4666667</f>
        <v>0</v>
      </c>
      <c r="E66" s="128">
        <f>B66*0</f>
        <v>0</v>
      </c>
      <c r="F66" s="128">
        <f>B66*3.333</f>
        <v>0</v>
      </c>
      <c r="G66" s="136">
        <f>(F66/100)*60</f>
        <v>0</v>
      </c>
    </row>
    <row r="67" spans="1:7" x14ac:dyDescent="0.2">
      <c r="A67" s="140"/>
      <c r="B67" s="141"/>
      <c r="G67" s="136"/>
    </row>
    <row r="68" spans="1:7" x14ac:dyDescent="0.2">
      <c r="A68" s="140"/>
      <c r="B68" s="141"/>
      <c r="G68" s="136"/>
    </row>
    <row r="69" spans="1:7" x14ac:dyDescent="0.2">
      <c r="A69" s="140"/>
      <c r="B69" s="141"/>
      <c r="G69" s="136"/>
    </row>
    <row r="70" spans="1:7" x14ac:dyDescent="0.2">
      <c r="A70" s="140"/>
      <c r="B70" s="141"/>
      <c r="G70" s="136"/>
    </row>
    <row r="71" spans="1:7" x14ac:dyDescent="0.2">
      <c r="A71" s="140"/>
      <c r="B71" s="141"/>
      <c r="G71" s="136"/>
    </row>
    <row r="72" spans="1:7" x14ac:dyDescent="0.2">
      <c r="A72" s="140"/>
      <c r="B72" s="141"/>
      <c r="G72" s="136"/>
    </row>
    <row r="73" spans="1:7" x14ac:dyDescent="0.2">
      <c r="A73" s="140"/>
      <c r="B73" s="141"/>
      <c r="G73" s="136"/>
    </row>
    <row r="74" spans="1:7" x14ac:dyDescent="0.2">
      <c r="A74" s="140"/>
      <c r="B74" s="141"/>
      <c r="G74" s="136"/>
    </row>
    <row r="75" spans="1:7" x14ac:dyDescent="0.2">
      <c r="A75" s="140"/>
      <c r="B75" s="141"/>
      <c r="G75" s="136"/>
    </row>
    <row r="76" spans="1:7" x14ac:dyDescent="0.2">
      <c r="A76" s="140"/>
      <c r="B76" s="141"/>
      <c r="G76" s="136"/>
    </row>
    <row r="77" spans="1:7" x14ac:dyDescent="0.2">
      <c r="A77" s="140"/>
      <c r="B77" s="141"/>
      <c r="G77" s="136"/>
    </row>
    <row r="78" spans="1:7" x14ac:dyDescent="0.2">
      <c r="A78" s="140"/>
      <c r="B78" s="141"/>
      <c r="G78" s="136"/>
    </row>
    <row r="79" spans="1:7" x14ac:dyDescent="0.2">
      <c r="A79" s="140"/>
      <c r="B79" s="141"/>
      <c r="G79" s="136"/>
    </row>
    <row r="80" spans="1:7" x14ac:dyDescent="0.2">
      <c r="A80" s="140"/>
      <c r="B80" s="141"/>
      <c r="G80" s="136"/>
    </row>
    <row r="81" spans="1:7" x14ac:dyDescent="0.2">
      <c r="A81" s="140"/>
      <c r="B81" s="141"/>
      <c r="G81" s="136"/>
    </row>
    <row r="82" spans="1:7" x14ac:dyDescent="0.2">
      <c r="A82" s="140"/>
      <c r="B82" s="141"/>
      <c r="G82" s="136"/>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indexed="21"/>
  </sheetPr>
  <dimension ref="A1:O36"/>
  <sheetViews>
    <sheetView workbookViewId="0">
      <selection activeCell="M40" sqref="M40"/>
    </sheetView>
  </sheetViews>
  <sheetFormatPr defaultRowHeight="12.75" x14ac:dyDescent="0.2"/>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x14ac:dyDescent="0.2">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x14ac:dyDescent="0.2">
      <c r="A2" s="148" t="s">
        <v>187</v>
      </c>
      <c r="B2" s="135"/>
      <c r="C2" s="142">
        <f>B2*0.008*6.25</f>
        <v>0</v>
      </c>
      <c r="D2" s="149">
        <f>B2*0.2</f>
        <v>0</v>
      </c>
      <c r="E2" s="146"/>
      <c r="F2" s="148" t="s">
        <v>188</v>
      </c>
      <c r="I2" s="135"/>
      <c r="J2" s="142">
        <f>I2*0.0057*6.25</f>
        <v>0</v>
      </c>
      <c r="K2" s="142">
        <f>I2*0.08</f>
        <v>0</v>
      </c>
      <c r="L2" s="142">
        <f>I2*0.48</f>
        <v>0</v>
      </c>
      <c r="M2" s="149">
        <f>I2*0.32</f>
        <v>0</v>
      </c>
      <c r="N2" s="147"/>
    </row>
    <row r="3" spans="1:15" x14ac:dyDescent="0.2">
      <c r="A3" s="148" t="s">
        <v>189</v>
      </c>
      <c r="B3" s="135"/>
      <c r="C3" s="142">
        <f>B3*0.016*6.25</f>
        <v>0</v>
      </c>
      <c r="D3" s="149">
        <f>B3*0.4</f>
        <v>0</v>
      </c>
      <c r="E3" s="146"/>
      <c r="F3" s="148" t="s">
        <v>190</v>
      </c>
      <c r="I3" s="135"/>
      <c r="J3" s="142">
        <f>I3*0.0068*6.25</f>
        <v>0</v>
      </c>
      <c r="K3" s="142">
        <f>I3*0.15</f>
        <v>0</v>
      </c>
      <c r="L3" s="142">
        <f>I3*0.79</f>
        <v>0</v>
      </c>
      <c r="M3" s="149">
        <f>I3*0.6</f>
        <v>0</v>
      </c>
      <c r="N3" s="147"/>
    </row>
    <row r="4" spans="1:15" x14ac:dyDescent="0.2">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x14ac:dyDescent="0.2">
      <c r="A5" s="148" t="s">
        <v>193</v>
      </c>
      <c r="B5" s="135"/>
      <c r="C5" s="142">
        <f>B5*0.0153*6.25</f>
        <v>0</v>
      </c>
      <c r="D5" s="149">
        <f>B5*0.4</f>
        <v>0</v>
      </c>
      <c r="E5" s="147"/>
      <c r="F5" s="154"/>
      <c r="G5" s="154"/>
      <c r="H5" s="154"/>
      <c r="I5" s="154"/>
      <c r="J5" s="154"/>
      <c r="K5" s="154"/>
      <c r="L5" s="154"/>
      <c r="M5" s="154"/>
    </row>
    <row r="6" spans="1:15" x14ac:dyDescent="0.2">
      <c r="A6" s="148" t="s">
        <v>194</v>
      </c>
      <c r="B6" s="135"/>
      <c r="C6" s="142">
        <f>B6*0.0162*6.25</f>
        <v>0</v>
      </c>
      <c r="D6" s="149">
        <f>B6*0.4</f>
        <v>0</v>
      </c>
      <c r="E6" s="147"/>
      <c r="F6" s="155"/>
      <c r="G6" s="155"/>
      <c r="H6" s="155"/>
      <c r="I6" s="155"/>
      <c r="J6" s="155"/>
      <c r="K6" s="155"/>
      <c r="L6" s="155"/>
      <c r="M6" s="155"/>
      <c r="N6" s="155"/>
    </row>
    <row r="7" spans="1:15" x14ac:dyDescent="0.2">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x14ac:dyDescent="0.2">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x14ac:dyDescent="0.2">
      <c r="A9" s="148" t="s">
        <v>201</v>
      </c>
      <c r="B9" s="135"/>
      <c r="C9" s="142">
        <f>B9*0.0081*6.25</f>
        <v>0</v>
      </c>
      <c r="D9" s="149">
        <f>B9*0.2</f>
        <v>0</v>
      </c>
      <c r="E9" s="146"/>
      <c r="F9" s="148" t="s">
        <v>202</v>
      </c>
      <c r="I9" s="135"/>
      <c r="J9" s="142">
        <f>I9*0.0057*6.25</f>
        <v>0</v>
      </c>
      <c r="K9" s="142">
        <f>I9*0.08</f>
        <v>0</v>
      </c>
      <c r="M9" s="142">
        <f>J9*4+K9*4</f>
        <v>0</v>
      </c>
      <c r="N9" s="149">
        <f>K9*4</f>
        <v>0</v>
      </c>
      <c r="O9" s="147"/>
    </row>
    <row r="10" spans="1:15" x14ac:dyDescent="0.2">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x14ac:dyDescent="0.2">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x14ac:dyDescent="0.2">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x14ac:dyDescent="0.2">
      <c r="A13" s="148" t="s">
        <v>209</v>
      </c>
      <c r="B13" s="135"/>
      <c r="C13" s="142">
        <f>B13*0.1</f>
        <v>0</v>
      </c>
      <c r="D13" s="149">
        <f>C13*4</f>
        <v>0</v>
      </c>
      <c r="E13" s="147"/>
      <c r="F13" s="148" t="s">
        <v>210</v>
      </c>
      <c r="I13" s="135"/>
      <c r="J13" s="142">
        <f>I13*0.01*6.25</f>
        <v>0</v>
      </c>
      <c r="K13" s="142">
        <f>I13*0.18</f>
        <v>0</v>
      </c>
      <c r="M13" s="142">
        <f>J13*4+K13*4</f>
        <v>0</v>
      </c>
      <c r="N13" s="156">
        <f>K13*4</f>
        <v>0</v>
      </c>
    </row>
    <row r="14" spans="1:15" x14ac:dyDescent="0.2">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x14ac:dyDescent="0.2">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x14ac:dyDescent="0.2">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x14ac:dyDescent="0.2">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x14ac:dyDescent="0.2">
      <c r="A18" s="151" t="s">
        <v>219</v>
      </c>
      <c r="B18" s="152"/>
      <c r="C18" s="151">
        <f>B18*0.0156*6.25</f>
        <v>0</v>
      </c>
      <c r="D18" s="153">
        <f>C18*4</f>
        <v>0</v>
      </c>
      <c r="E18" s="147"/>
      <c r="F18" s="154"/>
      <c r="G18" s="154"/>
      <c r="H18" s="154"/>
      <c r="I18" s="154"/>
      <c r="J18" s="154"/>
      <c r="K18" s="154"/>
      <c r="L18" s="154"/>
      <c r="M18" s="154"/>
      <c r="N18" s="154"/>
    </row>
    <row r="19" spans="1:14" x14ac:dyDescent="0.2">
      <c r="A19" s="154"/>
      <c r="B19" s="154"/>
      <c r="C19" s="154"/>
      <c r="D19" s="154"/>
      <c r="E19" s="147"/>
    </row>
    <row r="20" spans="1:14" x14ac:dyDescent="0.2">
      <c r="A20" s="155"/>
      <c r="B20" s="155"/>
      <c r="C20" s="155"/>
      <c r="D20" s="155"/>
      <c r="E20" s="147"/>
      <c r="F20" s="160" t="s">
        <v>220</v>
      </c>
      <c r="G20" s="160"/>
      <c r="H20" s="160"/>
      <c r="I20" s="160"/>
    </row>
    <row r="21" spans="1:14" x14ac:dyDescent="0.2">
      <c r="A21" s="143" t="s">
        <v>115</v>
      </c>
      <c r="B21" s="144" t="s">
        <v>104</v>
      </c>
      <c r="C21" s="144" t="s">
        <v>221</v>
      </c>
      <c r="D21" s="145" t="s">
        <v>183</v>
      </c>
      <c r="E21" s="147"/>
      <c r="F21" s="160"/>
      <c r="G21" s="160"/>
      <c r="H21" s="160"/>
      <c r="I21" s="160"/>
    </row>
    <row r="22" spans="1:14" x14ac:dyDescent="0.2">
      <c r="A22" s="148" t="s">
        <v>222</v>
      </c>
      <c r="B22" s="135"/>
      <c r="C22" s="142">
        <f>B22*0.1</f>
        <v>0</v>
      </c>
      <c r="D22" s="149">
        <f>C22*4</f>
        <v>0</v>
      </c>
      <c r="E22" s="147"/>
      <c r="F22" s="160" t="s">
        <v>113</v>
      </c>
      <c r="G22" s="160"/>
      <c r="H22" s="160"/>
      <c r="I22" s="161">
        <f>SUM(C2:C18,J2:J4,J8:J17)</f>
        <v>0</v>
      </c>
    </row>
    <row r="23" spans="1:14" x14ac:dyDescent="0.2">
      <c r="A23" s="148" t="s">
        <v>148</v>
      </c>
      <c r="B23" s="135"/>
      <c r="C23" s="142">
        <f>B23*0.2</f>
        <v>0</v>
      </c>
      <c r="D23" s="149">
        <f>C23*4</f>
        <v>0</v>
      </c>
      <c r="F23" s="160" t="s">
        <v>115</v>
      </c>
      <c r="G23" s="160"/>
      <c r="H23" s="160"/>
      <c r="I23" s="161">
        <f>SUM(C22:C24,K2:K4,K8:K17)</f>
        <v>0</v>
      </c>
    </row>
    <row r="24" spans="1:14" x14ac:dyDescent="0.2">
      <c r="A24" s="150" t="s">
        <v>223</v>
      </c>
      <c r="B24" s="152"/>
      <c r="C24" s="151">
        <f>B24*0.4</f>
        <v>0</v>
      </c>
      <c r="D24" s="153">
        <f>C24*4</f>
        <v>0</v>
      </c>
      <c r="F24" s="160" t="s">
        <v>117</v>
      </c>
      <c r="G24" s="160"/>
      <c r="H24" s="160"/>
      <c r="I24" s="161">
        <f>SUM(C28:C34,L8:L17)</f>
        <v>0</v>
      </c>
    </row>
    <row r="25" spans="1:14" x14ac:dyDescent="0.2">
      <c r="A25" s="154"/>
      <c r="B25" s="154"/>
      <c r="C25" s="154"/>
      <c r="D25" s="154"/>
      <c r="E25" s="147"/>
      <c r="F25" s="160" t="s">
        <v>119</v>
      </c>
      <c r="G25" s="160"/>
      <c r="H25" s="160"/>
      <c r="I25" s="161">
        <f>SUM(D22:D24,D28:D34,L2:L4,M8:M17)</f>
        <v>0</v>
      </c>
    </row>
    <row r="26" spans="1:14" x14ac:dyDescent="0.2">
      <c r="A26" s="155"/>
      <c r="B26" s="155"/>
      <c r="C26" s="155"/>
      <c r="D26" s="155"/>
      <c r="E26" s="147"/>
      <c r="F26" s="160" t="s">
        <v>224</v>
      </c>
      <c r="G26" s="160"/>
      <c r="H26" s="160"/>
      <c r="I26" s="161">
        <f>IF(I22=0,0,SUM(D22:D24,D28:D34,M2:M4,N8:N17)/(I22/6.25))</f>
        <v>0</v>
      </c>
    </row>
    <row r="27" spans="1:14" x14ac:dyDescent="0.2">
      <c r="A27" s="143" t="s">
        <v>225</v>
      </c>
      <c r="B27" s="144" t="s">
        <v>104</v>
      </c>
      <c r="C27" s="144" t="s">
        <v>226</v>
      </c>
      <c r="D27" s="145" t="s">
        <v>183</v>
      </c>
      <c r="E27" s="147"/>
      <c r="F27" s="160" t="s">
        <v>227</v>
      </c>
      <c r="I27" s="161">
        <f>SUM(D22:D24,D28:D34,M2:M4,N8:N17)</f>
        <v>0</v>
      </c>
    </row>
    <row r="28" spans="1:14" x14ac:dyDescent="0.2">
      <c r="A28" s="148" t="s">
        <v>228</v>
      </c>
      <c r="B28" s="135"/>
      <c r="C28" s="142">
        <f>B28*0.1</f>
        <v>0</v>
      </c>
      <c r="D28" s="149">
        <f>B28*1.022</f>
        <v>0</v>
      </c>
      <c r="E28" s="147"/>
    </row>
    <row r="29" spans="1:14" x14ac:dyDescent="0.2">
      <c r="A29" s="148" t="s">
        <v>229</v>
      </c>
      <c r="B29" s="135"/>
      <c r="C29" s="142">
        <f>B29*0.2</f>
        <v>0</v>
      </c>
      <c r="D29" s="149">
        <f>B29*1.908</f>
        <v>0</v>
      </c>
      <c r="E29" s="147"/>
    </row>
    <row r="30" spans="1:14" x14ac:dyDescent="0.2">
      <c r="A30" s="148" t="s">
        <v>230</v>
      </c>
      <c r="B30" s="135"/>
      <c r="C30" s="142">
        <f>B30*0.2</f>
        <v>0</v>
      </c>
      <c r="D30" s="149">
        <f>B30*1.91</f>
        <v>0</v>
      </c>
      <c r="E30" s="147"/>
      <c r="F30" s="160" t="s">
        <v>231</v>
      </c>
      <c r="G30" s="160"/>
      <c r="H30" s="160"/>
      <c r="I30" s="160"/>
    </row>
    <row r="31" spans="1:14" x14ac:dyDescent="0.2">
      <c r="A31" s="148" t="s">
        <v>232</v>
      </c>
      <c r="B31" s="135"/>
      <c r="C31" s="142">
        <f>B31*0.1</f>
        <v>0</v>
      </c>
      <c r="D31" s="149">
        <f>C31*9</f>
        <v>0</v>
      </c>
      <c r="F31" s="160" t="s">
        <v>113</v>
      </c>
      <c r="G31" s="160"/>
      <c r="H31" s="160"/>
      <c r="I31" s="161">
        <f>I22+энтерально!J2</f>
        <v>0</v>
      </c>
    </row>
    <row r="32" spans="1:14" x14ac:dyDescent="0.2">
      <c r="A32" s="148" t="s">
        <v>233</v>
      </c>
      <c r="B32" s="135"/>
      <c r="C32" s="142">
        <f>B32*0.2</f>
        <v>0</v>
      </c>
      <c r="D32" s="149">
        <f>B32*2</f>
        <v>0</v>
      </c>
      <c r="F32" s="160" t="s">
        <v>115</v>
      </c>
      <c r="G32" s="160"/>
      <c r="H32" s="160"/>
      <c r="I32" s="161">
        <f>I23+энтерально!J3</f>
        <v>0</v>
      </c>
    </row>
    <row r="33" spans="1:9" x14ac:dyDescent="0.2">
      <c r="A33" s="148" t="s">
        <v>234</v>
      </c>
      <c r="B33" s="135"/>
      <c r="C33" s="142">
        <f>B33*0.2</f>
        <v>0</v>
      </c>
      <c r="D33" s="149">
        <f>B33*2</f>
        <v>0</v>
      </c>
      <c r="F33" s="160" t="s">
        <v>117</v>
      </c>
      <c r="G33" s="160"/>
      <c r="H33" s="160"/>
      <c r="I33" s="161">
        <f>I24+энтерально!J4</f>
        <v>0</v>
      </c>
    </row>
    <row r="34" spans="1:9" x14ac:dyDescent="0.2">
      <c r="A34" s="150" t="s">
        <v>235</v>
      </c>
      <c r="B34" s="152"/>
      <c r="C34" s="151">
        <f>B34*0.1</f>
        <v>0</v>
      </c>
      <c r="D34" s="153">
        <f>B34*1.12</f>
        <v>0</v>
      </c>
      <c r="F34" s="160" t="s">
        <v>119</v>
      </c>
      <c r="G34" s="160"/>
      <c r="H34" s="160"/>
      <c r="I34" s="161">
        <f>I25+энтерально!J5</f>
        <v>0</v>
      </c>
    </row>
    <row r="35" spans="1:9" x14ac:dyDescent="0.2">
      <c r="A35" s="154"/>
      <c r="B35" s="154"/>
      <c r="C35" s="154"/>
      <c r="D35" s="154"/>
      <c r="F35" s="160" t="s">
        <v>224</v>
      </c>
      <c r="G35" s="160"/>
      <c r="H35" s="160"/>
      <c r="I35" s="161">
        <f>IF(I31=0,0,I36/(I31/6.25))</f>
        <v>0</v>
      </c>
    </row>
    <row r="36" spans="1:9" x14ac:dyDescent="0.2">
      <c r="F36" s="160" t="s">
        <v>227</v>
      </c>
      <c r="G36" s="160"/>
      <c r="H36" s="160"/>
      <c r="I36" s="161">
        <f>I27+энтерально!J6</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indexed="21"/>
  </sheetPr>
  <dimension ref="A1:J54"/>
  <sheetViews>
    <sheetView workbookViewId="0">
      <selection activeCell="B29" sqref="B29"/>
    </sheetView>
  </sheetViews>
  <sheetFormatPr defaultColWidth="9" defaultRowHeight="12.75" x14ac:dyDescent="0.2"/>
  <cols>
    <col min="1" max="1" width="35.28515625" customWidth="1"/>
    <col min="2" max="8" width="9" customWidth="1"/>
    <col min="9" max="9" width="20" customWidth="1"/>
    <col min="10" max="10" width="11.42578125" customWidth="1"/>
  </cols>
  <sheetData>
    <row r="1" spans="1:10" x14ac:dyDescent="0.2">
      <c r="A1" s="129" t="s">
        <v>103</v>
      </c>
      <c r="B1" s="130" t="s">
        <v>104</v>
      </c>
      <c r="C1" s="130" t="s">
        <v>105</v>
      </c>
      <c r="D1" s="130" t="s">
        <v>106</v>
      </c>
      <c r="E1" s="130" t="s">
        <v>107</v>
      </c>
      <c r="F1" s="130" t="s">
        <v>108</v>
      </c>
      <c r="G1" s="131" t="s">
        <v>109</v>
      </c>
    </row>
    <row r="2" spans="1:10" x14ac:dyDescent="0.2">
      <c r="A2" s="134" t="s">
        <v>236</v>
      </c>
      <c r="B2" s="135"/>
      <c r="C2" s="128">
        <f>B2*0.033</f>
        <v>0</v>
      </c>
      <c r="D2" s="128">
        <f>B2*0.139</f>
        <v>0</v>
      </c>
      <c r="E2" s="128">
        <f>B2*0.035</f>
        <v>0</v>
      </c>
      <c r="F2" s="128">
        <f>B2</f>
        <v>0</v>
      </c>
      <c r="G2" s="136">
        <f>(F2/100)*87</f>
        <v>0</v>
      </c>
      <c r="I2" s="133" t="s">
        <v>111</v>
      </c>
      <c r="J2" s="133"/>
    </row>
    <row r="3" spans="1:10" x14ac:dyDescent="0.2">
      <c r="A3" s="140" t="s">
        <v>237</v>
      </c>
      <c r="B3" s="135"/>
      <c r="C3" s="128">
        <f>B3*0.02</f>
        <v>0</v>
      </c>
      <c r="D3" s="128">
        <f>B3*0.073</f>
        <v>0</v>
      </c>
      <c r="E3" s="128">
        <f>B3*0.034</f>
        <v>0</v>
      </c>
      <c r="F3" s="128">
        <f>B3*0.67</f>
        <v>0</v>
      </c>
      <c r="G3" s="139">
        <f>F3*0.893</f>
        <v>0</v>
      </c>
      <c r="I3" s="133" t="s">
        <v>113</v>
      </c>
      <c r="J3" s="138">
        <f>SUM(C2:C52)</f>
        <v>0</v>
      </c>
    </row>
    <row r="4" spans="1:10" x14ac:dyDescent="0.2">
      <c r="A4" s="140" t="s">
        <v>238</v>
      </c>
      <c r="B4" s="135"/>
      <c r="C4" s="128">
        <f>B4*0.016</f>
        <v>0</v>
      </c>
      <c r="D4" s="128">
        <f>B4*0.74</f>
        <v>0</v>
      </c>
      <c r="E4" s="128">
        <f>B4*0.035</f>
        <v>0</v>
      </c>
      <c r="F4" s="128">
        <f>B4*0.68</f>
        <v>0</v>
      </c>
      <c r="G4" s="136">
        <f>B4*0.616</f>
        <v>0</v>
      </c>
      <c r="I4" s="133" t="s">
        <v>115</v>
      </c>
      <c r="J4" s="138">
        <f>SUM(D2:D52)</f>
        <v>0</v>
      </c>
    </row>
    <row r="5" spans="1:10" x14ac:dyDescent="0.2">
      <c r="A5" s="140" t="s">
        <v>239</v>
      </c>
      <c r="B5" s="135"/>
      <c r="C5" s="128">
        <f>B5*0.018</f>
        <v>0</v>
      </c>
      <c r="D5" s="128">
        <f>B5*0.076</f>
        <v>0</v>
      </c>
      <c r="E5" s="128">
        <f>B5*0.036</f>
        <v>0</v>
      </c>
      <c r="F5" s="128">
        <f>B5*0.7</f>
        <v>0</v>
      </c>
      <c r="G5" s="136">
        <f>B5*0.628</f>
        <v>0</v>
      </c>
      <c r="I5" s="133" t="s">
        <v>117</v>
      </c>
      <c r="J5" s="138">
        <f>SUM(E2:E52)</f>
        <v>0</v>
      </c>
    </row>
    <row r="6" spans="1:10" x14ac:dyDescent="0.2">
      <c r="A6" s="140" t="s">
        <v>240</v>
      </c>
      <c r="B6" s="135"/>
      <c r="C6" s="128">
        <f>B6*0.02</f>
        <v>0</v>
      </c>
      <c r="D6" s="128">
        <f>B6*0.101</f>
        <v>0</v>
      </c>
      <c r="E6" s="128">
        <f>B6*0.039</f>
        <v>0</v>
      </c>
      <c r="F6" s="128">
        <f>B6*0.84</f>
        <v>0</v>
      </c>
      <c r="G6" s="136">
        <f>B6*0.76</f>
        <v>0</v>
      </c>
      <c r="I6" s="133" t="s">
        <v>119</v>
      </c>
      <c r="J6" s="138">
        <f>SUM(F2:F52)</f>
        <v>0</v>
      </c>
    </row>
    <row r="7" spans="1:10" x14ac:dyDescent="0.2">
      <c r="A7" s="140" t="s">
        <v>241</v>
      </c>
      <c r="B7" s="135"/>
      <c r="C7" s="128">
        <f>B7*0.0124</f>
        <v>0</v>
      </c>
      <c r="D7" s="128">
        <f>B7*0.075</f>
        <v>0</v>
      </c>
      <c r="E7" s="128">
        <f>B7*0.036</f>
        <v>0</v>
      </c>
      <c r="F7" s="128">
        <f>B7*0.67</f>
        <v>0</v>
      </c>
      <c r="G7" s="139">
        <f>F7*0.9313</f>
        <v>0</v>
      </c>
      <c r="I7" s="133" t="s">
        <v>109</v>
      </c>
      <c r="J7" s="138">
        <f>SUM(G2:G52)</f>
        <v>0</v>
      </c>
    </row>
    <row r="8" spans="1:10" x14ac:dyDescent="0.2">
      <c r="A8" s="140" t="s">
        <v>242</v>
      </c>
      <c r="B8" s="135"/>
      <c r="C8" s="128">
        <f>B8*0.0168</f>
        <v>0</v>
      </c>
      <c r="D8" s="128">
        <f>B8*0.0869</f>
        <v>0</v>
      </c>
      <c r="E8" s="128">
        <f>B8*0.0286</f>
        <v>0</v>
      </c>
      <c r="F8" s="128">
        <f>B8*0.67</f>
        <v>0</v>
      </c>
      <c r="G8" s="136">
        <f>B8*0.6028</f>
        <v>0</v>
      </c>
      <c r="I8" s="133" t="s">
        <v>122</v>
      </c>
      <c r="J8" s="138">
        <f>IF(J3=0,0,J7/(J3/6.25))</f>
        <v>0</v>
      </c>
    </row>
    <row r="9" spans="1:10" x14ac:dyDescent="0.2">
      <c r="A9" s="140" t="s">
        <v>243</v>
      </c>
      <c r="B9" s="135"/>
      <c r="C9" s="128">
        <f>B9*0.017</f>
        <v>0</v>
      </c>
      <c r="D9" s="128">
        <f>B9*0.084</f>
        <v>0</v>
      </c>
      <c r="E9" s="128">
        <f>B9*0.0295</f>
        <v>0</v>
      </c>
      <c r="F9" s="128">
        <f>B9*0.67</f>
        <v>0</v>
      </c>
      <c r="G9" s="136">
        <f>B9*0.602</f>
        <v>0</v>
      </c>
    </row>
    <row r="10" spans="1:10" x14ac:dyDescent="0.2">
      <c r="A10" s="140" t="s">
        <v>244</v>
      </c>
      <c r="B10" s="135"/>
      <c r="C10" s="128">
        <f>B10*0.014</f>
        <v>0</v>
      </c>
      <c r="D10" s="128">
        <f>B10*0.078</f>
        <v>0</v>
      </c>
      <c r="E10" s="128">
        <f>B10*0.033</f>
        <v>0</v>
      </c>
      <c r="F10" s="128">
        <f>B10*0.67</f>
        <v>0</v>
      </c>
      <c r="G10" s="139">
        <f>F10*0.9089</f>
        <v>0</v>
      </c>
    </row>
    <row r="11" spans="1:10" x14ac:dyDescent="0.2">
      <c r="A11" s="140" t="s">
        <v>245</v>
      </c>
      <c r="B11" s="135"/>
      <c r="C11" s="128">
        <f>B11*0.015</f>
        <v>0</v>
      </c>
      <c r="D11" s="128">
        <f>B11*0.076</f>
        <v>0</v>
      </c>
      <c r="E11" s="128">
        <f>B11*0.034</f>
        <v>0</v>
      </c>
      <c r="F11" s="128">
        <f>B11*0.67</f>
        <v>0</v>
      </c>
      <c r="G11" s="136">
        <f>B11*0.61</f>
        <v>0</v>
      </c>
    </row>
    <row r="12" spans="1:10" x14ac:dyDescent="0.2">
      <c r="A12" s="140" t="s">
        <v>246</v>
      </c>
      <c r="B12" s="135"/>
      <c r="C12" s="128">
        <f>B12*0.018</f>
        <v>0</v>
      </c>
      <c r="D12" s="128">
        <f>B12*0.081</f>
        <v>0</v>
      </c>
      <c r="E12" s="128">
        <f>B12*0.04</f>
        <v>0</v>
      </c>
      <c r="F12" s="128">
        <f>B12*0.756</f>
        <v>0</v>
      </c>
      <c r="G12" s="136">
        <f>B12*0.684</f>
        <v>0</v>
      </c>
    </row>
    <row r="13" spans="1:10" x14ac:dyDescent="0.2">
      <c r="A13" s="140" t="s">
        <v>247</v>
      </c>
      <c r="B13" s="135"/>
      <c r="C13" s="128">
        <f>B13*0.014</f>
        <v>0</v>
      </c>
      <c r="D13" s="128">
        <f>B13*0.0746</f>
        <v>0</v>
      </c>
      <c r="E13" s="128">
        <f>B13*0.0348</f>
        <v>0</v>
      </c>
      <c r="F13" s="128">
        <f>B13*0.67</f>
        <v>0</v>
      </c>
      <c r="G13" s="136">
        <f>B13*0.614</f>
        <v>0</v>
      </c>
    </row>
    <row r="14" spans="1:10" x14ac:dyDescent="0.2">
      <c r="A14" s="140" t="s">
        <v>248</v>
      </c>
      <c r="B14" s="135"/>
      <c r="C14" s="128">
        <f>B14*0.0202</f>
        <v>0</v>
      </c>
      <c r="D14" s="128">
        <f>C14*0.0202</f>
        <v>0</v>
      </c>
      <c r="E14" s="128">
        <f>D14*0.0202</f>
        <v>0</v>
      </c>
      <c r="F14" s="128">
        <f>E14*0.0202</f>
        <v>0</v>
      </c>
      <c r="G14" s="136">
        <f>F14*0.0202</f>
        <v>0</v>
      </c>
    </row>
    <row r="15" spans="1:10" x14ac:dyDescent="0.2">
      <c r="A15" s="140" t="s">
        <v>249</v>
      </c>
      <c r="B15" s="135"/>
      <c r="C15" s="128">
        <f>B15*0.026</f>
        <v>0</v>
      </c>
      <c r="D15" s="128">
        <f>B15*0.084</f>
        <v>0</v>
      </c>
      <c r="E15" s="128">
        <f>B15*0.039</f>
        <v>0</v>
      </c>
      <c r="F15" s="128">
        <f>B15*0.79</f>
        <v>0</v>
      </c>
      <c r="G15" s="139">
        <f>F15*0.8696</f>
        <v>0</v>
      </c>
    </row>
    <row r="16" spans="1:10" x14ac:dyDescent="0.2">
      <c r="A16" s="140" t="s">
        <v>250</v>
      </c>
      <c r="B16" s="135"/>
      <c r="C16" s="128">
        <f>B16*0.02</f>
        <v>0</v>
      </c>
      <c r="D16" s="128">
        <f>B16*0.075</f>
        <v>0</v>
      </c>
      <c r="E16" s="128">
        <f>B16*0.04</f>
        <v>0</v>
      </c>
      <c r="F16" s="128">
        <f>B16*0.74</f>
        <v>0</v>
      </c>
      <c r="G16" s="139">
        <f>F16*0.8919</f>
        <v>0</v>
      </c>
    </row>
    <row r="17" spans="1:7" x14ac:dyDescent="0.2">
      <c r="A17" s="140" t="s">
        <v>251</v>
      </c>
      <c r="B17" s="135"/>
      <c r="C17" s="128">
        <f>B17*0.014</f>
        <v>0</v>
      </c>
      <c r="D17" s="128">
        <f>B17*0.075</f>
        <v>0</v>
      </c>
      <c r="E17" s="128">
        <f>B17*0.035</f>
        <v>0</v>
      </c>
      <c r="F17" s="128">
        <f>B17*0.67</f>
        <v>0</v>
      </c>
      <c r="G17" s="136">
        <f>B17*0.614</f>
        <v>0</v>
      </c>
    </row>
    <row r="18" spans="1:7" x14ac:dyDescent="0.2">
      <c r="A18" s="140" t="s">
        <v>252</v>
      </c>
      <c r="B18" s="135"/>
      <c r="C18" s="128">
        <f>B18*0.018</f>
        <v>0</v>
      </c>
      <c r="D18" s="128">
        <f>B18*0.081</f>
        <v>0</v>
      </c>
      <c r="E18" s="128">
        <f>B18*0.034</f>
        <v>0</v>
      </c>
      <c r="F18" s="128">
        <f>B18*0.7</f>
        <v>0</v>
      </c>
      <c r="G18" s="136">
        <f>B18*0.628</f>
        <v>0</v>
      </c>
    </row>
    <row r="19" spans="1:7" x14ac:dyDescent="0.2">
      <c r="A19" s="140" t="s">
        <v>253</v>
      </c>
      <c r="B19" s="135"/>
      <c r="C19" s="128">
        <f>B19*0.019</f>
        <v>0</v>
      </c>
      <c r="D19" s="128">
        <f>B19*0.099</f>
        <v>0</v>
      </c>
      <c r="E19" s="128">
        <f>B19*0.033</f>
        <v>0</v>
      </c>
      <c r="F19" s="128">
        <f>B19*0.77</f>
        <v>0</v>
      </c>
      <c r="G19" s="136">
        <f>B19*0.694</f>
        <v>0</v>
      </c>
    </row>
    <row r="20" spans="1:7" x14ac:dyDescent="0.2">
      <c r="A20" s="140" t="s">
        <v>254</v>
      </c>
      <c r="B20" s="135"/>
      <c r="C20" s="128">
        <f>B20*0.017</f>
        <v>0</v>
      </c>
      <c r="D20" s="128">
        <f>B20*0.081</f>
        <v>0</v>
      </c>
      <c r="E20" s="128">
        <f>B20*0.031</f>
        <v>0</v>
      </c>
      <c r="F20" s="128">
        <f>B20*0.67</f>
        <v>0</v>
      </c>
      <c r="G20" s="136">
        <f>B20*0.602</f>
        <v>0</v>
      </c>
    </row>
    <row r="21" spans="1:7" x14ac:dyDescent="0.2">
      <c r="A21" s="140" t="s">
        <v>255</v>
      </c>
      <c r="B21" s="135"/>
      <c r="C21" s="128">
        <f>B21*0.016</f>
        <v>0</v>
      </c>
      <c r="D21" s="128">
        <f>B21*0.073</f>
        <v>0</v>
      </c>
      <c r="E21" s="128">
        <f>B21*0.035</f>
        <v>0</v>
      </c>
      <c r="F21" s="128">
        <f>B21*0.67</f>
        <v>0</v>
      </c>
      <c r="G21" s="136">
        <f>B21*0.606</f>
        <v>0</v>
      </c>
    </row>
    <row r="22" spans="1:7" x14ac:dyDescent="0.2">
      <c r="A22" s="140" t="s">
        <v>256</v>
      </c>
      <c r="B22" s="135"/>
      <c r="C22" s="128">
        <f>B22*0.018</f>
        <v>0</v>
      </c>
      <c r="D22" s="128">
        <f>B22*0.079</f>
        <v>0</v>
      </c>
      <c r="E22" s="128">
        <f>B22*0.035</f>
        <v>0</v>
      </c>
      <c r="F22" s="128">
        <f>B22*0.7</f>
        <v>0</v>
      </c>
      <c r="G22" s="136">
        <f>B22*0.628</f>
        <v>0</v>
      </c>
    </row>
    <row r="23" spans="1:7" x14ac:dyDescent="0.2">
      <c r="A23" s="140" t="s">
        <v>257</v>
      </c>
      <c r="B23" s="135"/>
      <c r="C23" s="128">
        <f>B23*0.015</f>
        <v>0</v>
      </c>
      <c r="D23" s="128">
        <f>B23*0.071</f>
        <v>0</v>
      </c>
      <c r="E23" s="128">
        <f>B23*0.034</f>
        <v>0</v>
      </c>
      <c r="F23" s="128">
        <f>B23*0.65</f>
        <v>0</v>
      </c>
      <c r="G23" s="139">
        <f>F23*0.908</f>
        <v>0</v>
      </c>
    </row>
    <row r="24" spans="1:7" x14ac:dyDescent="0.2">
      <c r="A24" s="140" t="s">
        <v>258</v>
      </c>
      <c r="B24" s="135"/>
      <c r="C24" s="128">
        <f>B24*0.019</f>
        <v>0</v>
      </c>
      <c r="D24" s="128">
        <f>B24*0.87</f>
        <v>0</v>
      </c>
      <c r="E24" s="128">
        <f>B24*0.033</f>
        <v>0</v>
      </c>
      <c r="F24" s="128">
        <f>B24*0.72</f>
        <v>0</v>
      </c>
      <c r="G24" s="136">
        <f>B24*0.644</f>
        <v>0</v>
      </c>
    </row>
    <row r="25" spans="1:7" x14ac:dyDescent="0.2">
      <c r="A25" s="140" t="s">
        <v>259</v>
      </c>
      <c r="B25" s="135"/>
      <c r="C25" s="128">
        <f>B25*0.014</f>
        <v>0</v>
      </c>
      <c r="D25" s="128">
        <f>B25*0.07</f>
        <v>0</v>
      </c>
      <c r="E25" s="128">
        <f>B25*0.036</f>
        <v>0</v>
      </c>
      <c r="F25" s="128">
        <f>B25*0.66</f>
        <v>0</v>
      </c>
      <c r="G25" s="136">
        <f>B25*0.604</f>
        <v>0</v>
      </c>
    </row>
    <row r="26" spans="1:7" x14ac:dyDescent="0.2">
      <c r="A26" s="140" t="s">
        <v>260</v>
      </c>
      <c r="B26" s="135"/>
      <c r="C26" s="128">
        <f>B26*0.018</f>
        <v>0</v>
      </c>
      <c r="D26" s="128">
        <f>B26*0.068</f>
        <v>0</v>
      </c>
      <c r="E26" s="128">
        <f>B26*0.035</f>
        <v>0</v>
      </c>
      <c r="F26" s="128">
        <f>B26*0.66</f>
        <v>0</v>
      </c>
      <c r="G26" s="139">
        <f>F26*0.8894</f>
        <v>0</v>
      </c>
    </row>
    <row r="27" spans="1:7" x14ac:dyDescent="0.2">
      <c r="A27" s="140" t="s">
        <v>261</v>
      </c>
      <c r="B27" s="135"/>
      <c r="C27" s="128">
        <f>B27*0.013</f>
        <v>0</v>
      </c>
      <c r="D27" s="128">
        <f>B27*0.073</f>
        <v>0</v>
      </c>
      <c r="E27" s="128">
        <f>B27*0.035</f>
        <v>0</v>
      </c>
      <c r="F27" s="128">
        <f>B27*0.66</f>
        <v>0</v>
      </c>
      <c r="G27" s="139">
        <f>F27*0.9196</f>
        <v>0</v>
      </c>
    </row>
    <row r="28" spans="1:7" x14ac:dyDescent="0.2">
      <c r="A28" s="140" t="s">
        <v>262</v>
      </c>
      <c r="B28" s="135"/>
      <c r="C28" s="128">
        <f>B28*0.018</f>
        <v>0</v>
      </c>
      <c r="D28" s="128">
        <f>B28*0.071</f>
        <v>0</v>
      </c>
      <c r="E28" s="128">
        <f>B28*0.036</f>
        <v>0</v>
      </c>
      <c r="F28" s="128">
        <f>B28*0.68</f>
        <v>0</v>
      </c>
      <c r="G28" s="136">
        <f>B28*0.608</f>
        <v>0</v>
      </c>
    </row>
    <row r="29" spans="1:7" x14ac:dyDescent="0.2">
      <c r="A29" s="140" t="s">
        <v>263</v>
      </c>
      <c r="B29" s="135"/>
      <c r="C29" s="128">
        <f>B29*0.026</f>
        <v>0</v>
      </c>
      <c r="D29" s="128">
        <f>B29*0.103</f>
        <v>0</v>
      </c>
      <c r="E29" s="128">
        <f>B29*0.054</f>
        <v>0</v>
      </c>
      <c r="F29" s="128">
        <f>B29*1</f>
        <v>0</v>
      </c>
      <c r="G29" s="139">
        <f>B29*0.898</f>
        <v>0</v>
      </c>
    </row>
    <row r="30" spans="1:7" x14ac:dyDescent="0.2">
      <c r="A30" s="140" t="s">
        <v>264</v>
      </c>
      <c r="B30" s="135"/>
      <c r="C30" s="128">
        <f>B30*0.025</f>
        <v>0</v>
      </c>
      <c r="D30" s="128">
        <f>B30*0.125</f>
        <v>0</v>
      </c>
      <c r="E30" s="128">
        <f>B30*0.044</f>
        <v>0</v>
      </c>
      <c r="F30" s="128">
        <f>B30</f>
        <v>0</v>
      </c>
      <c r="G30" s="139">
        <f>(F30/100)*90</f>
        <v>0</v>
      </c>
    </row>
    <row r="31" spans="1:7" x14ac:dyDescent="0.2">
      <c r="A31" s="140" t="s">
        <v>265</v>
      </c>
      <c r="B31" s="135"/>
      <c r="C31" s="128">
        <f>B31*0.025</f>
        <v>0</v>
      </c>
      <c r="D31" s="128">
        <f>B31*0.125</f>
        <v>0</v>
      </c>
      <c r="E31" s="128">
        <f>B31*0.044</f>
        <v>0</v>
      </c>
      <c r="F31" s="128">
        <f>B31</f>
        <v>0</v>
      </c>
      <c r="G31" s="139">
        <f>(F31/100)*90</f>
        <v>0</v>
      </c>
    </row>
    <row r="32" spans="1:7" x14ac:dyDescent="0.2">
      <c r="A32" s="140" t="s">
        <v>266</v>
      </c>
      <c r="B32" s="135"/>
      <c r="C32" s="128">
        <f>B32*0.041</f>
        <v>0</v>
      </c>
      <c r="D32" s="128">
        <f>B32*0.185</f>
        <v>0</v>
      </c>
      <c r="E32" s="128">
        <f>B32*0.067</f>
        <v>0</v>
      </c>
      <c r="F32" s="128">
        <f>B32*1.5</f>
        <v>0</v>
      </c>
      <c r="G32" s="139">
        <f>(F32/100)*89.1</f>
        <v>0</v>
      </c>
    </row>
    <row r="33" spans="1:7" x14ac:dyDescent="0.2">
      <c r="A33" s="140" t="s">
        <v>267</v>
      </c>
      <c r="B33" s="135"/>
      <c r="C33" s="128">
        <f>B33*0.033</f>
        <v>0</v>
      </c>
      <c r="D33" s="128">
        <f>B33*0.188</f>
        <v>0</v>
      </c>
      <c r="E33" s="128">
        <f>B33*0.068</f>
        <v>0</v>
      </c>
      <c r="F33" s="128">
        <f>B33*1.53</f>
        <v>0</v>
      </c>
      <c r="G33" s="139">
        <f>(F33/100)*91.4</f>
        <v>0</v>
      </c>
    </row>
    <row r="34" spans="1:7" x14ac:dyDescent="0.2">
      <c r="A34" s="140" t="s">
        <v>268</v>
      </c>
      <c r="B34" s="135"/>
      <c r="C34" s="128">
        <f>B34*0.028</f>
        <v>0</v>
      </c>
      <c r="D34" s="128">
        <f>B34*0.0812</f>
        <v>0</v>
      </c>
      <c r="E34" s="128">
        <f>B34*0.04</f>
        <v>0</v>
      </c>
      <c r="F34" s="128">
        <f>B34*0.8</f>
        <v>0</v>
      </c>
      <c r="G34" s="139">
        <f>F34*0.856</f>
        <v>0</v>
      </c>
    </row>
    <row r="35" spans="1:7" x14ac:dyDescent="0.2">
      <c r="A35" s="140" t="s">
        <v>269</v>
      </c>
      <c r="B35" s="135"/>
      <c r="C35" s="128">
        <f>B35*0.02</f>
        <v>0</v>
      </c>
      <c r="D35" s="128">
        <f>B35*0.0749</f>
        <v>0</v>
      </c>
      <c r="E35" s="128">
        <f>B35*0.037</f>
        <v>0</v>
      </c>
      <c r="F35" s="128">
        <f>B35*0.7</f>
        <v>0</v>
      </c>
      <c r="G35" s="139">
        <f>F35*0.9037</f>
        <v>0</v>
      </c>
    </row>
    <row r="36" spans="1:7" x14ac:dyDescent="0.2">
      <c r="A36" s="140" t="s">
        <v>270</v>
      </c>
      <c r="B36" s="135"/>
      <c r="C36" s="128">
        <f>B36*0.0267</f>
        <v>0</v>
      </c>
      <c r="D36" s="128">
        <f>B36*0.081</f>
        <v>0</v>
      </c>
      <c r="E36" s="128">
        <f>B36*0.0435</f>
        <v>0</v>
      </c>
      <c r="F36" s="128">
        <f>B36*0.82</f>
        <v>0</v>
      </c>
      <c r="G36" s="139">
        <f>F36*0.8726</f>
        <v>0</v>
      </c>
    </row>
    <row r="37" spans="1:7" x14ac:dyDescent="0.2">
      <c r="A37" s="140" t="s">
        <v>271</v>
      </c>
      <c r="B37" s="135"/>
      <c r="C37" s="128">
        <f>B37*0.019</f>
        <v>0</v>
      </c>
      <c r="D37" s="128">
        <f>B37*0.077</f>
        <v>0</v>
      </c>
      <c r="E37" s="128">
        <f>B37*0.041</f>
        <v>0</v>
      </c>
      <c r="F37" s="128">
        <f>B37*0.75</f>
        <v>0</v>
      </c>
      <c r="G37" s="139">
        <f>F37*0.9027</f>
        <v>0</v>
      </c>
    </row>
    <row r="38" spans="1:7" x14ac:dyDescent="0.2">
      <c r="A38" s="140" t="s">
        <v>272</v>
      </c>
      <c r="B38" s="135"/>
      <c r="C38" s="128">
        <f>B38*0.015</f>
        <v>0</v>
      </c>
      <c r="D38" s="128">
        <f>B38*0.0776</f>
        <v>0</v>
      </c>
      <c r="E38" s="128">
        <f>B38*0.0322</f>
        <v>0</v>
      </c>
      <c r="F38" s="128">
        <f>B38*0.66</f>
        <v>0</v>
      </c>
      <c r="G38" s="139">
        <f>F38*0.9094</f>
        <v>0</v>
      </c>
    </row>
    <row r="39" spans="1:7" x14ac:dyDescent="0.2">
      <c r="A39" s="140" t="s">
        <v>273</v>
      </c>
      <c r="B39" s="135"/>
      <c r="C39" s="128">
        <f>B39*0.0145</f>
        <v>0</v>
      </c>
      <c r="D39" s="128">
        <f>B39*0.0721</f>
        <v>0</v>
      </c>
      <c r="E39" s="128">
        <f>B39*0.0365</f>
        <v>0</v>
      </c>
      <c r="F39" s="128">
        <f>B39*0.68</f>
        <v>0</v>
      </c>
      <c r="G39" s="139">
        <f>F39*0.9072</f>
        <v>0</v>
      </c>
    </row>
    <row r="40" spans="1:7" x14ac:dyDescent="0.2">
      <c r="A40" s="140" t="s">
        <v>274</v>
      </c>
      <c r="B40" s="135"/>
      <c r="C40" s="128">
        <f>B40*0.018</f>
        <v>0</v>
      </c>
      <c r="D40" s="128">
        <f>B40*0.072</f>
        <v>0</v>
      </c>
      <c r="E40" s="128">
        <f>B40*0.034</f>
        <v>0</v>
      </c>
      <c r="F40" s="128">
        <f>B40*0.67</f>
        <v>0</v>
      </c>
      <c r="G40" s="136">
        <f>(F40/100)*90</f>
        <v>0</v>
      </c>
    </row>
    <row r="41" spans="1:7" x14ac:dyDescent="0.2">
      <c r="A41" s="140" t="s">
        <v>275</v>
      </c>
      <c r="B41" s="135"/>
      <c r="C41" s="128">
        <f>B41*0.025</f>
        <v>0</v>
      </c>
      <c r="D41" s="128">
        <f>B41*0.146</f>
        <v>0</v>
      </c>
      <c r="E41" s="128">
        <f>B41*0.035</f>
        <v>0</v>
      </c>
      <c r="F41" s="128">
        <f>B41</f>
        <v>0</v>
      </c>
      <c r="G41" s="136">
        <f>(F41/100)*90</f>
        <v>0</v>
      </c>
    </row>
    <row r="42" spans="1:7" x14ac:dyDescent="0.2">
      <c r="A42" s="140" t="s">
        <v>276</v>
      </c>
      <c r="B42" s="135"/>
      <c r="C42" s="128">
        <f>B42*0.018</f>
        <v>0</v>
      </c>
      <c r="D42" s="128">
        <f>B42*0.068</f>
        <v>0</v>
      </c>
      <c r="E42" s="128">
        <f>B42*0.035</f>
        <v>0</v>
      </c>
      <c r="F42" s="128">
        <f>B42*0.66</f>
        <v>0</v>
      </c>
      <c r="G42" s="136">
        <f>(F42/100)*89</f>
        <v>0</v>
      </c>
    </row>
    <row r="43" spans="1:7" x14ac:dyDescent="0.2">
      <c r="A43" s="140" t="s">
        <v>277</v>
      </c>
      <c r="B43" s="135"/>
      <c r="C43" s="128">
        <f>B43*0.014</f>
        <v>0</v>
      </c>
      <c r="D43" s="128">
        <f>B43*0.068</f>
        <v>0</v>
      </c>
      <c r="E43" s="128">
        <f>B43*0.035</f>
        <v>0</v>
      </c>
      <c r="F43" s="128">
        <f>B43*0.65</f>
        <v>0</v>
      </c>
      <c r="G43" s="139">
        <f>F43*0.9031</f>
        <v>0</v>
      </c>
    </row>
    <row r="44" spans="1:7" x14ac:dyDescent="0.2">
      <c r="A44" s="140" t="s">
        <v>278</v>
      </c>
      <c r="B44" s="135"/>
      <c r="C44" s="128">
        <f>B44*0.018</f>
        <v>0</v>
      </c>
      <c r="D44" s="128">
        <f>B44*0.089</f>
        <v>0</v>
      </c>
      <c r="E44" s="128">
        <f>B44*0.032</f>
        <v>0</v>
      </c>
      <c r="F44" s="128">
        <f>B44*0.72</f>
        <v>0</v>
      </c>
      <c r="G44" s="136">
        <f>B44*0.648</f>
        <v>0</v>
      </c>
    </row>
    <row r="45" spans="1:7" x14ac:dyDescent="0.2">
      <c r="A45" s="140" t="s">
        <v>279</v>
      </c>
      <c r="B45" s="135"/>
      <c r="C45" s="128">
        <f>B45*0.014</f>
        <v>0</v>
      </c>
      <c r="D45" s="128">
        <f>B45*0.073</f>
        <v>0</v>
      </c>
      <c r="E45" s="128">
        <f>B45*0.035</f>
        <v>0</v>
      </c>
      <c r="F45" s="128">
        <f>B45*0.66</f>
        <v>0</v>
      </c>
      <c r="G45" s="139">
        <f>F45*0.9339</f>
        <v>0</v>
      </c>
    </row>
    <row r="46" spans="1:7" x14ac:dyDescent="0.2">
      <c r="A46" s="140" t="s">
        <v>280</v>
      </c>
      <c r="B46" s="135"/>
      <c r="C46" s="128">
        <f>B46*0.018</f>
        <v>0</v>
      </c>
      <c r="D46" s="128">
        <f>B46*0.089</f>
        <v>0</v>
      </c>
      <c r="E46" s="128">
        <f>B46*0.032</f>
        <v>0</v>
      </c>
      <c r="F46" s="128">
        <f>B46*0.72</f>
        <v>0</v>
      </c>
      <c r="G46" s="136">
        <f>B46*0.648</f>
        <v>0</v>
      </c>
    </row>
    <row r="47" spans="1:7" x14ac:dyDescent="0.2">
      <c r="A47" s="140" t="s">
        <v>281</v>
      </c>
      <c r="B47" s="135"/>
      <c r="C47" s="128">
        <f>B47*0.027</f>
        <v>0</v>
      </c>
      <c r="D47" s="128">
        <f>B47*0.098</f>
        <v>0</v>
      </c>
      <c r="E47" s="128">
        <f>B47*0.025</f>
        <v>0</v>
      </c>
      <c r="F47" s="128">
        <f>B47*0.73</f>
        <v>0</v>
      </c>
      <c r="G47" s="136">
        <f>B47*0.622</f>
        <v>0</v>
      </c>
    </row>
    <row r="48" spans="1:7" x14ac:dyDescent="0.2">
      <c r="A48" s="140" t="s">
        <v>282</v>
      </c>
      <c r="B48" s="135"/>
      <c r="C48" s="128">
        <f>B48*0.015</f>
        <v>0</v>
      </c>
      <c r="D48" s="128">
        <f>B48*0.072</f>
        <v>0</v>
      </c>
      <c r="E48" s="128">
        <f>B48*0.035</f>
        <v>0</v>
      </c>
      <c r="F48" s="128">
        <f>B48*0.67</f>
        <v>0</v>
      </c>
      <c r="G48" s="136">
        <f>B48*0.61</f>
        <v>0</v>
      </c>
    </row>
    <row r="49" spans="1:7" x14ac:dyDescent="0.2">
      <c r="A49" s="140" t="s">
        <v>283</v>
      </c>
      <c r="B49" s="135"/>
      <c r="C49" s="128">
        <f>B49*0.018</f>
        <v>0</v>
      </c>
      <c r="D49" s="128">
        <f>B49*0.09</f>
        <v>0</v>
      </c>
      <c r="E49" s="128">
        <f>B49*0.033</f>
        <v>0</v>
      </c>
      <c r="F49" s="128">
        <f>B49*0.74</f>
        <v>0</v>
      </c>
      <c r="G49" s="136">
        <f>B49*0.668</f>
        <v>0</v>
      </c>
    </row>
    <row r="50" spans="1:7" x14ac:dyDescent="0.2">
      <c r="A50" s="140" t="s">
        <v>284</v>
      </c>
      <c r="B50" s="135"/>
      <c r="C50" s="128">
        <f>B50*0.015</f>
        <v>0</v>
      </c>
      <c r="D50" s="128">
        <f>B50*0.072</f>
        <v>0</v>
      </c>
      <c r="E50" s="128">
        <f>B50*0.035</f>
        <v>0</v>
      </c>
      <c r="F50" s="128">
        <f>B50*0.67</f>
        <v>0</v>
      </c>
      <c r="G50" s="136">
        <f>B50*0.61</f>
        <v>0</v>
      </c>
    </row>
    <row r="51" spans="1:7" x14ac:dyDescent="0.2">
      <c r="A51" s="140" t="s">
        <v>285</v>
      </c>
      <c r="B51" s="135"/>
      <c r="C51" s="128">
        <f>B51*0.022</f>
        <v>0</v>
      </c>
      <c r="D51" s="128">
        <f>B51*0.082</f>
        <v>0</v>
      </c>
      <c r="E51" s="128">
        <f>B51*0.043</f>
        <v>0</v>
      </c>
      <c r="F51" s="128">
        <f>B51*0.8</f>
        <v>0</v>
      </c>
      <c r="G51" s="136">
        <f>B51*0.712</f>
        <v>0</v>
      </c>
    </row>
    <row r="52" spans="1:7" x14ac:dyDescent="0.2">
      <c r="A52" s="140" t="s">
        <v>286</v>
      </c>
      <c r="B52" s="135"/>
      <c r="C52" s="128">
        <f>B52*0.028875</f>
        <v>0</v>
      </c>
      <c r="D52" s="128">
        <f>B52*0.107625</f>
        <v>0</v>
      </c>
      <c r="E52" s="128">
        <f>B52*0.0564375</f>
        <v>0</v>
      </c>
      <c r="F52" s="128">
        <f>B52*1.05</f>
        <v>0</v>
      </c>
      <c r="G52" s="136">
        <f>B52*0.9345</f>
        <v>0</v>
      </c>
    </row>
    <row r="53" spans="1:7" x14ac:dyDescent="0.2">
      <c r="A53" s="140" t="s">
        <v>287</v>
      </c>
      <c r="B53" s="162"/>
      <c r="C53" s="128">
        <f>B53*0.02095</f>
        <v>0</v>
      </c>
      <c r="D53" s="128">
        <f>B53*0.072297</f>
        <v>0</v>
      </c>
      <c r="E53" s="128">
        <f>B53*0.03243</f>
        <v>0</v>
      </c>
      <c r="F53" s="128">
        <f>B53*0.6757</f>
        <v>0</v>
      </c>
      <c r="G53" s="136">
        <f>(F53/100)*85</f>
        <v>0</v>
      </c>
    </row>
    <row r="54" spans="1:7" x14ac:dyDescent="0.2">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A27" sqref="A27:B27"/>
    </sheetView>
  </sheetViews>
  <sheetFormatPr defaultColWidth="9" defaultRowHeight="12.75" x14ac:dyDescent="0.2"/>
  <cols>
    <col min="1" max="1" width="13.42578125" customWidth="1"/>
  </cols>
  <sheetData>
    <row r="1" spans="1:10" x14ac:dyDescent="0.2">
      <c r="A1" s="324" t="s">
        <v>289</v>
      </c>
      <c r="B1" s="324"/>
      <c r="C1" s="324"/>
      <c r="D1" s="324"/>
      <c r="E1" s="324"/>
      <c r="F1" s="324"/>
      <c r="G1" s="324"/>
      <c r="H1" s="324"/>
      <c r="I1" s="324"/>
      <c r="J1" s="324"/>
    </row>
    <row r="2" spans="1:10" ht="9" customHeight="1" x14ac:dyDescent="0.2">
      <c r="A2" s="324"/>
      <c r="B2" s="324"/>
      <c r="C2" s="324"/>
      <c r="D2" s="324"/>
      <c r="E2" s="324"/>
      <c r="F2" s="324"/>
      <c r="G2" s="324"/>
      <c r="H2" s="324"/>
      <c r="I2" s="324"/>
      <c r="J2" s="324"/>
    </row>
    <row r="3" spans="1:10" ht="14.65" customHeight="1" x14ac:dyDescent="0.2">
      <c r="A3" s="164" t="s">
        <v>290</v>
      </c>
      <c r="B3" s="317">
        <f>Фамилия</f>
        <v>0</v>
      </c>
      <c r="C3" s="317"/>
      <c r="D3" s="329">
        <f>Имя</f>
        <v>0</v>
      </c>
      <c r="E3" s="329"/>
      <c r="F3" s="329">
        <f>Отчество</f>
        <v>0</v>
      </c>
      <c r="G3" s="329"/>
      <c r="H3" s="201" t="s">
        <v>291</v>
      </c>
      <c r="I3" s="325">
        <f>номеристории</f>
        <v>0</v>
      </c>
      <c r="J3" s="326"/>
    </row>
    <row r="4" spans="1:10" x14ac:dyDescent="0.2">
      <c r="B4" s="318"/>
      <c r="C4" s="318"/>
      <c r="D4" s="330"/>
      <c r="E4" s="330"/>
      <c r="F4" s="330"/>
      <c r="G4" s="330"/>
      <c r="H4" s="202"/>
    </row>
    <row r="5" spans="1:10" x14ac:dyDescent="0.2">
      <c r="A5" s="327" t="s">
        <v>2</v>
      </c>
      <c r="B5" s="327"/>
      <c r="C5" s="328">
        <f>Памятка!E3</f>
        <v>0</v>
      </c>
      <c r="D5" s="328"/>
    </row>
    <row r="7" spans="1:10" x14ac:dyDescent="0.2">
      <c r="A7" s="322" t="s">
        <v>33</v>
      </c>
      <c r="B7" s="322"/>
      <c r="C7" s="165"/>
      <c r="D7" s="165"/>
      <c r="E7" s="165"/>
      <c r="F7" s="165"/>
      <c r="G7" s="165"/>
      <c r="H7" s="165"/>
      <c r="I7" s="165"/>
      <c r="J7" s="165"/>
    </row>
    <row r="8" spans="1:10" x14ac:dyDescent="0.2">
      <c r="A8" s="323" t="s">
        <v>292</v>
      </c>
      <c r="B8" s="323"/>
      <c r="C8" s="165"/>
      <c r="D8" s="165"/>
      <c r="E8" s="165"/>
      <c r="F8" s="165"/>
      <c r="G8" s="165"/>
      <c r="H8" s="165"/>
      <c r="I8" s="165"/>
      <c r="J8" s="165"/>
    </row>
    <row r="9" spans="1:10" ht="15.75" x14ac:dyDescent="0.25">
      <c r="A9" s="319" t="s">
        <v>293</v>
      </c>
      <c r="B9" s="319"/>
      <c r="C9" s="165"/>
      <c r="D9" s="165"/>
      <c r="E9" s="165"/>
      <c r="F9" s="165"/>
      <c r="G9" s="165"/>
      <c r="H9" s="165"/>
      <c r="I9" s="165"/>
      <c r="J9" s="165"/>
    </row>
    <row r="10" spans="1:10" ht="15.75" x14ac:dyDescent="0.25">
      <c r="A10" s="319" t="s">
        <v>294</v>
      </c>
      <c r="B10" s="319"/>
      <c r="C10" s="165"/>
      <c r="D10" s="165"/>
      <c r="E10" s="165"/>
      <c r="F10" s="165"/>
      <c r="G10" s="165"/>
      <c r="H10" s="165"/>
      <c r="I10" s="165"/>
      <c r="J10" s="165"/>
    </row>
    <row r="11" spans="1:10" ht="15.75" x14ac:dyDescent="0.25">
      <c r="A11" s="319" t="s">
        <v>295</v>
      </c>
      <c r="B11" s="319"/>
      <c r="C11" s="165"/>
      <c r="D11" s="165"/>
      <c r="E11" s="165"/>
      <c r="F11" s="165"/>
      <c r="G11" s="165"/>
      <c r="H11" s="165"/>
      <c r="I11" s="165"/>
      <c r="J11" s="165"/>
    </row>
    <row r="12" spans="1:10" ht="15.75" x14ac:dyDescent="0.25">
      <c r="A12" s="319" t="s">
        <v>296</v>
      </c>
      <c r="B12" s="319"/>
      <c r="C12" s="165"/>
      <c r="D12" s="165"/>
      <c r="E12" s="165"/>
      <c r="F12" s="165"/>
      <c r="G12" s="165"/>
      <c r="H12" s="165"/>
      <c r="I12" s="165"/>
      <c r="J12" s="165"/>
    </row>
    <row r="13" spans="1:10" ht="15.75" x14ac:dyDescent="0.25">
      <c r="A13" s="319" t="s">
        <v>297</v>
      </c>
      <c r="B13" s="319"/>
      <c r="C13" s="165"/>
      <c r="D13" s="165"/>
      <c r="E13" s="165"/>
      <c r="F13" s="165"/>
      <c r="G13" s="165"/>
      <c r="H13" s="165"/>
      <c r="I13" s="165"/>
      <c r="J13" s="165"/>
    </row>
    <row r="14" spans="1:10" ht="15.75" x14ac:dyDescent="0.25">
      <c r="A14" s="319" t="s">
        <v>298</v>
      </c>
      <c r="B14" s="319"/>
      <c r="C14" s="165"/>
      <c r="D14" s="165"/>
      <c r="E14" s="165"/>
      <c r="F14" s="165"/>
      <c r="G14" s="165"/>
      <c r="H14" s="165"/>
      <c r="I14" s="165"/>
      <c r="J14" s="165"/>
    </row>
    <row r="15" spans="1:10" ht="15.75" x14ac:dyDescent="0.25">
      <c r="A15" s="319" t="s">
        <v>299</v>
      </c>
      <c r="B15" s="319"/>
      <c r="C15" s="165"/>
      <c r="D15" s="165"/>
      <c r="E15" s="165"/>
      <c r="F15" s="165"/>
      <c r="G15" s="165"/>
      <c r="H15" s="165"/>
      <c r="I15" s="165"/>
      <c r="J15" s="165"/>
    </row>
    <row r="16" spans="1:10" ht="15.75" x14ac:dyDescent="0.25">
      <c r="A16" s="319" t="s">
        <v>300</v>
      </c>
      <c r="B16" s="319"/>
      <c r="C16" s="165"/>
      <c r="D16" s="165"/>
      <c r="E16" s="165"/>
      <c r="F16" s="165"/>
      <c r="G16" s="165"/>
      <c r="H16" s="165"/>
      <c r="I16" s="165"/>
      <c r="J16" s="165"/>
    </row>
    <row r="17" spans="1:10" ht="15.75" x14ac:dyDescent="0.25">
      <c r="A17" s="319" t="s">
        <v>301</v>
      </c>
      <c r="B17" s="319"/>
      <c r="C17" s="165"/>
      <c r="D17" s="165"/>
      <c r="E17" s="165"/>
      <c r="F17" s="165"/>
      <c r="G17" s="165"/>
      <c r="H17" s="165"/>
      <c r="I17" s="165"/>
      <c r="J17" s="165"/>
    </row>
    <row r="18" spans="1:10" ht="15.75" x14ac:dyDescent="0.25">
      <c r="A18" s="319" t="s">
        <v>302</v>
      </c>
      <c r="B18" s="319"/>
      <c r="C18" s="165"/>
      <c r="D18" s="165"/>
      <c r="E18" s="165"/>
      <c r="F18" s="165"/>
      <c r="G18" s="165"/>
      <c r="H18" s="165"/>
      <c r="I18" s="165"/>
      <c r="J18" s="165"/>
    </row>
    <row r="19" spans="1:10" ht="15.75" x14ac:dyDescent="0.25">
      <c r="A19" s="319" t="s">
        <v>303</v>
      </c>
      <c r="B19" s="319"/>
      <c r="C19" s="165"/>
      <c r="D19" s="165"/>
      <c r="E19" s="165"/>
      <c r="F19" s="165"/>
      <c r="G19" s="165"/>
      <c r="H19" s="165"/>
      <c r="I19" s="165"/>
      <c r="J19" s="165"/>
    </row>
    <row r="20" spans="1:10" ht="15.75" x14ac:dyDescent="0.25">
      <c r="A20" s="319" t="s">
        <v>304</v>
      </c>
      <c r="B20" s="319"/>
      <c r="C20" s="165"/>
      <c r="D20" s="165"/>
      <c r="E20" s="165"/>
      <c r="F20" s="165"/>
      <c r="G20" s="165"/>
      <c r="H20" s="165"/>
      <c r="I20" s="165"/>
      <c r="J20" s="165"/>
    </row>
    <row r="21" spans="1:10" ht="15.75" x14ac:dyDescent="0.25">
      <c r="A21" s="319" t="s">
        <v>305</v>
      </c>
      <c r="B21" s="319"/>
      <c r="C21" s="165"/>
      <c r="D21" s="165"/>
      <c r="E21" s="165"/>
      <c r="F21" s="165"/>
      <c r="G21" s="165"/>
      <c r="H21" s="165"/>
      <c r="I21" s="165"/>
      <c r="J21" s="165"/>
    </row>
    <row r="22" spans="1:10" ht="15.75" x14ac:dyDescent="0.25">
      <c r="A22" s="319" t="s">
        <v>306</v>
      </c>
      <c r="B22" s="319"/>
      <c r="C22" s="165"/>
      <c r="D22" s="165"/>
      <c r="E22" s="165"/>
      <c r="F22" s="165"/>
      <c r="G22" s="165"/>
      <c r="H22" s="165"/>
      <c r="I22" s="165"/>
      <c r="J22" s="165"/>
    </row>
    <row r="23" spans="1:10" ht="29.25" customHeight="1" x14ac:dyDescent="0.25">
      <c r="A23" s="320" t="s">
        <v>307</v>
      </c>
      <c r="B23" s="320"/>
      <c r="C23" s="165"/>
      <c r="D23" s="165"/>
      <c r="E23" s="165"/>
      <c r="F23" s="165"/>
      <c r="G23" s="165"/>
      <c r="H23" s="165"/>
      <c r="I23" s="165"/>
      <c r="J23" s="165"/>
    </row>
    <row r="24" spans="1:10" ht="29.25" customHeight="1" x14ac:dyDescent="0.25">
      <c r="A24" s="320" t="s">
        <v>308</v>
      </c>
      <c r="B24" s="320"/>
      <c r="C24" s="165"/>
      <c r="D24" s="165"/>
      <c r="E24" s="165"/>
      <c r="F24" s="165"/>
      <c r="G24" s="165"/>
      <c r="H24" s="165"/>
      <c r="I24" s="165"/>
      <c r="J24" s="165"/>
    </row>
    <row r="25" spans="1:10" ht="28.5" customHeight="1" x14ac:dyDescent="0.25">
      <c r="A25" s="320" t="s">
        <v>309</v>
      </c>
      <c r="B25" s="320"/>
      <c r="C25" s="165"/>
      <c r="D25" s="165"/>
      <c r="E25" s="165"/>
      <c r="F25" s="165"/>
      <c r="G25" s="165"/>
      <c r="H25" s="165"/>
      <c r="I25" s="165"/>
      <c r="J25" s="165"/>
    </row>
    <row r="26" spans="1:10" ht="27" customHeight="1" x14ac:dyDescent="0.25">
      <c r="A26" s="320" t="s">
        <v>310</v>
      </c>
      <c r="B26" s="320"/>
      <c r="C26" s="165"/>
      <c r="D26" s="165"/>
      <c r="E26" s="165"/>
      <c r="F26" s="165"/>
      <c r="G26" s="165"/>
      <c r="H26" s="165"/>
      <c r="I26" s="165"/>
      <c r="J26" s="165"/>
    </row>
    <row r="27" spans="1:10" ht="32.25" customHeight="1" x14ac:dyDescent="0.2">
      <c r="A27" s="321" t="s">
        <v>311</v>
      </c>
      <c r="B27" s="321"/>
      <c r="C27" s="165"/>
      <c r="D27" s="165"/>
      <c r="E27" s="165"/>
      <c r="F27" s="165"/>
      <c r="G27" s="165"/>
      <c r="H27" s="165"/>
      <c r="I27" s="165"/>
      <c r="J27" s="165"/>
    </row>
    <row r="28" spans="1:10" ht="31.5" customHeight="1" x14ac:dyDescent="0.25">
      <c r="A28" s="320" t="s">
        <v>312</v>
      </c>
      <c r="B28" s="320"/>
      <c r="C28" s="165"/>
      <c r="D28" s="165"/>
      <c r="E28" s="165"/>
      <c r="F28" s="165"/>
      <c r="G28" s="165"/>
      <c r="H28" s="165"/>
      <c r="I28" s="165"/>
      <c r="J28" s="165"/>
    </row>
    <row r="29" spans="1:10" ht="25.5" customHeight="1" x14ac:dyDescent="0.2">
      <c r="A29" s="321" t="s">
        <v>313</v>
      </c>
      <c r="B29" s="321"/>
      <c r="C29" s="165"/>
      <c r="D29" s="165"/>
      <c r="E29" s="165"/>
      <c r="F29" s="165"/>
      <c r="G29" s="165"/>
      <c r="H29" s="165"/>
      <c r="I29" s="165"/>
      <c r="J29" s="165"/>
    </row>
    <row r="30" spans="1:10" x14ac:dyDescent="0.2">
      <c r="A30" s="316"/>
      <c r="B30" s="316"/>
      <c r="C30" s="316"/>
      <c r="D30" s="316"/>
      <c r="E30" s="316"/>
      <c r="F30" s="316"/>
      <c r="G30" s="316"/>
      <c r="H30" s="316"/>
      <c r="I30" s="316"/>
      <c r="J30" s="316"/>
    </row>
    <row r="31" spans="1:10" x14ac:dyDescent="0.2">
      <c r="A31" s="316"/>
      <c r="B31" s="316"/>
      <c r="C31" s="316"/>
      <c r="D31" s="316"/>
      <c r="E31" s="316"/>
      <c r="F31" s="316"/>
      <c r="G31" s="316"/>
      <c r="H31" s="316"/>
      <c r="I31" s="316"/>
      <c r="J31" s="316"/>
    </row>
    <row r="32" spans="1:10" x14ac:dyDescent="0.2">
      <c r="A32" s="316"/>
      <c r="B32" s="316"/>
      <c r="C32" s="316"/>
      <c r="D32" s="316"/>
      <c r="E32" s="316"/>
      <c r="F32" s="316"/>
      <c r="G32" s="316"/>
      <c r="H32" s="316"/>
      <c r="I32" s="316"/>
      <c r="J32" s="316"/>
    </row>
    <row r="33" spans="1:10" x14ac:dyDescent="0.2">
      <c r="A33" s="316"/>
      <c r="B33" s="316"/>
      <c r="C33" s="316"/>
      <c r="D33" s="316"/>
      <c r="E33" s="316"/>
      <c r="F33" s="316"/>
      <c r="G33" s="316"/>
      <c r="H33" s="316"/>
      <c r="I33" s="316"/>
      <c r="J33" s="316"/>
    </row>
  </sheetData>
  <sheetProtection selectLockedCells="1" selectUnlockedCells="1"/>
  <mergeCells count="48">
    <mergeCell ref="A1:J2"/>
    <mergeCell ref="I3:J3"/>
    <mergeCell ref="A5:B5"/>
    <mergeCell ref="C5:D5"/>
    <mergeCell ref="D3:E4"/>
    <mergeCell ref="F3:G4"/>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H32:H33"/>
    <mergeCell ref="A22:B22"/>
    <mergeCell ref="A23:B23"/>
    <mergeCell ref="A24:B24"/>
    <mergeCell ref="A25:B25"/>
    <mergeCell ref="A26:B26"/>
    <mergeCell ref="H30:H31"/>
    <mergeCell ref="A27:B27"/>
    <mergeCell ref="A28:B28"/>
    <mergeCell ref="A29:B29"/>
    <mergeCell ref="A30:B31"/>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s>
  <pageMargins left="0.7" right="0.7" top="0.75" bottom="0.75" header="0.51180555555555551" footer="0.51180555555555551"/>
  <pageSetup paperSize="9" scale="93"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34" zoomScaleNormal="100" workbookViewId="0">
      <selection activeCell="F38" sqref="F38:J41"/>
    </sheetView>
  </sheetViews>
  <sheetFormatPr defaultColWidth="9" defaultRowHeight="12.75" x14ac:dyDescent="0.2"/>
  <cols>
    <col min="1" max="3" width="10.42578125" customWidth="1"/>
    <col min="4" max="5" width="10.28515625" customWidth="1"/>
    <col min="6" max="9" width="9" customWidth="1"/>
    <col min="10" max="10" width="13.28515625" customWidth="1"/>
  </cols>
  <sheetData>
    <row r="1" spans="1:9" ht="33.75" customHeight="1" x14ac:dyDescent="0.35">
      <c r="B1" s="166" t="s">
        <v>291</v>
      </c>
      <c r="C1" s="167">
        <f>номеристории</f>
        <v>0</v>
      </c>
      <c r="D1" s="168"/>
      <c r="E1" s="168"/>
    </row>
    <row r="2" spans="1:9" ht="25.5" customHeight="1" x14ac:dyDescent="0.35">
      <c r="A2" s="338">
        <f>Фамилия</f>
        <v>0</v>
      </c>
      <c r="B2" s="338"/>
      <c r="C2" s="338"/>
      <c r="D2" s="167">
        <f>Имя</f>
        <v>0</v>
      </c>
      <c r="E2" s="168"/>
      <c r="F2" s="168"/>
      <c r="G2" s="168"/>
    </row>
    <row r="3" spans="1:9" ht="21" customHeight="1" x14ac:dyDescent="0.35">
      <c r="B3" s="166" t="s">
        <v>314</v>
      </c>
      <c r="C3" s="339">
        <f>Памятка!E3</f>
        <v>0</v>
      </c>
      <c r="D3" s="339"/>
    </row>
    <row r="4" spans="1:9" ht="21.75" customHeight="1" x14ac:dyDescent="0.35">
      <c r="B4" s="166" t="s">
        <v>315</v>
      </c>
      <c r="C4" s="339">
        <f>Памятка!E4</f>
        <v>0</v>
      </c>
      <c r="D4" s="339"/>
      <c r="G4" s="169"/>
      <c r="H4" s="169"/>
      <c r="I4" s="169"/>
    </row>
    <row r="5" spans="1:9" ht="20.25" customHeight="1" x14ac:dyDescent="0.2"/>
    <row r="15" spans="1:9" ht="13.5" customHeight="1" x14ac:dyDescent="0.2"/>
    <row r="16" spans="1:9" ht="10.5" customHeight="1" x14ac:dyDescent="0.65">
      <c r="B16" s="170"/>
      <c r="C16" s="171"/>
    </row>
    <row r="17" spans="1:3" ht="11.25" customHeight="1" x14ac:dyDescent="0.65">
      <c r="A17" s="340"/>
      <c r="B17" s="340"/>
      <c r="C17" s="172"/>
    </row>
    <row r="18" spans="1:3" ht="9" customHeight="1" x14ac:dyDescent="0.5">
      <c r="B18" s="173"/>
      <c r="C18" s="174"/>
    </row>
    <row r="19" spans="1:3" ht="13.5" customHeight="1" x14ac:dyDescent="0.5">
      <c r="B19" s="173"/>
      <c r="C19" s="174"/>
    </row>
    <row r="38" spans="1:11" x14ac:dyDescent="0.2">
      <c r="C38" s="341" t="s">
        <v>316</v>
      </c>
      <c r="D38" s="341"/>
      <c r="E38" s="341"/>
      <c r="F38" s="331">
        <f>номеристории</f>
        <v>0</v>
      </c>
      <c r="G38" s="331"/>
      <c r="H38" s="331"/>
      <c r="I38" s="331"/>
      <c r="J38" s="331"/>
    </row>
    <row r="39" spans="1:11" ht="12.75" customHeight="1" x14ac:dyDescent="0.2">
      <c r="C39" s="341"/>
      <c r="D39" s="341"/>
      <c r="E39" s="341"/>
      <c r="F39" s="331"/>
      <c r="G39" s="331"/>
      <c r="H39" s="331"/>
      <c r="I39" s="331"/>
      <c r="J39" s="331"/>
    </row>
    <row r="40" spans="1:11" ht="12.75" customHeight="1" x14ac:dyDescent="0.2">
      <c r="C40" s="341"/>
      <c r="D40" s="341"/>
      <c r="E40" s="341"/>
      <c r="F40" s="331"/>
      <c r="G40" s="331"/>
      <c r="H40" s="331"/>
      <c r="I40" s="331"/>
      <c r="J40" s="331"/>
    </row>
    <row r="41" spans="1:11" ht="12.75" customHeight="1" x14ac:dyDescent="0.2">
      <c r="C41" s="341"/>
      <c r="D41" s="341"/>
      <c r="E41" s="341"/>
      <c r="F41" s="331"/>
      <c r="G41" s="331"/>
      <c r="H41" s="331"/>
      <c r="I41" s="331"/>
      <c r="J41" s="331"/>
    </row>
    <row r="42" spans="1:11" ht="12.75" customHeight="1" x14ac:dyDescent="0.2">
      <c r="A42" s="335">
        <f>Фамилия</f>
        <v>0</v>
      </c>
      <c r="B42" s="335"/>
      <c r="C42" s="335"/>
      <c r="D42" s="335"/>
      <c r="E42" s="335"/>
      <c r="F42" s="335"/>
      <c r="G42" s="335"/>
      <c r="H42" s="335"/>
      <c r="I42" s="335"/>
      <c r="J42" s="335"/>
    </row>
    <row r="43" spans="1:11" ht="12.75" customHeight="1" x14ac:dyDescent="0.2">
      <c r="A43" s="335"/>
      <c r="B43" s="335"/>
      <c r="C43" s="335"/>
      <c r="D43" s="335"/>
      <c r="E43" s="335"/>
      <c r="F43" s="335"/>
      <c r="G43" s="335"/>
      <c r="H43" s="335"/>
      <c r="I43" s="335"/>
      <c r="J43" s="335"/>
      <c r="K43" s="179"/>
    </row>
    <row r="44" spans="1:11" ht="12.75" customHeight="1" x14ac:dyDescent="0.2">
      <c r="A44" s="335"/>
      <c r="B44" s="335"/>
      <c r="C44" s="335"/>
      <c r="D44" s="335"/>
      <c r="E44" s="335"/>
      <c r="F44" s="335"/>
      <c r="G44" s="335"/>
      <c r="H44" s="335"/>
      <c r="I44" s="335"/>
      <c r="J44" s="335"/>
      <c r="K44" s="179"/>
    </row>
    <row r="45" spans="1:11" ht="12.75" customHeight="1" x14ac:dyDescent="0.2">
      <c r="A45" s="335"/>
      <c r="B45" s="335"/>
      <c r="C45" s="335"/>
      <c r="D45" s="335"/>
      <c r="E45" s="335"/>
      <c r="F45" s="335"/>
      <c r="G45" s="335"/>
      <c r="H45" s="335"/>
      <c r="I45" s="335"/>
      <c r="J45" s="335"/>
      <c r="K45" s="179"/>
    </row>
    <row r="46" spans="1:11" ht="12.75" customHeight="1" x14ac:dyDescent="0.2">
      <c r="A46" s="336"/>
      <c r="B46" s="336"/>
      <c r="C46" s="336"/>
      <c r="D46" s="336"/>
      <c r="E46" s="336"/>
      <c r="F46" s="336"/>
      <c r="G46" s="336"/>
      <c r="H46" s="336"/>
      <c r="I46" s="336"/>
      <c r="J46" s="336"/>
      <c r="K46" s="179"/>
    </row>
    <row r="47" spans="1:11" ht="12.75" customHeight="1" x14ac:dyDescent="0.2">
      <c r="A47" s="336"/>
      <c r="B47" s="336"/>
      <c r="C47" s="336"/>
      <c r="D47" s="336"/>
      <c r="E47" s="336"/>
      <c r="F47" s="336"/>
      <c r="G47" s="336"/>
      <c r="H47" s="336"/>
      <c r="I47" s="336"/>
      <c r="J47" s="336"/>
    </row>
    <row r="48" spans="1:11" ht="12.75" customHeight="1" x14ac:dyDescent="0.2">
      <c r="A48" s="336"/>
      <c r="B48" s="336"/>
      <c r="C48" s="336"/>
      <c r="D48" s="336"/>
      <c r="E48" s="336"/>
      <c r="F48" s="336"/>
      <c r="G48" s="336"/>
      <c r="H48" s="336"/>
      <c r="I48" s="336"/>
      <c r="J48" s="336"/>
    </row>
    <row r="49" spans="1:10" ht="12.75" customHeight="1" x14ac:dyDescent="0.2">
      <c r="A49" s="336"/>
      <c r="B49" s="336"/>
      <c r="C49" s="336"/>
      <c r="D49" s="336"/>
      <c r="E49" s="336"/>
      <c r="F49" s="336"/>
      <c r="G49" s="336"/>
      <c r="H49" s="336"/>
      <c r="I49" s="336"/>
      <c r="J49" s="336"/>
    </row>
    <row r="50" spans="1:10" x14ac:dyDescent="0.2">
      <c r="A50" s="334">
        <f>Имя</f>
        <v>0</v>
      </c>
      <c r="B50" s="334"/>
      <c r="C50" s="334"/>
      <c r="D50" s="334"/>
      <c r="E50" s="334"/>
      <c r="F50" s="334"/>
      <c r="G50" s="334"/>
      <c r="H50" s="334"/>
      <c r="I50" s="334"/>
      <c r="J50" s="334"/>
    </row>
    <row r="51" spans="1:10" ht="12.75" customHeight="1" x14ac:dyDescent="0.2">
      <c r="A51" s="334"/>
      <c r="B51" s="334"/>
      <c r="C51" s="334"/>
      <c r="D51" s="334"/>
      <c r="E51" s="334"/>
      <c r="F51" s="334"/>
      <c r="G51" s="334"/>
      <c r="H51" s="334"/>
      <c r="I51" s="334"/>
      <c r="J51" s="334"/>
    </row>
    <row r="52" spans="1:10" x14ac:dyDescent="0.2">
      <c r="A52" s="334"/>
      <c r="B52" s="334"/>
      <c r="C52" s="334"/>
      <c r="D52" s="334"/>
      <c r="E52" s="334"/>
      <c r="F52" s="334"/>
      <c r="G52" s="334"/>
      <c r="H52" s="334"/>
      <c r="I52" s="334"/>
      <c r="J52" s="334"/>
    </row>
    <row r="53" spans="1:10" x14ac:dyDescent="0.2">
      <c r="A53" s="334"/>
      <c r="B53" s="334"/>
      <c r="C53" s="334"/>
      <c r="D53" s="334"/>
      <c r="E53" s="334"/>
      <c r="F53" s="334"/>
      <c r="G53" s="334"/>
      <c r="H53" s="334"/>
      <c r="I53" s="334"/>
      <c r="J53" s="334"/>
    </row>
    <row r="54" spans="1:10" x14ac:dyDescent="0.2">
      <c r="C54" s="332" t="s">
        <v>314</v>
      </c>
      <c r="D54" s="332"/>
      <c r="E54" s="337">
        <f>Памятка!E3</f>
        <v>0</v>
      </c>
      <c r="F54" s="337"/>
      <c r="G54" s="337"/>
      <c r="H54" s="337"/>
      <c r="I54" s="337"/>
    </row>
    <row r="55" spans="1:10" x14ac:dyDescent="0.2">
      <c r="C55" s="332"/>
      <c r="D55" s="332"/>
      <c r="E55" s="337"/>
      <c r="F55" s="337"/>
      <c r="G55" s="337"/>
      <c r="H55" s="337"/>
      <c r="I55" s="337"/>
    </row>
    <row r="56" spans="1:10" x14ac:dyDescent="0.2">
      <c r="C56" s="332"/>
      <c r="D56" s="332"/>
      <c r="E56" s="337"/>
      <c r="F56" s="337"/>
      <c r="G56" s="337"/>
      <c r="H56" s="337"/>
      <c r="I56" s="337"/>
    </row>
    <row r="57" spans="1:10" x14ac:dyDescent="0.2">
      <c r="C57" s="332" t="s">
        <v>315</v>
      </c>
      <c r="D57" s="332"/>
      <c r="E57" s="337">
        <f>Памятка!E4</f>
        <v>0</v>
      </c>
      <c r="F57" s="337"/>
      <c r="G57" s="337"/>
      <c r="H57" s="337"/>
      <c r="I57" s="337"/>
    </row>
    <row r="58" spans="1:10" x14ac:dyDescent="0.2">
      <c r="C58" s="333"/>
      <c r="D58" s="333"/>
      <c r="E58" s="333"/>
      <c r="F58" s="333"/>
      <c r="G58" s="333"/>
      <c r="H58" s="333"/>
      <c r="I58" s="333"/>
    </row>
    <row r="59" spans="1:10" x14ac:dyDescent="0.2">
      <c r="C59" s="333"/>
      <c r="D59" s="333"/>
      <c r="E59" s="333"/>
      <c r="F59" s="333"/>
      <c r="G59" s="333"/>
      <c r="H59" s="333"/>
      <c r="I59" s="333"/>
    </row>
  </sheetData>
  <sheetProtection sheet="1" objects="1" scenarios="1" selectLockedCells="1" selectUnlockedCells="1"/>
  <mergeCells count="12">
    <mergeCell ref="A2:C2"/>
    <mergeCell ref="C3:D3"/>
    <mergeCell ref="C4:D4"/>
    <mergeCell ref="A17:B17"/>
    <mergeCell ref="C38:E41"/>
    <mergeCell ref="F38:J41"/>
    <mergeCell ref="C57:D59"/>
    <mergeCell ref="A50:J53"/>
    <mergeCell ref="A42:J49"/>
    <mergeCell ref="C54:D56"/>
    <mergeCell ref="E54:I56"/>
    <mergeCell ref="E57:I59"/>
  </mergeCells>
  <pageMargins left="0" right="0" top="0" bottom="0" header="0.51180555555555551" footer="0.51180555555555551"/>
  <pageSetup paperSize="9" scale="97"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1"/>
  <sheetViews>
    <sheetView tabSelected="1" topLeftCell="A49" zoomScaleNormal="100" workbookViewId="0">
      <selection activeCell="B89" sqref="B89:C89"/>
    </sheetView>
  </sheetViews>
  <sheetFormatPr defaultColWidth="9" defaultRowHeight="12.75" x14ac:dyDescent="0.2"/>
  <sheetData>
    <row r="1" spans="1:33" ht="12.75" customHeight="1" x14ac:dyDescent="0.2">
      <c r="B1" s="175"/>
      <c r="C1" s="176"/>
      <c r="D1" s="176"/>
      <c r="E1" s="176"/>
      <c r="H1" s="385" t="s">
        <v>317</v>
      </c>
      <c r="I1" s="385"/>
      <c r="J1" s="385"/>
      <c r="K1" s="385"/>
      <c r="R1" s="380" t="s">
        <v>335</v>
      </c>
      <c r="S1" s="380"/>
      <c r="T1" s="380"/>
      <c r="U1" s="380"/>
      <c r="V1" s="380"/>
      <c r="AC1" s="380" t="s">
        <v>338</v>
      </c>
      <c r="AD1" s="380"/>
      <c r="AE1" s="380"/>
      <c r="AF1" s="380"/>
      <c r="AG1" s="380"/>
    </row>
    <row r="2" spans="1:33" ht="12.75" customHeight="1" x14ac:dyDescent="0.2">
      <c r="B2" s="176"/>
      <c r="C2" s="176"/>
      <c r="D2" s="176"/>
      <c r="E2" s="176"/>
      <c r="H2" s="385"/>
      <c r="I2" s="385"/>
      <c r="J2" s="385"/>
      <c r="K2" s="385"/>
      <c r="R2" s="380"/>
      <c r="S2" s="380"/>
      <c r="T2" s="380"/>
      <c r="U2" s="380"/>
      <c r="V2" s="380"/>
      <c r="AC2" s="380"/>
      <c r="AD2" s="380"/>
      <c r="AE2" s="380"/>
      <c r="AF2" s="380"/>
      <c r="AG2" s="380"/>
    </row>
    <row r="3" spans="1:33" ht="12.75" customHeight="1" x14ac:dyDescent="0.2">
      <c r="B3" s="176"/>
      <c r="C3" s="176"/>
      <c r="D3" s="176"/>
      <c r="E3" s="176"/>
      <c r="H3" s="385"/>
      <c r="I3" s="385"/>
      <c r="J3" s="385"/>
      <c r="K3" s="385"/>
      <c r="R3" s="380"/>
      <c r="S3" s="380"/>
      <c r="T3" s="380"/>
      <c r="U3" s="380"/>
      <c r="V3" s="380"/>
      <c r="AC3" s="380"/>
      <c r="AD3" s="380"/>
      <c r="AE3" s="380"/>
      <c r="AF3" s="380"/>
      <c r="AG3" s="380"/>
    </row>
    <row r="4" spans="1:33" ht="12.75" customHeight="1" x14ac:dyDescent="0.2">
      <c r="B4" s="176"/>
      <c r="C4" s="176"/>
      <c r="D4" s="176"/>
      <c r="E4" s="176"/>
      <c r="H4" s="385"/>
      <c r="I4" s="385"/>
      <c r="J4" s="385"/>
      <c r="K4" s="385"/>
      <c r="R4" s="380"/>
      <c r="S4" s="380"/>
      <c r="T4" s="380"/>
      <c r="U4" s="380"/>
      <c r="V4" s="380"/>
      <c r="AC4" s="380"/>
      <c r="AD4" s="380"/>
      <c r="AE4" s="380"/>
      <c r="AF4" s="380"/>
      <c r="AG4" s="380"/>
    </row>
    <row r="5" spans="1:33" ht="12.75" customHeight="1" x14ac:dyDescent="0.2">
      <c r="B5" s="176"/>
      <c r="C5" s="176"/>
      <c r="D5" s="176"/>
      <c r="E5" s="176"/>
      <c r="H5" s="385"/>
      <c r="I5" s="385"/>
      <c r="J5" s="385"/>
      <c r="K5" s="385"/>
      <c r="S5" s="178"/>
      <c r="T5" s="178"/>
      <c r="U5" s="178"/>
      <c r="V5" s="178"/>
      <c r="X5" s="381" t="s">
        <v>339</v>
      </c>
      <c r="Y5" s="382"/>
      <c r="Z5" s="382"/>
      <c r="AA5" s="382"/>
      <c r="AB5" s="382"/>
      <c r="AC5" s="382"/>
      <c r="AD5" s="382"/>
      <c r="AE5" s="382"/>
      <c r="AF5" s="382"/>
    </row>
    <row r="6" spans="1:33" ht="12.75" customHeight="1" x14ac:dyDescent="0.2">
      <c r="B6" s="176"/>
      <c r="C6" s="176"/>
      <c r="D6" s="176"/>
      <c r="E6" s="176"/>
      <c r="H6" s="385"/>
      <c r="I6" s="385"/>
      <c r="J6" s="385"/>
      <c r="K6" s="385"/>
      <c r="M6" s="412" t="s">
        <v>325</v>
      </c>
      <c r="N6" s="413"/>
      <c r="O6" s="413"/>
      <c r="P6" s="413"/>
      <c r="Q6" s="413"/>
      <c r="R6" s="413"/>
      <c r="S6" s="413"/>
      <c r="T6" s="413"/>
      <c r="U6" s="413"/>
      <c r="V6" s="178"/>
      <c r="X6" s="382"/>
      <c r="Y6" s="382"/>
      <c r="Z6" s="382"/>
      <c r="AA6" s="382"/>
      <c r="AB6" s="382"/>
      <c r="AC6" s="382"/>
      <c r="AD6" s="382"/>
      <c r="AE6" s="382"/>
      <c r="AF6" s="382"/>
    </row>
    <row r="7" spans="1:33" ht="15.75" customHeight="1" thickBot="1" x14ac:dyDescent="0.25">
      <c r="B7" s="176"/>
      <c r="C7" s="176"/>
      <c r="D7" s="176"/>
      <c r="E7" s="176"/>
      <c r="H7" s="385"/>
      <c r="I7" s="385"/>
      <c r="J7" s="385"/>
      <c r="K7" s="385"/>
      <c r="M7" s="413"/>
      <c r="N7" s="413"/>
      <c r="O7" s="413"/>
      <c r="P7" s="413"/>
      <c r="Q7" s="413"/>
      <c r="R7" s="413"/>
      <c r="S7" s="413"/>
      <c r="T7" s="413"/>
      <c r="U7" s="413"/>
      <c r="V7" s="178"/>
      <c r="X7" s="382"/>
      <c r="Y7" s="382"/>
      <c r="Z7" s="382"/>
      <c r="AA7" s="382"/>
      <c r="AB7" s="382"/>
      <c r="AC7" s="382"/>
      <c r="AD7" s="382"/>
      <c r="AE7" s="382"/>
      <c r="AF7" s="382"/>
    </row>
    <row r="8" spans="1:33" ht="19.5" customHeight="1" x14ac:dyDescent="0.2">
      <c r="A8" s="399" t="s">
        <v>318</v>
      </c>
      <c r="B8" s="399"/>
      <c r="C8" s="399"/>
      <c r="D8" s="399"/>
      <c r="E8" s="399"/>
      <c r="F8" s="399"/>
      <c r="G8" s="399"/>
      <c r="H8" s="399"/>
      <c r="I8" s="399"/>
      <c r="J8" s="399"/>
      <c r="K8" s="399"/>
      <c r="L8" s="388" t="s">
        <v>326</v>
      </c>
      <c r="M8" s="368"/>
      <c r="N8" s="368"/>
      <c r="O8" s="368"/>
      <c r="P8" s="368"/>
      <c r="Q8" s="368"/>
      <c r="R8" s="368"/>
      <c r="S8" s="368"/>
      <c r="T8" s="368"/>
      <c r="U8" s="368"/>
      <c r="V8" s="389"/>
      <c r="W8" s="383" t="s">
        <v>340</v>
      </c>
      <c r="X8" s="383"/>
      <c r="Y8" s="383"/>
      <c r="Z8" s="383"/>
      <c r="AA8" s="383"/>
      <c r="AB8" s="383"/>
      <c r="AC8" s="383"/>
      <c r="AD8" s="383"/>
      <c r="AE8" s="383"/>
      <c r="AF8" s="383"/>
      <c r="AG8" s="383"/>
    </row>
    <row r="9" spans="1:33" ht="15.75" customHeight="1" x14ac:dyDescent="0.2">
      <c r="A9" s="399"/>
      <c r="B9" s="399"/>
      <c r="C9" s="399"/>
      <c r="D9" s="399"/>
      <c r="E9" s="399"/>
      <c r="F9" s="399"/>
      <c r="G9" s="399"/>
      <c r="H9" s="399"/>
      <c r="I9" s="399"/>
      <c r="J9" s="399"/>
      <c r="K9" s="399"/>
      <c r="L9" s="390"/>
      <c r="M9" s="369"/>
      <c r="N9" s="369"/>
      <c r="O9" s="369"/>
      <c r="P9" s="369"/>
      <c r="Q9" s="369"/>
      <c r="R9" s="369"/>
      <c r="S9" s="369"/>
      <c r="T9" s="369"/>
      <c r="U9" s="369"/>
      <c r="V9" s="391"/>
      <c r="W9" s="383"/>
      <c r="X9" s="383"/>
      <c r="Y9" s="383"/>
      <c r="Z9" s="383"/>
      <c r="AA9" s="383"/>
      <c r="AB9" s="383"/>
      <c r="AC9" s="383"/>
      <c r="AD9" s="383"/>
      <c r="AE9" s="383"/>
      <c r="AF9" s="383"/>
      <c r="AG9" s="383"/>
    </row>
    <row r="10" spans="1:33" ht="12.75" customHeight="1" x14ac:dyDescent="0.2">
      <c r="A10" s="400" t="s">
        <v>319</v>
      </c>
      <c r="B10" s="400"/>
      <c r="C10" s="400"/>
      <c r="D10" s="400"/>
      <c r="E10" s="400"/>
      <c r="F10" s="400"/>
      <c r="G10" s="400"/>
      <c r="H10" s="400"/>
      <c r="I10" s="400"/>
      <c r="J10" s="400"/>
      <c r="K10" s="400"/>
      <c r="L10" s="390"/>
      <c r="M10" s="369"/>
      <c r="N10" s="369"/>
      <c r="O10" s="369"/>
      <c r="P10" s="369"/>
      <c r="Q10" s="369"/>
      <c r="R10" s="369"/>
      <c r="S10" s="369"/>
      <c r="T10" s="369"/>
      <c r="U10" s="369"/>
      <c r="V10" s="391"/>
      <c r="W10" s="383"/>
      <c r="X10" s="383"/>
      <c r="Y10" s="383"/>
      <c r="Z10" s="383"/>
      <c r="AA10" s="383"/>
      <c r="AB10" s="383"/>
      <c r="AC10" s="383"/>
      <c r="AD10" s="383"/>
      <c r="AE10" s="383"/>
      <c r="AF10" s="383"/>
      <c r="AG10" s="383"/>
    </row>
    <row r="11" spans="1:33" ht="13.5" customHeight="1" thickBot="1" x14ac:dyDescent="0.25">
      <c r="A11" s="400"/>
      <c r="B11" s="400"/>
      <c r="C11" s="400"/>
      <c r="D11" s="400"/>
      <c r="E11" s="400"/>
      <c r="F11" s="400"/>
      <c r="G11" s="400"/>
      <c r="H11" s="400"/>
      <c r="I11" s="400"/>
      <c r="J11" s="400"/>
      <c r="K11" s="400"/>
      <c r="L11" s="390"/>
      <c r="M11" s="369"/>
      <c r="N11" s="369"/>
      <c r="O11" s="369"/>
      <c r="P11" s="369"/>
      <c r="Q11" s="369"/>
      <c r="R11" s="369"/>
      <c r="S11" s="369"/>
      <c r="T11" s="369"/>
      <c r="U11" s="369"/>
      <c r="V11" s="391"/>
      <c r="W11" s="383"/>
      <c r="X11" s="383"/>
      <c r="Y11" s="383"/>
      <c r="Z11" s="383"/>
      <c r="AA11" s="383"/>
      <c r="AB11" s="383"/>
      <c r="AC11" s="383"/>
      <c r="AD11" s="383"/>
      <c r="AE11" s="383"/>
      <c r="AF11" s="383"/>
      <c r="AG11" s="383"/>
    </row>
    <row r="12" spans="1:33" ht="13.5" x14ac:dyDescent="0.2">
      <c r="A12" s="400"/>
      <c r="B12" s="400"/>
      <c r="C12" s="400"/>
      <c r="D12" s="400"/>
      <c r="E12" s="400"/>
      <c r="F12" s="400"/>
      <c r="G12" s="400"/>
      <c r="H12" s="400"/>
      <c r="I12" s="400"/>
      <c r="J12" s="400"/>
      <c r="K12" s="400"/>
      <c r="L12" s="390"/>
      <c r="M12" s="369"/>
      <c r="N12" s="369"/>
      <c r="O12" s="369"/>
      <c r="P12" s="369"/>
      <c r="Q12" s="369"/>
      <c r="R12" s="369"/>
      <c r="S12" s="369"/>
      <c r="T12" s="369"/>
      <c r="U12" s="369"/>
      <c r="V12" s="391"/>
      <c r="W12" s="401" t="s">
        <v>341</v>
      </c>
      <c r="X12" s="402"/>
      <c r="Y12" s="402"/>
      <c r="Z12" s="402"/>
      <c r="AA12" s="402"/>
      <c r="AB12" s="402"/>
      <c r="AC12" s="402"/>
      <c r="AD12" s="402"/>
      <c r="AE12" s="402"/>
      <c r="AF12" s="402"/>
      <c r="AG12" s="403"/>
    </row>
    <row r="13" spans="1:33" ht="12.75" customHeight="1" x14ac:dyDescent="0.2">
      <c r="A13" s="400"/>
      <c r="B13" s="400"/>
      <c r="C13" s="400"/>
      <c r="D13" s="400"/>
      <c r="E13" s="400"/>
      <c r="F13" s="400"/>
      <c r="G13" s="400"/>
      <c r="H13" s="400"/>
      <c r="I13" s="400"/>
      <c r="J13" s="400"/>
      <c r="K13" s="400"/>
      <c r="L13" s="390"/>
      <c r="M13" s="369"/>
      <c r="N13" s="369"/>
      <c r="O13" s="369"/>
      <c r="P13" s="369"/>
      <c r="Q13" s="369"/>
      <c r="R13" s="369"/>
      <c r="S13" s="369"/>
      <c r="T13" s="369"/>
      <c r="U13" s="369"/>
      <c r="V13" s="391"/>
      <c r="W13" s="374" t="s">
        <v>348</v>
      </c>
      <c r="X13" s="375"/>
      <c r="Y13" s="375"/>
      <c r="Z13" s="375"/>
      <c r="AA13" s="375"/>
      <c r="AB13" s="375"/>
      <c r="AC13" s="375"/>
      <c r="AD13" s="375"/>
      <c r="AE13" s="375"/>
      <c r="AF13" s="375"/>
      <c r="AG13" s="376"/>
    </row>
    <row r="14" spans="1:33" ht="12.75" customHeight="1" x14ac:dyDescent="0.2">
      <c r="A14" s="400"/>
      <c r="B14" s="400"/>
      <c r="C14" s="400"/>
      <c r="D14" s="400"/>
      <c r="E14" s="400"/>
      <c r="F14" s="400"/>
      <c r="G14" s="400"/>
      <c r="H14" s="400"/>
      <c r="I14" s="400"/>
      <c r="J14" s="400"/>
      <c r="K14" s="400"/>
      <c r="L14" s="390"/>
      <c r="M14" s="369"/>
      <c r="N14" s="369"/>
      <c r="O14" s="369"/>
      <c r="P14" s="369"/>
      <c r="Q14" s="369"/>
      <c r="R14" s="369"/>
      <c r="S14" s="369"/>
      <c r="T14" s="369"/>
      <c r="U14" s="369"/>
      <c r="V14" s="391"/>
      <c r="W14" s="374" t="s">
        <v>344</v>
      </c>
      <c r="X14" s="375"/>
      <c r="Y14" s="375"/>
      <c r="Z14" s="375"/>
      <c r="AA14" s="375"/>
      <c r="AB14" s="375"/>
      <c r="AC14" s="375"/>
      <c r="AD14" s="375"/>
      <c r="AE14" s="375"/>
      <c r="AF14" s="375"/>
      <c r="AG14" s="376"/>
    </row>
    <row r="15" spans="1:33" ht="12.75" customHeight="1" x14ac:dyDescent="0.2">
      <c r="A15" s="400"/>
      <c r="B15" s="400"/>
      <c r="C15" s="400"/>
      <c r="D15" s="400"/>
      <c r="E15" s="400"/>
      <c r="F15" s="400"/>
      <c r="G15" s="400"/>
      <c r="H15" s="400"/>
      <c r="I15" s="400"/>
      <c r="J15" s="400"/>
      <c r="K15" s="400"/>
      <c r="L15" s="390"/>
      <c r="M15" s="369"/>
      <c r="N15" s="369"/>
      <c r="O15" s="369"/>
      <c r="P15" s="369"/>
      <c r="Q15" s="369"/>
      <c r="R15" s="369"/>
      <c r="S15" s="369"/>
      <c r="T15" s="369"/>
      <c r="U15" s="369"/>
      <c r="V15" s="391"/>
      <c r="W15" s="374" t="s">
        <v>345</v>
      </c>
      <c r="X15" s="375"/>
      <c r="Y15" s="375"/>
      <c r="Z15" s="375"/>
      <c r="AA15" s="375"/>
      <c r="AB15" s="375"/>
      <c r="AC15" s="375"/>
      <c r="AD15" s="375"/>
      <c r="AE15" s="375"/>
      <c r="AF15" s="375"/>
      <c r="AG15" s="376"/>
    </row>
    <row r="16" spans="1:33" ht="12.75" customHeight="1" thickBot="1" x14ac:dyDescent="0.25">
      <c r="A16" s="400"/>
      <c r="B16" s="400"/>
      <c r="C16" s="400"/>
      <c r="D16" s="400"/>
      <c r="E16" s="400"/>
      <c r="F16" s="400"/>
      <c r="G16" s="400"/>
      <c r="H16" s="400"/>
      <c r="I16" s="400"/>
      <c r="J16" s="400"/>
      <c r="K16" s="400"/>
      <c r="L16" s="392"/>
      <c r="M16" s="393"/>
      <c r="N16" s="393"/>
      <c r="O16" s="393"/>
      <c r="P16" s="393"/>
      <c r="Q16" s="393"/>
      <c r="R16" s="393"/>
      <c r="S16" s="393"/>
      <c r="T16" s="393"/>
      <c r="U16" s="393"/>
      <c r="V16" s="394"/>
      <c r="W16" s="374" t="s">
        <v>342</v>
      </c>
      <c r="X16" s="375"/>
      <c r="Y16" s="375"/>
      <c r="Z16" s="375"/>
      <c r="AA16" s="375"/>
      <c r="AB16" s="375"/>
      <c r="AC16" s="375"/>
      <c r="AD16" s="375"/>
      <c r="AE16" s="375"/>
      <c r="AF16" s="375"/>
      <c r="AG16" s="376"/>
    </row>
    <row r="17" spans="1:33" ht="12.75" customHeight="1" x14ac:dyDescent="0.2">
      <c r="A17" s="400"/>
      <c r="B17" s="400"/>
      <c r="C17" s="400"/>
      <c r="D17" s="400"/>
      <c r="E17" s="400"/>
      <c r="F17" s="400"/>
      <c r="G17" s="400"/>
      <c r="H17" s="400"/>
      <c r="I17" s="400"/>
      <c r="J17" s="400"/>
      <c r="K17" s="400"/>
      <c r="L17" s="395" t="s">
        <v>336</v>
      </c>
      <c r="M17" s="395"/>
      <c r="N17" s="395"/>
      <c r="O17" s="395"/>
      <c r="P17" s="395"/>
      <c r="Q17" s="395"/>
      <c r="R17" s="395"/>
      <c r="S17" s="395"/>
      <c r="T17" s="395"/>
      <c r="U17" s="395"/>
      <c r="V17" s="395"/>
      <c r="W17" s="352" t="s">
        <v>347</v>
      </c>
      <c r="X17" s="353"/>
      <c r="Y17" s="353"/>
      <c r="Z17" s="353"/>
      <c r="AA17" s="353"/>
      <c r="AB17" s="353"/>
      <c r="AC17" s="353"/>
      <c r="AD17" s="353"/>
      <c r="AE17" s="353"/>
      <c r="AF17" s="353"/>
      <c r="AG17" s="354"/>
    </row>
    <row r="18" spans="1:33" ht="12.75" customHeight="1" x14ac:dyDescent="0.2">
      <c r="A18" s="400"/>
      <c r="B18" s="400"/>
      <c r="C18" s="400"/>
      <c r="D18" s="400"/>
      <c r="E18" s="400"/>
      <c r="F18" s="400"/>
      <c r="G18" s="400"/>
      <c r="H18" s="400"/>
      <c r="I18" s="400"/>
      <c r="J18" s="400"/>
      <c r="K18" s="400"/>
      <c r="L18" s="395"/>
      <c r="M18" s="395"/>
      <c r="N18" s="395"/>
      <c r="O18" s="395"/>
      <c r="P18" s="395"/>
      <c r="Q18" s="395"/>
      <c r="R18" s="395"/>
      <c r="S18" s="395"/>
      <c r="T18" s="395"/>
      <c r="U18" s="395"/>
      <c r="V18" s="395"/>
      <c r="W18" s="396" t="s">
        <v>346</v>
      </c>
      <c r="X18" s="397"/>
      <c r="Y18" s="397"/>
      <c r="Z18" s="397"/>
      <c r="AA18" s="397"/>
      <c r="AB18" s="397"/>
      <c r="AC18" s="397"/>
      <c r="AD18" s="397"/>
      <c r="AE18" s="397"/>
      <c r="AF18" s="397"/>
      <c r="AG18" s="398"/>
    </row>
    <row r="19" spans="1:33" ht="4.5" customHeight="1" x14ac:dyDescent="0.2">
      <c r="A19" s="400"/>
      <c r="B19" s="400"/>
      <c r="C19" s="400"/>
      <c r="D19" s="400"/>
      <c r="E19" s="400"/>
      <c r="F19" s="400"/>
      <c r="G19" s="400"/>
      <c r="H19" s="400"/>
      <c r="I19" s="400"/>
      <c r="J19" s="400"/>
      <c r="K19" s="400"/>
      <c r="L19" s="395"/>
      <c r="M19" s="395"/>
      <c r="N19" s="395"/>
      <c r="O19" s="395"/>
      <c r="P19" s="395"/>
      <c r="Q19" s="395"/>
      <c r="R19" s="395"/>
      <c r="S19" s="395"/>
      <c r="T19" s="395"/>
      <c r="U19" s="395"/>
      <c r="V19" s="395"/>
      <c r="W19" s="374" t="s">
        <v>343</v>
      </c>
      <c r="X19" s="375"/>
      <c r="Y19" s="375"/>
      <c r="Z19" s="375"/>
      <c r="AA19" s="375"/>
      <c r="AB19" s="375"/>
      <c r="AC19" s="375"/>
      <c r="AD19" s="375"/>
      <c r="AE19" s="375"/>
      <c r="AF19" s="375"/>
      <c r="AG19" s="376"/>
    </row>
    <row r="20" spans="1:33" ht="12.75" customHeight="1" thickBot="1" x14ac:dyDescent="0.25">
      <c r="A20" s="369" t="s">
        <v>320</v>
      </c>
      <c r="B20" s="369"/>
      <c r="C20" s="369"/>
      <c r="D20" s="369"/>
      <c r="E20" s="369"/>
      <c r="F20" s="369"/>
      <c r="G20" s="369"/>
      <c r="H20" s="369"/>
      <c r="I20" s="369"/>
      <c r="J20" s="369"/>
      <c r="K20" s="369"/>
      <c r="L20" s="395"/>
      <c r="M20" s="395"/>
      <c r="N20" s="395"/>
      <c r="O20" s="395"/>
      <c r="P20" s="395"/>
      <c r="Q20" s="395"/>
      <c r="R20" s="395"/>
      <c r="S20" s="395"/>
      <c r="T20" s="395"/>
      <c r="U20" s="395"/>
      <c r="V20" s="395"/>
      <c r="W20" s="377"/>
      <c r="X20" s="378"/>
      <c r="Y20" s="378"/>
      <c r="Z20" s="378"/>
      <c r="AA20" s="378"/>
      <c r="AB20" s="378"/>
      <c r="AC20" s="378"/>
      <c r="AD20" s="378"/>
      <c r="AE20" s="378"/>
      <c r="AF20" s="378"/>
      <c r="AG20" s="379"/>
    </row>
    <row r="21" spans="1:33" ht="12.75" customHeight="1" x14ac:dyDescent="0.2">
      <c r="A21" s="369"/>
      <c r="B21" s="369"/>
      <c r="C21" s="369"/>
      <c r="D21" s="369"/>
      <c r="E21" s="369"/>
      <c r="F21" s="369"/>
      <c r="G21" s="369"/>
      <c r="H21" s="369"/>
      <c r="I21" s="369"/>
      <c r="J21" s="369"/>
      <c r="K21" s="369"/>
      <c r="L21" s="395"/>
      <c r="M21" s="395"/>
      <c r="N21" s="395"/>
      <c r="O21" s="395"/>
      <c r="P21" s="395"/>
      <c r="Q21" s="395"/>
      <c r="R21" s="395"/>
      <c r="S21" s="395"/>
      <c r="T21" s="395"/>
      <c r="U21" s="395"/>
      <c r="V21" s="395"/>
      <c r="W21" s="368" t="s">
        <v>391</v>
      </c>
      <c r="X21" s="368"/>
      <c r="Y21" s="368"/>
      <c r="Z21" s="368"/>
      <c r="AA21" s="368"/>
      <c r="AB21" s="368"/>
      <c r="AC21" s="368"/>
      <c r="AD21" s="368"/>
      <c r="AE21" s="368"/>
      <c r="AF21" s="368"/>
      <c r="AG21" s="368"/>
    </row>
    <row r="22" spans="1:33" ht="12.75" customHeight="1" x14ac:dyDescent="0.2">
      <c r="A22" s="369"/>
      <c r="B22" s="369"/>
      <c r="C22" s="369"/>
      <c r="D22" s="369"/>
      <c r="E22" s="369"/>
      <c r="F22" s="369"/>
      <c r="G22" s="369"/>
      <c r="H22" s="369"/>
      <c r="I22" s="369"/>
      <c r="J22" s="369"/>
      <c r="K22" s="369"/>
      <c r="L22" s="395"/>
      <c r="M22" s="395"/>
      <c r="N22" s="395"/>
      <c r="O22" s="395"/>
      <c r="P22" s="395"/>
      <c r="Q22" s="395"/>
      <c r="R22" s="395"/>
      <c r="S22" s="395"/>
      <c r="T22" s="395"/>
      <c r="U22" s="395"/>
      <c r="V22" s="395"/>
      <c r="W22" s="369"/>
      <c r="X22" s="369"/>
      <c r="Y22" s="369"/>
      <c r="Z22" s="369"/>
      <c r="AA22" s="369"/>
      <c r="AB22" s="369"/>
      <c r="AC22" s="369"/>
      <c r="AD22" s="369"/>
      <c r="AE22" s="369"/>
      <c r="AF22" s="369"/>
      <c r="AG22" s="369"/>
    </row>
    <row r="23" spans="1:33" ht="12.75" customHeight="1" x14ac:dyDescent="0.2">
      <c r="A23" s="369"/>
      <c r="B23" s="369"/>
      <c r="C23" s="369"/>
      <c r="D23" s="369"/>
      <c r="E23" s="369"/>
      <c r="F23" s="369"/>
      <c r="G23" s="369"/>
      <c r="H23" s="369"/>
      <c r="I23" s="369"/>
      <c r="J23" s="369"/>
      <c r="K23" s="369"/>
      <c r="L23" s="395"/>
      <c r="M23" s="395"/>
      <c r="N23" s="395"/>
      <c r="O23" s="395"/>
      <c r="P23" s="395"/>
      <c r="Q23" s="395"/>
      <c r="R23" s="395"/>
      <c r="S23" s="395"/>
      <c r="T23" s="395"/>
      <c r="U23" s="395"/>
      <c r="V23" s="395"/>
      <c r="W23" s="369"/>
      <c r="X23" s="369"/>
      <c r="Y23" s="369"/>
      <c r="Z23" s="369"/>
      <c r="AA23" s="369"/>
      <c r="AB23" s="369"/>
      <c r="AC23" s="369"/>
      <c r="AD23" s="369"/>
      <c r="AE23" s="369"/>
      <c r="AF23" s="369"/>
      <c r="AG23" s="369"/>
    </row>
    <row r="24" spans="1:33" ht="12.75" customHeight="1" x14ac:dyDescent="0.2">
      <c r="A24" s="369"/>
      <c r="B24" s="369"/>
      <c r="C24" s="369"/>
      <c r="D24" s="369"/>
      <c r="E24" s="369"/>
      <c r="F24" s="369"/>
      <c r="G24" s="369"/>
      <c r="H24" s="369"/>
      <c r="I24" s="369"/>
      <c r="J24" s="369"/>
      <c r="K24" s="369"/>
      <c r="L24" s="395"/>
      <c r="M24" s="395"/>
      <c r="N24" s="395"/>
      <c r="O24" s="395"/>
      <c r="P24" s="395"/>
      <c r="Q24" s="395"/>
      <c r="R24" s="395"/>
      <c r="S24" s="395"/>
      <c r="T24" s="395"/>
      <c r="U24" s="395"/>
      <c r="V24" s="395"/>
      <c r="W24" s="369"/>
      <c r="X24" s="369"/>
      <c r="Y24" s="369"/>
      <c r="Z24" s="369"/>
      <c r="AA24" s="369"/>
      <c r="AB24" s="369"/>
      <c r="AC24" s="369"/>
      <c r="AD24" s="369"/>
      <c r="AE24" s="369"/>
      <c r="AF24" s="369"/>
      <c r="AG24" s="369"/>
    </row>
    <row r="25" spans="1:33" ht="12.75" customHeight="1" x14ac:dyDescent="0.2">
      <c r="A25" s="369"/>
      <c r="B25" s="369"/>
      <c r="C25" s="369"/>
      <c r="D25" s="369"/>
      <c r="E25" s="369"/>
      <c r="F25" s="369"/>
      <c r="G25" s="369"/>
      <c r="H25" s="369"/>
      <c r="I25" s="369"/>
      <c r="J25" s="369"/>
      <c r="K25" s="369"/>
      <c r="L25" s="395"/>
      <c r="M25" s="395"/>
      <c r="N25" s="395"/>
      <c r="O25" s="395"/>
      <c r="P25" s="395"/>
      <c r="Q25" s="395"/>
      <c r="R25" s="395"/>
      <c r="S25" s="395"/>
      <c r="T25" s="395"/>
      <c r="U25" s="395"/>
      <c r="V25" s="395"/>
      <c r="W25" s="369"/>
      <c r="X25" s="369"/>
      <c r="Y25" s="369"/>
      <c r="Z25" s="369"/>
      <c r="AA25" s="369"/>
      <c r="AB25" s="369"/>
      <c r="AC25" s="369"/>
      <c r="AD25" s="369"/>
      <c r="AE25" s="369"/>
      <c r="AF25" s="369"/>
      <c r="AG25" s="369"/>
    </row>
    <row r="26" spans="1:33" ht="12.75" customHeight="1" x14ac:dyDescent="0.2">
      <c r="A26" s="369"/>
      <c r="B26" s="369"/>
      <c r="C26" s="369"/>
      <c r="D26" s="369"/>
      <c r="E26" s="369"/>
      <c r="F26" s="369"/>
      <c r="G26" s="369"/>
      <c r="H26" s="369"/>
      <c r="I26" s="369"/>
      <c r="J26" s="369"/>
      <c r="K26" s="369"/>
      <c r="L26" s="395"/>
      <c r="M26" s="395"/>
      <c r="N26" s="395"/>
      <c r="O26" s="395"/>
      <c r="P26" s="395"/>
      <c r="Q26" s="395"/>
      <c r="R26" s="395"/>
      <c r="S26" s="395"/>
      <c r="T26" s="395"/>
      <c r="U26" s="395"/>
      <c r="V26" s="395"/>
      <c r="W26" s="369"/>
      <c r="X26" s="369"/>
      <c r="Y26" s="369"/>
      <c r="Z26" s="369"/>
      <c r="AA26" s="369"/>
      <c r="AB26" s="369"/>
      <c r="AC26" s="369"/>
      <c r="AD26" s="369"/>
      <c r="AE26" s="369"/>
      <c r="AF26" s="369"/>
      <c r="AG26" s="369"/>
    </row>
    <row r="27" spans="1:33" ht="12.75" customHeight="1" x14ac:dyDescent="0.2">
      <c r="A27" s="369"/>
      <c r="B27" s="369"/>
      <c r="C27" s="369"/>
      <c r="D27" s="369"/>
      <c r="E27" s="369"/>
      <c r="F27" s="369"/>
      <c r="G27" s="369"/>
      <c r="H27" s="369"/>
      <c r="I27" s="369"/>
      <c r="J27" s="369"/>
      <c r="K27" s="369"/>
      <c r="L27" s="395"/>
      <c r="M27" s="395"/>
      <c r="N27" s="395"/>
      <c r="O27" s="395"/>
      <c r="P27" s="395"/>
      <c r="Q27" s="395"/>
      <c r="R27" s="395"/>
      <c r="S27" s="395"/>
      <c r="T27" s="395"/>
      <c r="U27" s="395"/>
      <c r="V27" s="395"/>
      <c r="W27" s="369"/>
      <c r="X27" s="369"/>
      <c r="Y27" s="369"/>
      <c r="Z27" s="369"/>
      <c r="AA27" s="369"/>
      <c r="AB27" s="369"/>
      <c r="AC27" s="369"/>
      <c r="AD27" s="369"/>
      <c r="AE27" s="369"/>
      <c r="AF27" s="369"/>
      <c r="AG27" s="369"/>
    </row>
    <row r="28" spans="1:33" ht="12.75" customHeight="1" x14ac:dyDescent="0.2">
      <c r="A28" s="369"/>
      <c r="B28" s="369"/>
      <c r="C28" s="369"/>
      <c r="D28" s="369"/>
      <c r="E28" s="369"/>
      <c r="F28" s="369"/>
      <c r="G28" s="369"/>
      <c r="H28" s="369"/>
      <c r="I28" s="369"/>
      <c r="J28" s="369"/>
      <c r="K28" s="369"/>
      <c r="L28" s="395"/>
      <c r="M28" s="395"/>
      <c r="N28" s="395"/>
      <c r="O28" s="395"/>
      <c r="P28" s="395"/>
      <c r="Q28" s="395"/>
      <c r="R28" s="395"/>
      <c r="S28" s="395"/>
      <c r="T28" s="395"/>
      <c r="U28" s="395"/>
      <c r="V28" s="395"/>
      <c r="W28" s="369"/>
      <c r="X28" s="369"/>
      <c r="Y28" s="369"/>
      <c r="Z28" s="369"/>
      <c r="AA28" s="369"/>
      <c r="AB28" s="369"/>
      <c r="AC28" s="369"/>
      <c r="AD28" s="369"/>
      <c r="AE28" s="369"/>
      <c r="AF28" s="369"/>
      <c r="AG28" s="369"/>
    </row>
    <row r="29" spans="1:33" ht="12.75" customHeight="1" x14ac:dyDescent="0.2">
      <c r="A29" s="369"/>
      <c r="B29" s="369"/>
      <c r="C29" s="369"/>
      <c r="D29" s="369"/>
      <c r="E29" s="369"/>
      <c r="F29" s="369"/>
      <c r="G29" s="369"/>
      <c r="H29" s="369"/>
      <c r="I29" s="369"/>
      <c r="J29" s="369"/>
      <c r="K29" s="369"/>
      <c r="L29" s="395"/>
      <c r="M29" s="395"/>
      <c r="N29" s="395"/>
      <c r="O29" s="395"/>
      <c r="P29" s="395"/>
      <c r="Q29" s="395"/>
      <c r="R29" s="395"/>
      <c r="S29" s="395"/>
      <c r="T29" s="395"/>
      <c r="U29" s="395"/>
      <c r="V29" s="395"/>
      <c r="W29" s="369"/>
      <c r="X29" s="369"/>
      <c r="Y29" s="369"/>
      <c r="Z29" s="369"/>
      <c r="AA29" s="369"/>
      <c r="AB29" s="369"/>
      <c r="AC29" s="369"/>
      <c r="AD29" s="369"/>
      <c r="AE29" s="369"/>
      <c r="AF29" s="369"/>
      <c r="AG29" s="369"/>
    </row>
    <row r="30" spans="1:33" ht="12.75" customHeight="1" x14ac:dyDescent="0.2">
      <c r="A30" s="369"/>
      <c r="B30" s="369"/>
      <c r="C30" s="369"/>
      <c r="D30" s="369"/>
      <c r="E30" s="369"/>
      <c r="F30" s="369"/>
      <c r="G30" s="369"/>
      <c r="H30" s="369"/>
      <c r="I30" s="369"/>
      <c r="J30" s="369"/>
      <c r="K30" s="369"/>
      <c r="L30" s="395"/>
      <c r="M30" s="395"/>
      <c r="N30" s="395"/>
      <c r="O30" s="395"/>
      <c r="P30" s="395"/>
      <c r="Q30" s="395"/>
      <c r="R30" s="395"/>
      <c r="S30" s="395"/>
      <c r="T30" s="395"/>
      <c r="U30" s="395"/>
      <c r="V30" s="395"/>
      <c r="W30" s="369"/>
      <c r="X30" s="369"/>
      <c r="Y30" s="369"/>
      <c r="Z30" s="369"/>
      <c r="AA30" s="369"/>
      <c r="AB30" s="369"/>
      <c r="AC30" s="369"/>
      <c r="AD30" s="369"/>
      <c r="AE30" s="369"/>
      <c r="AF30" s="369"/>
      <c r="AG30" s="369"/>
    </row>
    <row r="31" spans="1:33" ht="12.75" customHeight="1" x14ac:dyDescent="0.2">
      <c r="A31" s="369"/>
      <c r="B31" s="369"/>
      <c r="C31" s="369"/>
      <c r="D31" s="369"/>
      <c r="E31" s="369"/>
      <c r="F31" s="369"/>
      <c r="G31" s="369"/>
      <c r="H31" s="369"/>
      <c r="I31" s="369"/>
      <c r="J31" s="369"/>
      <c r="K31" s="369"/>
      <c r="L31" s="395"/>
      <c r="M31" s="395"/>
      <c r="N31" s="395"/>
      <c r="O31" s="395"/>
      <c r="P31" s="395"/>
      <c r="Q31" s="395"/>
      <c r="R31" s="395"/>
      <c r="S31" s="395"/>
      <c r="T31" s="395"/>
      <c r="U31" s="395"/>
      <c r="V31" s="395"/>
      <c r="W31" s="369"/>
      <c r="X31" s="369"/>
      <c r="Y31" s="369"/>
      <c r="Z31" s="369"/>
      <c r="AA31" s="369"/>
      <c r="AB31" s="369"/>
      <c r="AC31" s="369"/>
      <c r="AD31" s="369"/>
      <c r="AE31" s="369"/>
      <c r="AF31" s="369"/>
      <c r="AG31" s="369"/>
    </row>
    <row r="32" spans="1:33" ht="12.75" customHeight="1" x14ac:dyDescent="0.2">
      <c r="A32" s="369"/>
      <c r="B32" s="369"/>
      <c r="C32" s="369"/>
      <c r="D32" s="369"/>
      <c r="E32" s="369"/>
      <c r="F32" s="369"/>
      <c r="G32" s="369"/>
      <c r="H32" s="369"/>
      <c r="I32" s="369"/>
      <c r="J32" s="369"/>
      <c r="K32" s="369"/>
      <c r="L32" s="395"/>
      <c r="M32" s="395"/>
      <c r="N32" s="395"/>
      <c r="O32" s="395"/>
      <c r="P32" s="395"/>
      <c r="Q32" s="395"/>
      <c r="R32" s="395"/>
      <c r="S32" s="395"/>
      <c r="T32" s="395"/>
      <c r="U32" s="395"/>
      <c r="V32" s="395"/>
      <c r="W32" s="369"/>
      <c r="X32" s="369"/>
      <c r="Y32" s="369"/>
      <c r="Z32" s="369"/>
      <c r="AA32" s="369"/>
      <c r="AB32" s="369"/>
      <c r="AC32" s="369"/>
      <c r="AD32" s="369"/>
      <c r="AE32" s="369"/>
      <c r="AF32" s="369"/>
      <c r="AG32" s="369"/>
    </row>
    <row r="33" spans="1:33" ht="12.75" customHeight="1" x14ac:dyDescent="0.2">
      <c r="A33" s="369"/>
      <c r="B33" s="369"/>
      <c r="C33" s="369"/>
      <c r="D33" s="369"/>
      <c r="E33" s="369"/>
      <c r="F33" s="369"/>
      <c r="G33" s="369"/>
      <c r="H33" s="369"/>
      <c r="I33" s="369"/>
      <c r="J33" s="369"/>
      <c r="K33" s="369"/>
      <c r="L33" s="395"/>
      <c r="M33" s="395"/>
      <c r="N33" s="395"/>
      <c r="O33" s="395"/>
      <c r="P33" s="395"/>
      <c r="Q33" s="395"/>
      <c r="R33" s="395"/>
      <c r="S33" s="395"/>
      <c r="T33" s="395"/>
      <c r="U33" s="395"/>
      <c r="V33" s="395"/>
      <c r="W33" s="369"/>
      <c r="X33" s="369"/>
      <c r="Y33" s="369"/>
      <c r="Z33" s="369"/>
      <c r="AA33" s="369"/>
      <c r="AB33" s="369"/>
      <c r="AC33" s="369"/>
      <c r="AD33" s="369"/>
      <c r="AE33" s="369"/>
      <c r="AF33" s="369"/>
      <c r="AG33" s="369"/>
    </row>
    <row r="34" spans="1:33" ht="12.75" customHeight="1" x14ac:dyDescent="0.2">
      <c r="A34" s="369"/>
      <c r="B34" s="369"/>
      <c r="C34" s="369"/>
      <c r="D34" s="369"/>
      <c r="E34" s="369"/>
      <c r="F34" s="369"/>
      <c r="G34" s="369"/>
      <c r="H34" s="369"/>
      <c r="I34" s="369"/>
      <c r="J34" s="369"/>
      <c r="K34" s="369"/>
      <c r="L34" s="395"/>
      <c r="M34" s="395"/>
      <c r="N34" s="395"/>
      <c r="O34" s="395"/>
      <c r="P34" s="395"/>
      <c r="Q34" s="395"/>
      <c r="R34" s="395"/>
      <c r="S34" s="395"/>
      <c r="T34" s="395"/>
      <c r="U34" s="395"/>
      <c r="V34" s="395"/>
      <c r="W34" s="369"/>
      <c r="X34" s="369"/>
      <c r="Y34" s="369"/>
      <c r="Z34" s="369"/>
      <c r="AA34" s="369"/>
      <c r="AB34" s="369"/>
      <c r="AC34" s="369"/>
      <c r="AD34" s="369"/>
      <c r="AE34" s="369"/>
      <c r="AF34" s="369"/>
      <c r="AG34" s="369"/>
    </row>
    <row r="35" spans="1:33" ht="12.75" customHeight="1" x14ac:dyDescent="0.2">
      <c r="A35" s="369"/>
      <c r="B35" s="369"/>
      <c r="C35" s="369"/>
      <c r="D35" s="369"/>
      <c r="E35" s="369"/>
      <c r="F35" s="369"/>
      <c r="G35" s="369"/>
      <c r="H35" s="369"/>
      <c r="I35" s="369"/>
      <c r="J35" s="369"/>
      <c r="K35" s="369"/>
      <c r="L35" s="395"/>
      <c r="M35" s="395"/>
      <c r="N35" s="395"/>
      <c r="O35" s="395"/>
      <c r="P35" s="395"/>
      <c r="Q35" s="395"/>
      <c r="R35" s="395"/>
      <c r="S35" s="395"/>
      <c r="T35" s="395"/>
      <c r="U35" s="395"/>
      <c r="V35" s="395"/>
      <c r="W35" s="369"/>
      <c r="X35" s="369"/>
      <c r="Y35" s="369"/>
      <c r="Z35" s="369"/>
      <c r="AA35" s="369"/>
      <c r="AB35" s="369"/>
      <c r="AC35" s="369"/>
      <c r="AD35" s="369"/>
      <c r="AE35" s="369"/>
      <c r="AF35" s="369"/>
      <c r="AG35" s="369"/>
    </row>
    <row r="36" spans="1:33" ht="12.75" customHeight="1" x14ac:dyDescent="0.2">
      <c r="A36" s="369"/>
      <c r="B36" s="369"/>
      <c r="C36" s="369"/>
      <c r="D36" s="369"/>
      <c r="E36" s="369"/>
      <c r="F36" s="369"/>
      <c r="G36" s="369"/>
      <c r="H36" s="369"/>
      <c r="I36" s="369"/>
      <c r="J36" s="369"/>
      <c r="K36" s="369"/>
      <c r="L36" s="395"/>
      <c r="M36" s="395"/>
      <c r="N36" s="395"/>
      <c r="O36" s="395"/>
      <c r="P36" s="395"/>
      <c r="Q36" s="395"/>
      <c r="R36" s="395"/>
      <c r="S36" s="395"/>
      <c r="T36" s="395"/>
      <c r="U36" s="395"/>
      <c r="V36" s="395"/>
      <c r="W36" s="369"/>
      <c r="X36" s="369"/>
      <c r="Y36" s="369"/>
      <c r="Z36" s="369"/>
      <c r="AA36" s="369"/>
      <c r="AB36" s="369"/>
      <c r="AC36" s="369"/>
      <c r="AD36" s="369"/>
      <c r="AE36" s="369"/>
      <c r="AF36" s="369"/>
      <c r="AG36" s="369"/>
    </row>
    <row r="37" spans="1:33" ht="12.75" customHeight="1" x14ac:dyDescent="0.2">
      <c r="A37" s="369"/>
      <c r="B37" s="369"/>
      <c r="C37" s="369"/>
      <c r="D37" s="369"/>
      <c r="E37" s="369"/>
      <c r="F37" s="369"/>
      <c r="G37" s="369"/>
      <c r="H37" s="369"/>
      <c r="I37" s="369"/>
      <c r="J37" s="369"/>
      <c r="K37" s="369"/>
      <c r="L37" s="395"/>
      <c r="M37" s="395"/>
      <c r="N37" s="395"/>
      <c r="O37" s="395"/>
      <c r="P37" s="395"/>
      <c r="Q37" s="395"/>
      <c r="R37" s="395"/>
      <c r="S37" s="395"/>
      <c r="T37" s="395"/>
      <c r="U37" s="395"/>
      <c r="V37" s="395"/>
      <c r="W37" s="369"/>
      <c r="X37" s="369"/>
      <c r="Y37" s="369"/>
      <c r="Z37" s="369"/>
      <c r="AA37" s="369"/>
      <c r="AB37" s="369"/>
      <c r="AC37" s="369"/>
      <c r="AD37" s="369"/>
      <c r="AE37" s="369"/>
      <c r="AF37" s="369"/>
      <c r="AG37" s="369"/>
    </row>
    <row r="38" spans="1:33" ht="12.75" customHeight="1" x14ac:dyDescent="0.2">
      <c r="A38" s="369"/>
      <c r="B38" s="369"/>
      <c r="C38" s="369"/>
      <c r="D38" s="369"/>
      <c r="E38" s="369"/>
      <c r="F38" s="369"/>
      <c r="G38" s="369"/>
      <c r="H38" s="369"/>
      <c r="I38" s="369"/>
      <c r="J38" s="369"/>
      <c r="K38" s="369"/>
      <c r="L38" s="395"/>
      <c r="M38" s="395"/>
      <c r="N38" s="395"/>
      <c r="O38" s="395"/>
      <c r="P38" s="395"/>
      <c r="Q38" s="395"/>
      <c r="R38" s="395"/>
      <c r="S38" s="395"/>
      <c r="T38" s="395"/>
      <c r="U38" s="395"/>
      <c r="V38" s="395"/>
      <c r="W38" s="369"/>
      <c r="X38" s="369"/>
      <c r="Y38" s="369"/>
      <c r="Z38" s="369"/>
      <c r="AA38" s="369"/>
      <c r="AB38" s="369"/>
      <c r="AC38" s="369"/>
      <c r="AD38" s="369"/>
      <c r="AE38" s="369"/>
      <c r="AF38" s="369"/>
      <c r="AG38" s="369"/>
    </row>
    <row r="39" spans="1:33" ht="12.75" customHeight="1" x14ac:dyDescent="0.2">
      <c r="A39" s="369"/>
      <c r="B39" s="369"/>
      <c r="C39" s="369"/>
      <c r="D39" s="369"/>
      <c r="E39" s="369"/>
      <c r="F39" s="369"/>
      <c r="G39" s="369"/>
      <c r="H39" s="369"/>
      <c r="I39" s="369"/>
      <c r="J39" s="369"/>
      <c r="K39" s="369"/>
      <c r="L39" s="395"/>
      <c r="M39" s="395"/>
      <c r="N39" s="395"/>
      <c r="O39" s="395"/>
      <c r="P39" s="395"/>
      <c r="Q39" s="395"/>
      <c r="R39" s="395"/>
      <c r="S39" s="395"/>
      <c r="T39" s="395"/>
      <c r="U39" s="395"/>
      <c r="V39" s="395"/>
      <c r="W39" s="369"/>
      <c r="X39" s="369"/>
      <c r="Y39" s="369"/>
      <c r="Z39" s="369"/>
      <c r="AA39" s="369"/>
      <c r="AB39" s="369"/>
      <c r="AC39" s="369"/>
      <c r="AD39" s="369"/>
      <c r="AE39" s="369"/>
      <c r="AF39" s="369"/>
      <c r="AG39" s="369"/>
    </row>
    <row r="40" spans="1:33" ht="12.75" customHeight="1" x14ac:dyDescent="0.2">
      <c r="A40" s="369"/>
      <c r="B40" s="369"/>
      <c r="C40" s="369"/>
      <c r="D40" s="369"/>
      <c r="E40" s="369"/>
      <c r="F40" s="369"/>
      <c r="G40" s="369"/>
      <c r="H40" s="369"/>
      <c r="I40" s="369"/>
      <c r="J40" s="369"/>
      <c r="K40" s="369"/>
      <c r="L40" s="395"/>
      <c r="M40" s="395"/>
      <c r="N40" s="395"/>
      <c r="O40" s="395"/>
      <c r="P40" s="395"/>
      <c r="Q40" s="395"/>
      <c r="R40" s="395"/>
      <c r="S40" s="395"/>
      <c r="T40" s="395"/>
      <c r="U40" s="395"/>
      <c r="V40" s="395"/>
      <c r="W40" s="369"/>
      <c r="X40" s="369"/>
      <c r="Y40" s="369"/>
      <c r="Z40" s="369"/>
      <c r="AA40" s="369"/>
      <c r="AB40" s="369"/>
      <c r="AC40" s="369"/>
      <c r="AD40" s="369"/>
      <c r="AE40" s="369"/>
      <c r="AF40" s="369"/>
      <c r="AG40" s="369"/>
    </row>
    <row r="41" spans="1:33" ht="12.75" customHeight="1" x14ac:dyDescent="0.2">
      <c r="A41" s="369"/>
      <c r="B41" s="369"/>
      <c r="C41" s="369"/>
      <c r="D41" s="369"/>
      <c r="E41" s="369"/>
      <c r="F41" s="369"/>
      <c r="G41" s="369"/>
      <c r="H41" s="369"/>
      <c r="I41" s="369"/>
      <c r="J41" s="369"/>
      <c r="K41" s="369"/>
      <c r="L41" s="395"/>
      <c r="M41" s="395"/>
      <c r="N41" s="395"/>
      <c r="O41" s="395"/>
      <c r="P41" s="395"/>
      <c r="Q41" s="395"/>
      <c r="R41" s="395"/>
      <c r="S41" s="395"/>
      <c r="T41" s="395"/>
      <c r="U41" s="395"/>
      <c r="V41" s="395"/>
      <c r="W41" s="369"/>
      <c r="X41" s="369"/>
      <c r="Y41" s="369"/>
      <c r="Z41" s="369"/>
      <c r="AA41" s="369"/>
      <c r="AB41" s="369"/>
      <c r="AC41" s="369"/>
      <c r="AD41" s="369"/>
      <c r="AE41" s="369"/>
      <c r="AF41" s="369"/>
      <c r="AG41" s="369"/>
    </row>
    <row r="42" spans="1:33" ht="12.75" customHeight="1" x14ac:dyDescent="0.2">
      <c r="A42" s="369"/>
      <c r="B42" s="369"/>
      <c r="C42" s="369"/>
      <c r="D42" s="369"/>
      <c r="E42" s="369"/>
      <c r="F42" s="369"/>
      <c r="G42" s="369"/>
      <c r="H42" s="369"/>
      <c r="I42" s="369"/>
      <c r="J42" s="369"/>
      <c r="K42" s="369"/>
      <c r="L42" s="395"/>
      <c r="M42" s="395"/>
      <c r="N42" s="395"/>
      <c r="O42" s="395"/>
      <c r="P42" s="395"/>
      <c r="Q42" s="395"/>
      <c r="R42" s="395"/>
      <c r="S42" s="395"/>
      <c r="T42" s="395"/>
      <c r="U42" s="395"/>
      <c r="V42" s="395"/>
      <c r="W42" s="369"/>
      <c r="X42" s="369"/>
      <c r="Y42" s="369"/>
      <c r="Z42" s="369"/>
      <c r="AA42" s="369"/>
      <c r="AB42" s="369"/>
      <c r="AC42" s="369"/>
      <c r="AD42" s="369"/>
      <c r="AE42" s="369"/>
      <c r="AF42" s="369"/>
      <c r="AG42" s="369"/>
    </row>
    <row r="43" spans="1:33" ht="12.75" customHeight="1" x14ac:dyDescent="0.2">
      <c r="A43" s="369"/>
      <c r="B43" s="369"/>
      <c r="C43" s="369"/>
      <c r="D43" s="369"/>
      <c r="E43" s="369"/>
      <c r="F43" s="369"/>
      <c r="G43" s="369"/>
      <c r="H43" s="369"/>
      <c r="I43" s="369"/>
      <c r="J43" s="369"/>
      <c r="K43" s="369"/>
      <c r="L43" s="395"/>
      <c r="M43" s="395"/>
      <c r="N43" s="395"/>
      <c r="O43" s="395"/>
      <c r="P43" s="395"/>
      <c r="Q43" s="395"/>
      <c r="R43" s="395"/>
      <c r="S43" s="395"/>
      <c r="T43" s="395"/>
      <c r="U43" s="395"/>
      <c r="V43" s="395"/>
      <c r="W43" s="369"/>
      <c r="X43" s="369"/>
      <c r="Y43" s="369"/>
      <c r="Z43" s="369"/>
      <c r="AA43" s="369"/>
      <c r="AB43" s="369"/>
      <c r="AC43" s="369"/>
      <c r="AD43" s="369"/>
      <c r="AE43" s="369"/>
      <c r="AF43" s="369"/>
      <c r="AG43" s="369"/>
    </row>
    <row r="44" spans="1:33" ht="12.75" customHeight="1" x14ac:dyDescent="0.2">
      <c r="A44" s="369"/>
      <c r="B44" s="369"/>
      <c r="C44" s="369"/>
      <c r="D44" s="369"/>
      <c r="E44" s="369"/>
      <c r="F44" s="369"/>
      <c r="G44" s="369"/>
      <c r="H44" s="369"/>
      <c r="I44" s="369"/>
      <c r="J44" s="369"/>
      <c r="K44" s="369"/>
      <c r="L44" s="395"/>
      <c r="M44" s="395"/>
      <c r="N44" s="395"/>
      <c r="O44" s="395"/>
      <c r="P44" s="395"/>
      <c r="Q44" s="395"/>
      <c r="R44" s="395"/>
      <c r="S44" s="395"/>
      <c r="T44" s="395"/>
      <c r="U44" s="395"/>
      <c r="V44" s="395"/>
      <c r="W44" s="369"/>
      <c r="X44" s="369"/>
      <c r="Y44" s="369"/>
      <c r="Z44" s="369"/>
      <c r="AA44" s="369"/>
      <c r="AB44" s="369"/>
      <c r="AC44" s="369"/>
      <c r="AD44" s="369"/>
      <c r="AE44" s="369"/>
      <c r="AF44" s="369"/>
      <c r="AG44" s="369"/>
    </row>
    <row r="45" spans="1:33" ht="12.75" customHeight="1" x14ac:dyDescent="0.2">
      <c r="A45" s="369"/>
      <c r="B45" s="369"/>
      <c r="C45" s="369"/>
      <c r="D45" s="369"/>
      <c r="E45" s="369"/>
      <c r="F45" s="369"/>
      <c r="G45" s="369"/>
      <c r="H45" s="369"/>
      <c r="I45" s="369"/>
      <c r="J45" s="369"/>
      <c r="K45" s="369"/>
      <c r="L45" s="395"/>
      <c r="M45" s="395"/>
      <c r="N45" s="395"/>
      <c r="O45" s="395"/>
      <c r="P45" s="395"/>
      <c r="Q45" s="395"/>
      <c r="R45" s="395"/>
      <c r="S45" s="395"/>
      <c r="T45" s="395"/>
      <c r="U45" s="395"/>
      <c r="V45" s="395"/>
      <c r="W45" s="369"/>
      <c r="X45" s="369"/>
      <c r="Y45" s="369"/>
      <c r="Z45" s="369"/>
      <c r="AA45" s="369"/>
      <c r="AB45" s="369"/>
      <c r="AC45" s="369"/>
      <c r="AD45" s="369"/>
      <c r="AE45" s="369"/>
      <c r="AF45" s="369"/>
      <c r="AG45" s="369"/>
    </row>
    <row r="46" spans="1:33" ht="12.75" customHeight="1" x14ac:dyDescent="0.2">
      <c r="A46" s="369"/>
      <c r="B46" s="369"/>
      <c r="C46" s="369"/>
      <c r="D46" s="369"/>
      <c r="E46" s="369"/>
      <c r="F46" s="369"/>
      <c r="G46" s="369"/>
      <c r="H46" s="369"/>
      <c r="I46" s="369"/>
      <c r="J46" s="369"/>
      <c r="K46" s="369"/>
      <c r="L46" s="395"/>
      <c r="M46" s="395"/>
      <c r="N46" s="395"/>
      <c r="O46" s="395"/>
      <c r="P46" s="395"/>
      <c r="Q46" s="395"/>
      <c r="R46" s="395"/>
      <c r="S46" s="395"/>
      <c r="T46" s="395"/>
      <c r="U46" s="395"/>
      <c r="V46" s="395"/>
      <c r="W46" s="369"/>
      <c r="X46" s="369"/>
      <c r="Y46" s="369"/>
      <c r="Z46" s="369"/>
      <c r="AA46" s="369"/>
      <c r="AB46" s="369"/>
      <c r="AC46" s="369"/>
      <c r="AD46" s="369"/>
      <c r="AE46" s="369"/>
      <c r="AF46" s="369"/>
      <c r="AG46" s="369"/>
    </row>
    <row r="47" spans="1:33" ht="12.75" customHeight="1" x14ac:dyDescent="0.2">
      <c r="A47" s="369"/>
      <c r="B47" s="369"/>
      <c r="C47" s="369"/>
      <c r="D47" s="369"/>
      <c r="E47" s="369"/>
      <c r="F47" s="369"/>
      <c r="G47" s="369"/>
      <c r="H47" s="369"/>
      <c r="I47" s="369"/>
      <c r="J47" s="369"/>
      <c r="K47" s="369"/>
      <c r="L47" s="395"/>
      <c r="M47" s="395"/>
      <c r="N47" s="395"/>
      <c r="O47" s="395"/>
      <c r="P47" s="395"/>
      <c r="Q47" s="395"/>
      <c r="R47" s="395"/>
      <c r="S47" s="395"/>
      <c r="T47" s="395"/>
      <c r="U47" s="395"/>
      <c r="V47" s="395"/>
      <c r="W47" s="369"/>
      <c r="X47" s="369"/>
      <c r="Y47" s="369"/>
      <c r="Z47" s="369"/>
      <c r="AA47" s="369"/>
      <c r="AB47" s="369"/>
      <c r="AC47" s="369"/>
      <c r="AD47" s="369"/>
      <c r="AE47" s="369"/>
      <c r="AF47" s="369"/>
      <c r="AG47" s="369"/>
    </row>
    <row r="48" spans="1:33" ht="12.75" customHeight="1" x14ac:dyDescent="0.2">
      <c r="A48" s="369"/>
      <c r="B48" s="369"/>
      <c r="C48" s="369"/>
      <c r="D48" s="369"/>
      <c r="E48" s="369"/>
      <c r="F48" s="369"/>
      <c r="G48" s="369"/>
      <c r="H48" s="369"/>
      <c r="I48" s="369"/>
      <c r="J48" s="369"/>
      <c r="K48" s="369"/>
      <c r="L48" s="395"/>
      <c r="M48" s="395"/>
      <c r="N48" s="395"/>
      <c r="O48" s="395"/>
      <c r="P48" s="395"/>
      <c r="Q48" s="395"/>
      <c r="R48" s="395"/>
      <c r="S48" s="395"/>
      <c r="T48" s="395"/>
      <c r="U48" s="395"/>
      <c r="V48" s="395"/>
      <c r="W48" s="369"/>
      <c r="X48" s="369"/>
      <c r="Y48" s="369"/>
      <c r="Z48" s="369"/>
      <c r="AA48" s="369"/>
      <c r="AB48" s="369"/>
      <c r="AC48" s="369"/>
      <c r="AD48" s="369"/>
      <c r="AE48" s="369"/>
      <c r="AF48" s="369"/>
      <c r="AG48" s="369"/>
    </row>
    <row r="49" spans="1:33" ht="12.75" customHeight="1" x14ac:dyDescent="0.2">
      <c r="A49" s="369"/>
      <c r="B49" s="369"/>
      <c r="C49" s="369"/>
      <c r="D49" s="369"/>
      <c r="E49" s="369"/>
      <c r="F49" s="369"/>
      <c r="G49" s="369"/>
      <c r="H49" s="369"/>
      <c r="I49" s="369"/>
      <c r="J49" s="369"/>
      <c r="K49" s="369"/>
      <c r="L49" s="395"/>
      <c r="M49" s="395"/>
      <c r="N49" s="395"/>
      <c r="O49" s="395"/>
      <c r="P49" s="395"/>
      <c r="Q49" s="395"/>
      <c r="R49" s="395"/>
      <c r="S49" s="395"/>
      <c r="T49" s="395"/>
      <c r="U49" s="395"/>
      <c r="V49" s="395"/>
      <c r="W49" s="369"/>
      <c r="X49" s="369"/>
      <c r="Y49" s="369"/>
      <c r="Z49" s="369"/>
      <c r="AA49" s="369"/>
      <c r="AB49" s="369"/>
      <c r="AC49" s="369"/>
      <c r="AD49" s="369"/>
      <c r="AE49" s="369"/>
      <c r="AF49" s="369"/>
      <c r="AG49" s="369"/>
    </row>
    <row r="50" spans="1:33" ht="12.75" customHeight="1" x14ac:dyDescent="0.2">
      <c r="A50" s="369"/>
      <c r="B50" s="369"/>
      <c r="C50" s="369"/>
      <c r="D50" s="369"/>
      <c r="E50" s="369"/>
      <c r="F50" s="369"/>
      <c r="G50" s="369"/>
      <c r="H50" s="369"/>
      <c r="I50" s="369"/>
      <c r="J50" s="369"/>
      <c r="K50" s="369"/>
      <c r="L50" s="395"/>
      <c r="M50" s="395"/>
      <c r="N50" s="395"/>
      <c r="O50" s="395"/>
      <c r="P50" s="395"/>
      <c r="Q50" s="395"/>
      <c r="R50" s="395"/>
      <c r="S50" s="395"/>
      <c r="T50" s="395"/>
      <c r="U50" s="395"/>
      <c r="V50" s="395"/>
      <c r="W50" s="369"/>
      <c r="X50" s="369"/>
      <c r="Y50" s="369"/>
      <c r="Z50" s="369"/>
      <c r="AA50" s="369"/>
      <c r="AB50" s="369"/>
      <c r="AC50" s="369"/>
      <c r="AD50" s="369"/>
      <c r="AE50" s="369"/>
      <c r="AF50" s="369"/>
      <c r="AG50" s="369"/>
    </row>
    <row r="51" spans="1:33" ht="12.75" customHeight="1" x14ac:dyDescent="0.2">
      <c r="A51" s="369"/>
      <c r="B51" s="369"/>
      <c r="C51" s="369"/>
      <c r="D51" s="369"/>
      <c r="E51" s="369"/>
      <c r="F51" s="369"/>
      <c r="G51" s="369"/>
      <c r="H51" s="369"/>
      <c r="I51" s="369"/>
      <c r="J51" s="369"/>
      <c r="K51" s="369"/>
      <c r="L51" s="395"/>
      <c r="M51" s="395"/>
      <c r="N51" s="395"/>
      <c r="O51" s="395"/>
      <c r="P51" s="395"/>
      <c r="Q51" s="395"/>
      <c r="R51" s="395"/>
      <c r="S51" s="395"/>
      <c r="T51" s="395"/>
      <c r="U51" s="395"/>
      <c r="V51" s="395"/>
      <c r="W51" s="369"/>
      <c r="X51" s="369"/>
      <c r="Y51" s="369"/>
      <c r="Z51" s="369"/>
      <c r="AA51" s="369"/>
      <c r="AB51" s="369"/>
      <c r="AC51" s="369"/>
      <c r="AD51" s="369"/>
      <c r="AE51" s="369"/>
      <c r="AF51" s="369"/>
      <c r="AG51" s="369"/>
    </row>
    <row r="52" spans="1:33" ht="12.75" customHeight="1" x14ac:dyDescent="0.2">
      <c r="A52" s="369"/>
      <c r="B52" s="369"/>
      <c r="C52" s="369"/>
      <c r="D52" s="369"/>
      <c r="E52" s="369"/>
      <c r="F52" s="369"/>
      <c r="G52" s="369"/>
      <c r="H52" s="369"/>
      <c r="I52" s="369"/>
      <c r="J52" s="369"/>
      <c r="K52" s="369"/>
      <c r="L52" s="395"/>
      <c r="M52" s="395"/>
      <c r="N52" s="395"/>
      <c r="O52" s="395"/>
      <c r="P52" s="395"/>
      <c r="Q52" s="395"/>
      <c r="R52" s="395"/>
      <c r="S52" s="395"/>
      <c r="T52" s="395"/>
      <c r="U52" s="395"/>
      <c r="V52" s="395"/>
      <c r="W52" s="183" t="s">
        <v>33</v>
      </c>
      <c r="X52" s="370">
        <f>Памятка!E4</f>
        <v>0</v>
      </c>
      <c r="Y52" s="370"/>
      <c r="Z52" s="181"/>
      <c r="AA52" s="181"/>
      <c r="AB52" s="181"/>
      <c r="AC52" s="181"/>
      <c r="AD52" s="181"/>
      <c r="AE52" s="181"/>
      <c r="AF52" s="181"/>
      <c r="AG52" s="181"/>
    </row>
    <row r="53" spans="1:33" ht="12.75" customHeight="1" x14ac:dyDescent="0.2">
      <c r="A53" s="369"/>
      <c r="B53" s="369"/>
      <c r="C53" s="369"/>
      <c r="D53" s="369"/>
      <c r="E53" s="369"/>
      <c r="F53" s="369"/>
      <c r="G53" s="369"/>
      <c r="H53" s="369"/>
      <c r="I53" s="369"/>
      <c r="J53" s="369"/>
      <c r="K53" s="369"/>
      <c r="L53" s="395"/>
      <c r="M53" s="395"/>
      <c r="N53" s="395"/>
      <c r="O53" s="395"/>
      <c r="P53" s="395"/>
      <c r="Q53" s="395"/>
      <c r="R53" s="395"/>
      <c r="S53" s="395"/>
      <c r="T53" s="395"/>
      <c r="U53" s="395"/>
      <c r="V53" s="395"/>
      <c r="W53" s="367" t="s">
        <v>349</v>
      </c>
      <c r="X53" s="367"/>
      <c r="Y53" s="367"/>
      <c r="Z53" s="367"/>
      <c r="AA53" s="367"/>
      <c r="AB53" s="367"/>
      <c r="AC53" s="367"/>
      <c r="AD53" s="367"/>
      <c r="AE53" s="367"/>
      <c r="AF53" s="367"/>
      <c r="AG53" s="367"/>
    </row>
    <row r="54" spans="1:33" ht="12.75" customHeight="1" x14ac:dyDescent="0.2">
      <c r="A54" s="369"/>
      <c r="B54" s="369"/>
      <c r="C54" s="369"/>
      <c r="D54" s="369"/>
      <c r="E54" s="369"/>
      <c r="F54" s="369"/>
      <c r="G54" s="369"/>
      <c r="H54" s="369"/>
      <c r="I54" s="369"/>
      <c r="J54" s="369"/>
      <c r="K54" s="369"/>
      <c r="L54" s="395"/>
      <c r="M54" s="395"/>
      <c r="N54" s="395"/>
      <c r="O54" s="395"/>
      <c r="P54" s="395"/>
      <c r="Q54" s="395"/>
      <c r="R54" s="395"/>
      <c r="S54" s="395"/>
      <c r="T54" s="395"/>
      <c r="U54" s="395"/>
      <c r="V54" s="395"/>
      <c r="W54" s="367"/>
      <c r="X54" s="367"/>
      <c r="Y54" s="367"/>
      <c r="Z54" s="367"/>
      <c r="AA54" s="367"/>
      <c r="AB54" s="367"/>
      <c r="AC54" s="367"/>
      <c r="AD54" s="367"/>
      <c r="AE54" s="367"/>
      <c r="AF54" s="367"/>
      <c r="AG54" s="367"/>
    </row>
    <row r="55" spans="1:33" ht="12.75" customHeight="1" x14ac:dyDescent="0.2">
      <c r="A55" s="369"/>
      <c r="B55" s="369"/>
      <c r="C55" s="369"/>
      <c r="D55" s="369"/>
      <c r="E55" s="369"/>
      <c r="F55" s="369"/>
      <c r="G55" s="369"/>
      <c r="H55" s="369"/>
      <c r="I55" s="369"/>
      <c r="J55" s="369"/>
      <c r="K55" s="369"/>
      <c r="L55" s="395"/>
      <c r="M55" s="395"/>
      <c r="N55" s="395"/>
      <c r="O55" s="395"/>
      <c r="P55" s="395"/>
      <c r="Q55" s="395"/>
      <c r="R55" s="395"/>
      <c r="S55" s="395"/>
      <c r="T55" s="395"/>
      <c r="U55" s="395"/>
      <c r="V55" s="395"/>
      <c r="W55" s="367"/>
      <c r="X55" s="367"/>
      <c r="Y55" s="367"/>
      <c r="Z55" s="367"/>
      <c r="AA55" s="367"/>
      <c r="AB55" s="367"/>
      <c r="AC55" s="367"/>
      <c r="AD55" s="367"/>
      <c r="AE55" s="367"/>
      <c r="AF55" s="367"/>
      <c r="AG55" s="367"/>
    </row>
    <row r="56" spans="1:33" ht="12.75" customHeight="1" x14ac:dyDescent="0.2">
      <c r="A56" s="369"/>
      <c r="B56" s="369"/>
      <c r="C56" s="369"/>
      <c r="D56" s="369"/>
      <c r="E56" s="369"/>
      <c r="F56" s="369"/>
      <c r="G56" s="369"/>
      <c r="H56" s="369"/>
      <c r="I56" s="369"/>
      <c r="J56" s="369"/>
      <c r="K56" s="369"/>
      <c r="L56" s="395"/>
      <c r="M56" s="395"/>
      <c r="N56" s="395"/>
      <c r="O56" s="395"/>
      <c r="P56" s="395"/>
      <c r="Q56" s="395"/>
      <c r="R56" s="395"/>
      <c r="S56" s="395"/>
      <c r="T56" s="395"/>
      <c r="U56" s="395"/>
      <c r="V56" s="395"/>
      <c r="W56" s="367"/>
      <c r="X56" s="367"/>
      <c r="Y56" s="367"/>
      <c r="Z56" s="367"/>
      <c r="AA56" s="367"/>
      <c r="AB56" s="367"/>
      <c r="AC56" s="367"/>
      <c r="AD56" s="367"/>
      <c r="AE56" s="367"/>
      <c r="AF56" s="367"/>
      <c r="AG56" s="367"/>
    </row>
    <row r="57" spans="1:33" ht="12.75" customHeight="1" x14ac:dyDescent="0.2">
      <c r="A57" s="369"/>
      <c r="B57" s="369"/>
      <c r="C57" s="369"/>
      <c r="D57" s="369"/>
      <c r="E57" s="369"/>
      <c r="F57" s="369"/>
      <c r="G57" s="369"/>
      <c r="H57" s="369"/>
      <c r="I57" s="369"/>
      <c r="J57" s="369"/>
      <c r="K57" s="369"/>
      <c r="L57" s="395"/>
      <c r="M57" s="395"/>
      <c r="N57" s="395"/>
      <c r="O57" s="395"/>
      <c r="P57" s="395"/>
      <c r="Q57" s="395"/>
      <c r="R57" s="395"/>
      <c r="S57" s="395"/>
      <c r="T57" s="395"/>
      <c r="U57" s="395"/>
      <c r="V57" s="395"/>
      <c r="W57" s="367"/>
      <c r="X57" s="367"/>
      <c r="Y57" s="367"/>
      <c r="Z57" s="367"/>
      <c r="AA57" s="367"/>
      <c r="AB57" s="367"/>
      <c r="AC57" s="367"/>
      <c r="AD57" s="367"/>
      <c r="AE57" s="367"/>
      <c r="AF57" s="367"/>
      <c r="AG57" s="367"/>
    </row>
    <row r="58" spans="1:33" ht="12.75" customHeight="1" thickBot="1" x14ac:dyDescent="0.25">
      <c r="A58" s="369"/>
      <c r="B58" s="369"/>
      <c r="C58" s="369"/>
      <c r="D58" s="369"/>
      <c r="E58" s="369"/>
      <c r="F58" s="369"/>
      <c r="G58" s="369"/>
      <c r="H58" s="369"/>
      <c r="I58" s="369"/>
      <c r="J58" s="369"/>
      <c r="K58" s="369"/>
      <c r="L58" s="395"/>
      <c r="M58" s="395"/>
      <c r="N58" s="395"/>
      <c r="O58" s="395"/>
      <c r="P58" s="395"/>
      <c r="Q58" s="395"/>
      <c r="R58" s="395"/>
      <c r="S58" s="395"/>
      <c r="T58" s="395"/>
      <c r="U58" s="395"/>
      <c r="V58" s="395"/>
      <c r="W58" s="367"/>
      <c r="X58" s="367"/>
      <c r="Y58" s="367"/>
      <c r="Z58" s="367"/>
      <c r="AA58" s="367"/>
      <c r="AB58" s="367"/>
      <c r="AC58" s="367"/>
      <c r="AD58" s="367"/>
      <c r="AE58" s="367"/>
      <c r="AF58" s="367"/>
      <c r="AG58" s="367"/>
    </row>
    <row r="59" spans="1:33" ht="12.75" customHeight="1" x14ac:dyDescent="0.2">
      <c r="A59" s="369" t="s">
        <v>328</v>
      </c>
      <c r="B59" s="369"/>
      <c r="C59" s="369"/>
      <c r="D59" s="369"/>
      <c r="E59" s="369"/>
      <c r="F59" s="369"/>
      <c r="G59" s="369"/>
      <c r="H59" s="369"/>
      <c r="I59" s="369"/>
      <c r="J59" s="369"/>
      <c r="K59" s="369"/>
      <c r="L59" s="367" t="s">
        <v>369</v>
      </c>
      <c r="M59" s="367"/>
      <c r="N59" s="367"/>
      <c r="O59" s="367"/>
      <c r="P59" s="367"/>
      <c r="Q59" s="367"/>
      <c r="R59" s="367"/>
      <c r="S59" s="367"/>
      <c r="T59" s="367"/>
      <c r="U59" s="367"/>
      <c r="V59" s="367"/>
      <c r="W59" s="371" t="s">
        <v>350</v>
      </c>
      <c r="X59" s="372"/>
      <c r="Y59" s="372"/>
      <c r="Z59" s="372"/>
      <c r="AA59" s="372"/>
      <c r="AB59" s="372"/>
      <c r="AC59" s="372"/>
      <c r="AD59" s="372"/>
      <c r="AE59" s="372"/>
      <c r="AF59" s="372"/>
      <c r="AG59" s="373"/>
    </row>
    <row r="60" spans="1:33" ht="13.5" x14ac:dyDescent="0.2">
      <c r="A60" s="369"/>
      <c r="B60" s="369"/>
      <c r="C60" s="369"/>
      <c r="D60" s="369"/>
      <c r="E60" s="369"/>
      <c r="F60" s="369"/>
      <c r="G60" s="369"/>
      <c r="H60" s="369"/>
      <c r="I60" s="369"/>
      <c r="J60" s="369"/>
      <c r="K60" s="369"/>
      <c r="L60" s="367"/>
      <c r="M60" s="367"/>
      <c r="N60" s="367"/>
      <c r="O60" s="367"/>
      <c r="P60" s="367"/>
      <c r="Q60" s="367"/>
      <c r="R60" s="367"/>
      <c r="S60" s="367"/>
      <c r="T60" s="367"/>
      <c r="U60" s="367"/>
      <c r="V60" s="367"/>
      <c r="W60" s="351" t="s">
        <v>351</v>
      </c>
      <c r="X60" s="348"/>
      <c r="Y60" s="348"/>
      <c r="Z60" s="348"/>
      <c r="AA60" s="348"/>
      <c r="AB60" s="348"/>
      <c r="AC60" s="348"/>
      <c r="AD60" s="348"/>
      <c r="AE60" s="348"/>
      <c r="AF60" s="348"/>
      <c r="AG60" s="349"/>
    </row>
    <row r="61" spans="1:33" ht="13.5" x14ac:dyDescent="0.2">
      <c r="A61" s="369"/>
      <c r="B61" s="369"/>
      <c r="C61" s="369"/>
      <c r="D61" s="369"/>
      <c r="E61" s="369"/>
      <c r="F61" s="369"/>
      <c r="G61" s="369"/>
      <c r="H61" s="369"/>
      <c r="I61" s="369"/>
      <c r="J61" s="369"/>
      <c r="K61" s="369"/>
      <c r="L61" s="367"/>
      <c r="M61" s="367"/>
      <c r="N61" s="367"/>
      <c r="O61" s="367"/>
      <c r="P61" s="367"/>
      <c r="Q61" s="367"/>
      <c r="R61" s="367"/>
      <c r="S61" s="367"/>
      <c r="T61" s="367"/>
      <c r="U61" s="367"/>
      <c r="V61" s="367"/>
      <c r="W61" s="351" t="s">
        <v>329</v>
      </c>
      <c r="X61" s="348"/>
      <c r="Y61" s="348"/>
      <c r="Z61" s="348"/>
      <c r="AA61" s="355">
        <f>Фамилия</f>
        <v>0</v>
      </c>
      <c r="AB61" s="355"/>
      <c r="AC61" s="355"/>
      <c r="AD61" s="356">
        <f>Имя</f>
        <v>0</v>
      </c>
      <c r="AE61" s="356"/>
      <c r="AF61" s="348" t="s">
        <v>352</v>
      </c>
      <c r="AG61" s="349"/>
    </row>
    <row r="62" spans="1:33" ht="13.5" x14ac:dyDescent="0.2">
      <c r="A62" s="369"/>
      <c r="B62" s="369"/>
      <c r="C62" s="369"/>
      <c r="D62" s="369"/>
      <c r="E62" s="369"/>
      <c r="F62" s="369"/>
      <c r="G62" s="369"/>
      <c r="H62" s="369"/>
      <c r="I62" s="369"/>
      <c r="J62" s="369"/>
      <c r="K62" s="369"/>
      <c r="L62" s="367"/>
      <c r="M62" s="367"/>
      <c r="N62" s="367"/>
      <c r="O62" s="367"/>
      <c r="P62" s="367"/>
      <c r="Q62" s="367"/>
      <c r="R62" s="367"/>
      <c r="S62" s="367"/>
      <c r="T62" s="367"/>
      <c r="U62" s="367"/>
      <c r="V62" s="367"/>
      <c r="W62" s="351" t="s">
        <v>362</v>
      </c>
      <c r="X62" s="348"/>
      <c r="Y62" s="348"/>
      <c r="Z62" s="348"/>
      <c r="AA62" s="348"/>
      <c r="AB62" s="348"/>
      <c r="AC62" s="348"/>
      <c r="AD62" s="348"/>
      <c r="AE62" s="348"/>
      <c r="AF62" s="348"/>
      <c r="AG62" s="349"/>
    </row>
    <row r="63" spans="1:33" ht="13.5" x14ac:dyDescent="0.2">
      <c r="A63" s="369"/>
      <c r="B63" s="369"/>
      <c r="C63" s="369"/>
      <c r="D63" s="369"/>
      <c r="E63" s="369"/>
      <c r="F63" s="369"/>
      <c r="G63" s="369"/>
      <c r="H63" s="369"/>
      <c r="I63" s="369"/>
      <c r="J63" s="369"/>
      <c r="K63" s="369"/>
      <c r="L63" s="367"/>
      <c r="M63" s="367"/>
      <c r="N63" s="367"/>
      <c r="O63" s="367"/>
      <c r="P63" s="367"/>
      <c r="Q63" s="367"/>
      <c r="R63" s="367"/>
      <c r="S63" s="367"/>
      <c r="T63" s="367"/>
      <c r="U63" s="367"/>
      <c r="V63" s="367"/>
      <c r="W63" s="366" t="s">
        <v>353</v>
      </c>
      <c r="X63" s="348"/>
      <c r="Y63" s="348"/>
      <c r="Z63" s="348"/>
      <c r="AA63" s="348"/>
      <c r="AB63" s="348"/>
      <c r="AC63" s="348"/>
      <c r="AD63" s="348"/>
      <c r="AE63" s="348"/>
      <c r="AF63" s="348"/>
      <c r="AG63" s="349"/>
    </row>
    <row r="64" spans="1:33" ht="13.5" x14ac:dyDescent="0.2">
      <c r="A64" s="369"/>
      <c r="B64" s="369"/>
      <c r="C64" s="369"/>
      <c r="D64" s="369"/>
      <c r="E64" s="369"/>
      <c r="F64" s="369"/>
      <c r="G64" s="369"/>
      <c r="H64" s="369"/>
      <c r="I64" s="369"/>
      <c r="J64" s="369"/>
      <c r="K64" s="369"/>
      <c r="L64" s="367"/>
      <c r="M64" s="367"/>
      <c r="N64" s="367"/>
      <c r="O64" s="367"/>
      <c r="P64" s="367"/>
      <c r="Q64" s="367"/>
      <c r="R64" s="367"/>
      <c r="S64" s="367"/>
      <c r="T64" s="367"/>
      <c r="U64" s="367"/>
      <c r="V64" s="367"/>
      <c r="W64" s="351" t="s">
        <v>363</v>
      </c>
      <c r="X64" s="348"/>
      <c r="Y64" s="348"/>
      <c r="Z64" s="348"/>
      <c r="AA64" s="348"/>
      <c r="AB64" s="348"/>
      <c r="AC64" s="348"/>
      <c r="AD64" s="348"/>
      <c r="AE64" s="348"/>
      <c r="AF64" s="348"/>
      <c r="AG64" s="349"/>
    </row>
    <row r="65" spans="1:33" ht="13.5" x14ac:dyDescent="0.2">
      <c r="A65" s="369"/>
      <c r="B65" s="369"/>
      <c r="C65" s="369"/>
      <c r="D65" s="369"/>
      <c r="E65" s="369"/>
      <c r="F65" s="369"/>
      <c r="G65" s="369"/>
      <c r="H65" s="369"/>
      <c r="I65" s="369"/>
      <c r="J65" s="369"/>
      <c r="K65" s="369"/>
      <c r="L65" s="367"/>
      <c r="M65" s="367"/>
      <c r="N65" s="367"/>
      <c r="O65" s="367"/>
      <c r="P65" s="367"/>
      <c r="Q65" s="367"/>
      <c r="R65" s="367"/>
      <c r="S65" s="367"/>
      <c r="T65" s="367"/>
      <c r="U65" s="367"/>
      <c r="V65" s="367"/>
      <c r="W65" s="352" t="s">
        <v>354</v>
      </c>
      <c r="X65" s="353"/>
      <c r="Y65" s="353"/>
      <c r="Z65" s="353"/>
      <c r="AA65" s="353"/>
      <c r="AB65" s="353"/>
      <c r="AC65" s="353"/>
      <c r="AD65" s="353"/>
      <c r="AE65" s="353"/>
      <c r="AF65" s="353"/>
      <c r="AG65" s="354"/>
    </row>
    <row r="66" spans="1:33" ht="13.5" x14ac:dyDescent="0.2">
      <c r="A66" s="369"/>
      <c r="B66" s="369"/>
      <c r="C66" s="369"/>
      <c r="D66" s="369"/>
      <c r="E66" s="369"/>
      <c r="F66" s="369"/>
      <c r="G66" s="369"/>
      <c r="H66" s="369"/>
      <c r="I66" s="369"/>
      <c r="J66" s="369"/>
      <c r="K66" s="369"/>
      <c r="L66" s="367"/>
      <c r="M66" s="367"/>
      <c r="N66" s="367"/>
      <c r="O66" s="367"/>
      <c r="P66" s="367"/>
      <c r="Q66" s="367"/>
      <c r="R66" s="367"/>
      <c r="S66" s="367"/>
      <c r="T66" s="367"/>
      <c r="U66" s="367"/>
      <c r="V66" s="367"/>
      <c r="W66" s="352" t="s">
        <v>355</v>
      </c>
      <c r="X66" s="353"/>
      <c r="Y66" s="353"/>
      <c r="Z66" s="353"/>
      <c r="AA66" s="353"/>
      <c r="AB66" s="353"/>
      <c r="AC66" s="353"/>
      <c r="AD66" s="353"/>
      <c r="AE66" s="353"/>
      <c r="AF66" s="353"/>
      <c r="AG66" s="354"/>
    </row>
    <row r="67" spans="1:33" ht="13.5" x14ac:dyDescent="0.2">
      <c r="A67" s="369"/>
      <c r="B67" s="369"/>
      <c r="C67" s="369"/>
      <c r="D67" s="369"/>
      <c r="E67" s="369"/>
      <c r="F67" s="369"/>
      <c r="G67" s="369"/>
      <c r="H67" s="369"/>
      <c r="I67" s="369"/>
      <c r="J67" s="369"/>
      <c r="K67" s="369"/>
      <c r="L67" s="367"/>
      <c r="M67" s="367"/>
      <c r="N67" s="367"/>
      <c r="O67" s="367"/>
      <c r="P67" s="367"/>
      <c r="Q67" s="367"/>
      <c r="R67" s="367"/>
      <c r="S67" s="367"/>
      <c r="T67" s="367"/>
      <c r="U67" s="367"/>
      <c r="V67" s="367"/>
      <c r="W67" s="352" t="s">
        <v>355</v>
      </c>
      <c r="X67" s="353"/>
      <c r="Y67" s="353"/>
      <c r="Z67" s="353"/>
      <c r="AA67" s="353"/>
      <c r="AB67" s="353"/>
      <c r="AC67" s="353"/>
      <c r="AD67" s="353"/>
      <c r="AE67" s="353"/>
      <c r="AF67" s="353"/>
      <c r="AG67" s="354"/>
    </row>
    <row r="68" spans="1:33" ht="13.5" x14ac:dyDescent="0.2">
      <c r="A68" s="369"/>
      <c r="B68" s="369"/>
      <c r="C68" s="369"/>
      <c r="D68" s="369"/>
      <c r="E68" s="369"/>
      <c r="F68" s="369"/>
      <c r="G68" s="369"/>
      <c r="H68" s="369"/>
      <c r="I68" s="369"/>
      <c r="J68" s="369"/>
      <c r="K68" s="369"/>
      <c r="L68" s="367"/>
      <c r="M68" s="367"/>
      <c r="N68" s="367"/>
      <c r="O68" s="367"/>
      <c r="P68" s="367"/>
      <c r="Q68" s="367"/>
      <c r="R68" s="367"/>
      <c r="S68" s="367"/>
      <c r="T68" s="367"/>
      <c r="U68" s="367"/>
      <c r="V68" s="367"/>
      <c r="W68" s="347" t="s">
        <v>356</v>
      </c>
      <c r="X68" s="348"/>
      <c r="Y68" s="348"/>
      <c r="Z68" s="348"/>
      <c r="AA68" s="348"/>
      <c r="AB68" s="348"/>
      <c r="AC68" s="348"/>
      <c r="AD68" s="348"/>
      <c r="AE68" s="348"/>
      <c r="AF68" s="348"/>
      <c r="AG68" s="349"/>
    </row>
    <row r="69" spans="1:33" ht="13.5" x14ac:dyDescent="0.2">
      <c r="A69" s="369"/>
      <c r="B69" s="369"/>
      <c r="C69" s="369"/>
      <c r="D69" s="369"/>
      <c r="E69" s="369"/>
      <c r="F69" s="369"/>
      <c r="G69" s="369"/>
      <c r="H69" s="369"/>
      <c r="I69" s="369"/>
      <c r="J69" s="369"/>
      <c r="K69" s="369"/>
      <c r="L69" s="367"/>
      <c r="M69" s="367"/>
      <c r="N69" s="367"/>
      <c r="O69" s="367"/>
      <c r="P69" s="367"/>
      <c r="Q69" s="367"/>
      <c r="R69" s="367"/>
      <c r="S69" s="367"/>
      <c r="T69" s="367"/>
      <c r="U69" s="367"/>
      <c r="V69" s="367"/>
      <c r="W69" s="352" t="s">
        <v>357</v>
      </c>
      <c r="X69" s="353"/>
      <c r="Y69" s="353"/>
      <c r="Z69" s="353"/>
      <c r="AA69" s="353"/>
      <c r="AB69" s="353"/>
      <c r="AC69" s="353"/>
      <c r="AD69" s="353"/>
      <c r="AE69" s="353"/>
      <c r="AF69" s="353"/>
      <c r="AG69" s="354"/>
    </row>
    <row r="70" spans="1:33" ht="13.5" x14ac:dyDescent="0.2">
      <c r="A70" s="369"/>
      <c r="B70" s="369"/>
      <c r="C70" s="369"/>
      <c r="D70" s="369"/>
      <c r="E70" s="369"/>
      <c r="F70" s="369"/>
      <c r="G70" s="369"/>
      <c r="H70" s="369"/>
      <c r="I70" s="369"/>
      <c r="J70" s="369"/>
      <c r="K70" s="369"/>
      <c r="L70" s="367"/>
      <c r="M70" s="367"/>
      <c r="N70" s="367"/>
      <c r="O70" s="367"/>
      <c r="P70" s="367"/>
      <c r="Q70" s="367"/>
      <c r="R70" s="367"/>
      <c r="S70" s="367"/>
      <c r="T70" s="367"/>
      <c r="U70" s="367"/>
      <c r="V70" s="367"/>
      <c r="W70" s="342" t="s">
        <v>360</v>
      </c>
      <c r="X70" s="345"/>
      <c r="Y70" s="345"/>
      <c r="Z70" s="345"/>
      <c r="AA70" s="345"/>
      <c r="AB70" s="345"/>
      <c r="AC70" s="345"/>
      <c r="AD70" s="345"/>
      <c r="AE70" s="345"/>
      <c r="AF70" s="345"/>
      <c r="AG70" s="346"/>
    </row>
    <row r="71" spans="1:33" ht="13.5" x14ac:dyDescent="0.2">
      <c r="A71" s="369"/>
      <c r="B71" s="369"/>
      <c r="C71" s="369"/>
      <c r="D71" s="369"/>
      <c r="E71" s="369"/>
      <c r="F71" s="369"/>
      <c r="G71" s="369"/>
      <c r="H71" s="369"/>
      <c r="I71" s="369"/>
      <c r="J71" s="369"/>
      <c r="K71" s="369"/>
      <c r="L71" s="367"/>
      <c r="M71" s="367"/>
      <c r="N71" s="367"/>
      <c r="O71" s="367"/>
      <c r="P71" s="367"/>
      <c r="Q71" s="367"/>
      <c r="R71" s="367"/>
      <c r="S71" s="367"/>
      <c r="T71" s="367"/>
      <c r="U71" s="367"/>
      <c r="V71" s="367"/>
      <c r="W71" s="185" t="s">
        <v>359</v>
      </c>
      <c r="X71" s="186"/>
      <c r="Y71" s="186"/>
      <c r="Z71" s="186"/>
      <c r="AA71" s="186"/>
      <c r="AB71" s="186"/>
      <c r="AC71" s="186"/>
      <c r="AD71" s="186"/>
      <c r="AE71" s="186"/>
      <c r="AF71" s="186"/>
      <c r="AG71" s="187"/>
    </row>
    <row r="72" spans="1:33" ht="13.5" x14ac:dyDescent="0.2">
      <c r="A72" s="369"/>
      <c r="B72" s="369"/>
      <c r="C72" s="369"/>
      <c r="D72" s="369"/>
      <c r="E72" s="369"/>
      <c r="F72" s="369"/>
      <c r="G72" s="369"/>
      <c r="H72" s="369"/>
      <c r="I72" s="369"/>
      <c r="J72" s="369"/>
      <c r="K72" s="369"/>
      <c r="L72" s="367"/>
      <c r="M72" s="367"/>
      <c r="N72" s="367"/>
      <c r="O72" s="367"/>
      <c r="P72" s="367"/>
      <c r="Q72" s="367"/>
      <c r="R72" s="367"/>
      <c r="S72" s="367"/>
      <c r="T72" s="367"/>
      <c r="U72" s="367"/>
      <c r="V72" s="367"/>
      <c r="W72" s="347" t="s">
        <v>361</v>
      </c>
      <c r="X72" s="348"/>
      <c r="Y72" s="348"/>
      <c r="Z72" s="348"/>
      <c r="AA72" s="348"/>
      <c r="AB72" s="348"/>
      <c r="AC72" s="348"/>
      <c r="AD72" s="348"/>
      <c r="AE72" s="348"/>
      <c r="AF72" s="348"/>
      <c r="AG72" s="349"/>
    </row>
    <row r="73" spans="1:33" ht="13.5" x14ac:dyDescent="0.2">
      <c r="A73" s="369"/>
      <c r="B73" s="369"/>
      <c r="C73" s="369"/>
      <c r="D73" s="369"/>
      <c r="E73" s="369"/>
      <c r="F73" s="369"/>
      <c r="G73" s="369"/>
      <c r="H73" s="369"/>
      <c r="I73" s="369"/>
      <c r="J73" s="369"/>
      <c r="K73" s="369"/>
      <c r="L73" s="367"/>
      <c r="M73" s="367"/>
      <c r="N73" s="367"/>
      <c r="O73" s="367"/>
      <c r="P73" s="367"/>
      <c r="Q73" s="367"/>
      <c r="R73" s="367"/>
      <c r="S73" s="367"/>
      <c r="T73" s="367"/>
      <c r="U73" s="367"/>
      <c r="V73" s="367"/>
      <c r="W73" s="188" t="s">
        <v>33</v>
      </c>
      <c r="X73" s="350">
        <f>Памятка!E4</f>
        <v>0</v>
      </c>
      <c r="Y73" s="350"/>
      <c r="Z73" s="186"/>
      <c r="AA73" s="186"/>
      <c r="AB73" s="186"/>
      <c r="AC73" s="186"/>
      <c r="AD73" s="186"/>
      <c r="AE73" s="186"/>
      <c r="AF73" s="186"/>
      <c r="AG73" s="187"/>
    </row>
    <row r="74" spans="1:33" ht="14.25" thickBot="1" x14ac:dyDescent="0.25">
      <c r="A74" s="369"/>
      <c r="B74" s="369"/>
      <c r="C74" s="369"/>
      <c r="D74" s="369"/>
      <c r="E74" s="369"/>
      <c r="F74" s="369"/>
      <c r="G74" s="369"/>
      <c r="H74" s="369"/>
      <c r="I74" s="369"/>
      <c r="J74" s="369"/>
      <c r="K74" s="369"/>
      <c r="L74" s="367"/>
      <c r="M74" s="367"/>
      <c r="N74" s="367"/>
      <c r="O74" s="367"/>
      <c r="P74" s="367"/>
      <c r="Q74" s="367"/>
      <c r="R74" s="367"/>
      <c r="S74" s="367"/>
      <c r="T74" s="367"/>
      <c r="U74" s="367"/>
      <c r="V74" s="367"/>
      <c r="W74" s="189"/>
      <c r="X74" s="190"/>
      <c r="Y74" s="190"/>
      <c r="Z74" s="191"/>
      <c r="AA74" s="191"/>
      <c r="AB74" s="191"/>
      <c r="AC74" s="191"/>
      <c r="AD74" s="191"/>
      <c r="AE74" s="191"/>
      <c r="AF74" s="191"/>
      <c r="AG74" s="192"/>
    </row>
    <row r="75" spans="1:33" ht="13.5" x14ac:dyDescent="0.2">
      <c r="A75" s="369"/>
      <c r="B75" s="369"/>
      <c r="C75" s="369"/>
      <c r="D75" s="369"/>
      <c r="E75" s="369"/>
      <c r="F75" s="369"/>
      <c r="G75" s="369"/>
      <c r="H75" s="369"/>
      <c r="I75" s="369"/>
      <c r="J75" s="369"/>
      <c r="K75" s="369"/>
      <c r="L75" s="367"/>
      <c r="M75" s="367"/>
      <c r="N75" s="367"/>
      <c r="O75" s="367"/>
      <c r="P75" s="367"/>
      <c r="Q75" s="367"/>
      <c r="R75" s="367"/>
      <c r="S75" s="367"/>
      <c r="T75" s="367"/>
      <c r="U75" s="367"/>
      <c r="V75" s="367"/>
      <c r="W75" s="181"/>
      <c r="X75" s="181"/>
      <c r="Y75" s="181"/>
      <c r="Z75" s="181"/>
      <c r="AA75" s="181"/>
      <c r="AB75" s="181"/>
      <c r="AC75" s="181"/>
      <c r="AD75" s="181"/>
      <c r="AE75" s="181"/>
      <c r="AF75" s="181"/>
      <c r="AG75" s="181"/>
    </row>
    <row r="76" spans="1:33" ht="12.75" customHeight="1" x14ac:dyDescent="0.2">
      <c r="A76" s="369"/>
      <c r="B76" s="369"/>
      <c r="C76" s="369"/>
      <c r="D76" s="369"/>
      <c r="E76" s="369"/>
      <c r="F76" s="369"/>
      <c r="G76" s="369"/>
      <c r="H76" s="369"/>
      <c r="I76" s="369"/>
      <c r="J76" s="369"/>
      <c r="K76" s="369"/>
      <c r="L76" s="367"/>
      <c r="M76" s="367"/>
      <c r="N76" s="367"/>
      <c r="O76" s="367"/>
      <c r="P76" s="367"/>
      <c r="Q76" s="367"/>
      <c r="R76" s="367"/>
      <c r="S76" s="367"/>
      <c r="T76" s="367"/>
      <c r="U76" s="367"/>
      <c r="V76" s="367"/>
    </row>
    <row r="77" spans="1:33" ht="12.75" customHeight="1" x14ac:dyDescent="0.2">
      <c r="A77" s="369"/>
      <c r="B77" s="369"/>
      <c r="C77" s="369"/>
      <c r="D77" s="369"/>
      <c r="E77" s="369"/>
      <c r="F77" s="369"/>
      <c r="G77" s="369"/>
      <c r="H77" s="369"/>
      <c r="I77" s="369"/>
      <c r="J77" s="369"/>
      <c r="K77" s="369"/>
      <c r="L77" s="367"/>
      <c r="M77" s="367"/>
      <c r="N77" s="367"/>
      <c r="O77" s="367"/>
      <c r="P77" s="367"/>
      <c r="Q77" s="367"/>
      <c r="R77" s="367"/>
      <c r="S77" s="367"/>
      <c r="T77" s="367"/>
      <c r="U77" s="367"/>
      <c r="V77" s="367"/>
    </row>
    <row r="78" spans="1:33" ht="12.75" customHeight="1" x14ac:dyDescent="0.2">
      <c r="A78" s="369"/>
      <c r="B78" s="369"/>
      <c r="C78" s="369"/>
      <c r="D78" s="369"/>
      <c r="E78" s="369"/>
      <c r="F78" s="369"/>
      <c r="G78" s="369"/>
      <c r="H78" s="369"/>
      <c r="I78" s="369"/>
      <c r="J78" s="369"/>
      <c r="K78" s="369"/>
      <c r="L78" s="367"/>
      <c r="M78" s="367"/>
      <c r="N78" s="367"/>
      <c r="O78" s="367"/>
      <c r="P78" s="367"/>
      <c r="Q78" s="367"/>
      <c r="R78" s="367"/>
      <c r="S78" s="367"/>
      <c r="T78" s="367"/>
      <c r="U78" s="367"/>
      <c r="V78" s="367"/>
    </row>
    <row r="79" spans="1:33" ht="12.75" customHeight="1" x14ac:dyDescent="0.2">
      <c r="A79" s="369"/>
      <c r="B79" s="369"/>
      <c r="C79" s="369"/>
      <c r="D79" s="369"/>
      <c r="E79" s="369"/>
      <c r="F79" s="369"/>
      <c r="G79" s="369"/>
      <c r="H79" s="369"/>
      <c r="I79" s="369"/>
      <c r="J79" s="369"/>
      <c r="K79" s="369"/>
      <c r="L79" s="367"/>
      <c r="M79" s="367"/>
      <c r="N79" s="367"/>
      <c r="O79" s="367"/>
      <c r="P79" s="367"/>
      <c r="Q79" s="367"/>
      <c r="R79" s="367"/>
      <c r="S79" s="367"/>
      <c r="T79" s="367"/>
      <c r="U79" s="367"/>
      <c r="V79" s="367"/>
    </row>
    <row r="80" spans="1:33" ht="12.75" customHeight="1" x14ac:dyDescent="0.2">
      <c r="A80" s="369"/>
      <c r="B80" s="369"/>
      <c r="C80" s="369"/>
      <c r="D80" s="369"/>
      <c r="E80" s="369"/>
      <c r="F80" s="369"/>
      <c r="G80" s="369"/>
      <c r="H80" s="369"/>
      <c r="I80" s="369"/>
      <c r="J80" s="369"/>
      <c r="K80" s="369"/>
      <c r="L80" s="367"/>
      <c r="M80" s="367"/>
      <c r="N80" s="367"/>
      <c r="O80" s="367"/>
      <c r="P80" s="367"/>
      <c r="Q80" s="367"/>
      <c r="R80" s="367"/>
      <c r="S80" s="367"/>
      <c r="T80" s="367"/>
      <c r="U80" s="367"/>
      <c r="V80" s="367"/>
    </row>
    <row r="81" spans="1:22" ht="12.75" customHeight="1" x14ac:dyDescent="0.2">
      <c r="A81" s="369"/>
      <c r="B81" s="369"/>
      <c r="C81" s="369"/>
      <c r="D81" s="369"/>
      <c r="E81" s="369"/>
      <c r="F81" s="369"/>
      <c r="G81" s="369"/>
      <c r="H81" s="369"/>
      <c r="I81" s="369"/>
      <c r="J81" s="369"/>
      <c r="K81" s="369"/>
      <c r="L81" s="367"/>
      <c r="M81" s="367"/>
      <c r="N81" s="367"/>
      <c r="O81" s="367"/>
      <c r="P81" s="367"/>
      <c r="Q81" s="367"/>
      <c r="R81" s="367"/>
      <c r="S81" s="367"/>
      <c r="T81" s="367"/>
      <c r="U81" s="367"/>
      <c r="V81" s="367"/>
    </row>
    <row r="82" spans="1:22" ht="12.75" customHeight="1" x14ac:dyDescent="0.2">
      <c r="A82" s="369"/>
      <c r="B82" s="369"/>
      <c r="C82" s="369"/>
      <c r="D82" s="369"/>
      <c r="E82" s="369"/>
      <c r="F82" s="369"/>
      <c r="G82" s="369"/>
      <c r="H82" s="369"/>
      <c r="I82" s="369"/>
      <c r="J82" s="369"/>
      <c r="K82" s="369"/>
      <c r="L82" s="367"/>
      <c r="M82" s="367"/>
      <c r="N82" s="367"/>
      <c r="O82" s="367"/>
      <c r="P82" s="367"/>
      <c r="Q82" s="367"/>
      <c r="R82" s="367"/>
      <c r="S82" s="367"/>
      <c r="T82" s="367"/>
      <c r="U82" s="367"/>
      <c r="V82" s="367"/>
    </row>
    <row r="83" spans="1:22" ht="12.75" customHeight="1" x14ac:dyDescent="0.2">
      <c r="A83" s="369"/>
      <c r="B83" s="369"/>
      <c r="C83" s="369"/>
      <c r="D83" s="369"/>
      <c r="E83" s="369"/>
      <c r="F83" s="369"/>
      <c r="G83" s="369"/>
      <c r="H83" s="369"/>
      <c r="I83" s="369"/>
      <c r="J83" s="369"/>
      <c r="K83" s="369"/>
      <c r="L83" s="367"/>
      <c r="M83" s="367"/>
      <c r="N83" s="367"/>
      <c r="O83" s="367"/>
      <c r="P83" s="367"/>
      <c r="Q83" s="367"/>
      <c r="R83" s="367"/>
      <c r="S83" s="367"/>
      <c r="T83" s="367"/>
      <c r="U83" s="367"/>
      <c r="V83" s="367"/>
    </row>
    <row r="84" spans="1:22" ht="12.75" customHeight="1" x14ac:dyDescent="0.2">
      <c r="A84" s="369"/>
      <c r="B84" s="369"/>
      <c r="C84" s="369"/>
      <c r="D84" s="369"/>
      <c r="E84" s="369"/>
      <c r="F84" s="369"/>
      <c r="G84" s="369"/>
      <c r="H84" s="369"/>
      <c r="I84" s="369"/>
      <c r="J84" s="369"/>
      <c r="K84" s="369"/>
      <c r="L84" s="367"/>
      <c r="M84" s="367"/>
      <c r="N84" s="367"/>
      <c r="O84" s="367"/>
      <c r="P84" s="367"/>
      <c r="Q84" s="367"/>
      <c r="R84" s="367"/>
      <c r="S84" s="367"/>
      <c r="T84" s="367"/>
      <c r="U84" s="367"/>
      <c r="V84" s="367"/>
    </row>
    <row r="85" spans="1:22" ht="12.75" customHeight="1" x14ac:dyDescent="0.2">
      <c r="A85" s="386" t="s">
        <v>368</v>
      </c>
      <c r="B85" s="387"/>
      <c r="C85" s="387"/>
      <c r="D85" s="387"/>
      <c r="E85" s="387"/>
      <c r="F85" s="387"/>
      <c r="G85" s="387"/>
      <c r="H85" s="387"/>
      <c r="I85" s="387"/>
      <c r="J85" s="387"/>
      <c r="K85" s="387"/>
      <c r="L85" s="367"/>
      <c r="M85" s="367"/>
      <c r="N85" s="367"/>
      <c r="O85" s="367"/>
      <c r="P85" s="367"/>
      <c r="Q85" s="367"/>
      <c r="R85" s="367"/>
      <c r="S85" s="367"/>
      <c r="T85" s="367"/>
      <c r="U85" s="367"/>
      <c r="V85" s="367"/>
    </row>
    <row r="86" spans="1:22" ht="12.75" customHeight="1" x14ac:dyDescent="0.2">
      <c r="A86" s="387"/>
      <c r="B86" s="387"/>
      <c r="C86" s="387"/>
      <c r="D86" s="387"/>
      <c r="E86" s="387"/>
      <c r="F86" s="387"/>
      <c r="G86" s="387"/>
      <c r="H86" s="387"/>
      <c r="I86" s="387"/>
      <c r="J86" s="387"/>
      <c r="K86" s="387"/>
      <c r="L86" s="367"/>
      <c r="M86" s="367"/>
      <c r="N86" s="367"/>
      <c r="O86" s="367"/>
      <c r="P86" s="367"/>
      <c r="Q86" s="367"/>
      <c r="R86" s="367"/>
      <c r="S86" s="367"/>
      <c r="T86" s="367"/>
      <c r="U86" s="367"/>
      <c r="V86" s="367"/>
    </row>
    <row r="87" spans="1:22" ht="12.75" customHeight="1" x14ac:dyDescent="0.2">
      <c r="A87" s="387"/>
      <c r="B87" s="387"/>
      <c r="C87" s="387"/>
      <c r="D87" s="387"/>
      <c r="E87" s="387"/>
      <c r="F87" s="387"/>
      <c r="G87" s="387"/>
      <c r="H87" s="387"/>
      <c r="I87" s="387"/>
      <c r="J87" s="387"/>
      <c r="K87" s="387"/>
      <c r="L87" s="367"/>
      <c r="M87" s="367"/>
      <c r="N87" s="367"/>
      <c r="O87" s="367"/>
      <c r="P87" s="367"/>
      <c r="Q87" s="367"/>
      <c r="R87" s="367"/>
      <c r="S87" s="367"/>
      <c r="T87" s="367"/>
      <c r="U87" s="367"/>
      <c r="V87" s="367"/>
    </row>
    <row r="88" spans="1:22" ht="12.75" customHeight="1" x14ac:dyDescent="0.2">
      <c r="A88" s="358" t="s">
        <v>321</v>
      </c>
      <c r="B88" s="358"/>
      <c r="C88" s="358"/>
      <c r="D88" s="358"/>
      <c r="E88" s="358"/>
      <c r="F88" s="358"/>
      <c r="G88" s="358"/>
      <c r="H88" s="358"/>
      <c r="I88" s="358"/>
      <c r="J88" s="358"/>
      <c r="K88" s="358"/>
      <c r="L88" s="367"/>
      <c r="M88" s="367"/>
      <c r="N88" s="367"/>
      <c r="O88" s="367"/>
      <c r="P88" s="367"/>
      <c r="Q88" s="367"/>
      <c r="R88" s="367"/>
      <c r="S88" s="367"/>
      <c r="T88" s="367"/>
      <c r="U88" s="367"/>
      <c r="V88" s="367"/>
    </row>
    <row r="89" spans="1:22" ht="12.75" customHeight="1" x14ac:dyDescent="0.2">
      <c r="A89" s="184" t="s">
        <v>33</v>
      </c>
      <c r="B89" s="384">
        <f>Памятка!E4</f>
        <v>0</v>
      </c>
      <c r="C89" s="384"/>
      <c r="D89" s="177"/>
      <c r="E89" s="177"/>
      <c r="F89" s="177"/>
      <c r="G89" s="177"/>
      <c r="H89" s="177"/>
      <c r="I89" s="177"/>
      <c r="J89" s="177"/>
      <c r="K89" s="177"/>
      <c r="L89" s="367"/>
      <c r="M89" s="367"/>
      <c r="N89" s="367"/>
      <c r="O89" s="367"/>
      <c r="P89" s="367"/>
      <c r="Q89" s="367"/>
      <c r="R89" s="367"/>
      <c r="S89" s="367"/>
      <c r="T89" s="367"/>
      <c r="U89" s="367"/>
      <c r="V89" s="367"/>
    </row>
    <row r="90" spans="1:22" ht="12.75" customHeight="1" x14ac:dyDescent="0.2">
      <c r="A90" s="357" t="s">
        <v>322</v>
      </c>
      <c r="B90" s="357"/>
      <c r="C90" s="357"/>
      <c r="D90" s="357"/>
      <c r="E90" s="357"/>
      <c r="F90" s="357"/>
      <c r="G90" s="357"/>
      <c r="H90" s="357"/>
      <c r="I90" s="357"/>
      <c r="J90" s="357"/>
      <c r="K90" s="357"/>
      <c r="L90" s="367"/>
      <c r="M90" s="367"/>
      <c r="N90" s="367"/>
      <c r="O90" s="367"/>
      <c r="P90" s="367"/>
      <c r="Q90" s="367"/>
      <c r="R90" s="367"/>
      <c r="S90" s="367"/>
      <c r="T90" s="367"/>
      <c r="U90" s="367"/>
      <c r="V90" s="367"/>
    </row>
    <row r="91" spans="1:22" ht="12.75" customHeight="1" x14ac:dyDescent="0.2">
      <c r="A91" s="357"/>
      <c r="B91" s="357"/>
      <c r="C91" s="357"/>
      <c r="D91" s="357"/>
      <c r="E91" s="357"/>
      <c r="F91" s="357"/>
      <c r="G91" s="357"/>
      <c r="H91" s="357"/>
      <c r="I91" s="357"/>
      <c r="J91" s="357"/>
      <c r="K91" s="357"/>
      <c r="L91" s="367"/>
      <c r="M91" s="367"/>
      <c r="N91" s="367"/>
      <c r="O91" s="367"/>
      <c r="P91" s="367"/>
      <c r="Q91" s="367"/>
      <c r="R91" s="367"/>
      <c r="S91" s="367"/>
      <c r="T91" s="367"/>
      <c r="U91" s="367"/>
      <c r="V91" s="367"/>
    </row>
    <row r="92" spans="1:22" ht="12.75" customHeight="1" x14ac:dyDescent="0.2">
      <c r="A92" s="177"/>
      <c r="B92" s="177"/>
      <c r="C92" s="177"/>
      <c r="D92" s="177"/>
      <c r="E92" s="177"/>
      <c r="F92" s="177"/>
      <c r="G92" s="177"/>
      <c r="H92" s="177"/>
      <c r="I92" s="177"/>
      <c r="J92" s="177"/>
      <c r="K92" s="177"/>
      <c r="L92" s="367"/>
      <c r="M92" s="367"/>
      <c r="N92" s="367"/>
      <c r="O92" s="367"/>
      <c r="P92" s="367"/>
      <c r="Q92" s="367"/>
      <c r="R92" s="367"/>
      <c r="S92" s="367"/>
      <c r="T92" s="367"/>
      <c r="U92" s="367"/>
      <c r="V92" s="367"/>
    </row>
    <row r="93" spans="1:22" ht="12.75" customHeight="1" x14ac:dyDescent="0.2">
      <c r="A93" s="358" t="s">
        <v>337</v>
      </c>
      <c r="B93" s="358"/>
      <c r="C93" s="358"/>
      <c r="D93" s="358"/>
      <c r="E93" s="358"/>
      <c r="F93" s="358"/>
      <c r="G93" s="358"/>
      <c r="H93" s="358"/>
      <c r="I93" s="358"/>
      <c r="J93" s="358"/>
      <c r="K93" s="358"/>
      <c r="L93" s="367"/>
      <c r="M93" s="367"/>
      <c r="N93" s="367"/>
      <c r="O93" s="367"/>
      <c r="P93" s="367"/>
      <c r="Q93" s="367"/>
      <c r="R93" s="367"/>
      <c r="S93" s="367"/>
      <c r="T93" s="367"/>
      <c r="U93" s="367"/>
      <c r="V93" s="367"/>
    </row>
    <row r="94" spans="1:22" ht="12.75" customHeight="1" x14ac:dyDescent="0.2">
      <c r="A94" s="358"/>
      <c r="B94" s="358"/>
      <c r="C94" s="358"/>
      <c r="D94" s="358"/>
      <c r="E94" s="358"/>
      <c r="F94" s="358"/>
      <c r="G94" s="358"/>
      <c r="H94" s="358"/>
      <c r="I94" s="358"/>
      <c r="J94" s="358"/>
      <c r="K94" s="358"/>
      <c r="L94" s="367"/>
      <c r="M94" s="367"/>
      <c r="N94" s="367"/>
      <c r="O94" s="367"/>
      <c r="P94" s="367"/>
      <c r="Q94" s="367"/>
      <c r="R94" s="367"/>
      <c r="S94" s="367"/>
      <c r="T94" s="367"/>
      <c r="U94" s="367"/>
      <c r="V94" s="367"/>
    </row>
    <row r="95" spans="1:22" ht="12.75" customHeight="1" x14ac:dyDescent="0.2">
      <c r="A95" s="358"/>
      <c r="B95" s="358"/>
      <c r="C95" s="358"/>
      <c r="D95" s="358"/>
      <c r="E95" s="358"/>
      <c r="F95" s="358"/>
      <c r="G95" s="358"/>
      <c r="H95" s="358"/>
      <c r="I95" s="358"/>
      <c r="J95" s="358"/>
      <c r="K95" s="358"/>
      <c r="L95" s="367"/>
      <c r="M95" s="367"/>
      <c r="N95" s="367"/>
      <c r="O95" s="367"/>
      <c r="P95" s="367"/>
      <c r="Q95" s="367"/>
      <c r="R95" s="367"/>
      <c r="S95" s="367"/>
      <c r="T95" s="367"/>
      <c r="U95" s="367"/>
      <c r="V95" s="367"/>
    </row>
    <row r="96" spans="1:22" ht="12.75" customHeight="1" x14ac:dyDescent="0.2">
      <c r="A96" s="358"/>
      <c r="B96" s="358"/>
      <c r="C96" s="358"/>
      <c r="D96" s="358"/>
      <c r="E96" s="358"/>
      <c r="F96" s="358"/>
      <c r="G96" s="358"/>
      <c r="H96" s="358"/>
      <c r="I96" s="358"/>
      <c r="J96" s="358"/>
      <c r="K96" s="358"/>
      <c r="L96" s="367"/>
      <c r="M96" s="367"/>
      <c r="N96" s="367"/>
      <c r="O96" s="367"/>
      <c r="P96" s="367"/>
      <c r="Q96" s="367"/>
      <c r="R96" s="367"/>
      <c r="S96" s="367"/>
      <c r="T96" s="367"/>
      <c r="U96" s="367"/>
      <c r="V96" s="367"/>
    </row>
    <row r="97" spans="1:22" ht="12.75" customHeight="1" x14ac:dyDescent="0.2">
      <c r="A97" s="358"/>
      <c r="B97" s="358"/>
      <c r="C97" s="358"/>
      <c r="D97" s="358"/>
      <c r="E97" s="358"/>
      <c r="F97" s="358"/>
      <c r="G97" s="358"/>
      <c r="H97" s="358"/>
      <c r="I97" s="358"/>
      <c r="J97" s="358"/>
      <c r="K97" s="358"/>
      <c r="L97" s="184" t="s">
        <v>33</v>
      </c>
      <c r="M97" s="416">
        <f>Памятка!E4</f>
        <v>0</v>
      </c>
      <c r="N97" s="416"/>
      <c r="O97" s="184"/>
      <c r="P97" s="184"/>
      <c r="Q97" s="184"/>
      <c r="R97" s="184"/>
      <c r="S97" s="184"/>
      <c r="T97" s="184"/>
      <c r="U97" s="184"/>
      <c r="V97" s="184"/>
    </row>
    <row r="98" spans="1:22" ht="12.75" customHeight="1" x14ac:dyDescent="0.2">
      <c r="L98" s="414" t="s">
        <v>370</v>
      </c>
      <c r="M98" s="414"/>
      <c r="N98" s="414"/>
      <c r="O98" s="414"/>
      <c r="P98" s="414"/>
      <c r="Q98" s="414"/>
      <c r="R98" s="414"/>
      <c r="S98" s="414"/>
      <c r="T98" s="414"/>
      <c r="U98" s="414"/>
      <c r="V98" s="414"/>
    </row>
    <row r="99" spans="1:22" ht="12.75" customHeight="1" x14ac:dyDescent="0.2">
      <c r="L99" s="414"/>
      <c r="M99" s="414"/>
      <c r="N99" s="414"/>
      <c r="O99" s="414"/>
      <c r="P99" s="414"/>
      <c r="Q99" s="414"/>
      <c r="R99" s="414"/>
      <c r="S99" s="414"/>
      <c r="T99" s="414"/>
      <c r="U99" s="414"/>
      <c r="V99" s="414"/>
    </row>
    <row r="100" spans="1:22" ht="12.75" customHeight="1" x14ac:dyDescent="0.2">
      <c r="L100" s="414"/>
      <c r="M100" s="414"/>
      <c r="N100" s="414"/>
      <c r="O100" s="414"/>
      <c r="P100" s="414"/>
      <c r="Q100" s="414"/>
      <c r="R100" s="414"/>
      <c r="S100" s="414"/>
      <c r="T100" s="414"/>
      <c r="U100" s="414"/>
      <c r="V100" s="414"/>
    </row>
    <row r="101" spans="1:22" ht="12.75" customHeight="1" x14ac:dyDescent="0.2">
      <c r="L101" s="414"/>
      <c r="M101" s="414"/>
      <c r="N101" s="414"/>
      <c r="O101" s="414"/>
      <c r="P101" s="414"/>
      <c r="Q101" s="414"/>
      <c r="R101" s="414"/>
      <c r="S101" s="414"/>
      <c r="T101" s="414"/>
      <c r="U101" s="414"/>
      <c r="V101" s="414"/>
    </row>
    <row r="102" spans="1:22" ht="12.75" customHeight="1" x14ac:dyDescent="0.2">
      <c r="L102" s="414"/>
      <c r="M102" s="414"/>
      <c r="N102" s="414"/>
      <c r="O102" s="414"/>
      <c r="P102" s="414"/>
      <c r="Q102" s="414"/>
      <c r="R102" s="414"/>
      <c r="S102" s="414"/>
      <c r="T102" s="414"/>
      <c r="U102" s="414"/>
      <c r="V102" s="414"/>
    </row>
    <row r="103" spans="1:22" ht="13.5" customHeight="1" thickBot="1" x14ac:dyDescent="0.25">
      <c r="L103" s="415"/>
      <c r="M103" s="415"/>
      <c r="N103" s="415"/>
      <c r="O103" s="415"/>
      <c r="P103" s="415"/>
      <c r="Q103" s="415"/>
      <c r="R103" s="415"/>
      <c r="S103" s="415"/>
      <c r="T103" s="415"/>
      <c r="U103" s="415"/>
      <c r="V103" s="415"/>
    </row>
    <row r="104" spans="1:22" ht="12.75" customHeight="1" x14ac:dyDescent="0.2">
      <c r="A104" s="359" t="s">
        <v>327</v>
      </c>
      <c r="B104" s="360"/>
      <c r="C104" s="360"/>
      <c r="D104" s="360"/>
      <c r="E104" s="360"/>
      <c r="F104" s="360"/>
      <c r="G104" s="360"/>
      <c r="H104" s="360"/>
      <c r="I104" s="360"/>
      <c r="J104" s="360"/>
      <c r="K104" s="361"/>
      <c r="L104" s="388" t="s">
        <v>330</v>
      </c>
      <c r="M104" s="368"/>
      <c r="N104" s="368"/>
      <c r="O104" s="368"/>
      <c r="P104" s="368"/>
      <c r="Q104" s="368"/>
      <c r="R104" s="368"/>
      <c r="S104" s="368"/>
      <c r="T104" s="368"/>
      <c r="U104" s="368"/>
      <c r="V104" s="389"/>
    </row>
    <row r="105" spans="1:22" x14ac:dyDescent="0.2">
      <c r="A105" s="362"/>
      <c r="B105" s="363"/>
      <c r="C105" s="363"/>
      <c r="D105" s="363"/>
      <c r="E105" s="363"/>
      <c r="F105" s="363"/>
      <c r="G105" s="363"/>
      <c r="H105" s="363"/>
      <c r="I105" s="363"/>
      <c r="J105" s="363"/>
      <c r="K105" s="364"/>
      <c r="L105" s="390"/>
      <c r="M105" s="369"/>
      <c r="N105" s="369"/>
      <c r="O105" s="369"/>
      <c r="P105" s="369"/>
      <c r="Q105" s="369"/>
      <c r="R105" s="369"/>
      <c r="S105" s="369"/>
      <c r="T105" s="369"/>
      <c r="U105" s="369"/>
      <c r="V105" s="391"/>
    </row>
    <row r="106" spans="1:22" ht="12.75" customHeight="1" x14ac:dyDescent="0.2">
      <c r="A106" s="365" t="s">
        <v>323</v>
      </c>
      <c r="B106" s="343"/>
      <c r="C106" s="343"/>
      <c r="D106" s="409">
        <f>Фамилия</f>
        <v>0</v>
      </c>
      <c r="E106" s="409"/>
      <c r="F106" s="410">
        <f>Имя</f>
        <v>0</v>
      </c>
      <c r="G106" s="410"/>
      <c r="H106" s="343" t="s">
        <v>324</v>
      </c>
      <c r="I106" s="343"/>
      <c r="J106" s="343"/>
      <c r="K106" s="344"/>
      <c r="L106" s="390" t="s">
        <v>329</v>
      </c>
      <c r="M106" s="369"/>
      <c r="N106" s="369"/>
      <c r="O106" s="369"/>
      <c r="P106" s="405">
        <f>Фамилия</f>
        <v>0</v>
      </c>
      <c r="Q106" s="405"/>
      <c r="R106" s="405"/>
      <c r="S106" s="406">
        <f>Имя</f>
        <v>0</v>
      </c>
      <c r="T106" s="406"/>
      <c r="U106" s="369" t="s">
        <v>333</v>
      </c>
      <c r="V106" s="391"/>
    </row>
    <row r="107" spans="1:22" ht="12.75" customHeight="1" x14ac:dyDescent="0.2">
      <c r="A107" s="352" t="s">
        <v>331</v>
      </c>
      <c r="B107" s="353"/>
      <c r="C107" s="353"/>
      <c r="D107" s="353"/>
      <c r="E107" s="353"/>
      <c r="F107" s="353"/>
      <c r="G107" s="353"/>
      <c r="H107" s="353"/>
      <c r="I107" s="353"/>
      <c r="J107" s="353"/>
      <c r="K107" s="354"/>
      <c r="L107" s="390" t="s">
        <v>331</v>
      </c>
      <c r="M107" s="369"/>
      <c r="N107" s="369"/>
      <c r="O107" s="369"/>
      <c r="P107" s="369"/>
      <c r="Q107" s="369"/>
      <c r="R107" s="369"/>
      <c r="S107" s="369"/>
      <c r="T107" s="369"/>
      <c r="U107" s="369"/>
      <c r="V107" s="391"/>
    </row>
    <row r="108" spans="1:22" ht="13.5" x14ac:dyDescent="0.2">
      <c r="A108" s="352" t="s">
        <v>364</v>
      </c>
      <c r="B108" s="353"/>
      <c r="C108" s="353"/>
      <c r="D108" s="353"/>
      <c r="E108" s="353"/>
      <c r="F108" s="353"/>
      <c r="G108" s="353"/>
      <c r="H108" s="353"/>
      <c r="I108" s="353"/>
      <c r="J108" s="353"/>
      <c r="K108" s="354"/>
      <c r="L108" s="390" t="s">
        <v>332</v>
      </c>
      <c r="M108" s="357"/>
      <c r="N108" s="357"/>
      <c r="O108" s="357"/>
      <c r="P108" s="357"/>
      <c r="Q108" s="357"/>
      <c r="R108" s="357"/>
      <c r="S108" s="357"/>
      <c r="T108" s="357"/>
      <c r="U108" s="357"/>
      <c r="V108" s="408"/>
    </row>
    <row r="109" spans="1:22" ht="12.75" customHeight="1" x14ac:dyDescent="0.2">
      <c r="A109" s="352" t="s">
        <v>365</v>
      </c>
      <c r="B109" s="353"/>
      <c r="C109" s="353"/>
      <c r="D109" s="353"/>
      <c r="E109" s="353"/>
      <c r="F109" s="353"/>
      <c r="G109" s="353"/>
      <c r="H109" s="353"/>
      <c r="I109" s="353"/>
      <c r="J109" s="353"/>
      <c r="K109" s="354"/>
      <c r="L109" s="407" t="s">
        <v>367</v>
      </c>
      <c r="M109" s="357"/>
      <c r="N109" s="357"/>
      <c r="O109" s="357"/>
      <c r="P109" s="357"/>
      <c r="Q109" s="357"/>
      <c r="R109" s="357"/>
      <c r="S109" s="357"/>
      <c r="T109" s="357"/>
      <c r="U109" s="357"/>
      <c r="V109" s="408"/>
    </row>
    <row r="110" spans="1:22" ht="13.5" x14ac:dyDescent="0.2">
      <c r="A110" s="352" t="s">
        <v>355</v>
      </c>
      <c r="B110" s="353"/>
      <c r="C110" s="353"/>
      <c r="D110" s="353"/>
      <c r="E110" s="353"/>
      <c r="F110" s="353"/>
      <c r="G110" s="353"/>
      <c r="H110" s="353"/>
      <c r="I110" s="353"/>
      <c r="J110" s="353"/>
      <c r="K110" s="354"/>
      <c r="L110" s="407"/>
      <c r="M110" s="357"/>
      <c r="N110" s="357"/>
      <c r="O110" s="357"/>
      <c r="P110" s="357"/>
      <c r="Q110" s="357"/>
      <c r="R110" s="357"/>
      <c r="S110" s="357"/>
      <c r="T110" s="357"/>
      <c r="U110" s="357"/>
      <c r="V110" s="408"/>
    </row>
    <row r="111" spans="1:22" ht="13.5" x14ac:dyDescent="0.2">
      <c r="A111" s="352" t="s">
        <v>355</v>
      </c>
      <c r="B111" s="353"/>
      <c r="C111" s="353"/>
      <c r="D111" s="353"/>
      <c r="E111" s="353"/>
      <c r="F111" s="353"/>
      <c r="G111" s="353"/>
      <c r="H111" s="353"/>
      <c r="I111" s="353"/>
      <c r="J111" s="353"/>
      <c r="K111" s="354"/>
      <c r="L111" s="407"/>
      <c r="M111" s="357"/>
      <c r="N111" s="357"/>
      <c r="O111" s="357"/>
      <c r="P111" s="357"/>
      <c r="Q111" s="357"/>
      <c r="R111" s="357"/>
      <c r="S111" s="357"/>
      <c r="T111" s="357"/>
      <c r="U111" s="357"/>
      <c r="V111" s="408"/>
    </row>
    <row r="112" spans="1:22" ht="13.5" x14ac:dyDescent="0.2">
      <c r="A112" s="411" t="s">
        <v>366</v>
      </c>
      <c r="B112" s="353"/>
      <c r="C112" s="353"/>
      <c r="D112" s="353"/>
      <c r="E112" s="353"/>
      <c r="F112" s="353"/>
      <c r="G112" s="353"/>
      <c r="H112" s="353"/>
      <c r="I112" s="353"/>
      <c r="J112" s="353"/>
      <c r="K112" s="354"/>
      <c r="L112" s="407"/>
      <c r="M112" s="357"/>
      <c r="N112" s="357"/>
      <c r="O112" s="357"/>
      <c r="P112" s="357"/>
      <c r="Q112" s="357"/>
      <c r="R112" s="357"/>
      <c r="S112" s="357"/>
      <c r="T112" s="357"/>
      <c r="U112" s="357"/>
      <c r="V112" s="408"/>
    </row>
    <row r="113" spans="1:22" ht="13.5" x14ac:dyDescent="0.2">
      <c r="A113" s="352" t="s">
        <v>357</v>
      </c>
      <c r="B113" s="353"/>
      <c r="C113" s="353"/>
      <c r="D113" s="353"/>
      <c r="E113" s="353"/>
      <c r="F113" s="353"/>
      <c r="G113" s="353"/>
      <c r="H113" s="353"/>
      <c r="I113" s="353"/>
      <c r="J113" s="353"/>
      <c r="K113" s="354"/>
      <c r="L113" s="407" t="s">
        <v>334</v>
      </c>
      <c r="M113" s="357"/>
      <c r="N113" s="357"/>
      <c r="O113" s="357"/>
      <c r="P113" s="357"/>
      <c r="Q113" s="357"/>
      <c r="R113" s="357"/>
      <c r="S113" s="357"/>
      <c r="T113" s="357"/>
      <c r="U113" s="357"/>
      <c r="V113" s="408"/>
    </row>
    <row r="114" spans="1:22" x14ac:dyDescent="0.2">
      <c r="A114" s="342" t="s">
        <v>358</v>
      </c>
      <c r="B114" s="343"/>
      <c r="C114" s="343"/>
      <c r="D114" s="343"/>
      <c r="E114" s="343"/>
      <c r="F114" s="343"/>
      <c r="G114" s="343"/>
      <c r="H114" s="343"/>
      <c r="I114" s="343"/>
      <c r="J114" s="343"/>
      <c r="K114" s="344"/>
      <c r="L114" s="407"/>
      <c r="M114" s="357"/>
      <c r="N114" s="357"/>
      <c r="O114" s="357"/>
      <c r="P114" s="357"/>
      <c r="Q114" s="357"/>
      <c r="R114" s="357"/>
      <c r="S114" s="357"/>
      <c r="T114" s="357"/>
      <c r="U114" s="357"/>
      <c r="V114" s="408"/>
    </row>
    <row r="115" spans="1:22" ht="13.5" x14ac:dyDescent="0.2">
      <c r="A115" s="188" t="s">
        <v>33</v>
      </c>
      <c r="B115" s="350">
        <f>Памятка!E4</f>
        <v>0</v>
      </c>
      <c r="C115" s="350"/>
      <c r="D115" s="182"/>
      <c r="E115" s="182"/>
      <c r="F115" s="182"/>
      <c r="G115" s="182"/>
      <c r="H115" s="182"/>
      <c r="I115" s="182"/>
      <c r="J115" s="182"/>
      <c r="K115" s="193"/>
      <c r="L115" s="196" t="s">
        <v>33</v>
      </c>
      <c r="M115" s="404">
        <f>Памятка!E4</f>
        <v>0</v>
      </c>
      <c r="N115" s="404"/>
      <c r="O115" s="180"/>
      <c r="P115" s="180"/>
      <c r="Q115" s="180"/>
      <c r="R115" s="180"/>
      <c r="S115" s="180"/>
      <c r="T115" s="180"/>
      <c r="U115" s="180"/>
      <c r="V115" s="197"/>
    </row>
    <row r="116" spans="1:22" ht="13.5" thickBot="1" x14ac:dyDescent="0.25">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x14ac:dyDescent="0.2">
      <c r="L124" s="182"/>
    </row>
    <row r="125" spans="1:22" x14ac:dyDescent="0.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x14ac:dyDescent="0.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x14ac:dyDescent="0.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x14ac:dyDescent="0.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x14ac:dyDescent="0.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x14ac:dyDescent="0.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x14ac:dyDescent="0.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x14ac:dyDescent="0.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x14ac:dyDescent="0.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x14ac:dyDescent="0.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x14ac:dyDescent="0.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x14ac:dyDescent="0.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x14ac:dyDescent="0.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x14ac:dyDescent="0.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x14ac:dyDescent="0.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x14ac:dyDescent="0.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x14ac:dyDescent="0.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x14ac:dyDescent="0.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x14ac:dyDescent="0.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x14ac:dyDescent="0.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x14ac:dyDescent="0.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x14ac:dyDescent="0.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x14ac:dyDescent="0.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x14ac:dyDescent="0.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x14ac:dyDescent="0.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x14ac:dyDescent="0.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x14ac:dyDescent="0.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electLockedCells="1" selectUnlockedCells="1"/>
  <mergeCells count="72">
    <mergeCell ref="R1:V4"/>
    <mergeCell ref="M6:U7"/>
    <mergeCell ref="L107:V107"/>
    <mergeCell ref="L108:V108"/>
    <mergeCell ref="L109:V112"/>
    <mergeCell ref="L59:V96"/>
    <mergeCell ref="L98:V103"/>
    <mergeCell ref="M97:N97"/>
    <mergeCell ref="L104:V105"/>
    <mergeCell ref="M115:N115"/>
    <mergeCell ref="P106:R106"/>
    <mergeCell ref="S106:T106"/>
    <mergeCell ref="L113:V114"/>
    <mergeCell ref="B115:C115"/>
    <mergeCell ref="A107:K107"/>
    <mergeCell ref="A108:K108"/>
    <mergeCell ref="U106:V106"/>
    <mergeCell ref="D106:E106"/>
    <mergeCell ref="F106:G106"/>
    <mergeCell ref="H106:K106"/>
    <mergeCell ref="L106:O106"/>
    <mergeCell ref="A110:K110"/>
    <mergeCell ref="A111:K111"/>
    <mergeCell ref="A112:K112"/>
    <mergeCell ref="A113:K113"/>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W14:AG14"/>
    <mergeCell ref="W15:AG15"/>
    <mergeCell ref="W16:AG16"/>
    <mergeCell ref="W17:AG17"/>
    <mergeCell ref="W19:AG20"/>
    <mergeCell ref="W53:AG58"/>
    <mergeCell ref="W21:AG51"/>
    <mergeCell ref="X52:Y52"/>
    <mergeCell ref="W59:AG59"/>
    <mergeCell ref="W60:AG60"/>
    <mergeCell ref="W61:Z61"/>
    <mergeCell ref="AA61:AC61"/>
    <mergeCell ref="AD61:AE61"/>
    <mergeCell ref="AF61:AG61"/>
    <mergeCell ref="A109:K109"/>
    <mergeCell ref="A90:K91"/>
    <mergeCell ref="A93:K97"/>
    <mergeCell ref="A104:K105"/>
    <mergeCell ref="A106:C106"/>
    <mergeCell ref="W62:AG62"/>
    <mergeCell ref="W63:AG63"/>
    <mergeCell ref="A114:K114"/>
    <mergeCell ref="W70:AG70"/>
    <mergeCell ref="W72:AG72"/>
    <mergeCell ref="X73:Y73"/>
    <mergeCell ref="W64:AG64"/>
    <mergeCell ref="W65:AG65"/>
    <mergeCell ref="W66:AG66"/>
    <mergeCell ref="W67:AG67"/>
    <mergeCell ref="W68:AG68"/>
    <mergeCell ref="W69:AG69"/>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10</vt:i4>
      </vt:variant>
    </vt:vector>
  </HeadingPairs>
  <TitlesOfParts>
    <vt:vector size="20" baseType="lpstr">
      <vt:lpstr>Памятка</vt:lpstr>
      <vt:lpstr>карта ИТ</vt:lpstr>
      <vt:lpstr>разовые</vt:lpstr>
      <vt:lpstr>энтерально</vt:lpstr>
      <vt:lpstr>парентерально</vt:lpstr>
      <vt:lpstr>энтерально педиатрия</vt:lpstr>
      <vt:lpstr>назначения</vt:lpstr>
      <vt:lpstr>на кровать</vt:lpstr>
      <vt:lpstr>согласия</vt:lpstr>
      <vt:lpstr>ПЭП</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Отчество</vt:lpstr>
      <vt:lpstr>резус</vt:lpstr>
      <vt:lpstr>Фамилия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L K</cp:lastModifiedBy>
  <cp:lastPrinted>2020-10-28T08:52:36Z</cp:lastPrinted>
  <dcterms:created xsi:type="dcterms:W3CDTF">2020-10-06T13:21:15Z</dcterms:created>
  <dcterms:modified xsi:type="dcterms:W3CDTF">2021-04-26T04:24:26Z</dcterms:modified>
</cp:coreProperties>
</file>